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6.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7.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8.xml" ContentType="application/vnd.openxmlformats-officedocument.drawing+xml"/>
  <Override PartName="/xl/charts/chart2.xml" ContentType="application/vnd.openxmlformats-officedocument.drawingml.chart+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autoCompressPictures="0"/>
  <mc:AlternateContent xmlns:mc="http://schemas.openxmlformats.org/markup-compatibility/2006">
    <mc:Choice Requires="x15">
      <x15ac:absPath xmlns:x15ac="http://schemas.microsoft.com/office/spreadsheetml/2010/11/ac" url="https://ocmi-my.sharepoint.com/personal/nmore_ocmi_com/Documents/Documents/SHARED FOLDER/Shared/"/>
    </mc:Choice>
  </mc:AlternateContent>
  <xr:revisionPtr revIDLastSave="1" documentId="13_ncr:1_{385A4301-E576-424C-94B0-25EA8D6CD3E7}" xr6:coauthVersionLast="47" xr6:coauthVersionMax="47" xr10:uidLastSave="{6C437FDD-4CE1-4FE5-A53B-1E1159BE0A52}"/>
  <bookViews>
    <workbookView xWindow="-120" yWindow="-120" windowWidth="29040" windowHeight="15720" tabRatio="561" firstSheet="1" activeTab="5" xr2:uid="{00000000-000D-0000-FFFF-FFFF00000000}"/>
  </bookViews>
  <sheets>
    <sheet name="CSI (2004)" sheetId="24" state="veryHidden" r:id="rId1"/>
    <sheet name="Project Info" sheetId="33" r:id="rId2"/>
    <sheet name="Initial" sheetId="6" r:id="rId3"/>
    <sheet name="Cover Sheet" sheetId="23" r:id="rId4"/>
    <sheet name="Summary" sheetId="8" r:id="rId5"/>
    <sheet name="BUILDING" sheetId="25" r:id="rId6"/>
    <sheet name="SITE" sheetId="31" r:id="rId7"/>
    <sheet name="Total VR" sheetId="28" r:id="rId8"/>
  </sheets>
  <functionGroups builtInGroupCount="19"/>
  <externalReferences>
    <externalReference r:id="rId9"/>
  </externalReferences>
  <definedNames>
    <definedName name="__1__123Graph_ACHART_1" localSheetId="1" hidden="1">#REF!</definedName>
    <definedName name="__1__123Graph_ACHART_1" hidden="1">#REF!</definedName>
    <definedName name="__2__123Graph_ACHART_2" localSheetId="1" hidden="1">#REF!</definedName>
    <definedName name="__2__123Graph_ACHART_2" hidden="1">#REF!</definedName>
    <definedName name="__3__123Graph_ACHART_3" localSheetId="1" hidden="1">#REF!</definedName>
    <definedName name="__3__123Graph_ACHART_3" hidden="1">#REF!</definedName>
    <definedName name="__4__123Graph_BCHART_1" hidden="1">#REF!</definedName>
    <definedName name="__5__123Graph_CCHART_1" hidden="1">#REF!</definedName>
    <definedName name="__6__123Graph_DCHART_1" hidden="1">#REF!</definedName>
    <definedName name="__7__123Graph_XCHART_2" hidden="1">#REF!</definedName>
    <definedName name="__8__123Graph_XCHART_3" hidden="1">#REF!</definedName>
    <definedName name="_1__123Graph_ACHART_1" hidden="1">#REF!</definedName>
    <definedName name="_2__123Graph_ACHART_2" hidden="1">#REF!</definedName>
    <definedName name="_3__123Graph_ACHART_3" hidden="1">#REF!</definedName>
    <definedName name="_4__123Graph_BCHART_1" hidden="1">#REF!</definedName>
    <definedName name="_5__123Graph_CCHART_1" hidden="1">#REF!</definedName>
    <definedName name="_6__123Graph_DCHART_1" hidden="1">#REF!</definedName>
    <definedName name="_7__123Graph_XCHART_2" hidden="1">#REF!</definedName>
    <definedName name="_8__123Graph_XCHART_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2</definedName>
    <definedName name="_AtRisk_SimSetting_MultipleCPUMode" hidden="1">2</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1</definedName>
    <definedName name="_AtRisk_SimSetting_ReportOptionCustomItemDistributionFormat04" hidden="1">0</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1</definedName>
    <definedName name="_AtRisk_SimSetting_ReportOptionCustomItemItemSize05" hidden="1">0</definedName>
    <definedName name="_AtRisk_SimSetting_ReportOptionCustomItemItemSize06" hidden="1">1</definedName>
    <definedName name="_AtRisk_SimSetting_ReportOptionCustomItemItemType01" hidden="1">1</definedName>
    <definedName name="_AtRisk_SimSetting_ReportOptionCustomItemItemType02" hidden="1">5</definedName>
    <definedName name="_AtRisk_SimSetting_ReportOptionCustomItemItemType03" hidden="1">3</definedName>
    <definedName name="_AtRisk_SimSetting_ReportOptionCustomItemItemType04" hidden="1">2</definedName>
    <definedName name="_AtRisk_SimSetting_ReportOptionCustomItemItemType05" hidden="1">4</definedName>
    <definedName name="_AtRisk_SimSetting_ReportOptionCustomItemItemType06" hidden="1">1</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6</definedName>
    <definedName name="_AtRisk_SimSetting_ReportOptionCustomItemSensitivityFormat05" hidden="1">1</definedName>
    <definedName name="_AtRisk_SimSetting_ReportOptionCustomItemSensitivityFormat06" hidden="1">0</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2</definedName>
    <definedName name="_AtRisk_SimSetting_ReportOptionReportSelection" hidden="1">8192</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5" hidden="1">BUILDING!$A$1:$AC$827</definedName>
    <definedName name="_xlnm._FilterDatabase" localSheetId="7" hidden="1">'Total VR'!$A$8:$A$46</definedName>
    <definedName name="_xlcn.WorksheetConnection_T9A2C161" localSheetId="1" hidden="1">#REF!</definedName>
    <definedName name="_xlcn.WorksheetConnection_T9A2C161" hidden="1">#REF!</definedName>
    <definedName name="_xleta.LOWER" hidden="1" xlm="1">#NAME?</definedName>
    <definedName name="_xleta.PI" hidden="1" xlm="1">#NAME?</definedName>
    <definedName name="BottomPrintArea" localSheetId="3">'Cover Sheet'!$D$34:$K$72</definedName>
    <definedName name="cityindex">Initial!$J$3:$L$29</definedName>
    <definedName name="compounding">Initial!$H$15</definedName>
    <definedName name="ControlQuantityInfo" localSheetId="5">BUILDING!$A$3:$A$8</definedName>
    <definedName name="ControlQuantityInfo" localSheetId="0">'CSI (2004)'!$A$3:$A$8</definedName>
    <definedName name="ControlQuantityInfo" localSheetId="6">SITE!$A$3:$A$8</definedName>
    <definedName name="date">Initial!$C$6</definedName>
    <definedName name="DeliveryMethodDropdown" localSheetId="3">'Cover Sheet'!$N$68</definedName>
    <definedName name="difficulty">Initial!$E$42</definedName>
    <definedName name="durationMonths">Initial!$D$52</definedName>
    <definedName name="embed">Initial!$A$29</definedName>
    <definedName name="estimate_detail">Initial!$C$5</definedName>
    <definedName name="FECA" localSheetId="5">BUILDING!$H$7</definedName>
    <definedName name="FECA" localSheetId="0">'CSI (2004)'!$H$7</definedName>
    <definedName name="FECA" localSheetId="6">SITE!$H$7</definedName>
    <definedName name="format">Initial!$C$9</definedName>
    <definedName name="GFA" localSheetId="5">BUILDING!$H$6</definedName>
    <definedName name="GFA" localSheetId="0">'CSI (2004)'!$H$6</definedName>
    <definedName name="GFA" localSheetId="6">SITE!$H$6</definedName>
    <definedName name="HTML_CodePage" hidden="1">1252</definedName>
    <definedName name="HTML_Description" hidden="1">""</definedName>
    <definedName name="HTML_Email" hidden="1">""</definedName>
    <definedName name="HTML_Header" hidden="1">""</definedName>
    <definedName name="HTML_LastUpdate" hidden="1">"5/22/98"</definedName>
    <definedName name="HTML_LineAfter" hidden="1">FALSE</definedName>
    <definedName name="HTML_LineBefore" hidden="1">FALSE</definedName>
    <definedName name="HTML_Name" hidden="1">"Louisa E. Simos"</definedName>
    <definedName name="HTML_OBDlg2" hidden="1">TRUE</definedName>
    <definedName name="HTML_OBDlg4" hidden="1">TRUE</definedName>
    <definedName name="HTML_OS" hidden="1">0</definedName>
    <definedName name="HTML_PathFile" hidden="1">"C:\Internet Data Charts\climate.htm"</definedName>
    <definedName name="HTML_Title" hidden="1">"clima"</definedName>
    <definedName name="job_number">Initial!$C$2</definedName>
    <definedName name="LaborRateDropdown" localSheetId="3">'Cover Sheet'!$N$70</definedName>
    <definedName name="markup">Initial!$E$46</definedName>
    <definedName name="Markups">Initial!$B$17:$H$38</definedName>
    <definedName name="MarkupStart" localSheetId="4">Summary!$C$48</definedName>
    <definedName name="NetDirectCost" localSheetId="5">BUILDING!$AI$53</definedName>
    <definedName name="NetDirectCost" localSheetId="0">'CSI (2004)'!$AI$53</definedName>
    <definedName name="NetDirectCost" localSheetId="6">SITE!$AI$53</definedName>
    <definedName name="PageUom" localSheetId="5">BUILDING!$A$2</definedName>
    <definedName name="PageUom" localSheetId="0">'CSI (2004)'!$A$2</definedName>
    <definedName name="PageUom" localSheetId="6">SITE!$A$2</definedName>
    <definedName name="Pal_Workbook_GUID" hidden="1">"5MSF3XGXCVALLRCHLYG1JPWU"</definedName>
    <definedName name="_xlnm.Print_Area" localSheetId="5">BUILDING!$AG$15:$AL$90,BUILDING!$D$99:$P$783</definedName>
    <definedName name="_xlnm.Print_Area" localSheetId="3">'Cover Sheet'!$M$4:$O$24,'Cover Sheet'!$D$34:$K$72</definedName>
    <definedName name="_xlnm.Print_Area" localSheetId="0">'CSI (2004)'!$AG$15:$AL$90,'CSI (2004)'!$D$99:$P$736</definedName>
    <definedName name="_xlnm.Print_Area" localSheetId="1">'Project Info'!$D$3:$U$132</definedName>
    <definedName name="_xlnm.Print_Area" localSheetId="6">SITE!$AG$15:$AL$90,SITE!$D$99:$P$460</definedName>
    <definedName name="_xlnm.Print_Area" localSheetId="4">Summary!$C$6:$H$26,Summary!$C$30:$H$81</definedName>
    <definedName name="_xlnm.Print_Area" localSheetId="7">'Total VR'!$B$2:$J$55</definedName>
    <definedName name="_xlnm.Print_Titles" localSheetId="5">BUILDING!$91:$98</definedName>
    <definedName name="_xlnm.Print_Titles" localSheetId="3">'Cover Sheet'!$26:$33</definedName>
    <definedName name="_xlnm.Print_Titles" localSheetId="0">'CSI (2004)'!$91:$98</definedName>
    <definedName name="_xlnm.Print_Titles" localSheetId="6">SITE!$91:$98</definedName>
    <definedName name="project_location">Initial!$C$4</definedName>
    <definedName name="project_name">Initial!$C$3</definedName>
    <definedName name="region">Initial!$C$12</definedName>
    <definedName name="region1" localSheetId="5">BUILDING!$A$9</definedName>
    <definedName name="region1" localSheetId="0">'CSI (2004)'!$A$9</definedName>
    <definedName name="region1" localSheetId="6">SITE!$A$9</definedName>
    <definedName name="RegionPref">Initial!$G$3</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heetTemplate" localSheetId="5">BUILDING!$A$1</definedName>
    <definedName name="sheetTemplate" localSheetId="3">'Cover Sheet'!$A$1</definedName>
    <definedName name="sheetTemplate" localSheetId="0">'CSI (2004)'!$A$1</definedName>
    <definedName name="sheetTemplate" localSheetId="6">SITE!$A$1</definedName>
    <definedName name="sheetTemplate" localSheetId="4">Summary!$A$1</definedName>
    <definedName name="site" localSheetId="5">BUILDING!$H$8</definedName>
    <definedName name="site" localSheetId="0">'CSI (2004)'!$H$8</definedName>
    <definedName name="site" localSheetId="6">SITE!$H$8</definedName>
    <definedName name="Slicer_Filter">#N/A</definedName>
    <definedName name="SUB_NAME" localSheetId="5">BUILDING!$H$3</definedName>
    <definedName name="SUB_NAME" localSheetId="0">'CSI (2004)'!$H$3</definedName>
    <definedName name="SUB_NAME" localSheetId="6">SITE!$H$3</definedName>
    <definedName name="tax">Initial!$E$43</definedName>
    <definedName name="template">Initial!$C$11</definedName>
    <definedName name="TopPrintArea" localSheetId="3">'Cover Sheet'!$M$4:$O$24</definedName>
    <definedName name="TOTAL_CONSTRUCTION_COST" localSheetId="4">Summary!$C$23</definedName>
    <definedName name="TOTAL_COST" localSheetId="4">Summary!$E$14</definedName>
    <definedName name="TOTAL_COST2" localSheetId="4">Summary!$E$38</definedName>
    <definedName name="TotalCost" localSheetId="5">BUILDING!$AI$88</definedName>
    <definedName name="TotalCost" localSheetId="0">'CSI (2004)'!$AI$88</definedName>
    <definedName name="TotalCost" localSheetId="6">SITE!$AI$88</definedName>
    <definedName name="uom">Initial!$C$10</definedName>
    <definedName name="VegasGrid" localSheetId="5">BUILDING!$AP$1:$AU$14</definedName>
    <definedName name="VegasGrid" localSheetId="0">'CSI (2004)'!$AP$1:$AU$14</definedName>
    <definedName name="VegasGrid" localSheetId="6">SITE!$AP$1:$AU$14</definedName>
    <definedName name="Version">Initial!$G$6</definedName>
    <definedName name="Weight1" localSheetId="7">'Total VR'!$B$15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28" l="1"/>
  <c r="I681" i="25"/>
  <c r="I603" i="25"/>
  <c r="W51" i="6" l="1"/>
  <c r="W47" i="6"/>
  <c r="S440" i="31"/>
  <c r="X440" i="31" s="1"/>
  <c r="I390" i="31"/>
  <c r="S384" i="31"/>
  <c r="S383" i="31"/>
  <c r="X383" i="31" s="1"/>
  <c r="S382" i="31"/>
  <c r="X382" i="31" s="1"/>
  <c r="S381" i="31"/>
  <c r="X381" i="31" s="1"/>
  <c r="S380" i="31"/>
  <c r="X380" i="31" s="1"/>
  <c r="S386" i="31"/>
  <c r="S385" i="31"/>
  <c r="S379" i="31"/>
  <c r="X379" i="31" s="1"/>
  <c r="S389" i="31"/>
  <c r="X389" i="31" s="1"/>
  <c r="S388" i="31"/>
  <c r="X388" i="31" s="1"/>
  <c r="S387" i="31"/>
  <c r="X387" i="31" s="1"/>
  <c r="I743" i="25"/>
  <c r="S738" i="25"/>
  <c r="X738" i="25" s="1"/>
  <c r="S739" i="25"/>
  <c r="X739" i="25" s="1"/>
  <c r="S740" i="25"/>
  <c r="S741" i="25"/>
  <c r="X741" i="25" s="1"/>
  <c r="S742" i="25"/>
  <c r="S743" i="25"/>
  <c r="X743" i="25" s="1"/>
  <c r="I718" i="25"/>
  <c r="I722" i="25" s="1"/>
  <c r="I711" i="25"/>
  <c r="I704" i="25"/>
  <c r="I703" i="25"/>
  <c r="I697" i="25"/>
  <c r="I696" i="25"/>
  <c r="I692" i="25"/>
  <c r="I691" i="25"/>
  <c r="I689" i="25"/>
  <c r="I686" i="25"/>
  <c r="I687" i="25" s="1"/>
  <c r="I674" i="25"/>
  <c r="I668" i="25"/>
  <c r="S661" i="25"/>
  <c r="X661" i="25" s="1"/>
  <c r="S660" i="25"/>
  <c r="X660" i="25" s="1"/>
  <c r="S659" i="25"/>
  <c r="X659" i="25" s="1"/>
  <c r="S658" i="25"/>
  <c r="X658" i="25" s="1"/>
  <c r="S657" i="25"/>
  <c r="X657" i="25" s="1"/>
  <c r="S656" i="25"/>
  <c r="X656" i="25" s="1"/>
  <c r="S655" i="25"/>
  <c r="X655" i="25" s="1"/>
  <c r="S654" i="25"/>
  <c r="X654" i="25" s="1"/>
  <c r="S653" i="25"/>
  <c r="X653" i="25" s="1"/>
  <c r="S652" i="25"/>
  <c r="X652" i="25" s="1"/>
  <c r="S651" i="25"/>
  <c r="X651" i="25" s="1"/>
  <c r="S650" i="25"/>
  <c r="X650" i="25" s="1"/>
  <c r="S649" i="25"/>
  <c r="X649" i="25" s="1"/>
  <c r="S648" i="25"/>
  <c r="X648" i="25" s="1"/>
  <c r="S647" i="25"/>
  <c r="X647" i="25" s="1"/>
  <c r="S646" i="25"/>
  <c r="X646" i="25" s="1"/>
  <c r="S645" i="25"/>
  <c r="X645" i="25" s="1"/>
  <c r="S644" i="25"/>
  <c r="X644" i="25" s="1"/>
  <c r="S643" i="25"/>
  <c r="X643" i="25" s="1"/>
  <c r="I730" i="25"/>
  <c r="I732" i="25"/>
  <c r="S686" i="25"/>
  <c r="X686" i="25" s="1"/>
  <c r="S685" i="25"/>
  <c r="S684" i="25"/>
  <c r="X684" i="25" s="1"/>
  <c r="S683" i="25"/>
  <c r="S682" i="25"/>
  <c r="S681" i="25"/>
  <c r="S680" i="25"/>
  <c r="X680" i="25" s="1"/>
  <c r="S679" i="25"/>
  <c r="X679" i="25" s="1"/>
  <c r="S678" i="25"/>
  <c r="X678" i="25" s="1"/>
  <c r="S677" i="25"/>
  <c r="S676" i="25"/>
  <c r="X676" i="25" s="1"/>
  <c r="S675" i="25"/>
  <c r="X675" i="25" s="1"/>
  <c r="S674" i="25"/>
  <c r="X674" i="25" s="1"/>
  <c r="S673" i="25"/>
  <c r="X673" i="25" s="1"/>
  <c r="S672" i="25"/>
  <c r="X672" i="25" s="1"/>
  <c r="S671" i="25"/>
  <c r="X671" i="25" s="1"/>
  <c r="S670" i="25"/>
  <c r="X670" i="25" s="1"/>
  <c r="S669" i="25"/>
  <c r="S668" i="25"/>
  <c r="S667" i="25"/>
  <c r="S666" i="25"/>
  <c r="X666" i="25" s="1"/>
  <c r="S665" i="25"/>
  <c r="X665" i="25" s="1"/>
  <c r="S664" i="25"/>
  <c r="X664" i="25" s="1"/>
  <c r="S663" i="25"/>
  <c r="X663" i="25" s="1"/>
  <c r="S662" i="25"/>
  <c r="X662" i="25" s="1"/>
  <c r="S642" i="25"/>
  <c r="X642" i="25" s="1"/>
  <c r="S641" i="25"/>
  <c r="X641" i="25" s="1"/>
  <c r="S640" i="25"/>
  <c r="X640" i="25" s="1"/>
  <c r="S639" i="25"/>
  <c r="X639" i="25" s="1"/>
  <c r="S638" i="25"/>
  <c r="X638" i="25" s="1"/>
  <c r="S283" i="31"/>
  <c r="X385" i="31" l="1"/>
  <c r="X384" i="31"/>
  <c r="X386" i="31"/>
  <c r="X740" i="25"/>
  <c r="X742" i="25"/>
  <c r="I705" i="25"/>
  <c r="X682" i="25"/>
  <c r="X683" i="25"/>
  <c r="X685" i="25"/>
  <c r="X677" i="25"/>
  <c r="X669" i="25"/>
  <c r="X681" i="25"/>
  <c r="X667" i="25"/>
  <c r="X668" i="25"/>
  <c r="X283" i="31"/>
  <c r="I291" i="31" l="1"/>
  <c r="S291" i="31"/>
  <c r="X291" i="31" s="1"/>
  <c r="S111" i="31" l="1"/>
  <c r="X111" i="31" l="1"/>
  <c r="I220" i="25"/>
  <c r="S353" i="31"/>
  <c r="X353" i="31" s="1"/>
  <c r="AS2" i="31" l="1"/>
  <c r="AQ7" i="31"/>
  <c r="S377" i="31"/>
  <c r="X377" i="31" s="1"/>
  <c r="S378" i="31"/>
  <c r="X378" i="31" s="1"/>
  <c r="S358" i="31"/>
  <c r="I361" i="31"/>
  <c r="S361" i="31"/>
  <c r="I365" i="31"/>
  <c r="S365" i="31"/>
  <c r="X365" i="31" s="1"/>
  <c r="I372" i="31"/>
  <c r="S372" i="31"/>
  <c r="S371" i="31"/>
  <c r="S370" i="31"/>
  <c r="X370" i="31" s="1"/>
  <c r="S369" i="31"/>
  <c r="X369" i="31" s="1"/>
  <c r="S364" i="31"/>
  <c r="X364" i="31" s="1"/>
  <c r="S366" i="31"/>
  <c r="S368" i="31"/>
  <c r="S367" i="31"/>
  <c r="S363" i="31"/>
  <c r="S362" i="31"/>
  <c r="S376" i="31"/>
  <c r="S357" i="31"/>
  <c r="X357" i="31" s="1"/>
  <c r="S356" i="31"/>
  <c r="X356" i="31" s="1"/>
  <c r="L356" i="31"/>
  <c r="K356" i="31"/>
  <c r="X376" i="31" l="1"/>
  <c r="X362" i="31"/>
  <c r="X363" i="31"/>
  <c r="X367" i="31"/>
  <c r="X366" i="31"/>
  <c r="X371" i="31"/>
  <c r="X372" i="31"/>
  <c r="X361" i="31"/>
  <c r="X358" i="31"/>
  <c r="X368" i="31"/>
  <c r="S373" i="31" l="1"/>
  <c r="S375" i="31"/>
  <c r="S374" i="31"/>
  <c r="X374" i="31" s="1"/>
  <c r="X375" i="31" l="1"/>
  <c r="X373" i="31"/>
  <c r="S359" i="31" l="1"/>
  <c r="X359" i="31" s="1"/>
  <c r="S360" i="31"/>
  <c r="S355" i="31"/>
  <c r="X355" i="31" s="1"/>
  <c r="S275" i="31"/>
  <c r="X275" i="31" s="1"/>
  <c r="Z265" i="31"/>
  <c r="S354" i="31"/>
  <c r="X354" i="31" s="1"/>
  <c r="S352" i="31"/>
  <c r="X360" i="31" l="1"/>
  <c r="X352" i="31"/>
  <c r="S350" i="31" l="1"/>
  <c r="I349" i="31"/>
  <c r="S349" i="31"/>
  <c r="I348" i="31"/>
  <c r="S348" i="31"/>
  <c r="S346" i="31"/>
  <c r="X350" i="31" l="1"/>
  <c r="X346" i="31"/>
  <c r="X349" i="31"/>
  <c r="X348" i="31"/>
  <c r="S345" i="31"/>
  <c r="X345" i="31" s="1"/>
  <c r="S344" i="31"/>
  <c r="X344" i="31" s="1"/>
  <c r="S347" i="31"/>
  <c r="X347" i="31" s="1"/>
  <c r="AC423" i="25"/>
  <c r="AC424" i="25"/>
  <c r="AC426" i="25"/>
  <c r="AC427" i="25"/>
  <c r="AC428" i="25"/>
  <c r="AC429" i="25"/>
  <c r="AC430" i="25"/>
  <c r="AC431" i="25"/>
  <c r="AC432" i="25"/>
  <c r="AC433" i="25"/>
  <c r="AC434" i="25"/>
  <c r="AC435" i="25"/>
  <c r="AC438" i="25"/>
  <c r="AC439" i="25"/>
  <c r="AC443" i="25"/>
  <c r="AC444" i="25"/>
  <c r="AC445" i="25"/>
  <c r="AC446" i="25"/>
  <c r="AC447" i="25"/>
  <c r="AC420" i="25"/>
  <c r="AC421" i="25"/>
  <c r="AC448" i="25"/>
  <c r="S420" i="25"/>
  <c r="X420" i="25" s="1"/>
  <c r="AC407" i="25"/>
  <c r="AC408" i="25"/>
  <c r="AC409" i="25"/>
  <c r="AC410" i="25"/>
  <c r="AC411" i="25"/>
  <c r="AC412" i="25"/>
  <c r="AC413" i="25"/>
  <c r="AC414" i="25"/>
  <c r="AC415" i="25"/>
  <c r="AC416" i="25"/>
  <c r="AC417" i="25"/>
  <c r="AC418" i="25"/>
  <c r="AC419" i="25"/>
  <c r="S405" i="25"/>
  <c r="X405" i="25" s="1"/>
  <c r="AC406" i="25"/>
  <c r="AC404" i="25"/>
  <c r="AC401" i="25"/>
  <c r="AC402" i="25"/>
  <c r="AC403" i="25"/>
  <c r="S360" i="25"/>
  <c r="X360" i="25" s="1"/>
  <c r="S359" i="25"/>
  <c r="AB358" i="25"/>
  <c r="AB359" i="25" s="1"/>
  <c r="AB360" i="25" s="1"/>
  <c r="AA358" i="25"/>
  <c r="AA359" i="25" s="1"/>
  <c r="S358" i="25"/>
  <c r="X358" i="25" s="1"/>
  <c r="S357" i="25"/>
  <c r="I357" i="25"/>
  <c r="AC357" i="25" s="1"/>
  <c r="AC356" i="25"/>
  <c r="S356" i="25"/>
  <c r="X356" i="25" s="1"/>
  <c r="E356" i="25"/>
  <c r="AC355" i="25"/>
  <c r="S355" i="25"/>
  <c r="X355" i="25" s="1"/>
  <c r="S369" i="25"/>
  <c r="X369" i="25" s="1"/>
  <c r="Z368" i="25"/>
  <c r="S368" i="25"/>
  <c r="X368" i="25" s="1"/>
  <c r="AB367" i="25"/>
  <c r="S367" i="25"/>
  <c r="X367" i="25" s="1"/>
  <c r="S366" i="25"/>
  <c r="S365" i="25"/>
  <c r="X365" i="25" s="1"/>
  <c r="AB364" i="25"/>
  <c r="AB365" i="25" s="1"/>
  <c r="AB366" i="25" s="1"/>
  <c r="AA364" i="25"/>
  <c r="AA365" i="25" s="1"/>
  <c r="S364" i="25"/>
  <c r="X364" i="25" s="1"/>
  <c r="S363" i="25"/>
  <c r="X363" i="25" s="1"/>
  <c r="I363" i="25"/>
  <c r="S362" i="25"/>
  <c r="E362" i="25"/>
  <c r="AA336" i="25"/>
  <c r="AA337" i="25" s="1"/>
  <c r="AB336" i="25"/>
  <c r="AB337" i="25" s="1"/>
  <c r="AB338" i="25" s="1"/>
  <c r="E334" i="25"/>
  <c r="AB314" i="25"/>
  <c r="AB315" i="25" s="1"/>
  <c r="AB316" i="25" s="1"/>
  <c r="AA314" i="25"/>
  <c r="S335" i="25"/>
  <c r="X335" i="25" s="1"/>
  <c r="I335" i="25"/>
  <c r="S341" i="25"/>
  <c r="X341" i="25" s="1"/>
  <c r="Z340" i="25"/>
  <c r="S340" i="25"/>
  <c r="X340" i="25" s="1"/>
  <c r="AB339" i="25"/>
  <c r="S339" i="25"/>
  <c r="X339" i="25" s="1"/>
  <c r="S338" i="25"/>
  <c r="S337" i="25"/>
  <c r="X337" i="25" s="1"/>
  <c r="S336" i="25"/>
  <c r="X336" i="25" s="1"/>
  <c r="S334" i="25"/>
  <c r="X334" i="25" s="1"/>
  <c r="I313" i="25"/>
  <c r="S313" i="25"/>
  <c r="X313" i="25" s="1"/>
  <c r="AC318" i="25"/>
  <c r="S318" i="25"/>
  <c r="X318" i="25" s="1"/>
  <c r="Z317" i="25"/>
  <c r="S317" i="25"/>
  <c r="X317" i="25" s="1"/>
  <c r="S316" i="25"/>
  <c r="X316" i="25" s="1"/>
  <c r="S315" i="25"/>
  <c r="S314" i="25"/>
  <c r="X314" i="25" s="1"/>
  <c r="S312" i="25"/>
  <c r="X312" i="25" s="1"/>
  <c r="E312" i="25"/>
  <c r="AC311" i="25"/>
  <c r="AC319" i="25"/>
  <c r="AC325" i="25"/>
  <c r="AC326" i="25"/>
  <c r="AC333" i="25"/>
  <c r="AC342" i="25"/>
  <c r="AC343" i="25"/>
  <c r="AC348" i="25"/>
  <c r="AC349" i="25"/>
  <c r="AC361" i="25"/>
  <c r="AC370" i="25"/>
  <c r="AC371" i="25"/>
  <c r="AC372" i="25"/>
  <c r="AC373" i="25"/>
  <c r="AC374" i="25"/>
  <c r="AC379" i="25"/>
  <c r="AC381" i="25"/>
  <c r="AC382" i="25"/>
  <c r="AC384" i="25"/>
  <c r="AC385" i="25"/>
  <c r="AC386" i="25"/>
  <c r="AC387" i="25"/>
  <c r="AC388" i="25"/>
  <c r="AC391" i="25"/>
  <c r="AC392" i="25"/>
  <c r="AC393" i="25"/>
  <c r="AC394" i="25"/>
  <c r="AC395" i="25"/>
  <c r="AC397" i="25"/>
  <c r="AC398" i="25"/>
  <c r="AC399" i="25"/>
  <c r="I358" i="25" l="1"/>
  <c r="AC358" i="25" s="1"/>
  <c r="I359" i="25"/>
  <c r="X357" i="25"/>
  <c r="AA360" i="25"/>
  <c r="I360" i="25" s="1"/>
  <c r="AC360" i="25" s="1"/>
  <c r="X359" i="25"/>
  <c r="AA366" i="25"/>
  <c r="I365" i="25"/>
  <c r="X362" i="25"/>
  <c r="X366" i="25"/>
  <c r="I364" i="25"/>
  <c r="AA338" i="25"/>
  <c r="I337" i="25"/>
  <c r="X338" i="25"/>
  <c r="I336" i="25"/>
  <c r="I314" i="25"/>
  <c r="X315" i="25"/>
  <c r="AC359" i="25" l="1"/>
  <c r="AA367" i="25"/>
  <c r="I366" i="25"/>
  <c r="AA339" i="25"/>
  <c r="I338" i="25"/>
  <c r="AA315" i="25"/>
  <c r="I315" i="25" s="1"/>
  <c r="I367" i="25" l="1"/>
  <c r="AA368" i="25"/>
  <c r="I368" i="25" s="1"/>
  <c r="AA340" i="25"/>
  <c r="I340" i="25" s="1"/>
  <c r="I339" i="25"/>
  <c r="AA316" i="25"/>
  <c r="AA317" i="25" s="1"/>
  <c r="I317" i="25" s="1"/>
  <c r="I316" i="25" l="1"/>
  <c r="AC287" i="25" l="1"/>
  <c r="AC288" i="25"/>
  <c r="AC290" i="25"/>
  <c r="AC291" i="25"/>
  <c r="AC292" i="25"/>
  <c r="AC293" i="25"/>
  <c r="AC294" i="25"/>
  <c r="I300" i="25" l="1"/>
  <c r="S300" i="25"/>
  <c r="X300" i="25" s="1"/>
  <c r="S299" i="25"/>
  <c r="X299" i="25" s="1"/>
  <c r="I256" i="25"/>
  <c r="AC256" i="25" s="1"/>
  <c r="I250" i="25"/>
  <c r="I251" i="25"/>
  <c r="S251" i="25"/>
  <c r="X251" i="25" s="1"/>
  <c r="S250" i="25"/>
  <c r="X250" i="25" s="1"/>
  <c r="I243" i="25"/>
  <c r="S243" i="25"/>
  <c r="X243" i="25" s="1"/>
  <c r="I244" i="25"/>
  <c r="S244" i="25"/>
  <c r="I242" i="25"/>
  <c r="AC242" i="25" s="1"/>
  <c r="I237" i="25"/>
  <c r="S220" i="25"/>
  <c r="X220" i="25" s="1"/>
  <c r="S218" i="25"/>
  <c r="S219" i="25"/>
  <c r="X219" i="25" s="1"/>
  <c r="Z200" i="25"/>
  <c r="S296" i="31"/>
  <c r="X296" i="31" s="1"/>
  <c r="I295" i="31"/>
  <c r="S295" i="31"/>
  <c r="X295" i="31" s="1"/>
  <c r="I294" i="31"/>
  <c r="I293" i="31"/>
  <c r="S294" i="31"/>
  <c r="X294" i="31" s="1"/>
  <c r="S293" i="31"/>
  <c r="X293" i="31" s="1"/>
  <c r="AA290" i="31"/>
  <c r="AB290" i="31"/>
  <c r="S290" i="31"/>
  <c r="I292" i="31"/>
  <c r="S292" i="31"/>
  <c r="X292" i="31" s="1"/>
  <c r="I289" i="31"/>
  <c r="I288" i="31"/>
  <c r="S289" i="31"/>
  <c r="X289" i="31" s="1"/>
  <c r="S286" i="31"/>
  <c r="S288" i="31"/>
  <c r="S213" i="25"/>
  <c r="X213" i="25" s="1"/>
  <c r="I212" i="25"/>
  <c r="S204" i="25"/>
  <c r="X204" i="25" s="1"/>
  <c r="AC205" i="25"/>
  <c r="AC223" i="25"/>
  <c r="AC224" i="25"/>
  <c r="AC225" i="25"/>
  <c r="AC226" i="25"/>
  <c r="AC227" i="25"/>
  <c r="AC228" i="25"/>
  <c r="AC229" i="25"/>
  <c r="AC230" i="25"/>
  <c r="AC232" i="25"/>
  <c r="AC233" i="25"/>
  <c r="AC234" i="25"/>
  <c r="AC235" i="25"/>
  <c r="AC236" i="25"/>
  <c r="AC239" i="25"/>
  <c r="AC240" i="25"/>
  <c r="AC241" i="25"/>
  <c r="AC246" i="25"/>
  <c r="AC247" i="25"/>
  <c r="AC248" i="25"/>
  <c r="AC252" i="25"/>
  <c r="AC253" i="25"/>
  <c r="AC255" i="25"/>
  <c r="AC257" i="25"/>
  <c r="AC259" i="25"/>
  <c r="AC260" i="25"/>
  <c r="AC261" i="25"/>
  <c r="AC262" i="25"/>
  <c r="AC263" i="25"/>
  <c r="AC264" i="25"/>
  <c r="AC265" i="25"/>
  <c r="AC266" i="25"/>
  <c r="AC268" i="25"/>
  <c r="AC270" i="25"/>
  <c r="AC272" i="25"/>
  <c r="AC273" i="25"/>
  <c r="AC274" i="25"/>
  <c r="AC275" i="25"/>
  <c r="AC276" i="25"/>
  <c r="AC277" i="25"/>
  <c r="AC280" i="25"/>
  <c r="AC281" i="25"/>
  <c r="AC282" i="25"/>
  <c r="AC222" i="25"/>
  <c r="AC221" i="25"/>
  <c r="I217" i="25"/>
  <c r="AC217" i="25" s="1"/>
  <c r="AC214" i="25"/>
  <c r="AC209" i="25"/>
  <c r="AC210" i="25"/>
  <c r="AC211" i="25"/>
  <c r="AC208" i="25"/>
  <c r="S207" i="25"/>
  <c r="AC206" i="25"/>
  <c r="S205" i="25"/>
  <c r="X205" i="25" s="1"/>
  <c r="AC202" i="25"/>
  <c r="AC200" i="25"/>
  <c r="S201" i="25"/>
  <c r="X201" i="25" s="1"/>
  <c r="AC212" i="25" l="1"/>
  <c r="I216" i="25"/>
  <c r="I290" i="31"/>
  <c r="X244" i="25"/>
  <c r="X218" i="25"/>
  <c r="AA200" i="25"/>
  <c r="X290" i="31"/>
  <c r="X286" i="31"/>
  <c r="X288" i="31"/>
  <c r="X207" i="25"/>
  <c r="AA159" i="25" l="1"/>
  <c r="I159" i="25" s="1"/>
  <c r="AC154" i="25" l="1"/>
  <c r="AC155" i="25"/>
  <c r="AC157" i="25"/>
  <c r="S152" i="25"/>
  <c r="X152" i="25" s="1"/>
  <c r="S153" i="25"/>
  <c r="X153" i="25" s="1"/>
  <c r="AC147" i="25"/>
  <c r="S131" i="25"/>
  <c r="X131" i="25" s="1"/>
  <c r="S134" i="25"/>
  <c r="X134" i="25" s="1"/>
  <c r="S123" i="25" l="1"/>
  <c r="X123" i="25" s="1"/>
  <c r="I122" i="25"/>
  <c r="S122" i="25"/>
  <c r="X122" i="25" s="1"/>
  <c r="S119" i="25"/>
  <c r="X119" i="25" s="1"/>
  <c r="I141" i="25"/>
  <c r="S141" i="25"/>
  <c r="X141" i="25" s="1"/>
  <c r="S116" i="25"/>
  <c r="X116" i="25" s="1"/>
  <c r="I107" i="25"/>
  <c r="I121" i="25"/>
  <c r="AC121" i="25" s="1"/>
  <c r="S107" i="25"/>
  <c r="X107" i="25" s="1"/>
  <c r="I117" i="25"/>
  <c r="S117" i="25"/>
  <c r="I112" i="25"/>
  <c r="I120" i="25"/>
  <c r="AC120" i="25" s="1"/>
  <c r="S115" i="25"/>
  <c r="X117" i="25" l="1"/>
  <c r="X115" i="25"/>
  <c r="AC112" i="25"/>
  <c r="AC109" i="25"/>
  <c r="S435" i="31"/>
  <c r="X435" i="31" s="1"/>
  <c r="K429" i="31"/>
  <c r="S429" i="31"/>
  <c r="X429" i="31" s="1"/>
  <c r="K430" i="31"/>
  <c r="S430" i="31"/>
  <c r="X430" i="31" s="1"/>
  <c r="AC433" i="31"/>
  <c r="AC434" i="31"/>
  <c r="AC427" i="31"/>
  <c r="AC432" i="31"/>
  <c r="K431" i="31"/>
  <c r="S431" i="31"/>
  <c r="X431" i="31" s="1"/>
  <c r="AC424" i="31"/>
  <c r="I418" i="31" l="1"/>
  <c r="AC418" i="31" s="1"/>
  <c r="AC423" i="31"/>
  <c r="AC422" i="31"/>
  <c r="AC412" i="31"/>
  <c r="S414" i="31"/>
  <c r="X414" i="31" s="1"/>
  <c r="S413" i="31"/>
  <c r="X413" i="31" s="1"/>
  <c r="AC400" i="31"/>
  <c r="I612" i="25" l="1"/>
  <c r="I609" i="25"/>
  <c r="S544" i="25"/>
  <c r="X544" i="25" s="1"/>
  <c r="I539" i="25"/>
  <c r="S508" i="25"/>
  <c r="X508" i="25" s="1"/>
  <c r="L464" i="25"/>
  <c r="L462" i="25"/>
  <c r="I465" i="25"/>
  <c r="S462" i="25"/>
  <c r="X462" i="25" s="1"/>
  <c r="I234" i="31"/>
  <c r="I233" i="31"/>
  <c r="S232" i="31"/>
  <c r="X232" i="31" s="1"/>
  <c r="Z237" i="31"/>
  <c r="I239" i="31"/>
  <c r="Z239" i="31" s="1"/>
  <c r="I340" i="31"/>
  <c r="I341" i="31" s="1"/>
  <c r="S339" i="31"/>
  <c r="X339" i="31" s="1"/>
  <c r="S341" i="31"/>
  <c r="X341" i="31" s="1"/>
  <c r="S340" i="31"/>
  <c r="X340" i="31" s="1"/>
  <c r="S338" i="31"/>
  <c r="X338" i="31" s="1"/>
  <c r="Z337" i="31"/>
  <c r="I329" i="31"/>
  <c r="S333" i="31"/>
  <c r="X333" i="31" s="1"/>
  <c r="S334" i="31"/>
  <c r="X334" i="31" s="1"/>
  <c r="AA337" i="31"/>
  <c r="S337" i="31"/>
  <c r="X337" i="31" s="1"/>
  <c r="S336" i="31"/>
  <c r="X336" i="31" s="1"/>
  <c r="S335" i="31"/>
  <c r="X335" i="31" s="1"/>
  <c r="I335" i="31"/>
  <c r="I336" i="31" s="1"/>
  <c r="S319" i="31"/>
  <c r="X319" i="31" s="1"/>
  <c r="AA328" i="31"/>
  <c r="AA315" i="31"/>
  <c r="AB312" i="31"/>
  <c r="I312" i="31" s="1"/>
  <c r="S321" i="31"/>
  <c r="X321" i="31" s="1"/>
  <c r="S320" i="31"/>
  <c r="S318" i="31"/>
  <c r="X318" i="31" s="1"/>
  <c r="S317" i="31"/>
  <c r="X317" i="31" s="1"/>
  <c r="S316" i="31"/>
  <c r="X316" i="31" s="1"/>
  <c r="I316" i="31"/>
  <c r="I317" i="31" s="1"/>
  <c r="Z315" i="31"/>
  <c r="I318" i="31" s="1"/>
  <c r="S315" i="31"/>
  <c r="X315" i="31" s="1"/>
  <c r="S314" i="31"/>
  <c r="X314" i="31" s="1"/>
  <c r="S313" i="31"/>
  <c r="X313" i="31" s="1"/>
  <c r="I313" i="31"/>
  <c r="S312" i="31"/>
  <c r="X312" i="31" s="1"/>
  <c r="S311" i="31"/>
  <c r="X311" i="31" s="1"/>
  <c r="I311" i="31"/>
  <c r="S310" i="31"/>
  <c r="X310" i="31" s="1"/>
  <c r="S332" i="31"/>
  <c r="X332" i="31" s="1"/>
  <c r="S331" i="31"/>
  <c r="X331" i="31" s="1"/>
  <c r="Z328" i="31"/>
  <c r="I331" i="31" s="1"/>
  <c r="S328" i="31"/>
  <c r="X328" i="31" s="1"/>
  <c r="S327" i="31"/>
  <c r="X327" i="31" s="1"/>
  <c r="I326" i="31"/>
  <c r="I327" i="31" s="1"/>
  <c r="S326" i="31"/>
  <c r="X326" i="31" s="1"/>
  <c r="I325" i="31"/>
  <c r="S325" i="31"/>
  <c r="X325" i="31" s="1"/>
  <c r="S324" i="31"/>
  <c r="X324" i="31" s="1"/>
  <c r="I324" i="31"/>
  <c r="S303" i="31"/>
  <c r="X303" i="31" s="1"/>
  <c r="I303" i="31"/>
  <c r="S302" i="31"/>
  <c r="X302" i="31" s="1"/>
  <c r="I302" i="31"/>
  <c r="S301" i="31"/>
  <c r="X301" i="31" s="1"/>
  <c r="I301" i="31"/>
  <c r="S300" i="31"/>
  <c r="X300" i="31" s="1"/>
  <c r="I300" i="31"/>
  <c r="S299" i="31"/>
  <c r="X299" i="31" s="1"/>
  <c r="I299" i="31"/>
  <c r="S298" i="31"/>
  <c r="X298" i="31" s="1"/>
  <c r="I274" i="31"/>
  <c r="I314" i="31" l="1"/>
  <c r="I238" i="31"/>
  <c r="I466" i="25"/>
  <c r="I337" i="31"/>
  <c r="I315" i="31"/>
  <c r="X320" i="31"/>
  <c r="I328" i="31"/>
  <c r="Z266" i="31" l="1"/>
  <c r="Z267" i="31" l="1"/>
  <c r="S265" i="31" l="1"/>
  <c r="X265" i="31" s="1"/>
  <c r="S308" i="31" l="1"/>
  <c r="X308" i="31" s="1"/>
  <c r="I308" i="31"/>
  <c r="S307" i="31"/>
  <c r="X307" i="31" s="1"/>
  <c r="I307" i="31"/>
  <c r="S306" i="31"/>
  <c r="X306" i="31" s="1"/>
  <c r="I306" i="31"/>
  <c r="S305" i="31"/>
  <c r="X305" i="31" s="1"/>
  <c r="I305" i="31"/>
  <c r="S304" i="31"/>
  <c r="X304" i="31" s="1"/>
  <c r="S109" i="31" l="1"/>
  <c r="X109" i="31" s="1"/>
  <c r="S108" i="31"/>
  <c r="S107" i="31"/>
  <c r="S219" i="31"/>
  <c r="X219" i="31" s="1"/>
  <c r="X108" i="31" l="1"/>
  <c r="X107" i="31"/>
  <c r="S221" i="31"/>
  <c r="S220" i="31"/>
  <c r="X220" i="31" s="1"/>
  <c r="I218" i="31"/>
  <c r="S217" i="31"/>
  <c r="X217" i="31" s="1"/>
  <c r="X221" i="31" l="1"/>
  <c r="D10" i="28" l="1"/>
  <c r="C46" i="28" l="1"/>
  <c r="C45" i="28"/>
  <c r="C44" i="28"/>
  <c r="C43" i="28"/>
  <c r="C42" i="28"/>
  <c r="C41" i="28"/>
  <c r="C40" i="28"/>
  <c r="C39" i="28"/>
  <c r="C38" i="28"/>
  <c r="C34" i="28"/>
  <c r="C33" i="28"/>
  <c r="C32" i="28"/>
  <c r="C31" i="28"/>
  <c r="C30" i="28"/>
  <c r="C29" i="28"/>
  <c r="C28" i="28"/>
  <c r="C27" i="28"/>
  <c r="C26" i="28"/>
  <c r="C25" i="28"/>
  <c r="C24" i="28"/>
  <c r="C23" i="28"/>
  <c r="C22" i="28"/>
  <c r="C21" i="28"/>
  <c r="C20" i="28"/>
  <c r="C19" i="28"/>
  <c r="C18" i="28"/>
  <c r="C17" i="28"/>
  <c r="C16" i="28"/>
  <c r="C15" i="28"/>
  <c r="C14" i="28"/>
  <c r="C13" i="28"/>
  <c r="C12" i="28"/>
  <c r="L461" i="25"/>
  <c r="L463" i="25"/>
  <c r="S322" i="31" l="1"/>
  <c r="S330" i="31"/>
  <c r="X330" i="31" s="1"/>
  <c r="S329" i="31"/>
  <c r="I330" i="31"/>
  <c r="S323" i="31"/>
  <c r="X323" i="31" s="1"/>
  <c r="X322" i="31" l="1"/>
  <c r="X329" i="31"/>
  <c r="S693" i="25"/>
  <c r="X693" i="25" s="1"/>
  <c r="K579" i="25" l="1"/>
  <c r="K578" i="25"/>
  <c r="K577" i="25"/>
  <c r="L577" i="25" s="1"/>
  <c r="S183" i="25"/>
  <c r="X183" i="25" s="1"/>
  <c r="S342" i="31"/>
  <c r="X342" i="31" s="1"/>
  <c r="S259" i="25" l="1"/>
  <c r="S239" i="25"/>
  <c r="X239" i="25" s="1"/>
  <c r="AC216" i="25"/>
  <c r="S166" i="25"/>
  <c r="X259" i="25" l="1"/>
  <c r="X166" i="25"/>
  <c r="Z169" i="25" l="1"/>
  <c r="S162" i="25"/>
  <c r="S171" i="25"/>
  <c r="X171" i="25" s="1"/>
  <c r="S170" i="25"/>
  <c r="X170" i="25" s="1"/>
  <c r="AA169" i="25"/>
  <c r="S169" i="25"/>
  <c r="X169" i="25" s="1"/>
  <c r="S168" i="25"/>
  <c r="X168" i="25" s="1"/>
  <c r="AA147" i="25"/>
  <c r="I148" i="25" s="1"/>
  <c r="I400" i="25"/>
  <c r="AC400" i="25" s="1"/>
  <c r="I231" i="25"/>
  <c r="AC231" i="25" s="1"/>
  <c r="I258" i="31"/>
  <c r="I169" i="25" l="1"/>
  <c r="I170" i="25" s="1"/>
  <c r="I171" i="25" s="1"/>
  <c r="X162" i="25"/>
  <c r="S722" i="25"/>
  <c r="X722" i="25" s="1"/>
  <c r="S721" i="25"/>
  <c r="X721" i="25" s="1"/>
  <c r="S720" i="25"/>
  <c r="X720" i="25" s="1"/>
  <c r="S719" i="25"/>
  <c r="X719" i="25" s="1"/>
  <c r="S718" i="25"/>
  <c r="X718" i="25" s="1"/>
  <c r="S717" i="25"/>
  <c r="X717" i="25" s="1"/>
  <c r="S716" i="25"/>
  <c r="X716" i="25" s="1"/>
  <c r="S715" i="25"/>
  <c r="X715" i="25" s="1"/>
  <c r="S714" i="25"/>
  <c r="S708" i="25"/>
  <c r="X708" i="25" s="1"/>
  <c r="S707" i="25"/>
  <c r="X707" i="25" s="1"/>
  <c r="S706" i="25"/>
  <c r="X706" i="25" s="1"/>
  <c r="S705" i="25"/>
  <c r="X705" i="25" s="1"/>
  <c r="S704" i="25"/>
  <c r="X704" i="25" s="1"/>
  <c r="S703" i="25"/>
  <c r="X703" i="25" s="1"/>
  <c r="S702" i="25"/>
  <c r="X702" i="25" s="1"/>
  <c r="S701" i="25"/>
  <c r="X701" i="25" s="1"/>
  <c r="S700" i="25"/>
  <c r="X700" i="25" s="1"/>
  <c r="S699" i="25"/>
  <c r="X699" i="25" s="1"/>
  <c r="S698" i="25"/>
  <c r="X698" i="25" s="1"/>
  <c r="S697" i="25"/>
  <c r="X697" i="25" s="1"/>
  <c r="S696" i="25"/>
  <c r="X696" i="25" s="1"/>
  <c r="S695" i="25"/>
  <c r="X695" i="25" s="1"/>
  <c r="S694" i="25"/>
  <c r="X694" i="25" s="1"/>
  <c r="S692" i="25"/>
  <c r="X692" i="25" s="1"/>
  <c r="S691" i="25"/>
  <c r="X691" i="25" s="1"/>
  <c r="S690" i="25"/>
  <c r="X690" i="25" s="1"/>
  <c r="S689" i="25"/>
  <c r="X689" i="25" s="1"/>
  <c r="S688" i="25"/>
  <c r="X688" i="25" s="1"/>
  <c r="S687" i="25"/>
  <c r="X687" i="25" s="1"/>
  <c r="S637" i="25"/>
  <c r="X637" i="25" s="1"/>
  <c r="S636" i="25"/>
  <c r="X636" i="25" s="1"/>
  <c r="S732" i="25"/>
  <c r="X732" i="25" s="1"/>
  <c r="S731" i="25"/>
  <c r="X731" i="25" s="1"/>
  <c r="S730" i="25"/>
  <c r="X730" i="25" s="1"/>
  <c r="S729" i="25"/>
  <c r="X729" i="25" s="1"/>
  <c r="S728" i="25"/>
  <c r="X728" i="25" s="1"/>
  <c r="S629" i="25"/>
  <c r="S628" i="25"/>
  <c r="X628" i="25" s="1"/>
  <c r="S627" i="25"/>
  <c r="X627" i="25" s="1"/>
  <c r="S626" i="25"/>
  <c r="X626" i="25" s="1"/>
  <c r="S625" i="25"/>
  <c r="X625" i="25" s="1"/>
  <c r="S624" i="25"/>
  <c r="S623" i="25"/>
  <c r="S622" i="25"/>
  <c r="S621" i="25"/>
  <c r="X621" i="25" s="1"/>
  <c r="S620" i="25"/>
  <c r="X620" i="25" s="1"/>
  <c r="I620" i="25"/>
  <c r="S619" i="25"/>
  <c r="X619" i="25" s="1"/>
  <c r="I619" i="25"/>
  <c r="S618" i="25"/>
  <c r="X618" i="25" s="1"/>
  <c r="S617" i="25"/>
  <c r="I617" i="25"/>
  <c r="S616" i="25"/>
  <c r="X616" i="25" s="1"/>
  <c r="I616" i="25"/>
  <c r="S615" i="25"/>
  <c r="S614" i="25"/>
  <c r="X614" i="25" s="1"/>
  <c r="S609" i="25"/>
  <c r="X609" i="25" s="1"/>
  <c r="S608" i="25"/>
  <c r="S604" i="25"/>
  <c r="X604" i="25" s="1"/>
  <c r="S603" i="25"/>
  <c r="X603" i="25" s="1"/>
  <c r="S602" i="25"/>
  <c r="X602" i="25" s="1"/>
  <c r="S601" i="25"/>
  <c r="X601" i="25" s="1"/>
  <c r="S600" i="25"/>
  <c r="S599" i="25"/>
  <c r="X599" i="25" s="1"/>
  <c r="S598" i="25"/>
  <c r="X598" i="25" s="1"/>
  <c r="L598" i="25"/>
  <c r="S597" i="25"/>
  <c r="X597" i="25" s="1"/>
  <c r="S593" i="25"/>
  <c r="X593" i="25" s="1"/>
  <c r="S592" i="25"/>
  <c r="X592" i="25" s="1"/>
  <c r="S590" i="25"/>
  <c r="X590" i="25" s="1"/>
  <c r="S589" i="25"/>
  <c r="X589" i="25" s="1"/>
  <c r="L589" i="25"/>
  <c r="S588" i="25"/>
  <c r="X588" i="25" s="1"/>
  <c r="L588" i="25"/>
  <c r="S587" i="25"/>
  <c r="X587" i="25" s="1"/>
  <c r="L587" i="25"/>
  <c r="S586" i="25"/>
  <c r="X586" i="25" s="1"/>
  <c r="L586" i="25"/>
  <c r="S585" i="25"/>
  <c r="X585" i="25" s="1"/>
  <c r="L585" i="25"/>
  <c r="S583" i="25"/>
  <c r="S580" i="25"/>
  <c r="X580" i="25" s="1"/>
  <c r="S466" i="25"/>
  <c r="X466" i="25" s="1"/>
  <c r="S465" i="25"/>
  <c r="X465" i="25" s="1"/>
  <c r="S464" i="25"/>
  <c r="S463" i="25"/>
  <c r="X463" i="25" s="1"/>
  <c r="S461" i="25"/>
  <c r="X461" i="25" s="1"/>
  <c r="S570" i="25"/>
  <c r="X570" i="25" s="1"/>
  <c r="S569" i="25"/>
  <c r="X569" i="25" s="1"/>
  <c r="S568" i="25"/>
  <c r="S567" i="25"/>
  <c r="S566" i="25"/>
  <c r="X566" i="25" s="1"/>
  <c r="S565" i="25"/>
  <c r="X565" i="25" s="1"/>
  <c r="S564" i="25"/>
  <c r="X564" i="25" s="1"/>
  <c r="S563" i="25"/>
  <c r="S562" i="25"/>
  <c r="X562" i="25" s="1"/>
  <c r="I560" i="25"/>
  <c r="I559" i="25"/>
  <c r="S555" i="25"/>
  <c r="X555" i="25" s="1"/>
  <c r="S554" i="25"/>
  <c r="X554" i="25" s="1"/>
  <c r="S553" i="25"/>
  <c r="X553" i="25" s="1"/>
  <c r="S552" i="25"/>
  <c r="X552" i="25" s="1"/>
  <c r="S551" i="25"/>
  <c r="X551" i="25" s="1"/>
  <c r="S550" i="25"/>
  <c r="X550" i="25" s="1"/>
  <c r="S549" i="25"/>
  <c r="X549" i="25" s="1"/>
  <c r="S548" i="25"/>
  <c r="X548" i="25" s="1"/>
  <c r="S547" i="25"/>
  <c r="X547" i="25" s="1"/>
  <c r="S546" i="25"/>
  <c r="X546" i="25" s="1"/>
  <c r="S545" i="25"/>
  <c r="X545" i="25" s="1"/>
  <c r="S543" i="25"/>
  <c r="X543" i="25" s="1"/>
  <c r="S542" i="25"/>
  <c r="X542" i="25" s="1"/>
  <c r="S541" i="25"/>
  <c r="X541" i="25" s="1"/>
  <c r="S540" i="25"/>
  <c r="S539" i="25"/>
  <c r="X539" i="25" s="1"/>
  <c r="S538" i="25"/>
  <c r="X538" i="25" s="1"/>
  <c r="I538" i="25"/>
  <c r="S537" i="25"/>
  <c r="X537" i="25" s="1"/>
  <c r="S536" i="25"/>
  <c r="X536" i="25" s="1"/>
  <c r="S535" i="25"/>
  <c r="X535" i="25" s="1"/>
  <c r="S534" i="25"/>
  <c r="X534" i="25" s="1"/>
  <c r="S533" i="25"/>
  <c r="X533" i="25" s="1"/>
  <c r="S532" i="25"/>
  <c r="X532" i="25" s="1"/>
  <c r="S531" i="25"/>
  <c r="X531" i="25" s="1"/>
  <c r="S530" i="25"/>
  <c r="X530" i="25" s="1"/>
  <c r="S529" i="25"/>
  <c r="X529" i="25" s="1"/>
  <c r="S528" i="25"/>
  <c r="X528" i="25" s="1"/>
  <c r="S527" i="25"/>
  <c r="X527" i="25" s="1"/>
  <c r="S526" i="25"/>
  <c r="X526" i="25" s="1"/>
  <c r="S525" i="25"/>
  <c r="X525" i="25" s="1"/>
  <c r="S524" i="25"/>
  <c r="X524" i="25" s="1"/>
  <c r="S523" i="25"/>
  <c r="X523" i="25" s="1"/>
  <c r="S522" i="25"/>
  <c r="X522" i="25" s="1"/>
  <c r="S521" i="25"/>
  <c r="X521" i="25" s="1"/>
  <c r="S520" i="25"/>
  <c r="X520" i="25" s="1"/>
  <c r="S519" i="25"/>
  <c r="X519" i="25" s="1"/>
  <c r="S518" i="25"/>
  <c r="X518" i="25" s="1"/>
  <c r="S517" i="25"/>
  <c r="X517" i="25" s="1"/>
  <c r="S516" i="25"/>
  <c r="X516" i="25" s="1"/>
  <c r="S515" i="25"/>
  <c r="X515" i="25" s="1"/>
  <c r="S514" i="25"/>
  <c r="X514" i="25" s="1"/>
  <c r="S513" i="25"/>
  <c r="X513" i="25" s="1"/>
  <c r="S512" i="25"/>
  <c r="X512" i="25" s="1"/>
  <c r="S511" i="25"/>
  <c r="X511" i="25" s="1"/>
  <c r="S510" i="25"/>
  <c r="X510" i="25" s="1"/>
  <c r="S509" i="25"/>
  <c r="S507" i="25"/>
  <c r="X507" i="25" s="1"/>
  <c r="S506" i="25"/>
  <c r="X506" i="25" s="1"/>
  <c r="S505" i="25"/>
  <c r="S504" i="25"/>
  <c r="X504" i="25" s="1"/>
  <c r="L504" i="25"/>
  <c r="S502" i="25"/>
  <c r="X502" i="25" s="1"/>
  <c r="S501" i="25"/>
  <c r="X501" i="25" s="1"/>
  <c r="L501" i="25"/>
  <c r="S500" i="25"/>
  <c r="X500" i="25" s="1"/>
  <c r="S499" i="25"/>
  <c r="X499" i="25" s="1"/>
  <c r="L499" i="25"/>
  <c r="S498" i="25"/>
  <c r="X498" i="25" s="1"/>
  <c r="S497" i="25"/>
  <c r="X497" i="25" s="1"/>
  <c r="S496" i="25"/>
  <c r="X496" i="25" s="1"/>
  <c r="L496" i="25"/>
  <c r="S495" i="25"/>
  <c r="X495" i="25" s="1"/>
  <c r="S494" i="25"/>
  <c r="S493" i="25"/>
  <c r="X493" i="25" s="1"/>
  <c r="L493" i="25"/>
  <c r="S492" i="25"/>
  <c r="X492" i="25" s="1"/>
  <c r="K492" i="25"/>
  <c r="S491" i="25"/>
  <c r="X491" i="25" s="1"/>
  <c r="S490" i="25"/>
  <c r="X490" i="25" s="1"/>
  <c r="L490" i="25"/>
  <c r="S489" i="25"/>
  <c r="X489" i="25" s="1"/>
  <c r="S488" i="25"/>
  <c r="X488" i="25" s="1"/>
  <c r="S487" i="25"/>
  <c r="X487" i="25" s="1"/>
  <c r="S486" i="25"/>
  <c r="X486" i="25" s="1"/>
  <c r="K486" i="25"/>
  <c r="S485" i="25"/>
  <c r="X485" i="25" s="1"/>
  <c r="S484" i="25"/>
  <c r="S483" i="25"/>
  <c r="X483" i="25" s="1"/>
  <c r="S482" i="25"/>
  <c r="X482" i="25" s="1"/>
  <c r="S481" i="25"/>
  <c r="X481" i="25" s="1"/>
  <c r="S480" i="25"/>
  <c r="X480" i="25" s="1"/>
  <c r="S479" i="25"/>
  <c r="S478" i="25"/>
  <c r="X478" i="25" s="1"/>
  <c r="L478" i="25"/>
  <c r="S477" i="25"/>
  <c r="X477" i="25" s="1"/>
  <c r="L477" i="25"/>
  <c r="S476" i="25"/>
  <c r="X476" i="25" s="1"/>
  <c r="L476" i="25"/>
  <c r="S475" i="25"/>
  <c r="X475" i="25" s="1"/>
  <c r="L475" i="25"/>
  <c r="S474" i="25"/>
  <c r="X474" i="25" s="1"/>
  <c r="L474" i="25"/>
  <c r="S473" i="25"/>
  <c r="X473" i="25" s="1"/>
  <c r="L473" i="25"/>
  <c r="S472" i="25"/>
  <c r="X472" i="25" s="1"/>
  <c r="S471" i="25"/>
  <c r="X471" i="25" s="1"/>
  <c r="S415" i="31"/>
  <c r="X415" i="31" s="1"/>
  <c r="S437" i="31"/>
  <c r="X437" i="31" s="1"/>
  <c r="S436" i="31"/>
  <c r="X436" i="31" s="1"/>
  <c r="S427" i="31"/>
  <c r="X427" i="31" s="1"/>
  <c r="S434" i="31"/>
  <c r="X434" i="31" s="1"/>
  <c r="S433" i="31"/>
  <c r="X433" i="31" s="1"/>
  <c r="S432" i="31"/>
  <c r="X432" i="31" s="1"/>
  <c r="S428" i="31"/>
  <c r="X428" i="31" s="1"/>
  <c r="S426" i="31"/>
  <c r="S425" i="31"/>
  <c r="X425" i="31" s="1"/>
  <c r="S419" i="31"/>
  <c r="X419" i="31" s="1"/>
  <c r="S418" i="31"/>
  <c r="X418" i="31" s="1"/>
  <c r="S424" i="31"/>
  <c r="X424" i="31" s="1"/>
  <c r="S417" i="31"/>
  <c r="X417" i="31" s="1"/>
  <c r="S423" i="31"/>
  <c r="X423" i="31" s="1"/>
  <c r="S422" i="31"/>
  <c r="X422" i="31" s="1"/>
  <c r="S421" i="31"/>
  <c r="X421" i="31" s="1"/>
  <c r="S420" i="31"/>
  <c r="X420" i="31" s="1"/>
  <c r="S416" i="31"/>
  <c r="S406" i="31"/>
  <c r="X406" i="31" s="1"/>
  <c r="S407" i="31"/>
  <c r="X407" i="31" s="1"/>
  <c r="S408" i="31"/>
  <c r="X408" i="31" s="1"/>
  <c r="S410" i="31"/>
  <c r="X410" i="31" s="1"/>
  <c r="S405" i="31"/>
  <c r="X405" i="31" s="1"/>
  <c r="S409" i="31"/>
  <c r="X409" i="31" s="1"/>
  <c r="S412" i="31"/>
  <c r="X412" i="31" s="1"/>
  <c r="S411" i="31"/>
  <c r="X411" i="31" s="1"/>
  <c r="S404" i="31"/>
  <c r="X404" i="31" s="1"/>
  <c r="S398" i="31"/>
  <c r="X398" i="31" s="1"/>
  <c r="S402" i="31"/>
  <c r="X402" i="31" s="1"/>
  <c r="S396" i="31"/>
  <c r="X396" i="31" s="1"/>
  <c r="S397" i="31"/>
  <c r="X397" i="31" s="1"/>
  <c r="S401" i="31"/>
  <c r="X401" i="31" s="1"/>
  <c r="S400" i="31"/>
  <c r="X400" i="31" s="1"/>
  <c r="S399" i="31"/>
  <c r="X399" i="31" s="1"/>
  <c r="S395" i="31"/>
  <c r="X395" i="31" s="1"/>
  <c r="I296" i="25"/>
  <c r="I143" i="25"/>
  <c r="AC237" i="25"/>
  <c r="S143" i="25"/>
  <c r="X143" i="25" s="1"/>
  <c r="X714" i="25" l="1"/>
  <c r="L579" i="25"/>
  <c r="X617" i="25"/>
  <c r="X600" i="25"/>
  <c r="X608" i="25"/>
  <c r="X624" i="25"/>
  <c r="X629" i="25"/>
  <c r="X583" i="25"/>
  <c r="X615" i="25"/>
  <c r="X622" i="25"/>
  <c r="L578" i="25"/>
  <c r="X464" i="25"/>
  <c r="X484" i="25"/>
  <c r="X563" i="25"/>
  <c r="X479" i="25"/>
  <c r="X494" i="25"/>
  <c r="X540" i="25"/>
  <c r="X509" i="25"/>
  <c r="X567" i="25"/>
  <c r="L486" i="25"/>
  <c r="X505" i="25"/>
  <c r="X568" i="25"/>
  <c r="L492" i="25"/>
  <c r="X416" i="31"/>
  <c r="X426" i="31"/>
  <c r="I380" i="25"/>
  <c r="AC380" i="25" s="1"/>
  <c r="AS2" i="25"/>
  <c r="S392" i="25"/>
  <c r="S225" i="25"/>
  <c r="S224" i="25"/>
  <c r="X224" i="25" s="1"/>
  <c r="I295" i="25" l="1"/>
  <c r="AC295" i="25" s="1"/>
  <c r="X392" i="25"/>
  <c r="X225" i="25"/>
  <c r="S438" i="25"/>
  <c r="X438" i="25" s="1"/>
  <c r="S391" i="25"/>
  <c r="X391" i="25" s="1"/>
  <c r="I390" i="25"/>
  <c r="AC390" i="25" s="1"/>
  <c r="I389" i="25"/>
  <c r="AC389" i="25" s="1"/>
  <c r="S379" i="25"/>
  <c r="X379" i="25" s="1"/>
  <c r="S378" i="25"/>
  <c r="I377" i="25"/>
  <c r="AC377" i="25" s="1"/>
  <c r="S445" i="25"/>
  <c r="X445" i="25" s="1"/>
  <c r="I376" i="25"/>
  <c r="AC376" i="25" s="1"/>
  <c r="I440" i="25"/>
  <c r="AC440" i="25" s="1"/>
  <c r="I442" i="25"/>
  <c r="AC442" i="25" s="1"/>
  <c r="I436" i="25"/>
  <c r="AC436" i="25" s="1"/>
  <c r="S443" i="25"/>
  <c r="S376" i="25"/>
  <c r="X376" i="25" s="1"/>
  <c r="S444" i="25"/>
  <c r="S436" i="25"/>
  <c r="S441" i="25"/>
  <c r="X441" i="25" s="1"/>
  <c r="S439" i="25"/>
  <c r="S442" i="25"/>
  <c r="S440" i="25"/>
  <c r="S437" i="25"/>
  <c r="X437" i="25" s="1"/>
  <c r="S435" i="25"/>
  <c r="X435" i="25" s="1"/>
  <c r="I383" i="25" l="1"/>
  <c r="AC383" i="25" s="1"/>
  <c r="I378" i="25"/>
  <c r="AC378" i="25" s="1"/>
  <c r="I437" i="25"/>
  <c r="AC437" i="25" s="1"/>
  <c r="I441" i="25"/>
  <c r="AC441" i="25" s="1"/>
  <c r="X378" i="25"/>
  <c r="X443" i="25"/>
  <c r="X444" i="25"/>
  <c r="X436" i="25"/>
  <c r="X439" i="25"/>
  <c r="X442" i="25"/>
  <c r="X440" i="25"/>
  <c r="N398" i="25" l="1"/>
  <c r="S399" i="25"/>
  <c r="X399" i="25" s="1"/>
  <c r="I396" i="25"/>
  <c r="AC396" i="25" s="1"/>
  <c r="S398" i="25"/>
  <c r="X398" i="25" s="1"/>
  <c r="S401" i="25"/>
  <c r="X401" i="25" s="1"/>
  <c r="S397" i="25"/>
  <c r="X397" i="25" s="1"/>
  <c r="I422" i="25"/>
  <c r="AC422" i="25" s="1"/>
  <c r="S423" i="25"/>
  <c r="S422" i="25"/>
  <c r="S372" i="25"/>
  <c r="X372" i="25" s="1"/>
  <c r="S371" i="25"/>
  <c r="X371" i="25" s="1"/>
  <c r="S373" i="25"/>
  <c r="X373" i="25" s="1"/>
  <c r="S370" i="25"/>
  <c r="S386" i="25"/>
  <c r="X386" i="25" s="1"/>
  <c r="S385" i="25"/>
  <c r="X385" i="25" s="1"/>
  <c r="S388" i="25"/>
  <c r="X388" i="25" s="1"/>
  <c r="S387" i="25"/>
  <c r="X387" i="25" s="1"/>
  <c r="S381" i="25"/>
  <c r="X381" i="25" s="1"/>
  <c r="S343" i="25"/>
  <c r="X343" i="25" s="1"/>
  <c r="E349" i="25"/>
  <c r="I354" i="25"/>
  <c r="AC354" i="25" s="1"/>
  <c r="I350" i="25"/>
  <c r="AC350" i="25" s="1"/>
  <c r="AB351" i="25"/>
  <c r="AB352" i="25" s="1"/>
  <c r="AB353" i="25" s="1"/>
  <c r="AA351" i="25"/>
  <c r="AA352" i="25" s="1"/>
  <c r="S361" i="25"/>
  <c r="X361" i="25" s="1"/>
  <c r="S354" i="25"/>
  <c r="X354" i="25" s="1"/>
  <c r="S353" i="25"/>
  <c r="X353" i="25" s="1"/>
  <c r="S352" i="25"/>
  <c r="X352" i="25" s="1"/>
  <c r="S351" i="25"/>
  <c r="X351" i="25" s="1"/>
  <c r="S350" i="25"/>
  <c r="S349" i="25"/>
  <c r="X349" i="25" s="1"/>
  <c r="I347" i="25"/>
  <c r="AC347" i="25" s="1"/>
  <c r="S347" i="25"/>
  <c r="X347" i="25" s="1"/>
  <c r="X423" i="25" l="1"/>
  <c r="X422" i="25"/>
  <c r="X370" i="25"/>
  <c r="I351" i="25"/>
  <c r="AC351" i="25" s="1"/>
  <c r="I352" i="25"/>
  <c r="AA353" i="25"/>
  <c r="I353" i="25" s="1"/>
  <c r="AC353" i="25" s="1"/>
  <c r="X350" i="25"/>
  <c r="Z346" i="25"/>
  <c r="AB345" i="25"/>
  <c r="AA345" i="25"/>
  <c r="S345" i="25"/>
  <c r="X345" i="25" s="1"/>
  <c r="S348" i="25"/>
  <c r="X348" i="25" s="1"/>
  <c r="AA346" i="25"/>
  <c r="S346" i="25"/>
  <c r="X346" i="25" s="1"/>
  <c r="S333" i="25"/>
  <c r="S344" i="25"/>
  <c r="X344" i="25" s="1"/>
  <c r="I344" i="25"/>
  <c r="AC344" i="25" s="1"/>
  <c r="S342" i="25"/>
  <c r="X342" i="25" s="1"/>
  <c r="E342" i="25"/>
  <c r="AC352" i="25" l="1"/>
  <c r="I191" i="25"/>
  <c r="I345" i="25"/>
  <c r="AC345" i="25" s="1"/>
  <c r="I346" i="25"/>
  <c r="AC346" i="25" s="1"/>
  <c r="X333" i="25"/>
  <c r="Z332" i="25"/>
  <c r="Z324" i="25"/>
  <c r="Z310" i="25"/>
  <c r="S332" i="25"/>
  <c r="X332" i="25" s="1"/>
  <c r="AB331" i="25"/>
  <c r="S331" i="25"/>
  <c r="X331" i="25" s="1"/>
  <c r="S330" i="25"/>
  <c r="X330" i="25" s="1"/>
  <c r="S329" i="25"/>
  <c r="AB328" i="25"/>
  <c r="AB329" i="25" s="1"/>
  <c r="AB330" i="25" s="1"/>
  <c r="AA328" i="25"/>
  <c r="S328" i="25"/>
  <c r="X328" i="25" s="1"/>
  <c r="S327" i="25"/>
  <c r="X327" i="25" s="1"/>
  <c r="I327" i="25"/>
  <c r="AC327" i="25" s="1"/>
  <c r="S326" i="25"/>
  <c r="X326" i="25" s="1"/>
  <c r="E326" i="25"/>
  <c r="I328" i="25" l="1"/>
  <c r="AC328" i="25" s="1"/>
  <c r="AA329" i="25"/>
  <c r="X329" i="25"/>
  <c r="AA330" i="25" l="1"/>
  <c r="I329" i="25"/>
  <c r="AC329" i="25" s="1"/>
  <c r="I330" i="25" l="1"/>
  <c r="AA331" i="25"/>
  <c r="AC330" i="25" l="1"/>
  <c r="I331" i="25"/>
  <c r="AC331" i="25" s="1"/>
  <c r="AA332" i="25"/>
  <c r="I332" i="25" s="1"/>
  <c r="AC332" i="25" s="1"/>
  <c r="S325" i="25" l="1"/>
  <c r="X325" i="25" s="1"/>
  <c r="S324" i="25"/>
  <c r="X324" i="25" s="1"/>
  <c r="S323" i="25"/>
  <c r="X323" i="25" s="1"/>
  <c r="S322" i="25"/>
  <c r="X322" i="25" s="1"/>
  <c r="AB321" i="25"/>
  <c r="AB322" i="25" s="1"/>
  <c r="AB323" i="25" s="1"/>
  <c r="AA321" i="25"/>
  <c r="S321" i="25"/>
  <c r="X321" i="25" s="1"/>
  <c r="S320" i="25"/>
  <c r="X320" i="25" s="1"/>
  <c r="I320" i="25"/>
  <c r="AC320" i="25" s="1"/>
  <c r="S319" i="25"/>
  <c r="X319" i="25" s="1"/>
  <c r="E319" i="25"/>
  <c r="S310" i="25"/>
  <c r="X310" i="25" s="1"/>
  <c r="AB307" i="25"/>
  <c r="AB308" i="25" s="1"/>
  <c r="AB309" i="25" s="1"/>
  <c r="AA307" i="25"/>
  <c r="I306" i="25"/>
  <c r="AC306" i="25" s="1"/>
  <c r="S311" i="25"/>
  <c r="X311" i="25" s="1"/>
  <c r="S309" i="25"/>
  <c r="X309" i="25" s="1"/>
  <c r="S308" i="25"/>
  <c r="X308" i="25" s="1"/>
  <c r="S307" i="25"/>
  <c r="X307" i="25" s="1"/>
  <c r="S306" i="25"/>
  <c r="X306" i="25" s="1"/>
  <c r="S305" i="25"/>
  <c r="X305" i="25" s="1"/>
  <c r="E305" i="25"/>
  <c r="I278" i="25"/>
  <c r="AC278" i="25" s="1"/>
  <c r="S281" i="25"/>
  <c r="S272" i="25"/>
  <c r="X272" i="25" s="1"/>
  <c r="I267" i="25"/>
  <c r="AC267" i="25" s="1"/>
  <c r="I269" i="25"/>
  <c r="AC269" i="25" s="1"/>
  <c r="S268" i="25"/>
  <c r="S266" i="25"/>
  <c r="X266" i="25" s="1"/>
  <c r="S269" i="25"/>
  <c r="I285" i="25"/>
  <c r="I271" i="25"/>
  <c r="AC271" i="25" s="1"/>
  <c r="S270" i="25"/>
  <c r="X270" i="25" s="1"/>
  <c r="S271" i="25"/>
  <c r="X271" i="25" s="1"/>
  <c r="S286" i="25"/>
  <c r="X286" i="25" s="1"/>
  <c r="S267" i="25"/>
  <c r="X267" i="25" s="1"/>
  <c r="S285" i="25"/>
  <c r="I284" i="25"/>
  <c r="AC284" i="25" s="1"/>
  <c r="S284" i="25"/>
  <c r="X284" i="25" s="1"/>
  <c r="S283" i="25"/>
  <c r="X283" i="25" s="1"/>
  <c r="I283" i="25"/>
  <c r="AC283" i="25" s="1"/>
  <c r="S282" i="25"/>
  <c r="I286" i="25" l="1"/>
  <c r="AC286" i="25" s="1"/>
  <c r="AC285" i="25"/>
  <c r="I321" i="25"/>
  <c r="AC321" i="25" s="1"/>
  <c r="I307" i="25"/>
  <c r="AC307" i="25" s="1"/>
  <c r="AA322" i="25"/>
  <c r="AA308" i="25"/>
  <c r="I308" i="25" s="1"/>
  <c r="X281" i="25"/>
  <c r="X269" i="25"/>
  <c r="X268" i="25"/>
  <c r="X285" i="25"/>
  <c r="X282" i="25"/>
  <c r="I279" i="25"/>
  <c r="AC279" i="25" s="1"/>
  <c r="S279" i="25"/>
  <c r="X279" i="25" s="1"/>
  <c r="S280" i="25"/>
  <c r="S278" i="25"/>
  <c r="I181" i="25"/>
  <c r="S181" i="25"/>
  <c r="X181" i="25" s="1"/>
  <c r="I174" i="25"/>
  <c r="S161" i="25"/>
  <c r="X161" i="25" s="1"/>
  <c r="AC308" i="25" l="1"/>
  <c r="AA309" i="25"/>
  <c r="I309" i="25" s="1"/>
  <c r="AC309" i="25" s="1"/>
  <c r="AA323" i="25"/>
  <c r="I322" i="25"/>
  <c r="I375" i="25" s="1"/>
  <c r="X280" i="25"/>
  <c r="X278" i="25"/>
  <c r="AC322" i="25" l="1"/>
  <c r="AC375" i="25"/>
  <c r="AA310" i="25"/>
  <c r="I310" i="25" s="1"/>
  <c r="AC310" i="25" s="1"/>
  <c r="AA324" i="25"/>
  <c r="I324" i="25" s="1"/>
  <c r="AC324" i="25" s="1"/>
  <c r="I323" i="25"/>
  <c r="AC323" i="25" s="1"/>
  <c r="S214" i="25"/>
  <c r="X214" i="25" s="1"/>
  <c r="I254" i="25"/>
  <c r="AC254" i="25" s="1"/>
  <c r="I258" i="25"/>
  <c r="AC258" i="25" s="1"/>
  <c r="S255" i="25"/>
  <c r="S189" i="25"/>
  <c r="I186" i="25"/>
  <c r="I187" i="25" s="1"/>
  <c r="S180" i="25"/>
  <c r="S182" i="25"/>
  <c r="I249" i="25"/>
  <c r="AC249" i="25" s="1"/>
  <c r="S249" i="25"/>
  <c r="S238" i="25"/>
  <c r="X238" i="25" s="1"/>
  <c r="S223" i="25"/>
  <c r="X223" i="25" s="1"/>
  <c r="S237" i="25"/>
  <c r="I215" i="25"/>
  <c r="S211" i="25"/>
  <c r="X211" i="25" s="1"/>
  <c r="S210" i="25"/>
  <c r="X210" i="25" s="1"/>
  <c r="S209" i="25"/>
  <c r="X209" i="25" s="1"/>
  <c r="S212" i="25"/>
  <c r="X212" i="25" s="1"/>
  <c r="S208" i="25"/>
  <c r="X208" i="25" s="1"/>
  <c r="S206" i="25"/>
  <c r="S200" i="25"/>
  <c r="S202" i="25"/>
  <c r="X202" i="25" s="1"/>
  <c r="I238" i="25" l="1"/>
  <c r="AC238" i="25" s="1"/>
  <c r="AC215" i="25"/>
  <c r="X180" i="25"/>
  <c r="X255" i="25"/>
  <c r="X189" i="25"/>
  <c r="X182" i="25"/>
  <c r="X249" i="25"/>
  <c r="X237" i="25"/>
  <c r="X206" i="25"/>
  <c r="X200" i="25"/>
  <c r="S203" i="25"/>
  <c r="X203" i="25" s="1"/>
  <c r="I144" i="25" l="1"/>
  <c r="I160" i="25"/>
  <c r="I158" i="25" l="1"/>
  <c r="S157" i="25"/>
  <c r="X157" i="25" s="1"/>
  <c r="S147" i="25" l="1"/>
  <c r="X147" i="25" s="1"/>
  <c r="I164" i="25"/>
  <c r="I166" i="25" s="1"/>
  <c r="S156" i="25"/>
  <c r="X156" i="25" s="1"/>
  <c r="S160" i="25"/>
  <c r="X160" i="25" s="1"/>
  <c r="S159" i="25"/>
  <c r="X159" i="25" s="1"/>
  <c r="S158" i="25"/>
  <c r="X158" i="25" l="1"/>
  <c r="S151" i="25"/>
  <c r="X151" i="25" s="1"/>
  <c r="I151" i="25"/>
  <c r="AB150" i="25"/>
  <c r="S150" i="25"/>
  <c r="X150" i="25" s="1"/>
  <c r="S149" i="25"/>
  <c r="X149" i="25" s="1"/>
  <c r="AA148" i="25"/>
  <c r="I149" i="25" s="1"/>
  <c r="S148" i="25"/>
  <c r="X148" i="25" s="1"/>
  <c r="S146" i="25"/>
  <c r="N109" i="25"/>
  <c r="AA150" i="25" l="1"/>
  <c r="I150" i="25" s="1"/>
  <c r="X146" i="25"/>
  <c r="S226" i="25" l="1"/>
  <c r="X226" i="25" l="1"/>
  <c r="S285" i="31"/>
  <c r="X285" i="31" s="1"/>
  <c r="S269" i="31"/>
  <c r="X269" i="31" l="1"/>
  <c r="S284" i="31" l="1"/>
  <c r="X284" i="31" s="1"/>
  <c r="Z272" i="31"/>
  <c r="I272" i="31" s="1"/>
  <c r="I268" i="31"/>
  <c r="S218" i="31"/>
  <c r="X218" i="31" s="1"/>
  <c r="S230" i="31"/>
  <c r="X230" i="31" s="1"/>
  <c r="S229" i="31"/>
  <c r="X229" i="31" s="1"/>
  <c r="S228" i="31"/>
  <c r="X228" i="31" s="1"/>
  <c r="S227" i="31"/>
  <c r="X227" i="31" s="1"/>
  <c r="S226" i="31"/>
  <c r="X226" i="31" s="1"/>
  <c r="I226" i="31"/>
  <c r="S225" i="31"/>
  <c r="X225" i="31" s="1"/>
  <c r="I225" i="31"/>
  <c r="S224" i="31"/>
  <c r="X224" i="31" s="1"/>
  <c r="I224" i="31"/>
  <c r="S223" i="31"/>
  <c r="X223" i="31" s="1"/>
  <c r="F223" i="31"/>
  <c r="S222" i="31"/>
  <c r="X222" i="31" s="1"/>
  <c r="Z238" i="31" l="1"/>
  <c r="S209" i="31"/>
  <c r="X209" i="31" s="1"/>
  <c r="I209" i="31"/>
  <c r="E90" i="33" l="1"/>
  <c r="E89" i="33"/>
  <c r="E88" i="33"/>
  <c r="E87" i="33"/>
  <c r="E105" i="33" l="1"/>
  <c r="K44" i="33" l="1"/>
  <c r="K46" i="33"/>
  <c r="K45" i="33"/>
  <c r="I44" i="33"/>
  <c r="I45" i="33"/>
  <c r="I46" i="33"/>
  <c r="I47" i="33"/>
  <c r="I48" i="33"/>
  <c r="I43" i="33"/>
  <c r="U7" i="33"/>
  <c r="J6" i="28"/>
  <c r="U5" i="33"/>
  <c r="U3" i="33"/>
  <c r="H21" i="33"/>
  <c r="E107" i="33" s="1"/>
  <c r="H20" i="33"/>
  <c r="E106" i="33" s="1"/>
  <c r="E20" i="33"/>
  <c r="E14" i="33"/>
  <c r="C36" i="28" l="1"/>
  <c r="C48" i="28" s="1"/>
  <c r="K49" i="33"/>
  <c r="D50" i="28"/>
  <c r="C50" i="28"/>
  <c r="D33" i="33" l="1"/>
  <c r="E21" i="33"/>
  <c r="H18" i="33"/>
  <c r="A132" i="33"/>
  <c r="A131" i="33"/>
  <c r="A130" i="33"/>
  <c r="A129" i="33"/>
  <c r="A128" i="33"/>
  <c r="A127" i="33"/>
  <c r="A126" i="33"/>
  <c r="A125" i="33"/>
  <c r="A124" i="33"/>
  <c r="A123" i="33"/>
  <c r="A122" i="33"/>
  <c r="A121" i="33"/>
  <c r="A120" i="33"/>
  <c r="A119" i="33"/>
  <c r="A118" i="33"/>
  <c r="A117" i="33"/>
  <c r="A116" i="33"/>
  <c r="A115" i="33"/>
  <c r="A114" i="33"/>
  <c r="F113" i="33"/>
  <c r="A113" i="33"/>
  <c r="A112" i="33"/>
  <c r="A111" i="33"/>
  <c r="A110" i="33"/>
  <c r="A109" i="33"/>
  <c r="A108" i="33"/>
  <c r="A107" i="33"/>
  <c r="A106" i="33"/>
  <c r="A105" i="33"/>
  <c r="A104" i="33"/>
  <c r="A103" i="33"/>
  <c r="A102" i="33"/>
  <c r="A101" i="33"/>
  <c r="A100" i="33"/>
  <c r="A99" i="33"/>
  <c r="A98" i="33"/>
  <c r="A97" i="33"/>
  <c r="A96" i="33"/>
  <c r="A95" i="33"/>
  <c r="A94" i="33"/>
  <c r="A93" i="33"/>
  <c r="A92" i="33"/>
  <c r="A91" i="33"/>
  <c r="T90" i="33"/>
  <c r="A90" i="33"/>
  <c r="T89" i="33"/>
  <c r="A89" i="33"/>
  <c r="T88" i="33"/>
  <c r="A88" i="33"/>
  <c r="T87" i="33"/>
  <c r="A87" i="33"/>
  <c r="A86" i="33"/>
  <c r="A85" i="33"/>
  <c r="A84" i="33"/>
  <c r="A83" i="33"/>
  <c r="A82" i="33"/>
  <c r="A81" i="33"/>
  <c r="A80" i="33"/>
  <c r="A79" i="33"/>
  <c r="A78" i="33"/>
  <c r="A77" i="33"/>
  <c r="A76" i="33"/>
  <c r="A75" i="33"/>
  <c r="A74" i="33"/>
  <c r="A73" i="33"/>
  <c r="A72" i="33"/>
  <c r="A71" i="33"/>
  <c r="A70" i="33"/>
  <c r="A69" i="33"/>
  <c r="A68" i="33"/>
  <c r="A67" i="33"/>
  <c r="A66" i="33"/>
  <c r="A65" i="33"/>
  <c r="A64" i="33"/>
  <c r="A63" i="33"/>
  <c r="A62" i="33"/>
  <c r="A61" i="33"/>
  <c r="A60" i="33"/>
  <c r="A59" i="33"/>
  <c r="A58" i="33"/>
  <c r="A57" i="33"/>
  <c r="A56" i="33"/>
  <c r="A55" i="33"/>
  <c r="A54" i="33"/>
  <c r="A53" i="33"/>
  <c r="A52" i="33"/>
  <c r="A51" i="33"/>
  <c r="A50" i="33"/>
  <c r="A49" i="33"/>
  <c r="D48" i="33"/>
  <c r="A48" i="33"/>
  <c r="D47" i="33"/>
  <c r="T104" i="33" s="1"/>
  <c r="A47" i="33"/>
  <c r="D46" i="33"/>
  <c r="R104" i="33" s="1"/>
  <c r="A46" i="33"/>
  <c r="D45" i="33"/>
  <c r="P104" i="33" s="1"/>
  <c r="A45" i="33"/>
  <c r="D44" i="33"/>
  <c r="A44" i="33"/>
  <c r="D43" i="33"/>
  <c r="N104" i="33" s="1"/>
  <c r="A43" i="33"/>
  <c r="A42" i="33"/>
  <c r="A41" i="33"/>
  <c r="A40" i="33"/>
  <c r="A39" i="33"/>
  <c r="A38" i="33"/>
  <c r="A37" i="33"/>
  <c r="A36" i="33"/>
  <c r="A35" i="33"/>
  <c r="A34" i="33"/>
  <c r="A33" i="33"/>
  <c r="A32" i="33"/>
  <c r="A31" i="33"/>
  <c r="A30" i="33"/>
  <c r="A29" i="33"/>
  <c r="A28" i="33"/>
  <c r="A27" i="33"/>
  <c r="A26" i="33"/>
  <c r="A25" i="33"/>
  <c r="A24" i="33"/>
  <c r="A23" i="33"/>
  <c r="A22" i="33"/>
  <c r="A21" i="33"/>
  <c r="A20" i="33"/>
  <c r="E19" i="33"/>
  <c r="A19" i="33"/>
  <c r="A18" i="33"/>
  <c r="A17" i="33"/>
  <c r="E16" i="33"/>
  <c r="A16" i="33"/>
  <c r="E15" i="33"/>
  <c r="A15" i="33"/>
  <c r="H14" i="33"/>
  <c r="A14" i="33"/>
  <c r="H13" i="33"/>
  <c r="A13" i="33"/>
  <c r="A12" i="33"/>
  <c r="A11" i="33"/>
  <c r="A10" i="33"/>
  <c r="A9" i="33"/>
  <c r="D64" i="33" l="1" a="1"/>
  <c r="E67" i="33" s="1"/>
  <c r="F67" i="33" l="1"/>
  <c r="M44" i="33"/>
  <c r="M48" i="33"/>
  <c r="M43" i="33"/>
  <c r="H64" i="33" s="1"/>
  <c r="M47" i="33"/>
  <c r="F65" i="33"/>
  <c r="E65" i="33"/>
  <c r="D64" i="33"/>
  <c r="F66" i="33"/>
  <c r="E66" i="33"/>
  <c r="M46" i="33"/>
  <c r="M45" i="33"/>
  <c r="F64" i="33" l="1"/>
  <c r="E64" i="33"/>
  <c r="I64" i="33"/>
  <c r="M49" i="33"/>
  <c r="I247" i="31" l="1"/>
  <c r="I248" i="31"/>
  <c r="S247" i="31"/>
  <c r="S184" i="25"/>
  <c r="X184" i="25" s="1"/>
  <c r="S191" i="25"/>
  <c r="X191" i="25" s="1"/>
  <c r="S190" i="25"/>
  <c r="X190" i="25" s="1"/>
  <c r="X247" i="31" l="1"/>
  <c r="I128" i="25"/>
  <c r="I129" i="25"/>
  <c r="S266" i="31"/>
  <c r="X266" i="31" s="1"/>
  <c r="N13" i="23" l="1"/>
  <c r="S259" i="31" l="1"/>
  <c r="X259" i="31" s="1"/>
  <c r="I249" i="31"/>
  <c r="S393" i="25"/>
  <c r="X393" i="25" s="1"/>
  <c r="S231" i="25" l="1"/>
  <c r="X231" i="25" s="1"/>
  <c r="S417" i="25"/>
  <c r="X417" i="25" s="1"/>
  <c r="S418" i="25"/>
  <c r="X418" i="25" s="1"/>
  <c r="S419" i="25"/>
  <c r="X419" i="25" s="1"/>
  <c r="S446" i="25" l="1"/>
  <c r="X446" i="25" s="1"/>
  <c r="I425" i="25"/>
  <c r="AC425" i="25" s="1"/>
  <c r="S425" i="25"/>
  <c r="X425" i="25" s="1"/>
  <c r="S416" i="25"/>
  <c r="X416" i="25" s="1"/>
  <c r="S415" i="25"/>
  <c r="X415" i="25" s="1"/>
  <c r="S414" i="25"/>
  <c r="S413" i="25"/>
  <c r="X413" i="25" s="1"/>
  <c r="S412" i="25"/>
  <c r="X412" i="25" s="1"/>
  <c r="S411" i="25"/>
  <c r="X411" i="25" s="1"/>
  <c r="S410" i="25"/>
  <c r="X410" i="25" s="1"/>
  <c r="S409" i="25"/>
  <c r="S408" i="25"/>
  <c r="X408" i="25" s="1"/>
  <c r="S407" i="25"/>
  <c r="X407" i="25" s="1"/>
  <c r="S406" i="25"/>
  <c r="X406" i="25" s="1"/>
  <c r="S400" i="25"/>
  <c r="X400" i="25" s="1"/>
  <c r="S396" i="25"/>
  <c r="X396" i="25" s="1"/>
  <c r="S394" i="25"/>
  <c r="X394" i="25" s="1"/>
  <c r="S384" i="25"/>
  <c r="X384" i="25" s="1"/>
  <c r="S390" i="25"/>
  <c r="X390" i="25" s="1"/>
  <c r="S383" i="25"/>
  <c r="S389" i="25"/>
  <c r="X389" i="25" s="1"/>
  <c r="S395" i="25"/>
  <c r="X395" i="25" s="1"/>
  <c r="S382" i="25"/>
  <c r="X382" i="25" s="1"/>
  <c r="S273" i="25"/>
  <c r="X273" i="25" s="1"/>
  <c r="I289" i="25"/>
  <c r="S287" i="25"/>
  <c r="X287" i="25" s="1"/>
  <c r="S289" i="25"/>
  <c r="X289" i="25" s="1"/>
  <c r="S377" i="25"/>
  <c r="X377" i="25" s="1"/>
  <c r="S375" i="25"/>
  <c r="X375" i="25" s="1"/>
  <c r="S374" i="25"/>
  <c r="X374" i="25" s="1"/>
  <c r="S303" i="25"/>
  <c r="X303" i="25" s="1"/>
  <c r="S304" i="25"/>
  <c r="X304" i="25" s="1"/>
  <c r="S302" i="25"/>
  <c r="X302" i="25" s="1"/>
  <c r="S297" i="25"/>
  <c r="S301" i="25"/>
  <c r="S298" i="25"/>
  <c r="S288" i="25"/>
  <c r="X288" i="25" s="1"/>
  <c r="S277" i="25"/>
  <c r="X277" i="25" s="1"/>
  <c r="S276" i="25"/>
  <c r="S265" i="25"/>
  <c r="X265" i="25" s="1"/>
  <c r="S254" i="25"/>
  <c r="X254" i="25" s="1"/>
  <c r="S256" i="25"/>
  <c r="X256" i="25" s="1"/>
  <c r="S275" i="25"/>
  <c r="S106" i="25"/>
  <c r="X106" i="25" s="1"/>
  <c r="S198" i="25"/>
  <c r="X198" i="25" s="1"/>
  <c r="S197" i="25"/>
  <c r="X197" i="25" s="1"/>
  <c r="S196" i="25"/>
  <c r="S186" i="25"/>
  <c r="S188" i="25"/>
  <c r="X188" i="25" s="1"/>
  <c r="S187" i="25"/>
  <c r="X187" i="25" s="1"/>
  <c r="S179" i="25"/>
  <c r="S222" i="25"/>
  <c r="S260" i="25"/>
  <c r="X260" i="25" s="1"/>
  <c r="S217" i="25"/>
  <c r="X217" i="25" s="1"/>
  <c r="S216" i="25"/>
  <c r="X216" i="25" s="1"/>
  <c r="I301" i="25" l="1"/>
  <c r="I303" i="25" s="1"/>
  <c r="AC289" i="25"/>
  <c r="X414" i="25"/>
  <c r="X409" i="25"/>
  <c r="X383" i="25"/>
  <c r="X297" i="25"/>
  <c r="X301" i="25"/>
  <c r="X298" i="25"/>
  <c r="X276" i="25"/>
  <c r="X275" i="25"/>
  <c r="X196" i="25"/>
  <c r="X186" i="25"/>
  <c r="X179" i="25"/>
  <c r="X222" i="25"/>
  <c r="I302" i="25" l="1"/>
  <c r="S249" i="31"/>
  <c r="X249" i="31" s="1"/>
  <c r="S248" i="31"/>
  <c r="X248" i="31" s="1"/>
  <c r="S264" i="31" l="1"/>
  <c r="X264" i="31" s="1"/>
  <c r="S281" i="31"/>
  <c r="X281" i="31" s="1"/>
  <c r="S282" i="31"/>
  <c r="X282" i="31" s="1"/>
  <c r="S268" i="31"/>
  <c r="S267" i="31"/>
  <c r="X268" i="31" l="1"/>
  <c r="X267" i="31"/>
  <c r="S276" i="31" l="1"/>
  <c r="S277" i="31"/>
  <c r="X277" i="31" s="1"/>
  <c r="S280" i="31"/>
  <c r="X280" i="31" s="1"/>
  <c r="S279" i="31"/>
  <c r="S278" i="31"/>
  <c r="X278" i="31" s="1"/>
  <c r="X276" i="31" l="1"/>
  <c r="X279" i="31"/>
  <c r="S263" i="31"/>
  <c r="X263" i="31" s="1"/>
  <c r="S343" i="31"/>
  <c r="X343" i="31" s="1"/>
  <c r="S270" i="31" l="1"/>
  <c r="S309" i="31"/>
  <c r="X309" i="31" s="1"/>
  <c r="S274" i="31"/>
  <c r="X274" i="31" s="1"/>
  <c r="S273" i="31"/>
  <c r="X273" i="31" s="1"/>
  <c r="S272" i="31"/>
  <c r="X272" i="31" s="1"/>
  <c r="S271" i="31"/>
  <c r="X271" i="31" s="1"/>
  <c r="Z244" i="31"/>
  <c r="AB244" i="31"/>
  <c r="S244" i="31"/>
  <c r="X244" i="31" s="1"/>
  <c r="X270" i="31" l="1"/>
  <c r="I244" i="31"/>
  <c r="AA254" i="31"/>
  <c r="AB243" i="31" l="1"/>
  <c r="I243" i="31" s="1"/>
  <c r="AA252" i="31"/>
  <c r="AA250" i="31"/>
  <c r="S258" i="31"/>
  <c r="X258" i="31" s="1"/>
  <c r="S257" i="31"/>
  <c r="X257" i="31" s="1"/>
  <c r="S255" i="31"/>
  <c r="X255" i="31" s="1"/>
  <c r="S252" i="31"/>
  <c r="X252" i="31" s="1"/>
  <c r="S245" i="31"/>
  <c r="X245" i="31" s="1"/>
  <c r="S246" i="31"/>
  <c r="S251" i="31"/>
  <c r="X251" i="31" s="1"/>
  <c r="S250" i="31"/>
  <c r="X250" i="31" s="1"/>
  <c r="S243" i="31"/>
  <c r="X243" i="31" s="1"/>
  <c r="I242" i="31"/>
  <c r="I250" i="31" s="1"/>
  <c r="S242" i="31"/>
  <c r="X242" i="31" s="1"/>
  <c r="S252" i="25"/>
  <c r="X252" i="25" s="1"/>
  <c r="S253" i="25"/>
  <c r="X253" i="25" s="1"/>
  <c r="S246" i="25"/>
  <c r="X246" i="25" s="1"/>
  <c r="S247" i="25"/>
  <c r="X247" i="25" s="1"/>
  <c r="I245" i="25"/>
  <c r="AC245" i="25" s="1"/>
  <c r="S245" i="25"/>
  <c r="S236" i="25"/>
  <c r="X236" i="25" s="1"/>
  <c r="S240" i="25"/>
  <c r="X240" i="25" s="1"/>
  <c r="S241" i="25"/>
  <c r="S242" i="25"/>
  <c r="X242" i="25" s="1"/>
  <c r="I255" i="31" l="1"/>
  <c r="I252" i="31" s="1"/>
  <c r="I251" i="31"/>
  <c r="X246" i="31"/>
  <c r="X245" i="25"/>
  <c r="X241" i="25"/>
  <c r="S221" i="25" l="1"/>
  <c r="S199" i="25"/>
  <c r="S215" i="25"/>
  <c r="X215" i="25" s="1"/>
  <c r="S167" i="25"/>
  <c r="X167" i="25" s="1"/>
  <c r="X221" i="25" l="1"/>
  <c r="X199" i="25"/>
  <c r="S154" i="25" l="1"/>
  <c r="X154" i="25" s="1"/>
  <c r="S172" i="25" l="1"/>
  <c r="X172" i="25" s="1"/>
  <c r="S163" i="25"/>
  <c r="X163" i="25" s="1"/>
  <c r="S164" i="25"/>
  <c r="X164" i="25" s="1"/>
  <c r="S165" i="25"/>
  <c r="X165" i="25" l="1"/>
  <c r="S442" i="31"/>
  <c r="X442" i="31" s="1"/>
  <c r="S441" i="31"/>
  <c r="X441" i="31" s="1"/>
  <c r="S439" i="31"/>
  <c r="X439" i="31" s="1"/>
  <c r="S438" i="31"/>
  <c r="X438" i="31" s="1"/>
  <c r="S727" i="25"/>
  <c r="X727" i="25" s="1"/>
  <c r="S635" i="25"/>
  <c r="X635" i="25" s="1"/>
  <c r="S634" i="25"/>
  <c r="X634" i="25" s="1"/>
  <c r="S140" i="25" l="1"/>
  <c r="S380" i="25"/>
  <c r="X380" i="25" s="1"/>
  <c r="X140" i="25" l="1"/>
  <c r="I142" i="25"/>
  <c r="S139" i="25"/>
  <c r="X139" i="25" s="1"/>
  <c r="S142" i="25"/>
  <c r="X142" i="25" s="1"/>
  <c r="S294" i="25"/>
  <c r="S295" i="25"/>
  <c r="I118" i="25"/>
  <c r="X294" i="25" l="1"/>
  <c r="X295" i="25"/>
  <c r="S118" i="25"/>
  <c r="X118" i="25" s="1"/>
  <c r="S121" i="25"/>
  <c r="S120" i="25"/>
  <c r="S125" i="25"/>
  <c r="X125" i="25" s="1"/>
  <c r="S124" i="25"/>
  <c r="X124" i="25" s="1"/>
  <c r="S111" i="25"/>
  <c r="X111" i="25" s="1"/>
  <c r="X121" i="25" l="1"/>
  <c r="X120" i="25"/>
  <c r="S234" i="31" l="1"/>
  <c r="X234" i="31" s="1"/>
  <c r="S233" i="31"/>
  <c r="X233" i="31" s="1"/>
  <c r="S110" i="31"/>
  <c r="S106" i="31"/>
  <c r="S105" i="31"/>
  <c r="X105" i="31" s="1"/>
  <c r="X110" i="31" l="1"/>
  <c r="X106" i="31"/>
  <c r="S239" i="31" l="1"/>
  <c r="X239" i="31" s="1"/>
  <c r="S238" i="31"/>
  <c r="X238" i="31" s="1"/>
  <c r="S237" i="31"/>
  <c r="X237" i="31" s="1"/>
  <c r="S236" i="31"/>
  <c r="X236" i="31" s="1"/>
  <c r="S235" i="31"/>
  <c r="X235" i="31" s="1"/>
  <c r="S231" i="31"/>
  <c r="S216" i="31"/>
  <c r="X216" i="31" s="1"/>
  <c r="S215" i="31"/>
  <c r="X215" i="31" s="1"/>
  <c r="S214" i="31"/>
  <c r="X214" i="31" s="1"/>
  <c r="S213" i="31"/>
  <c r="S212" i="31"/>
  <c r="X212" i="31" s="1"/>
  <c r="S211" i="31"/>
  <c r="X211" i="31" s="1"/>
  <c r="E211" i="31"/>
  <c r="S210" i="31"/>
  <c r="X210" i="31" s="1"/>
  <c r="S207" i="31"/>
  <c r="X207" i="31" s="1"/>
  <c r="X213" i="31" l="1"/>
  <c r="X231" i="31"/>
  <c r="S132" i="25" l="1"/>
  <c r="X132" i="25" s="1"/>
  <c r="S129" i="25"/>
  <c r="X129" i="25" s="1"/>
  <c r="S127" i="25"/>
  <c r="X127" i="25" s="1"/>
  <c r="S128" i="25"/>
  <c r="S130" i="25"/>
  <c r="X130" i="25" s="1"/>
  <c r="X128" i="25" l="1"/>
  <c r="G18" i="8" l="1"/>
  <c r="C18" i="8"/>
  <c r="E23" i="33" s="1"/>
  <c r="G42" i="8"/>
  <c r="C42" i="8"/>
  <c r="G16" i="8"/>
  <c r="C16" i="8"/>
  <c r="E22" i="33" s="1"/>
  <c r="G40" i="8"/>
  <c r="C40" i="8"/>
  <c r="AB155" i="25" l="1"/>
  <c r="I155" i="25" s="1"/>
  <c r="S155" i="25"/>
  <c r="X155" i="25" s="1"/>
  <c r="S145" i="25"/>
  <c r="X145" i="25" s="1"/>
  <c r="S138" i="25"/>
  <c r="X138" i="25" s="1"/>
  <c r="S174" i="25"/>
  <c r="X174" i="25" s="1"/>
  <c r="S258" i="25"/>
  <c r="X258" i="25" s="1"/>
  <c r="S257" i="25"/>
  <c r="S248" i="25"/>
  <c r="S144" i="25"/>
  <c r="S296" i="25"/>
  <c r="X296" i="25" s="1"/>
  <c r="I154" i="25" l="1"/>
  <c r="X257" i="25"/>
  <c r="X248" i="25"/>
  <c r="X144" i="25"/>
  <c r="S113" i="25" l="1"/>
  <c r="S114" i="25"/>
  <c r="X114" i="25" s="1"/>
  <c r="X113" i="25" l="1"/>
  <c r="S105" i="25"/>
  <c r="X105" i="25" s="1"/>
  <c r="I108" i="25" l="1"/>
  <c r="I105" i="25" s="1"/>
  <c r="S108" i="25"/>
  <c r="S126" i="25"/>
  <c r="X126" i="25" s="1"/>
  <c r="S133" i="25"/>
  <c r="X133" i="25" s="1"/>
  <c r="S112" i="25"/>
  <c r="X112" i="25" s="1"/>
  <c r="S110" i="25"/>
  <c r="X110" i="25" s="1"/>
  <c r="S104" i="31"/>
  <c r="I106" i="25" l="1"/>
  <c r="X108" i="25"/>
  <c r="X104" i="31"/>
  <c r="AQ2" i="31"/>
  <c r="S460" i="31"/>
  <c r="X460" i="31" s="1"/>
  <c r="D460" i="31"/>
  <c r="S459" i="31"/>
  <c r="X459" i="31" s="1"/>
  <c r="S458" i="31"/>
  <c r="X458" i="31" s="1"/>
  <c r="Q458" i="31"/>
  <c r="S457" i="31"/>
  <c r="X457" i="31" s="1"/>
  <c r="Q457" i="31"/>
  <c r="S456" i="31"/>
  <c r="X456" i="31" s="1"/>
  <c r="D456" i="31"/>
  <c r="S455" i="31"/>
  <c r="X455" i="31" s="1"/>
  <c r="S454" i="31"/>
  <c r="X454" i="31" s="1"/>
  <c r="Q454" i="31"/>
  <c r="S453" i="31"/>
  <c r="X453" i="31" s="1"/>
  <c r="Q453" i="31"/>
  <c r="S452" i="31"/>
  <c r="X452" i="31" s="1"/>
  <c r="D452" i="31"/>
  <c r="S451" i="31"/>
  <c r="X451" i="31" s="1"/>
  <c r="S450" i="31"/>
  <c r="X450" i="31" s="1"/>
  <c r="Q450" i="31"/>
  <c r="S449" i="31"/>
  <c r="X449" i="31" s="1"/>
  <c r="Q449" i="31"/>
  <c r="S448" i="31"/>
  <c r="X448" i="31" s="1"/>
  <c r="D448" i="31"/>
  <c r="S447" i="31"/>
  <c r="X447" i="31" s="1"/>
  <c r="S446" i="31"/>
  <c r="X446" i="31" s="1"/>
  <c r="Q446" i="31"/>
  <c r="S445" i="31"/>
  <c r="X445" i="31" s="1"/>
  <c r="Q445" i="31"/>
  <c r="S444" i="31"/>
  <c r="X444" i="31" s="1"/>
  <c r="D444" i="31"/>
  <c r="S443" i="31"/>
  <c r="X443" i="31" s="1"/>
  <c r="S394" i="31"/>
  <c r="S393" i="31"/>
  <c r="S392" i="31"/>
  <c r="X392" i="31" s="1"/>
  <c r="D392" i="31"/>
  <c r="S391" i="31"/>
  <c r="S262" i="31"/>
  <c r="S261" i="31"/>
  <c r="X261" i="31" s="1"/>
  <c r="S260" i="31"/>
  <c r="X260" i="31" s="1"/>
  <c r="D260" i="31"/>
  <c r="S240" i="31"/>
  <c r="X240" i="31" s="1"/>
  <c r="S206" i="31"/>
  <c r="S205" i="31"/>
  <c r="S204" i="31"/>
  <c r="X204" i="31" s="1"/>
  <c r="D204" i="31"/>
  <c r="S203" i="31"/>
  <c r="S202" i="31"/>
  <c r="X202" i="31" s="1"/>
  <c r="S201" i="31"/>
  <c r="X201" i="31" s="1"/>
  <c r="S200" i="31"/>
  <c r="S199" i="31"/>
  <c r="X199" i="31" s="1"/>
  <c r="D199" i="31"/>
  <c r="S198" i="31"/>
  <c r="X198" i="31" s="1"/>
  <c r="S197" i="31"/>
  <c r="X197" i="31" s="1"/>
  <c r="S196" i="31"/>
  <c r="X196" i="31" s="1"/>
  <c r="S195" i="31"/>
  <c r="X195" i="31" s="1"/>
  <c r="S194" i="31"/>
  <c r="X194" i="31" s="1"/>
  <c r="D194" i="31"/>
  <c r="S193" i="31"/>
  <c r="S192" i="31"/>
  <c r="S191" i="31"/>
  <c r="X191" i="31" s="1"/>
  <c r="S190" i="31"/>
  <c r="S189" i="31"/>
  <c r="X189" i="31" s="1"/>
  <c r="D189" i="31"/>
  <c r="S188" i="31"/>
  <c r="X188" i="31" s="1"/>
  <c r="S187" i="31"/>
  <c r="X187" i="31" s="1"/>
  <c r="S186" i="31"/>
  <c r="S185" i="31"/>
  <c r="X185" i="31" s="1"/>
  <c r="S184" i="31"/>
  <c r="X184" i="31" s="1"/>
  <c r="D184" i="31"/>
  <c r="S183" i="31"/>
  <c r="X183" i="31" s="1"/>
  <c r="S182" i="31"/>
  <c r="X182" i="31" s="1"/>
  <c r="S181" i="31"/>
  <c r="S180" i="31"/>
  <c r="X180" i="31" s="1"/>
  <c r="S179" i="31"/>
  <c r="X179" i="31" s="1"/>
  <c r="D179" i="31"/>
  <c r="S178" i="31"/>
  <c r="X178" i="31" s="1"/>
  <c r="S177" i="31"/>
  <c r="X177" i="31" s="1"/>
  <c r="S176" i="31"/>
  <c r="X176" i="31" s="1"/>
  <c r="S175" i="31"/>
  <c r="X175" i="31" s="1"/>
  <c r="S174" i="31"/>
  <c r="X174" i="31" s="1"/>
  <c r="D174" i="31"/>
  <c r="S173" i="31"/>
  <c r="S172" i="31"/>
  <c r="X172" i="31" s="1"/>
  <c r="S171" i="31"/>
  <c r="X171" i="31" s="1"/>
  <c r="S170" i="31"/>
  <c r="S169" i="31"/>
  <c r="X169" i="31" s="1"/>
  <c r="D169" i="31"/>
  <c r="S168" i="31"/>
  <c r="X168" i="31" s="1"/>
  <c r="S167" i="31"/>
  <c r="X167" i="31" s="1"/>
  <c r="S166" i="31"/>
  <c r="X166" i="31" s="1"/>
  <c r="S165" i="31"/>
  <c r="S164" i="31"/>
  <c r="X164" i="31" s="1"/>
  <c r="D164" i="31"/>
  <c r="S163" i="31"/>
  <c r="X163" i="31" s="1"/>
  <c r="S162" i="31"/>
  <c r="S161" i="31"/>
  <c r="X161" i="31" s="1"/>
  <c r="S160" i="31"/>
  <c r="X160" i="31" s="1"/>
  <c r="S159" i="31"/>
  <c r="X159" i="31" s="1"/>
  <c r="D159" i="31"/>
  <c r="S158" i="31"/>
  <c r="X158" i="31" s="1"/>
  <c r="S157" i="31"/>
  <c r="S156" i="31"/>
  <c r="X156" i="31" s="1"/>
  <c r="S155" i="31"/>
  <c r="X155" i="31" s="1"/>
  <c r="S154" i="31"/>
  <c r="X154" i="31" s="1"/>
  <c r="D154" i="31"/>
  <c r="S153" i="31"/>
  <c r="X153" i="31" s="1"/>
  <c r="S152" i="31"/>
  <c r="X152" i="31" s="1"/>
  <c r="S151" i="31"/>
  <c r="S150" i="31"/>
  <c r="X150" i="31" s="1"/>
  <c r="S149" i="31"/>
  <c r="X149" i="31" s="1"/>
  <c r="D149" i="31"/>
  <c r="S148" i="31"/>
  <c r="S147" i="31"/>
  <c r="X147" i="31" s="1"/>
  <c r="S146" i="31"/>
  <c r="S145" i="31"/>
  <c r="X145" i="31" s="1"/>
  <c r="S144" i="31"/>
  <c r="X144" i="31" s="1"/>
  <c r="D144" i="31"/>
  <c r="S143" i="31"/>
  <c r="X143" i="31" s="1"/>
  <c r="S142" i="31"/>
  <c r="X142" i="31" s="1"/>
  <c r="S141" i="31"/>
  <c r="X141" i="31" s="1"/>
  <c r="S140" i="31"/>
  <c r="X140" i="31" s="1"/>
  <c r="S139" i="31"/>
  <c r="X139" i="31" s="1"/>
  <c r="D139" i="31"/>
  <c r="S138" i="31"/>
  <c r="S137" i="31"/>
  <c r="X137" i="31" s="1"/>
  <c r="S136" i="31"/>
  <c r="X136" i="31" s="1"/>
  <c r="S135" i="31"/>
  <c r="X135" i="31" s="1"/>
  <c r="S134" i="31"/>
  <c r="X134" i="31" s="1"/>
  <c r="D134" i="31"/>
  <c r="S133" i="31"/>
  <c r="X133" i="31" s="1"/>
  <c r="S132" i="31"/>
  <c r="S131" i="31"/>
  <c r="X131" i="31" s="1"/>
  <c r="S130" i="31"/>
  <c r="S129" i="31"/>
  <c r="X129" i="31" s="1"/>
  <c r="D129" i="31"/>
  <c r="S128" i="31"/>
  <c r="X128" i="31" s="1"/>
  <c r="S127" i="31"/>
  <c r="S126" i="31"/>
  <c r="X126" i="31" s="1"/>
  <c r="S125" i="31"/>
  <c r="X125" i="31" s="1"/>
  <c r="S124" i="31"/>
  <c r="X124" i="31" s="1"/>
  <c r="D124" i="31"/>
  <c r="S123" i="31"/>
  <c r="X123" i="31" s="1"/>
  <c r="S122" i="31"/>
  <c r="X122" i="31" s="1"/>
  <c r="S121" i="31"/>
  <c r="X121" i="31" s="1"/>
  <c r="S120" i="31"/>
  <c r="S119" i="31"/>
  <c r="X119" i="31" s="1"/>
  <c r="D119" i="31"/>
  <c r="S118" i="31"/>
  <c r="X118" i="31" s="1"/>
  <c r="S117" i="31"/>
  <c r="S116" i="31"/>
  <c r="X116" i="31" s="1"/>
  <c r="S115" i="31"/>
  <c r="X115" i="31" s="1"/>
  <c r="S114" i="31"/>
  <c r="X114" i="31" s="1"/>
  <c r="D114" i="31"/>
  <c r="S113" i="31"/>
  <c r="S103" i="31"/>
  <c r="X103" i="31" s="1"/>
  <c r="Q103" i="31"/>
  <c r="S102" i="31"/>
  <c r="X102" i="31" s="1"/>
  <c r="Q102" i="31"/>
  <c r="S101" i="31"/>
  <c r="X101" i="31" s="1"/>
  <c r="D101" i="31"/>
  <c r="S100" i="31"/>
  <c r="X100" i="31" s="1"/>
  <c r="S99" i="31"/>
  <c r="X99" i="31" s="1"/>
  <c r="Q99" i="31"/>
  <c r="P95" i="31"/>
  <c r="D95" i="31"/>
  <c r="P93" i="31"/>
  <c r="P92" i="31"/>
  <c r="P91" i="31"/>
  <c r="AJ90" i="31"/>
  <c r="AI90" i="31"/>
  <c r="AH90" i="31"/>
  <c r="AG88" i="31"/>
  <c r="AG86" i="31"/>
  <c r="AG83" i="31"/>
  <c r="AG80" i="31"/>
  <c r="AG77" i="31"/>
  <c r="AG74" i="31"/>
  <c r="AG71" i="31"/>
  <c r="AG68" i="31"/>
  <c r="AG62" i="31"/>
  <c r="AG60" i="31"/>
  <c r="AG58" i="31"/>
  <c r="AG57" i="31"/>
  <c r="AG55" i="31"/>
  <c r="AL23" i="31"/>
  <c r="AG21" i="31"/>
  <c r="AL19" i="31"/>
  <c r="AG19" i="31"/>
  <c r="AL17" i="31"/>
  <c r="AL16" i="31"/>
  <c r="AU14" i="31"/>
  <c r="AU13" i="31"/>
  <c r="AU12" i="31"/>
  <c r="AU11" i="31"/>
  <c r="AU10" i="31"/>
  <c r="AU9" i="31"/>
  <c r="AU8" i="31"/>
  <c r="AU7" i="31"/>
  <c r="AU6" i="31"/>
  <c r="AU5" i="31"/>
  <c r="H5" i="31"/>
  <c r="AU4" i="31"/>
  <c r="H4" i="31"/>
  <c r="AU3" i="31"/>
  <c r="AT2" i="31"/>
  <c r="AR2" i="31"/>
  <c r="H2" i="31"/>
  <c r="X393" i="31" l="1"/>
  <c r="X186" i="31"/>
  <c r="X132" i="31"/>
  <c r="X394" i="31"/>
  <c r="X170" i="31"/>
  <c r="X148" i="31"/>
  <c r="X138" i="31"/>
  <c r="X205" i="31"/>
  <c r="AU2" i="31"/>
  <c r="X120" i="31"/>
  <c r="X203" i="31"/>
  <c r="X117" i="31"/>
  <c r="X157" i="31"/>
  <c r="X130" i="31"/>
  <c r="X181" i="31"/>
  <c r="X391" i="31"/>
  <c r="X190" i="31"/>
  <c r="X200" i="31"/>
  <c r="X151" i="31"/>
  <c r="X193" i="31"/>
  <c r="X206" i="31"/>
  <c r="X146" i="31"/>
  <c r="X192" i="31"/>
  <c r="X165" i="31"/>
  <c r="X127" i="31"/>
  <c r="X162" i="31"/>
  <c r="X262" i="31"/>
  <c r="X113" i="31"/>
  <c r="X173" i="31"/>
  <c r="D193" i="25"/>
  <c r="D228" i="25"/>
  <c r="D233" i="25"/>
  <c r="D262" i="25"/>
  <c r="D291" i="25"/>
  <c r="D402" i="25"/>
  <c r="D427" i="25"/>
  <c r="D432" i="25"/>
  <c r="D448" i="25"/>
  <c r="D453" i="25"/>
  <c r="D458" i="25"/>
  <c r="D468" i="25"/>
  <c r="D572" i="25"/>
  <c r="D631" i="25"/>
  <c r="D724" i="25"/>
  <c r="D734" i="25"/>
  <c r="D745" i="25"/>
  <c r="D752" i="25"/>
  <c r="D757" i="25"/>
  <c r="D767" i="25"/>
  <c r="D771" i="25"/>
  <c r="D775" i="25"/>
  <c r="D779" i="25"/>
  <c r="D783" i="25"/>
  <c r="S755" i="25"/>
  <c r="X755" i="25" s="1"/>
  <c r="S750" i="25"/>
  <c r="X750" i="25" s="1"/>
  <c r="S737" i="25"/>
  <c r="S456" i="25"/>
  <c r="X456" i="25" s="1"/>
  <c r="S451" i="25"/>
  <c r="X451" i="25" s="1"/>
  <c r="S430" i="25"/>
  <c r="X430" i="25" s="1"/>
  <c r="S421" i="25"/>
  <c r="S274" i="25"/>
  <c r="X274" i="25" s="1"/>
  <c r="S185" i="25"/>
  <c r="X185" i="25" s="1"/>
  <c r="S173" i="25"/>
  <c r="S104" i="25"/>
  <c r="X104" i="25" s="1"/>
  <c r="S177" i="25"/>
  <c r="S178" i="25"/>
  <c r="X178" i="25" s="1"/>
  <c r="S192" i="25"/>
  <c r="X192" i="25" s="1"/>
  <c r="S193" i="25"/>
  <c r="X193" i="25" s="1"/>
  <c r="S194" i="25"/>
  <c r="S195" i="25"/>
  <c r="X195" i="25" s="1"/>
  <c r="S227" i="25"/>
  <c r="S228" i="25"/>
  <c r="X228" i="25" s="1"/>
  <c r="S229" i="25"/>
  <c r="S230" i="25"/>
  <c r="X230" i="25" s="1"/>
  <c r="S232" i="25"/>
  <c r="S233" i="25"/>
  <c r="X233" i="25" s="1"/>
  <c r="S234" i="25"/>
  <c r="X234" i="25" s="1"/>
  <c r="S235" i="25"/>
  <c r="X235" i="25" s="1"/>
  <c r="S261" i="25"/>
  <c r="S262" i="25"/>
  <c r="X262" i="25" s="1"/>
  <c r="S263" i="25"/>
  <c r="S264" i="25"/>
  <c r="X264" i="25" s="1"/>
  <c r="S290" i="25"/>
  <c r="X290" i="25" s="1"/>
  <c r="S291" i="25"/>
  <c r="X291" i="25" s="1"/>
  <c r="S292" i="25"/>
  <c r="S293" i="25"/>
  <c r="X293" i="25" s="1"/>
  <c r="S402" i="25"/>
  <c r="X402" i="25" s="1"/>
  <c r="S403" i="25"/>
  <c r="S404" i="25"/>
  <c r="X404" i="25" s="1"/>
  <c r="S426" i="25"/>
  <c r="S427" i="25"/>
  <c r="X427" i="25" s="1"/>
  <c r="S428" i="25"/>
  <c r="X428" i="25" s="1"/>
  <c r="S429" i="25"/>
  <c r="X429" i="25" s="1"/>
  <c r="S431" i="25"/>
  <c r="S432" i="25"/>
  <c r="X432" i="25" s="1"/>
  <c r="S433" i="25"/>
  <c r="S434" i="25"/>
  <c r="X434" i="25" s="1"/>
  <c r="S447" i="25"/>
  <c r="X447" i="25" s="1"/>
  <c r="S448" i="25"/>
  <c r="X448" i="25" s="1"/>
  <c r="S449" i="25"/>
  <c r="S450" i="25"/>
  <c r="X450" i="25" s="1"/>
  <c r="S452" i="25"/>
  <c r="S453" i="25"/>
  <c r="X453" i="25" s="1"/>
  <c r="S454" i="25"/>
  <c r="S455" i="25"/>
  <c r="X455" i="25" s="1"/>
  <c r="S457" i="25"/>
  <c r="S458" i="25"/>
  <c r="X458" i="25" s="1"/>
  <c r="S459" i="25"/>
  <c r="X459" i="25" s="1"/>
  <c r="S460" i="25"/>
  <c r="X460" i="25" s="1"/>
  <c r="S467" i="25"/>
  <c r="S468" i="25"/>
  <c r="X468" i="25" s="1"/>
  <c r="S469" i="25"/>
  <c r="S470" i="25"/>
  <c r="X470" i="25" s="1"/>
  <c r="S571" i="25"/>
  <c r="X571" i="25" s="1"/>
  <c r="S572" i="25"/>
  <c r="X572" i="25" s="1"/>
  <c r="S573" i="25"/>
  <c r="S574" i="25"/>
  <c r="X574" i="25" s="1"/>
  <c r="S630" i="25"/>
  <c r="S631" i="25"/>
  <c r="X631" i="25" s="1"/>
  <c r="S632" i="25"/>
  <c r="S633" i="25"/>
  <c r="X633" i="25" s="1"/>
  <c r="S723" i="25"/>
  <c r="S724" i="25"/>
  <c r="X724" i="25" s="1"/>
  <c r="S725" i="25"/>
  <c r="S726" i="25"/>
  <c r="S733" i="25"/>
  <c r="S734" i="25"/>
  <c r="X734" i="25" s="1"/>
  <c r="S735" i="25"/>
  <c r="S736" i="25"/>
  <c r="X736" i="25" s="1"/>
  <c r="S744" i="25"/>
  <c r="X744" i="25" s="1"/>
  <c r="S745" i="25"/>
  <c r="X745" i="25" s="1"/>
  <c r="S746" i="25"/>
  <c r="S747" i="25"/>
  <c r="X747" i="25" s="1"/>
  <c r="S751" i="25"/>
  <c r="S752" i="25"/>
  <c r="X752" i="25" s="1"/>
  <c r="S753" i="25"/>
  <c r="S754" i="25"/>
  <c r="X754" i="25" s="1"/>
  <c r="S756" i="25"/>
  <c r="S757" i="25"/>
  <c r="X757" i="25" s="1"/>
  <c r="S758" i="25"/>
  <c r="X758" i="25" s="1"/>
  <c r="S759" i="25"/>
  <c r="X759" i="25" s="1"/>
  <c r="S766" i="25"/>
  <c r="S767" i="25"/>
  <c r="X767" i="25" s="1"/>
  <c r="X726" i="25" l="1"/>
  <c r="X725" i="25"/>
  <c r="X469" i="25"/>
  <c r="X756" i="25"/>
  <c r="X403" i="25"/>
  <c r="X737" i="25"/>
  <c r="X457" i="25"/>
  <c r="X232" i="25"/>
  <c r="X449" i="25"/>
  <c r="X630" i="25"/>
  <c r="X227" i="25"/>
  <c r="X177" i="25"/>
  <c r="X426" i="25"/>
  <c r="X746" i="25"/>
  <c r="X421" i="25"/>
  <c r="X733" i="25"/>
  <c r="X431" i="25"/>
  <c r="X452" i="25"/>
  <c r="X433" i="25"/>
  <c r="X194" i="25"/>
  <c r="X292" i="25"/>
  <c r="X173" i="25"/>
  <c r="X753" i="25"/>
  <c r="X467" i="25"/>
  <c r="X261" i="25"/>
  <c r="X229" i="25"/>
  <c r="X723" i="25"/>
  <c r="X573" i="25"/>
  <c r="X751" i="25"/>
  <c r="X735" i="25"/>
  <c r="X454" i="25"/>
  <c r="X766" i="25"/>
  <c r="X632" i="25"/>
  <c r="X263" i="25"/>
  <c r="N11" i="23" l="1"/>
  <c r="B6" i="28"/>
  <c r="J4" i="28"/>
  <c r="J2" i="28"/>
  <c r="B34" i="28"/>
  <c r="B33" i="28"/>
  <c r="B32" i="28"/>
  <c r="B31" i="28"/>
  <c r="B30" i="28"/>
  <c r="B29" i="28"/>
  <c r="B28" i="28"/>
  <c r="B27" i="28"/>
  <c r="B26" i="28"/>
  <c r="B25" i="28"/>
  <c r="B24" i="28"/>
  <c r="B23" i="28"/>
  <c r="B22" i="28"/>
  <c r="B21" i="28"/>
  <c r="B20" i="28"/>
  <c r="B19" i="28"/>
  <c r="B18" i="28"/>
  <c r="B17" i="28"/>
  <c r="B16" i="28"/>
  <c r="B15" i="28"/>
  <c r="B14" i="28"/>
  <c r="B13" i="28"/>
  <c r="B12" i="28"/>
  <c r="E50" i="28" l="1"/>
  <c r="G50" i="28"/>
  <c r="F50" i="28"/>
  <c r="S783" i="25" l="1"/>
  <c r="X783" i="25" s="1"/>
  <c r="S782" i="25"/>
  <c r="S781" i="25"/>
  <c r="X781" i="25" s="1"/>
  <c r="Q781" i="25"/>
  <c r="S780" i="25"/>
  <c r="X780" i="25" s="1"/>
  <c r="Q780" i="25"/>
  <c r="S779" i="25"/>
  <c r="X779" i="25" s="1"/>
  <c r="S778" i="25"/>
  <c r="S777" i="25"/>
  <c r="X777" i="25" s="1"/>
  <c r="Q777" i="25"/>
  <c r="S776" i="25"/>
  <c r="X776" i="25" s="1"/>
  <c r="Q776" i="25"/>
  <c r="S775" i="25"/>
  <c r="X775" i="25" s="1"/>
  <c r="S774" i="25"/>
  <c r="S773" i="25"/>
  <c r="X773" i="25" s="1"/>
  <c r="Q773" i="25"/>
  <c r="S772" i="25"/>
  <c r="X772" i="25" s="1"/>
  <c r="Q772" i="25"/>
  <c r="S771" i="25"/>
  <c r="X771" i="25" s="1"/>
  <c r="S770" i="25"/>
  <c r="S769" i="25"/>
  <c r="X769" i="25" s="1"/>
  <c r="Q769" i="25"/>
  <c r="S768" i="25"/>
  <c r="X768" i="25" s="1"/>
  <c r="Q768" i="25"/>
  <c r="S176" i="25"/>
  <c r="X176" i="25" s="1"/>
  <c r="D176" i="25"/>
  <c r="S175" i="25"/>
  <c r="S137" i="25"/>
  <c r="S136" i="25"/>
  <c r="X136" i="25" s="1"/>
  <c r="D136" i="25"/>
  <c r="S135" i="25"/>
  <c r="S103" i="25"/>
  <c r="X103" i="25" s="1"/>
  <c r="Q103" i="25"/>
  <c r="S102" i="25"/>
  <c r="X102" i="25" s="1"/>
  <c r="Q102" i="25"/>
  <c r="S101" i="25"/>
  <c r="X101" i="25" s="1"/>
  <c r="D101" i="25"/>
  <c r="S100" i="25"/>
  <c r="S99" i="25"/>
  <c r="X99" i="25" s="1"/>
  <c r="Q99" i="25"/>
  <c r="P95" i="25"/>
  <c r="D95" i="25"/>
  <c r="P93" i="25"/>
  <c r="P92" i="25"/>
  <c r="P91" i="25"/>
  <c r="AJ90" i="25"/>
  <c r="AI90" i="25"/>
  <c r="AH90" i="25"/>
  <c r="AG88" i="25"/>
  <c r="AG86" i="25"/>
  <c r="AG83" i="25"/>
  <c r="AG80" i="25"/>
  <c r="AG77" i="25"/>
  <c r="AG74" i="25"/>
  <c r="AG71" i="25"/>
  <c r="AG68" i="25"/>
  <c r="AG62" i="25"/>
  <c r="AG60" i="25"/>
  <c r="AG58" i="25"/>
  <c r="AG57" i="25"/>
  <c r="AG55" i="25"/>
  <c r="AL23" i="25"/>
  <c r="AG21" i="25"/>
  <c r="AL19" i="25"/>
  <c r="AG19" i="25"/>
  <c r="AL17" i="25"/>
  <c r="AL16" i="25"/>
  <c r="AU14" i="25"/>
  <c r="AU13" i="25"/>
  <c r="AU12" i="25"/>
  <c r="AU11" i="25"/>
  <c r="AU10" i="25"/>
  <c r="AU9" i="25"/>
  <c r="AU8" i="25"/>
  <c r="AU7" i="25"/>
  <c r="AU6" i="25"/>
  <c r="AU5" i="25"/>
  <c r="H5" i="25"/>
  <c r="AU4" i="25"/>
  <c r="H4" i="25"/>
  <c r="AU3" i="25"/>
  <c r="AT2" i="25"/>
  <c r="AR2" i="25"/>
  <c r="AQ2" i="25"/>
  <c r="H2" i="25"/>
  <c r="AU14" i="24"/>
  <c r="AU13" i="24"/>
  <c r="AU12" i="24"/>
  <c r="AU11" i="24"/>
  <c r="AU10" i="24"/>
  <c r="AU9" i="24"/>
  <c r="AU8" i="24"/>
  <c r="AU7" i="24"/>
  <c r="AU6" i="24"/>
  <c r="AU5" i="24"/>
  <c r="AU4" i="24"/>
  <c r="AU3" i="24"/>
  <c r="AT2" i="24"/>
  <c r="AS2" i="24"/>
  <c r="AR2" i="24"/>
  <c r="AQ2" i="24"/>
  <c r="S736" i="24"/>
  <c r="X736" i="24" s="1"/>
  <c r="D736" i="24"/>
  <c r="S735" i="24"/>
  <c r="X735" i="24" s="1"/>
  <c r="S734" i="24"/>
  <c r="X734" i="24" s="1"/>
  <c r="Q734" i="24"/>
  <c r="S733" i="24"/>
  <c r="X733" i="24" s="1"/>
  <c r="Q733" i="24"/>
  <c r="S732" i="24"/>
  <c r="X732" i="24" s="1"/>
  <c r="D732" i="24"/>
  <c r="S731" i="24"/>
  <c r="S730" i="24"/>
  <c r="X730" i="24" s="1"/>
  <c r="Q730" i="24"/>
  <c r="S729" i="24"/>
  <c r="X729" i="24" s="1"/>
  <c r="Q729" i="24"/>
  <c r="S728" i="24"/>
  <c r="X728" i="24" s="1"/>
  <c r="D728" i="24"/>
  <c r="S727" i="24"/>
  <c r="S726" i="24"/>
  <c r="X726" i="24" s="1"/>
  <c r="Q726" i="24"/>
  <c r="S725" i="24"/>
  <c r="X725" i="24" s="1"/>
  <c r="Q725" i="24"/>
  <c r="S724" i="24"/>
  <c r="X724" i="24" s="1"/>
  <c r="D724" i="24"/>
  <c r="S723" i="24"/>
  <c r="X723" i="24" s="1"/>
  <c r="S722" i="24"/>
  <c r="X722" i="24" s="1"/>
  <c r="Q722" i="24"/>
  <c r="S721" i="24"/>
  <c r="X721" i="24" s="1"/>
  <c r="Q721" i="24"/>
  <c r="S720" i="24"/>
  <c r="X720" i="24" s="1"/>
  <c r="D720" i="24"/>
  <c r="S719" i="24"/>
  <c r="S718" i="24"/>
  <c r="X718" i="24" s="1"/>
  <c r="Q718" i="24"/>
  <c r="S717" i="24"/>
  <c r="X717" i="24" s="1"/>
  <c r="Q717" i="24"/>
  <c r="S716" i="24"/>
  <c r="X716" i="24" s="1"/>
  <c r="D716" i="24"/>
  <c r="S715" i="24"/>
  <c r="X715" i="24" s="1"/>
  <c r="S714" i="24"/>
  <c r="S713" i="24"/>
  <c r="S712" i="24"/>
  <c r="X712" i="24" s="1"/>
  <c r="S711" i="24"/>
  <c r="S710" i="24"/>
  <c r="X710" i="24" s="1"/>
  <c r="S709" i="24"/>
  <c r="S708" i="24"/>
  <c r="S707" i="24"/>
  <c r="X707" i="24" s="1"/>
  <c r="S706" i="24"/>
  <c r="X706" i="24" s="1"/>
  <c r="S705" i="24"/>
  <c r="S704" i="24"/>
  <c r="S703" i="24"/>
  <c r="S702" i="24"/>
  <c r="X702" i="24" s="1"/>
  <c r="S701" i="24"/>
  <c r="X701" i="24" s="1"/>
  <c r="S700" i="24"/>
  <c r="S699" i="24"/>
  <c r="S698" i="24"/>
  <c r="S697" i="24"/>
  <c r="S696" i="24"/>
  <c r="X696" i="24" s="1"/>
  <c r="S695" i="24"/>
  <c r="S694" i="24"/>
  <c r="S693" i="24"/>
  <c r="S692" i="24"/>
  <c r="X692" i="24" s="1"/>
  <c r="S691" i="24"/>
  <c r="S690" i="24"/>
  <c r="S689" i="24"/>
  <c r="S688" i="24"/>
  <c r="X688" i="24" s="1"/>
  <c r="S687" i="24"/>
  <c r="S686" i="24"/>
  <c r="X686" i="24" s="1"/>
  <c r="S685" i="24"/>
  <c r="X685" i="24" s="1"/>
  <c r="S684" i="24"/>
  <c r="S683" i="24"/>
  <c r="S682" i="24"/>
  <c r="S681" i="24"/>
  <c r="X681" i="24" s="1"/>
  <c r="S680" i="24"/>
  <c r="S679" i="24"/>
  <c r="S678" i="24"/>
  <c r="S677" i="24"/>
  <c r="X677" i="24" s="1"/>
  <c r="S676" i="24"/>
  <c r="X676" i="24" s="1"/>
  <c r="S675" i="24"/>
  <c r="S674" i="24"/>
  <c r="S673" i="24"/>
  <c r="X673" i="24" s="1"/>
  <c r="S672" i="24"/>
  <c r="X672" i="24" s="1"/>
  <c r="S671" i="24"/>
  <c r="S670" i="24"/>
  <c r="X670" i="24" s="1"/>
  <c r="S669" i="24"/>
  <c r="X669" i="24" s="1"/>
  <c r="Q669" i="24"/>
  <c r="S668" i="24"/>
  <c r="X668" i="24" s="1"/>
  <c r="Q668" i="24"/>
  <c r="S667" i="24"/>
  <c r="X667" i="24" s="1"/>
  <c r="D667" i="24"/>
  <c r="S666" i="24"/>
  <c r="X666" i="24" s="1"/>
  <c r="S665" i="24"/>
  <c r="S664" i="24"/>
  <c r="S663" i="24"/>
  <c r="S662" i="24"/>
  <c r="X662" i="24" s="1"/>
  <c r="S661" i="24"/>
  <c r="X661" i="24" s="1"/>
  <c r="S660" i="24"/>
  <c r="S659" i="24"/>
  <c r="X659" i="24" s="1"/>
  <c r="S658" i="24"/>
  <c r="X658" i="24" s="1"/>
  <c r="S657" i="24"/>
  <c r="S656" i="24"/>
  <c r="X656" i="24" s="1"/>
  <c r="S655" i="24"/>
  <c r="S654" i="24"/>
  <c r="S653" i="24"/>
  <c r="S652" i="24"/>
  <c r="X652" i="24" s="1"/>
  <c r="S651" i="24"/>
  <c r="X651" i="24" s="1"/>
  <c r="S650" i="24"/>
  <c r="S649" i="24"/>
  <c r="X649" i="24" s="1"/>
  <c r="Q649" i="24"/>
  <c r="S648" i="24"/>
  <c r="X648" i="24" s="1"/>
  <c r="Q648" i="24"/>
  <c r="S647" i="24"/>
  <c r="X647" i="24" s="1"/>
  <c r="D647" i="24"/>
  <c r="S646" i="24"/>
  <c r="S645" i="24"/>
  <c r="X645" i="24" s="1"/>
  <c r="Q645" i="24"/>
  <c r="S644" i="24"/>
  <c r="X644" i="24" s="1"/>
  <c r="Q644" i="24"/>
  <c r="S643" i="24"/>
  <c r="X643" i="24" s="1"/>
  <c r="D643" i="24"/>
  <c r="S642" i="24"/>
  <c r="X642" i="24" s="1"/>
  <c r="S641" i="24"/>
  <c r="X641" i="24" s="1"/>
  <c r="Q641" i="24"/>
  <c r="S640" i="24"/>
  <c r="X640" i="24" s="1"/>
  <c r="Q640" i="24"/>
  <c r="S639" i="24"/>
  <c r="X639" i="24" s="1"/>
  <c r="D639" i="24"/>
  <c r="S638" i="24"/>
  <c r="X638" i="24" s="1"/>
  <c r="S637" i="24"/>
  <c r="X637" i="24" s="1"/>
  <c r="Q637" i="24"/>
  <c r="S636" i="24"/>
  <c r="X636" i="24" s="1"/>
  <c r="Q636" i="24"/>
  <c r="S635" i="24"/>
  <c r="X635" i="24" s="1"/>
  <c r="D635" i="24"/>
  <c r="S634" i="24"/>
  <c r="S633" i="24"/>
  <c r="X633" i="24" s="1"/>
  <c r="Q633" i="24"/>
  <c r="S632" i="24"/>
  <c r="X632" i="24" s="1"/>
  <c r="Q632" i="24"/>
  <c r="S631" i="24"/>
  <c r="X631" i="24" s="1"/>
  <c r="D631" i="24"/>
  <c r="S630" i="24"/>
  <c r="S629" i="24"/>
  <c r="X629" i="24" s="1"/>
  <c r="Q629" i="24"/>
  <c r="S628" i="24"/>
  <c r="X628" i="24" s="1"/>
  <c r="Q628" i="24"/>
  <c r="S627" i="24"/>
  <c r="X627" i="24" s="1"/>
  <c r="D627" i="24"/>
  <c r="S626" i="24"/>
  <c r="S625" i="24"/>
  <c r="X625" i="24" s="1"/>
  <c r="Q625" i="24"/>
  <c r="S624" i="24"/>
  <c r="X624" i="24" s="1"/>
  <c r="Q624" i="24"/>
  <c r="S623" i="24"/>
  <c r="X623" i="24" s="1"/>
  <c r="D623" i="24"/>
  <c r="S622" i="24"/>
  <c r="S621" i="24"/>
  <c r="X621" i="24" s="1"/>
  <c r="Q621" i="24"/>
  <c r="S620" i="24"/>
  <c r="X620" i="24" s="1"/>
  <c r="Q620" i="24"/>
  <c r="S619" i="24"/>
  <c r="X619" i="24" s="1"/>
  <c r="D619" i="24"/>
  <c r="S618" i="24"/>
  <c r="X618" i="24" s="1"/>
  <c r="S617" i="24"/>
  <c r="X617" i="24" s="1"/>
  <c r="Q617" i="24"/>
  <c r="S616" i="24"/>
  <c r="X616" i="24" s="1"/>
  <c r="Q616" i="24"/>
  <c r="S615" i="24"/>
  <c r="X615" i="24" s="1"/>
  <c r="D615" i="24"/>
  <c r="S614" i="24"/>
  <c r="S613" i="24"/>
  <c r="S612" i="24"/>
  <c r="S611" i="24"/>
  <c r="S610" i="24"/>
  <c r="S609" i="24"/>
  <c r="S608" i="24"/>
  <c r="S607" i="24"/>
  <c r="S606" i="24"/>
  <c r="S605" i="24"/>
  <c r="S604" i="24"/>
  <c r="X604" i="24" s="1"/>
  <c r="S603" i="24"/>
  <c r="X603" i="24" s="1"/>
  <c r="S602" i="24"/>
  <c r="S601" i="24"/>
  <c r="X601" i="24" s="1"/>
  <c r="S600" i="24"/>
  <c r="X600" i="24" s="1"/>
  <c r="S599" i="24"/>
  <c r="S598" i="24"/>
  <c r="S597" i="24"/>
  <c r="S596" i="24"/>
  <c r="S595" i="24"/>
  <c r="X595" i="24" s="1"/>
  <c r="Q595" i="24"/>
  <c r="S594" i="24"/>
  <c r="X594" i="24" s="1"/>
  <c r="Q594" i="24"/>
  <c r="S593" i="24"/>
  <c r="X593" i="24" s="1"/>
  <c r="D593" i="24"/>
  <c r="S592" i="24"/>
  <c r="S591" i="24"/>
  <c r="X591" i="24" s="1"/>
  <c r="Q591" i="24"/>
  <c r="S590" i="24"/>
  <c r="X590" i="24" s="1"/>
  <c r="Q590" i="24"/>
  <c r="S589" i="24"/>
  <c r="X589" i="24" s="1"/>
  <c r="D589" i="24"/>
  <c r="S588" i="24"/>
  <c r="X588" i="24" s="1"/>
  <c r="S587" i="24"/>
  <c r="S586" i="24"/>
  <c r="X586" i="24" s="1"/>
  <c r="S585" i="24"/>
  <c r="S584" i="24"/>
  <c r="S583" i="24"/>
  <c r="S582" i="24"/>
  <c r="S581" i="24"/>
  <c r="S580" i="24"/>
  <c r="S579" i="24"/>
  <c r="S578" i="24"/>
  <c r="S577" i="24"/>
  <c r="S576" i="24"/>
  <c r="X576" i="24" s="1"/>
  <c r="S575" i="24"/>
  <c r="S574" i="24"/>
  <c r="S573" i="24"/>
  <c r="X573" i="24" s="1"/>
  <c r="S572" i="24"/>
  <c r="S571" i="24"/>
  <c r="S570" i="24"/>
  <c r="X570" i="24" s="1"/>
  <c r="S569" i="24"/>
  <c r="X569" i="24" s="1"/>
  <c r="S568" i="24"/>
  <c r="S567" i="24"/>
  <c r="S566" i="24"/>
  <c r="X566" i="24" s="1"/>
  <c r="S565" i="24"/>
  <c r="X565" i="24" s="1"/>
  <c r="S564" i="24"/>
  <c r="X564" i="24" s="1"/>
  <c r="S563" i="24"/>
  <c r="X563" i="24" s="1"/>
  <c r="S562" i="24"/>
  <c r="S561" i="24"/>
  <c r="X561" i="24" s="1"/>
  <c r="Q561" i="24"/>
  <c r="S560" i="24"/>
  <c r="X560" i="24" s="1"/>
  <c r="Q560" i="24"/>
  <c r="S559" i="24"/>
  <c r="X559" i="24" s="1"/>
  <c r="D559" i="24"/>
  <c r="S558" i="24"/>
  <c r="X558" i="24" s="1"/>
  <c r="S557" i="24"/>
  <c r="S556" i="24"/>
  <c r="S555" i="24"/>
  <c r="X555" i="24" s="1"/>
  <c r="S554" i="24"/>
  <c r="S553" i="24"/>
  <c r="X553" i="24" s="1"/>
  <c r="S552" i="24"/>
  <c r="X552" i="24" s="1"/>
  <c r="S551" i="24"/>
  <c r="X551" i="24" s="1"/>
  <c r="S550" i="24"/>
  <c r="S549" i="24"/>
  <c r="S548" i="24"/>
  <c r="S547" i="24"/>
  <c r="S546" i="24"/>
  <c r="S545" i="24"/>
  <c r="S544" i="24"/>
  <c r="S543" i="24"/>
  <c r="S542" i="24"/>
  <c r="X542" i="24" s="1"/>
  <c r="S541" i="24"/>
  <c r="S540" i="24"/>
  <c r="S539" i="24"/>
  <c r="X539" i="24" s="1"/>
  <c r="S538" i="24"/>
  <c r="S537" i="24"/>
  <c r="X537" i="24" s="1"/>
  <c r="S536" i="24"/>
  <c r="X536" i="24" s="1"/>
  <c r="S535" i="24"/>
  <c r="X535" i="24" s="1"/>
  <c r="S534" i="24"/>
  <c r="X534" i="24" s="1"/>
  <c r="S533" i="24"/>
  <c r="X533" i="24" s="1"/>
  <c r="S532" i="24"/>
  <c r="X532" i="24" s="1"/>
  <c r="S531" i="24"/>
  <c r="S530" i="24"/>
  <c r="S529" i="24"/>
  <c r="X529" i="24" s="1"/>
  <c r="S528" i="24"/>
  <c r="X528" i="24" s="1"/>
  <c r="S527" i="24"/>
  <c r="X527" i="24" s="1"/>
  <c r="S526" i="24"/>
  <c r="X526" i="24" s="1"/>
  <c r="S525" i="24"/>
  <c r="X525" i="24" s="1"/>
  <c r="S524" i="24"/>
  <c r="S523" i="24"/>
  <c r="X523" i="24" s="1"/>
  <c r="S522" i="24"/>
  <c r="X522" i="24" s="1"/>
  <c r="S521" i="24"/>
  <c r="X521" i="24" s="1"/>
  <c r="S520" i="24"/>
  <c r="X520" i="24" s="1"/>
  <c r="S519" i="24"/>
  <c r="X519" i="24" s="1"/>
  <c r="S518" i="24"/>
  <c r="S517" i="24"/>
  <c r="X517" i="24" s="1"/>
  <c r="S516" i="24"/>
  <c r="X516" i="24" s="1"/>
  <c r="S515" i="24"/>
  <c r="X515" i="24" s="1"/>
  <c r="S514" i="24"/>
  <c r="X514" i="24" s="1"/>
  <c r="S513" i="24"/>
  <c r="S512" i="24"/>
  <c r="X512" i="24" s="1"/>
  <c r="S511" i="24"/>
  <c r="S510" i="24"/>
  <c r="X510" i="24" s="1"/>
  <c r="S509" i="24"/>
  <c r="X509" i="24" s="1"/>
  <c r="S508" i="24"/>
  <c r="S507" i="24"/>
  <c r="X507" i="24" s="1"/>
  <c r="S506" i="24"/>
  <c r="X506" i="24" s="1"/>
  <c r="S505" i="24"/>
  <c r="X505" i="24" s="1"/>
  <c r="S504" i="24"/>
  <c r="X504" i="24" s="1"/>
  <c r="S503" i="24"/>
  <c r="X503" i="24" s="1"/>
  <c r="S502" i="24"/>
  <c r="S501" i="24"/>
  <c r="S500" i="24"/>
  <c r="S499" i="24"/>
  <c r="X499" i="24" s="1"/>
  <c r="S498" i="24"/>
  <c r="S497" i="24"/>
  <c r="S496" i="24"/>
  <c r="S495" i="24"/>
  <c r="X495" i="24" s="1"/>
  <c r="S494" i="24"/>
  <c r="X494" i="24" s="1"/>
  <c r="S493" i="24"/>
  <c r="S492" i="24"/>
  <c r="X492" i="24" s="1"/>
  <c r="S491" i="24"/>
  <c r="X491" i="24" s="1"/>
  <c r="S490" i="24"/>
  <c r="X490" i="24" s="1"/>
  <c r="S489" i="24"/>
  <c r="S488" i="24"/>
  <c r="X488" i="24" s="1"/>
  <c r="S487" i="24"/>
  <c r="X487" i="24" s="1"/>
  <c r="S486" i="24"/>
  <c r="S485" i="24"/>
  <c r="X485" i="24" s="1"/>
  <c r="S484" i="24"/>
  <c r="S483" i="24"/>
  <c r="S482" i="24"/>
  <c r="S481" i="24"/>
  <c r="X481" i="24" s="1"/>
  <c r="Q481" i="24"/>
  <c r="S480" i="24"/>
  <c r="X480" i="24" s="1"/>
  <c r="Q480" i="24"/>
  <c r="S479" i="24"/>
  <c r="X479" i="24" s="1"/>
  <c r="D479" i="24"/>
  <c r="S478" i="24"/>
  <c r="X478" i="24" s="1"/>
  <c r="S477" i="24"/>
  <c r="X477" i="24" s="1"/>
  <c r="S476" i="24"/>
  <c r="X476" i="24" s="1"/>
  <c r="S475" i="24"/>
  <c r="S474" i="24"/>
  <c r="X474" i="24" s="1"/>
  <c r="S473" i="24"/>
  <c r="X473" i="24" s="1"/>
  <c r="S472" i="24"/>
  <c r="X472" i="24" s="1"/>
  <c r="S471" i="24"/>
  <c r="X471" i="24" s="1"/>
  <c r="S470" i="24"/>
  <c r="S469" i="24"/>
  <c r="S468" i="24"/>
  <c r="X468" i="24" s="1"/>
  <c r="S467" i="24"/>
  <c r="X467" i="24" s="1"/>
  <c r="S466" i="24"/>
  <c r="S465" i="24"/>
  <c r="S464" i="24"/>
  <c r="S463" i="24"/>
  <c r="S462" i="24"/>
  <c r="S461" i="24"/>
  <c r="X461" i="24" s="1"/>
  <c r="S460" i="24"/>
  <c r="X460" i="24" s="1"/>
  <c r="S459" i="24"/>
  <c r="S458" i="24"/>
  <c r="X458" i="24" s="1"/>
  <c r="S457" i="24"/>
  <c r="X457" i="24" s="1"/>
  <c r="S456" i="24"/>
  <c r="S455" i="24"/>
  <c r="S454" i="24"/>
  <c r="S453" i="24"/>
  <c r="S452" i="24"/>
  <c r="S451" i="24"/>
  <c r="S450" i="24"/>
  <c r="S449" i="24"/>
  <c r="S448" i="24"/>
  <c r="X448" i="24" s="1"/>
  <c r="S447" i="24"/>
  <c r="S446" i="24"/>
  <c r="X446" i="24" s="1"/>
  <c r="S445" i="24"/>
  <c r="X445" i="24" s="1"/>
  <c r="S444" i="24"/>
  <c r="S443" i="24"/>
  <c r="X443" i="24" s="1"/>
  <c r="S442" i="24"/>
  <c r="S441" i="24"/>
  <c r="S440" i="24"/>
  <c r="S439" i="24"/>
  <c r="S438" i="24"/>
  <c r="S437" i="24"/>
  <c r="S436" i="24"/>
  <c r="S435" i="24"/>
  <c r="S434" i="24"/>
  <c r="S433" i="24"/>
  <c r="X433" i="24" s="1"/>
  <c r="Q433" i="24"/>
  <c r="S432" i="24"/>
  <c r="X432" i="24" s="1"/>
  <c r="Q432" i="24"/>
  <c r="S431" i="24"/>
  <c r="X431" i="24" s="1"/>
  <c r="D431" i="24"/>
  <c r="S430" i="24"/>
  <c r="X430" i="24" s="1"/>
  <c r="S429" i="24"/>
  <c r="X429" i="24" s="1"/>
  <c r="S428" i="24"/>
  <c r="X428" i="24" s="1"/>
  <c r="S427" i="24"/>
  <c r="S426" i="24"/>
  <c r="S425" i="24"/>
  <c r="S424" i="24"/>
  <c r="S423" i="24"/>
  <c r="X423" i="24" s="1"/>
  <c r="S422" i="24"/>
  <c r="S421" i="24"/>
  <c r="S420" i="24"/>
  <c r="X420" i="24" s="1"/>
  <c r="S419" i="24"/>
  <c r="X419" i="24" s="1"/>
  <c r="S418" i="24"/>
  <c r="S417" i="24"/>
  <c r="X417" i="24" s="1"/>
  <c r="S416" i="24"/>
  <c r="S415" i="24"/>
  <c r="X415" i="24" s="1"/>
  <c r="S414" i="24"/>
  <c r="X414" i="24" s="1"/>
  <c r="S413" i="24"/>
  <c r="S412" i="24"/>
  <c r="X412" i="24" s="1"/>
  <c r="S411" i="24"/>
  <c r="X411" i="24" s="1"/>
  <c r="S410" i="24"/>
  <c r="X410" i="24" s="1"/>
  <c r="S409" i="24"/>
  <c r="S408" i="24"/>
  <c r="S407" i="24"/>
  <c r="S406" i="24"/>
  <c r="X406" i="24" s="1"/>
  <c r="S405" i="24"/>
  <c r="X405" i="24" s="1"/>
  <c r="S404" i="24"/>
  <c r="X404" i="24" s="1"/>
  <c r="S403" i="24"/>
  <c r="S402" i="24"/>
  <c r="S401" i="24"/>
  <c r="S400" i="24"/>
  <c r="S399" i="24"/>
  <c r="X399" i="24" s="1"/>
  <c r="S398" i="24"/>
  <c r="X398" i="24" s="1"/>
  <c r="Q398" i="24"/>
  <c r="S397" i="24"/>
  <c r="X397" i="24" s="1"/>
  <c r="Q397" i="24"/>
  <c r="S396" i="24"/>
  <c r="X396" i="24" s="1"/>
  <c r="D396" i="24"/>
  <c r="S395" i="24"/>
  <c r="S394" i="24"/>
  <c r="S393" i="24"/>
  <c r="S392" i="24"/>
  <c r="S391" i="24"/>
  <c r="S390" i="24"/>
  <c r="X390" i="24" s="1"/>
  <c r="S389" i="24"/>
  <c r="S388" i="24"/>
  <c r="S387" i="24"/>
  <c r="S386" i="24"/>
  <c r="S385" i="24"/>
  <c r="S384" i="24"/>
  <c r="X384" i="24" s="1"/>
  <c r="S383" i="24"/>
  <c r="S382" i="24"/>
  <c r="X382" i="24" s="1"/>
  <c r="S381" i="24"/>
  <c r="X381" i="24" s="1"/>
  <c r="S380" i="24"/>
  <c r="S379" i="24"/>
  <c r="S378" i="24"/>
  <c r="S377" i="24"/>
  <c r="S376" i="24"/>
  <c r="S375" i="24"/>
  <c r="X375" i="24" s="1"/>
  <c r="S374" i="24"/>
  <c r="S373" i="24"/>
  <c r="X373" i="24" s="1"/>
  <c r="S372" i="24"/>
  <c r="X372" i="24" s="1"/>
  <c r="S371" i="24"/>
  <c r="X371" i="24" s="1"/>
  <c r="S370" i="24"/>
  <c r="S369" i="24"/>
  <c r="X369" i="24" s="1"/>
  <c r="S368" i="24"/>
  <c r="S367" i="24"/>
  <c r="X367" i="24" s="1"/>
  <c r="S366" i="24"/>
  <c r="S365" i="24"/>
  <c r="S364" i="24"/>
  <c r="X364" i="24" s="1"/>
  <c r="S363" i="24"/>
  <c r="X363" i="24" s="1"/>
  <c r="S362" i="24"/>
  <c r="S361" i="24"/>
  <c r="X361" i="24" s="1"/>
  <c r="S360" i="24"/>
  <c r="S359" i="24"/>
  <c r="X359" i="24" s="1"/>
  <c r="S358" i="24"/>
  <c r="S357" i="24"/>
  <c r="S356" i="24"/>
  <c r="X356" i="24" s="1"/>
  <c r="S355" i="24"/>
  <c r="S354" i="24"/>
  <c r="S353" i="24"/>
  <c r="X353" i="24" s="1"/>
  <c r="S352" i="24"/>
  <c r="X352" i="24" s="1"/>
  <c r="S351" i="24"/>
  <c r="X351" i="24" s="1"/>
  <c r="S350" i="24"/>
  <c r="S349" i="24"/>
  <c r="X349" i="24" s="1"/>
  <c r="S348" i="24"/>
  <c r="X348" i="24" s="1"/>
  <c r="S347" i="24"/>
  <c r="X347" i="24" s="1"/>
  <c r="S346" i="24"/>
  <c r="S345" i="24"/>
  <c r="X345" i="24" s="1"/>
  <c r="S344" i="24"/>
  <c r="X344" i="24" s="1"/>
  <c r="S343" i="24"/>
  <c r="X343" i="24" s="1"/>
  <c r="S342" i="24"/>
  <c r="X342" i="24" s="1"/>
  <c r="S341" i="24"/>
  <c r="X341" i="24" s="1"/>
  <c r="S340" i="24"/>
  <c r="X340" i="24" s="1"/>
  <c r="Q340" i="24"/>
  <c r="S339" i="24"/>
  <c r="X339" i="24" s="1"/>
  <c r="Q339" i="24"/>
  <c r="S338" i="24"/>
  <c r="X338" i="24" s="1"/>
  <c r="D338" i="24"/>
  <c r="S337" i="24"/>
  <c r="S336" i="24"/>
  <c r="S335" i="24"/>
  <c r="S334" i="24"/>
  <c r="S333" i="24"/>
  <c r="X333" i="24" s="1"/>
  <c r="S332" i="24"/>
  <c r="X332" i="24" s="1"/>
  <c r="S331" i="24"/>
  <c r="X331" i="24" s="1"/>
  <c r="S330" i="24"/>
  <c r="S329" i="24"/>
  <c r="S328" i="24"/>
  <c r="X328" i="24" s="1"/>
  <c r="S327" i="24"/>
  <c r="S326" i="24"/>
  <c r="S325" i="24"/>
  <c r="S324" i="24"/>
  <c r="X324" i="24" s="1"/>
  <c r="S323" i="24"/>
  <c r="S322" i="24"/>
  <c r="X322" i="24" s="1"/>
  <c r="S321" i="24"/>
  <c r="S320" i="24"/>
  <c r="S319" i="24"/>
  <c r="X319" i="24" s="1"/>
  <c r="S318" i="24"/>
  <c r="S317" i="24"/>
  <c r="X317" i="24" s="1"/>
  <c r="S316" i="24"/>
  <c r="X316" i="24" s="1"/>
  <c r="S315" i="24"/>
  <c r="S314" i="24"/>
  <c r="S313" i="24"/>
  <c r="S312" i="24"/>
  <c r="X312" i="24" s="1"/>
  <c r="S311" i="24"/>
  <c r="X311" i="24" s="1"/>
  <c r="S310" i="24"/>
  <c r="S309" i="24"/>
  <c r="S308" i="24"/>
  <c r="X308" i="24" s="1"/>
  <c r="S307" i="24"/>
  <c r="X307" i="24" s="1"/>
  <c r="S306" i="24"/>
  <c r="S305" i="24"/>
  <c r="S304" i="24"/>
  <c r="X304" i="24" s="1"/>
  <c r="S303" i="24"/>
  <c r="S302" i="24"/>
  <c r="S301" i="24"/>
  <c r="X301" i="24" s="1"/>
  <c r="S300" i="24"/>
  <c r="S299" i="24"/>
  <c r="X299" i="24" s="1"/>
  <c r="S298" i="24"/>
  <c r="S297" i="24"/>
  <c r="S296" i="24"/>
  <c r="X296" i="24" s="1"/>
  <c r="S295" i="24"/>
  <c r="S294" i="24"/>
  <c r="S293" i="24"/>
  <c r="X293" i="24" s="1"/>
  <c r="S292" i="24"/>
  <c r="S291" i="24"/>
  <c r="X291" i="24" s="1"/>
  <c r="S290" i="24"/>
  <c r="S289" i="24"/>
  <c r="S288" i="24"/>
  <c r="S287" i="24"/>
  <c r="X287" i="24" s="1"/>
  <c r="S286" i="24"/>
  <c r="S285" i="24"/>
  <c r="S284" i="24"/>
  <c r="X284" i="24" s="1"/>
  <c r="Q284" i="24"/>
  <c r="S283" i="24"/>
  <c r="X283" i="24" s="1"/>
  <c r="Q283" i="24"/>
  <c r="S282" i="24"/>
  <c r="X282" i="24" s="1"/>
  <c r="D282" i="24"/>
  <c r="S281" i="24"/>
  <c r="S280" i="24"/>
  <c r="S279" i="24"/>
  <c r="S278" i="24"/>
  <c r="S277" i="24"/>
  <c r="S276" i="24"/>
  <c r="X276" i="24" s="1"/>
  <c r="S275" i="24"/>
  <c r="S274" i="24"/>
  <c r="X274" i="24" s="1"/>
  <c r="S273" i="24"/>
  <c r="X273" i="24" s="1"/>
  <c r="S272" i="24"/>
  <c r="S271" i="24"/>
  <c r="X271" i="24" s="1"/>
  <c r="S270" i="24"/>
  <c r="S269" i="24"/>
  <c r="S268" i="24"/>
  <c r="X268" i="24" s="1"/>
  <c r="S267" i="24"/>
  <c r="X267" i="24" s="1"/>
  <c r="S266" i="24"/>
  <c r="S265" i="24"/>
  <c r="S264" i="24"/>
  <c r="X264" i="24" s="1"/>
  <c r="Q264" i="24"/>
  <c r="S263" i="24"/>
  <c r="X263" i="24" s="1"/>
  <c r="Q263" i="24"/>
  <c r="S262" i="24"/>
  <c r="X262" i="24" s="1"/>
  <c r="D262" i="24"/>
  <c r="S261" i="24"/>
  <c r="X261" i="24" s="1"/>
  <c r="S260" i="24"/>
  <c r="S259" i="24"/>
  <c r="X259" i="24" s="1"/>
  <c r="S258" i="24"/>
  <c r="X258" i="24" s="1"/>
  <c r="S257" i="24"/>
  <c r="S256" i="24"/>
  <c r="S255" i="24"/>
  <c r="S254" i="24"/>
  <c r="X254" i="24" s="1"/>
  <c r="S253" i="24"/>
  <c r="X253" i="24" s="1"/>
  <c r="S252" i="24"/>
  <c r="S251" i="24"/>
  <c r="X251" i="24" s="1"/>
  <c r="S250" i="24"/>
  <c r="X250" i="24" s="1"/>
  <c r="S249" i="24"/>
  <c r="X249" i="24" s="1"/>
  <c r="S248" i="24"/>
  <c r="X248" i="24" s="1"/>
  <c r="S247" i="24"/>
  <c r="S246" i="24"/>
  <c r="X246" i="24" s="1"/>
  <c r="S245" i="24"/>
  <c r="X245" i="24" s="1"/>
  <c r="S244" i="24"/>
  <c r="X244" i="24" s="1"/>
  <c r="S243" i="24"/>
  <c r="X243" i="24" s="1"/>
  <c r="S242" i="24"/>
  <c r="S241" i="24"/>
  <c r="S240" i="24"/>
  <c r="S239" i="24"/>
  <c r="X239" i="24" s="1"/>
  <c r="S238" i="24"/>
  <c r="S237" i="24"/>
  <c r="S236" i="24"/>
  <c r="S235" i="24"/>
  <c r="X235" i="24" s="1"/>
  <c r="S234" i="24"/>
  <c r="X234" i="24" s="1"/>
  <c r="S233" i="24"/>
  <c r="X233" i="24" s="1"/>
  <c r="S232" i="24"/>
  <c r="S231" i="24"/>
  <c r="S230" i="24"/>
  <c r="S229" i="24"/>
  <c r="X229" i="24" s="1"/>
  <c r="S228" i="24"/>
  <c r="S227" i="24"/>
  <c r="S226" i="24"/>
  <c r="X226" i="24" s="1"/>
  <c r="S225" i="24"/>
  <c r="X225" i="24" s="1"/>
  <c r="S224" i="24"/>
  <c r="S223" i="24"/>
  <c r="X223" i="24" s="1"/>
  <c r="S222" i="24"/>
  <c r="S221" i="24"/>
  <c r="S220" i="24"/>
  <c r="S219" i="24"/>
  <c r="S218" i="24"/>
  <c r="S217" i="24"/>
  <c r="S216" i="24"/>
  <c r="S215" i="24"/>
  <c r="X215" i="24" s="1"/>
  <c r="S214" i="24"/>
  <c r="X214" i="24" s="1"/>
  <c r="S213" i="24"/>
  <c r="X213" i="24" s="1"/>
  <c r="S212" i="24"/>
  <c r="S211" i="24"/>
  <c r="X211" i="24" s="1"/>
  <c r="S210" i="24"/>
  <c r="S209" i="24"/>
  <c r="S208" i="24"/>
  <c r="X208" i="24" s="1"/>
  <c r="S207" i="24"/>
  <c r="S206" i="24"/>
  <c r="X206" i="24" s="1"/>
  <c r="S205" i="24"/>
  <c r="X205" i="24" s="1"/>
  <c r="S204" i="24"/>
  <c r="X204" i="24" s="1"/>
  <c r="S203" i="24"/>
  <c r="X203" i="24" s="1"/>
  <c r="S202" i="24"/>
  <c r="X202" i="24" s="1"/>
  <c r="S201" i="24"/>
  <c r="S200" i="24"/>
  <c r="S199" i="24"/>
  <c r="S198" i="24"/>
  <c r="S197" i="24"/>
  <c r="S196" i="24"/>
  <c r="X196" i="24" s="1"/>
  <c r="S195" i="24"/>
  <c r="X195" i="24" s="1"/>
  <c r="S194" i="24"/>
  <c r="X194" i="24" s="1"/>
  <c r="S193" i="24"/>
  <c r="X193" i="24" s="1"/>
  <c r="S192" i="24"/>
  <c r="S191" i="24"/>
  <c r="S190" i="24"/>
  <c r="S189" i="24"/>
  <c r="X189" i="24" s="1"/>
  <c r="S188" i="24"/>
  <c r="X188" i="24" s="1"/>
  <c r="S187" i="24"/>
  <c r="S186" i="24"/>
  <c r="X186" i="24" s="1"/>
  <c r="S185" i="24"/>
  <c r="X185" i="24" s="1"/>
  <c r="S184" i="24"/>
  <c r="S183" i="24"/>
  <c r="X183" i="24" s="1"/>
  <c r="S182" i="24"/>
  <c r="X182" i="24" s="1"/>
  <c r="S181" i="24"/>
  <c r="S180" i="24"/>
  <c r="S179" i="24"/>
  <c r="X179" i="24" s="1"/>
  <c r="S178" i="24"/>
  <c r="S177" i="24"/>
  <c r="S176" i="24"/>
  <c r="X176" i="24" s="1"/>
  <c r="S175" i="24"/>
  <c r="X175" i="24" s="1"/>
  <c r="S174" i="24"/>
  <c r="S173" i="24"/>
  <c r="S172" i="24"/>
  <c r="S171" i="24"/>
  <c r="X171" i="24" s="1"/>
  <c r="S170" i="24"/>
  <c r="S169" i="24"/>
  <c r="X169" i="24" s="1"/>
  <c r="S168" i="24"/>
  <c r="X168" i="24" s="1"/>
  <c r="S167" i="24"/>
  <c r="S166" i="24"/>
  <c r="X166" i="24" s="1"/>
  <c r="S165" i="24"/>
  <c r="S164" i="24"/>
  <c r="X164" i="24" s="1"/>
  <c r="S163" i="24"/>
  <c r="S162" i="24"/>
  <c r="S161" i="24"/>
  <c r="S160" i="24"/>
  <c r="X160" i="24" s="1"/>
  <c r="S159" i="24"/>
  <c r="S158" i="24"/>
  <c r="S157" i="24"/>
  <c r="S156" i="24"/>
  <c r="X156" i="24" s="1"/>
  <c r="S155" i="24"/>
  <c r="X155" i="24" s="1"/>
  <c r="S154" i="24"/>
  <c r="X154" i="24" s="1"/>
  <c r="S153" i="24"/>
  <c r="X153" i="24" s="1"/>
  <c r="S152" i="24"/>
  <c r="S151" i="24"/>
  <c r="X151" i="24" s="1"/>
  <c r="S150" i="24"/>
  <c r="S149" i="24"/>
  <c r="X149" i="24" s="1"/>
  <c r="S148" i="24"/>
  <c r="S147" i="24"/>
  <c r="S146" i="24"/>
  <c r="S145" i="24"/>
  <c r="S144" i="24"/>
  <c r="X144" i="24" s="1"/>
  <c r="S143" i="24"/>
  <c r="X143" i="24" s="1"/>
  <c r="S142" i="24"/>
  <c r="S141" i="24"/>
  <c r="S140" i="24"/>
  <c r="S139" i="24"/>
  <c r="X139" i="24" s="1"/>
  <c r="S138" i="24"/>
  <c r="S137" i="24"/>
  <c r="S136" i="24"/>
  <c r="X136" i="24" s="1"/>
  <c r="S135" i="24"/>
  <c r="X135" i="24" s="1"/>
  <c r="S134" i="24"/>
  <c r="X134" i="24" s="1"/>
  <c r="S133" i="24"/>
  <c r="X133" i="24" s="1"/>
  <c r="S132" i="24"/>
  <c r="S131" i="24"/>
  <c r="X131" i="24" s="1"/>
  <c r="S130" i="24"/>
  <c r="S129" i="24"/>
  <c r="X129" i="24" s="1"/>
  <c r="S128" i="24"/>
  <c r="S127" i="24"/>
  <c r="S126" i="24"/>
  <c r="X126" i="24" s="1"/>
  <c r="Q126" i="24"/>
  <c r="S125" i="24"/>
  <c r="X125" i="24" s="1"/>
  <c r="Q125" i="24"/>
  <c r="S124" i="24"/>
  <c r="X124" i="24" s="1"/>
  <c r="D124" i="24"/>
  <c r="S123" i="24"/>
  <c r="S122" i="24"/>
  <c r="S121" i="24"/>
  <c r="X121" i="24" s="1"/>
  <c r="S120" i="24"/>
  <c r="X120" i="24" s="1"/>
  <c r="S119" i="24"/>
  <c r="X119" i="24" s="1"/>
  <c r="S118" i="24"/>
  <c r="S117" i="24"/>
  <c r="S116" i="24"/>
  <c r="X116" i="24" s="1"/>
  <c r="S115" i="24"/>
  <c r="X115" i="24" s="1"/>
  <c r="S114" i="24"/>
  <c r="S113" i="24"/>
  <c r="S112" i="24"/>
  <c r="X112" i="24" s="1"/>
  <c r="S111" i="24"/>
  <c r="S110" i="24"/>
  <c r="S109" i="24"/>
  <c r="X109" i="24" s="1"/>
  <c r="S108" i="24"/>
  <c r="S107" i="24"/>
  <c r="S106" i="24"/>
  <c r="X106" i="24" s="1"/>
  <c r="S105" i="24"/>
  <c r="S104" i="24"/>
  <c r="X104" i="24" s="1"/>
  <c r="S103" i="24"/>
  <c r="X103" i="24" s="1"/>
  <c r="Q103" i="24"/>
  <c r="S102" i="24"/>
  <c r="X102" i="24" s="1"/>
  <c r="Q102" i="24"/>
  <c r="S101" i="24"/>
  <c r="X101" i="24" s="1"/>
  <c r="D101" i="24"/>
  <c r="S100" i="24"/>
  <c r="X100" i="24" s="1"/>
  <c r="S99" i="24"/>
  <c r="X99" i="24" s="1"/>
  <c r="Q99" i="24"/>
  <c r="P95" i="24"/>
  <c r="D95" i="24"/>
  <c r="P93" i="24"/>
  <c r="P92" i="24"/>
  <c r="P91" i="24"/>
  <c r="AJ90" i="24"/>
  <c r="AI90" i="24"/>
  <c r="AH90" i="24"/>
  <c r="AG88" i="24"/>
  <c r="AG86" i="24"/>
  <c r="AG83" i="24"/>
  <c r="AG80" i="24"/>
  <c r="AG77" i="24"/>
  <c r="AG74" i="24"/>
  <c r="AG71" i="24"/>
  <c r="AG68" i="24"/>
  <c r="AG62" i="24"/>
  <c r="AG60" i="24"/>
  <c r="AG58" i="24"/>
  <c r="AG57" i="24"/>
  <c r="AG55" i="24"/>
  <c r="AL23" i="24"/>
  <c r="AG21" i="24"/>
  <c r="AL19" i="24"/>
  <c r="AG19" i="24"/>
  <c r="AL17" i="24"/>
  <c r="AL16" i="24"/>
  <c r="AL15" i="24"/>
  <c r="H5" i="24"/>
  <c r="H4" i="24"/>
  <c r="H2" i="24"/>
  <c r="E36" i="23"/>
  <c r="D67" i="6"/>
  <c r="D68" i="6" s="1"/>
  <c r="D69" i="6" s="1"/>
  <c r="X574" i="24" l="1"/>
  <c r="X470" i="24"/>
  <c r="X219" i="24"/>
  <c r="X269" i="24"/>
  <c r="X110" i="24"/>
  <c r="X442" i="24"/>
  <c r="X228" i="24"/>
  <c r="X614" i="24"/>
  <c r="X270" i="24"/>
  <c r="X350" i="24"/>
  <c r="X159" i="24"/>
  <c r="X357" i="24"/>
  <c r="X279" i="24"/>
  <c r="X146" i="24"/>
  <c r="X184" i="24"/>
  <c r="X298" i="24"/>
  <c r="X424" i="24"/>
  <c r="X653" i="24"/>
  <c r="X286" i="24"/>
  <c r="X368" i="24"/>
  <c r="X634" i="24"/>
  <c r="X370" i="24"/>
  <c r="X530" i="24"/>
  <c r="X387" i="24"/>
  <c r="X148" i="24"/>
  <c r="X252" i="24"/>
  <c r="X409" i="24"/>
  <c r="X540" i="24"/>
  <c r="X105" i="24"/>
  <c r="X140" i="24"/>
  <c r="X191" i="24"/>
  <c r="X199" i="24"/>
  <c r="X289" i="24"/>
  <c r="X451" i="24"/>
  <c r="X657" i="24"/>
  <c r="X713" i="24"/>
  <c r="X607" i="24"/>
  <c r="X107" i="24"/>
  <c r="X224" i="24"/>
  <c r="X427" i="24"/>
  <c r="X200" i="24"/>
  <c r="X691" i="24"/>
  <c r="X242" i="24"/>
  <c r="X402" i="24"/>
  <c r="X518" i="24"/>
  <c r="X545" i="24"/>
  <c r="X650" i="24"/>
  <c r="X231" i="24"/>
  <c r="X257" i="24"/>
  <c r="X346" i="24"/>
  <c r="X456" i="24"/>
  <c r="X567" i="24"/>
  <c r="X265" i="24"/>
  <c r="X546" i="24"/>
  <c r="X578" i="24"/>
  <c r="X609" i="24"/>
  <c r="X475" i="24"/>
  <c r="X163" i="24"/>
  <c r="X240" i="24"/>
  <c r="X435" i="24"/>
  <c r="X165" i="24"/>
  <c r="X158" i="24"/>
  <c r="X180" i="24"/>
  <c r="X294" i="24"/>
  <c r="X365" i="24"/>
  <c r="X500" i="24"/>
  <c r="X547" i="24"/>
  <c r="X173" i="24"/>
  <c r="X303" i="24"/>
  <c r="X483" i="24"/>
  <c r="X606" i="24"/>
  <c r="X302" i="24"/>
  <c r="X174" i="24"/>
  <c r="X366" i="24"/>
  <c r="X501" i="24"/>
  <c r="X684" i="24"/>
  <c r="X682" i="24"/>
  <c r="X698" i="24"/>
  <c r="X602" i="24"/>
  <c r="X699" i="24"/>
  <c r="X579" i="24"/>
  <c r="X220" i="24"/>
  <c r="X360" i="24"/>
  <c r="X486" i="24"/>
  <c r="X611" i="24"/>
  <c r="X719" i="24"/>
  <c r="X498" i="24"/>
  <c r="X447" i="24"/>
  <c r="X549" i="24"/>
  <c r="X612" i="24"/>
  <c r="X711" i="24"/>
  <c r="X379" i="24"/>
  <c r="X630" i="24"/>
  <c r="X693" i="24"/>
  <c r="X323" i="24"/>
  <c r="X336" i="24"/>
  <c r="X380" i="24"/>
  <c r="X671" i="24"/>
  <c r="X355" i="24"/>
  <c r="X209" i="24"/>
  <c r="X280" i="24"/>
  <c r="X305" i="24"/>
  <c r="X550" i="24"/>
  <c r="X585" i="24"/>
  <c r="X543" i="24"/>
  <c r="X587" i="24"/>
  <c r="AU2" i="24"/>
  <c r="X774" i="25"/>
  <c r="X137" i="25"/>
  <c r="X782" i="25"/>
  <c r="X778" i="25"/>
  <c r="AU2" i="25"/>
  <c r="X770" i="25"/>
  <c r="X100" i="25"/>
  <c r="X584" i="24"/>
  <c r="X610" i="24"/>
  <c r="X663" i="24"/>
  <c r="X434" i="24"/>
  <c r="X703" i="24"/>
  <c r="X731" i="24"/>
  <c r="X469" i="24"/>
  <c r="X493" i="24"/>
  <c r="X571" i="24"/>
  <c r="X216" i="24"/>
  <c r="X230" i="24"/>
  <c r="X450" i="24"/>
  <c r="X511" i="24"/>
  <c r="X680" i="24"/>
  <c r="X111" i="24"/>
  <c r="X321" i="24"/>
  <c r="X408" i="24"/>
  <c r="X598" i="24"/>
  <c r="X330" i="24"/>
  <c r="X660" i="24"/>
  <c r="X695" i="24"/>
  <c r="X108" i="24"/>
  <c r="X256" i="24"/>
  <c r="X275" i="24"/>
  <c r="X466" i="24"/>
  <c r="X568" i="24"/>
  <c r="X714" i="24"/>
  <c r="X482" i="24"/>
  <c r="X508" i="24"/>
  <c r="X300" i="24"/>
  <c r="X374" i="24"/>
  <c r="X422" i="24"/>
  <c r="X272" i="24"/>
  <c r="X327" i="24"/>
  <c r="X358" i="24"/>
  <c r="X613" i="24"/>
  <c r="X117" i="24"/>
  <c r="X313" i="24"/>
  <c r="X544" i="24"/>
  <c r="X236" i="24"/>
  <c r="X309" i="24"/>
  <c r="X438" i="24"/>
  <c r="X583" i="24"/>
  <c r="X142" i="24"/>
  <c r="X281" i="24"/>
  <c r="X337" i="24"/>
  <c r="X389" i="24"/>
  <c r="X462" i="24"/>
  <c r="X496" i="24"/>
  <c r="X605" i="24"/>
  <c r="X297" i="24"/>
  <c r="X314" i="24"/>
  <c r="X128" i="24"/>
  <c r="X401" i="24"/>
  <c r="X114" i="24"/>
  <c r="X310" i="24"/>
  <c r="X162" i="24"/>
  <c r="X306" i="24"/>
  <c r="X454" i="24"/>
  <c r="X247" i="24"/>
  <c r="X575" i="24"/>
  <c r="X278" i="24"/>
  <c r="X377" i="24"/>
  <c r="X489" i="24"/>
  <c r="X664" i="24"/>
  <c r="X425" i="24"/>
  <c r="X260" i="24"/>
  <c r="X334" i="24"/>
  <c r="X465" i="24"/>
  <c r="X145" i="24"/>
  <c r="X392" i="24"/>
  <c r="X572" i="24"/>
  <c r="X362" i="24"/>
  <c r="X416" i="24"/>
  <c r="X541" i="24"/>
  <c r="X556" i="24"/>
  <c r="X665" i="24"/>
  <c r="X118" i="24"/>
  <c r="X386" i="24"/>
  <c r="X440" i="24"/>
  <c r="X700" i="24"/>
  <c r="X122" i="24"/>
  <c r="X217" i="24"/>
  <c r="X197" i="24"/>
  <c r="X403" i="24"/>
  <c r="X538" i="24"/>
  <c r="X599" i="24"/>
  <c r="X697" i="24"/>
  <c r="X175" i="25"/>
  <c r="X147" i="24"/>
  <c r="X177" i="24"/>
  <c r="X241" i="24"/>
  <c r="X394" i="24"/>
  <c r="X157" i="24"/>
  <c r="X221" i="24"/>
  <c r="X288" i="24"/>
  <c r="X690" i="24"/>
  <c r="X694" i="24"/>
  <c r="X708" i="24"/>
  <c r="X137" i="24"/>
  <c r="X441" i="24"/>
  <c r="X513" i="24"/>
  <c r="X531" i="24"/>
  <c r="X581" i="24"/>
  <c r="X727" i="24"/>
  <c r="X218" i="24"/>
  <c r="X329" i="24"/>
  <c r="X395" i="24"/>
  <c r="X198" i="24"/>
  <c r="X285" i="24"/>
  <c r="X292" i="24"/>
  <c r="X400" i="24"/>
  <c r="X705" i="24"/>
  <c r="X123" i="24"/>
  <c r="X141" i="24"/>
  <c r="X178" i="24"/>
  <c r="X354" i="24"/>
  <c r="X554" i="24"/>
  <c r="X608" i="24"/>
  <c r="X683" i="24"/>
  <c r="X210" i="24"/>
  <c r="X227" i="24"/>
  <c r="X207" i="24"/>
  <c r="X318" i="24"/>
  <c r="X335" i="24"/>
  <c r="X413" i="24"/>
  <c r="X167" i="24"/>
  <c r="X130" i="24"/>
  <c r="X295" i="24"/>
  <c r="X376" i="24"/>
  <c r="X238" i="24"/>
  <c r="X325" i="24"/>
  <c r="X557" i="24"/>
  <c r="X626" i="24"/>
  <c r="X190" i="24"/>
  <c r="X237" i="24"/>
  <c r="X459" i="24"/>
  <c r="X170" i="24"/>
  <c r="X187" i="24"/>
  <c r="X436" i="24"/>
  <c r="X150" i="24"/>
  <c r="X266" i="24"/>
  <c r="X444" i="24"/>
  <c r="X502" i="24"/>
  <c r="X678" i="24"/>
  <c r="X127" i="24"/>
  <c r="X201" i="24"/>
  <c r="X383" i="24"/>
  <c r="X407" i="24"/>
  <c r="X181" i="24"/>
  <c r="X135" i="25"/>
  <c r="X161" i="24"/>
  <c r="X437" i="24"/>
  <c r="X622" i="24"/>
  <c r="X655" i="24"/>
  <c r="X138" i="24"/>
  <c r="X222" i="24"/>
  <c r="X453" i="24"/>
  <c r="X646" i="24"/>
  <c r="X687" i="24"/>
  <c r="X463" i="24"/>
  <c r="X596" i="24"/>
  <c r="X654" i="24"/>
  <c r="X580" i="24"/>
  <c r="X113" i="24"/>
  <c r="X577" i="24"/>
  <c r="X391" i="24"/>
  <c r="X290" i="24"/>
  <c r="X385" i="24"/>
  <c r="X418" i="24"/>
  <c r="X679" i="24"/>
  <c r="X689" i="24"/>
  <c r="X709" i="24"/>
  <c r="X388" i="24"/>
  <c r="X497" i="24"/>
  <c r="X675" i="24"/>
  <c r="X132" i="24"/>
  <c r="X152" i="24"/>
  <c r="X172" i="24"/>
  <c r="X192" i="24"/>
  <c r="X212" i="24"/>
  <c r="X232" i="24"/>
  <c r="X255" i="24"/>
  <c r="X277" i="24"/>
  <c r="X326" i="24"/>
  <c r="X421" i="24"/>
  <c r="X439" i="24"/>
  <c r="X524" i="24"/>
  <c r="X597" i="24"/>
  <c r="X548" i="24"/>
  <c r="X704" i="24"/>
  <c r="X320" i="24"/>
  <c r="X378" i="24"/>
  <c r="X393" i="24"/>
  <c r="X582" i="24"/>
  <c r="X592" i="24"/>
  <c r="X464" i="24"/>
  <c r="X315" i="24"/>
  <c r="X426" i="24"/>
  <c r="X449" i="24"/>
  <c r="X452" i="24"/>
  <c r="X455" i="24"/>
  <c r="X484" i="24"/>
  <c r="X562" i="24"/>
  <c r="X674" i="24"/>
  <c r="H30" i="8"/>
  <c r="H6" i="8"/>
  <c r="H34" i="8" l="1"/>
  <c r="C34" i="8"/>
  <c r="H32" i="8"/>
  <c r="X1" i="6" l="1"/>
  <c r="U40" i="6"/>
  <c r="L3" i="6"/>
  <c r="K3" i="6"/>
  <c r="N6" i="23" l="1"/>
  <c r="N8" i="23"/>
  <c r="N12" i="23"/>
  <c r="J30" i="23"/>
  <c r="J28" i="23"/>
  <c r="J26" i="23"/>
  <c r="E30" i="23"/>
  <c r="H64" i="23" l="1"/>
  <c r="F68" i="23"/>
  <c r="F67" i="23"/>
  <c r="H65" i="23"/>
  <c r="F25" i="6" l="1"/>
  <c r="F24" i="6"/>
  <c r="F23" i="6"/>
  <c r="F21" i="6"/>
  <c r="AH71" i="31" l="1"/>
  <c r="AH71" i="25"/>
  <c r="AH71" i="24"/>
  <c r="AH62" i="31"/>
  <c r="AH62" i="25"/>
  <c r="AH62" i="24"/>
  <c r="AH68" i="31"/>
  <c r="AH68" i="25"/>
  <c r="AH68" i="24"/>
  <c r="AH74" i="31"/>
  <c r="AH74" i="25"/>
  <c r="AH74" i="24"/>
  <c r="G31" i="6"/>
  <c r="G30" i="6"/>
  <c r="J73" i="8" l="1"/>
  <c r="C76" i="8"/>
  <c r="C72" i="8"/>
  <c r="C71" i="8"/>
  <c r="C70" i="8"/>
  <c r="C69" i="8"/>
  <c r="C68" i="8"/>
  <c r="C67" i="8"/>
  <c r="H25" i="8" l="1"/>
  <c r="C10" i="8"/>
  <c r="H8" i="8"/>
  <c r="F29" i="6"/>
  <c r="F28" i="6"/>
  <c r="F27" i="6"/>
  <c r="F26" i="6"/>
  <c r="F22" i="6"/>
  <c r="F20" i="6"/>
  <c r="F19" i="6"/>
  <c r="F18" i="6"/>
  <c r="F17" i="6"/>
  <c r="G29" i="6"/>
  <c r="G28" i="6"/>
  <c r="G27" i="6"/>
  <c r="G26" i="6"/>
  <c r="G25" i="6"/>
  <c r="G24" i="6"/>
  <c r="G23" i="6"/>
  <c r="G21" i="6"/>
  <c r="G20" i="6"/>
  <c r="G19" i="6"/>
  <c r="G17" i="6"/>
  <c r="J77" i="8"/>
  <c r="J57" i="8"/>
  <c r="J52" i="8"/>
  <c r="C79" i="8"/>
  <c r="C78" i="8"/>
  <c r="C66" i="8"/>
  <c r="C65" i="8"/>
  <c r="C64" i="8"/>
  <c r="C63" i="8"/>
  <c r="C62" i="8"/>
  <c r="B42" i="28" s="1"/>
  <c r="C61" i="8"/>
  <c r="B41" i="28" s="1"/>
  <c r="C60" i="8"/>
  <c r="C58" i="8"/>
  <c r="C51" i="8"/>
  <c r="C50" i="8"/>
  <c r="J50" i="8" s="1"/>
  <c r="C48" i="8"/>
  <c r="J48" i="8" s="1"/>
  <c r="D4" i="8"/>
  <c r="D2" i="8"/>
  <c r="D3" i="8"/>
  <c r="H10" i="8"/>
  <c r="H14" i="8"/>
  <c r="H38" i="8"/>
  <c r="V1" i="6"/>
  <c r="K4" i="6"/>
  <c r="L4" i="6"/>
  <c r="K5" i="6"/>
  <c r="L5" i="6"/>
  <c r="K6" i="6"/>
  <c r="L6" i="6"/>
  <c r="K7" i="6"/>
  <c r="L7" i="6"/>
  <c r="K8" i="6"/>
  <c r="L8" i="6"/>
  <c r="K9" i="6"/>
  <c r="L9" i="6"/>
  <c r="K10" i="6"/>
  <c r="L10" i="6"/>
  <c r="K11" i="6"/>
  <c r="L11" i="6"/>
  <c r="K12" i="6"/>
  <c r="L12" i="6"/>
  <c r="K13" i="6"/>
  <c r="L13" i="6"/>
  <c r="K14" i="6"/>
  <c r="L14" i="6"/>
  <c r="K15" i="6"/>
  <c r="L15" i="6"/>
  <c r="K16" i="6"/>
  <c r="L16" i="6"/>
  <c r="K17" i="6"/>
  <c r="L17" i="6"/>
  <c r="K18" i="6"/>
  <c r="L18" i="6"/>
  <c r="K19" i="6"/>
  <c r="L19" i="6"/>
  <c r="K20" i="6"/>
  <c r="L20" i="6"/>
  <c r="K21" i="6"/>
  <c r="L21" i="6"/>
  <c r="K22" i="6"/>
  <c r="L22" i="6"/>
  <c r="K23" i="6"/>
  <c r="L23" i="6"/>
  <c r="K24" i="6"/>
  <c r="L24" i="6"/>
  <c r="K25" i="6"/>
  <c r="L25" i="6"/>
  <c r="K26" i="6"/>
  <c r="L26" i="6"/>
  <c r="K27" i="6"/>
  <c r="L27" i="6"/>
  <c r="K28" i="6"/>
  <c r="L28" i="6"/>
  <c r="K29" i="6"/>
  <c r="L29" i="6"/>
  <c r="E46" i="6"/>
  <c r="D50" i="6"/>
  <c r="D53" i="6"/>
  <c r="W48" i="6" s="1"/>
  <c r="W50" i="6" s="1"/>
  <c r="W52" i="6" s="1"/>
  <c r="E22" i="6" s="1"/>
  <c r="G18" i="6"/>
  <c r="M393" i="31" l="1"/>
  <c r="M740" i="25"/>
  <c r="M692" i="25"/>
  <c r="M660" i="25"/>
  <c r="M641" i="25"/>
  <c r="M741" i="25"/>
  <c r="M691" i="25"/>
  <c r="M676" i="25"/>
  <c r="M639" i="25"/>
  <c r="M440" i="31"/>
  <c r="L379" i="31"/>
  <c r="M389" i="31"/>
  <c r="M384" i="31"/>
  <c r="M719" i="25"/>
  <c r="M669" i="25"/>
  <c r="M651" i="25"/>
  <c r="M725" i="25"/>
  <c r="M718" i="25"/>
  <c r="M700" i="25"/>
  <c r="M685" i="25"/>
  <c r="M668" i="25"/>
  <c r="M650" i="25"/>
  <c r="K726" i="25"/>
  <c r="M715" i="25"/>
  <c r="M665" i="25"/>
  <c r="M646" i="25"/>
  <c r="M689" i="25"/>
  <c r="M743" i="25"/>
  <c r="M673" i="25"/>
  <c r="M723" i="25"/>
  <c r="M702" i="25"/>
  <c r="K725" i="25"/>
  <c r="M699" i="25"/>
  <c r="M649" i="25"/>
  <c r="M726" i="25"/>
  <c r="M738" i="25"/>
  <c r="M716" i="25"/>
  <c r="M682" i="25"/>
  <c r="M666" i="25"/>
  <c r="M647" i="25"/>
  <c r="K682" i="25"/>
  <c r="M655" i="25"/>
  <c r="K379" i="31"/>
  <c r="K655" i="25"/>
  <c r="M688" i="25"/>
  <c r="M672" i="25"/>
  <c r="M654" i="25"/>
  <c r="K723" i="25"/>
  <c r="M687" i="25"/>
  <c r="M671" i="25"/>
  <c r="M686" i="25"/>
  <c r="M670" i="25"/>
  <c r="M652" i="25"/>
  <c r="M717" i="25"/>
  <c r="M667" i="25"/>
  <c r="M648" i="25"/>
  <c r="M714" i="25"/>
  <c r="M664" i="25"/>
  <c r="M645" i="25"/>
  <c r="K391" i="31"/>
  <c r="M739" i="25"/>
  <c r="K714" i="25"/>
  <c r="M680" i="25"/>
  <c r="M644" i="25"/>
  <c r="M391" i="31"/>
  <c r="K680" i="25"/>
  <c r="M662" i="25"/>
  <c r="M643" i="25"/>
  <c r="M659" i="25"/>
  <c r="M640" i="25"/>
  <c r="K676" i="25"/>
  <c r="M657" i="25"/>
  <c r="M638" i="25"/>
  <c r="M379" i="31"/>
  <c r="M742" i="25"/>
  <c r="M690" i="25"/>
  <c r="M674" i="25"/>
  <c r="M656" i="25"/>
  <c r="M637" i="25"/>
  <c r="M636" i="25"/>
  <c r="M653" i="25"/>
  <c r="K393" i="31"/>
  <c r="M661" i="25"/>
  <c r="M642" i="25"/>
  <c r="L682" i="25"/>
  <c r="L655" i="25"/>
  <c r="L676" i="25"/>
  <c r="L680" i="25"/>
  <c r="L714" i="25"/>
  <c r="L391" i="31"/>
  <c r="L393" i="31"/>
  <c r="L723" i="25"/>
  <c r="L726" i="25"/>
  <c r="L725" i="25"/>
  <c r="M283" i="31"/>
  <c r="K283" i="31"/>
  <c r="L283" i="31"/>
  <c r="M291" i="31"/>
  <c r="K291" i="31"/>
  <c r="L291" i="31"/>
  <c r="K111" i="31"/>
  <c r="M111" i="31"/>
  <c r="L111" i="31"/>
  <c r="M353" i="31"/>
  <c r="K345" i="31"/>
  <c r="K344" i="31"/>
  <c r="K353" i="31"/>
  <c r="L353" i="31"/>
  <c r="L371" i="31"/>
  <c r="L372" i="31"/>
  <c r="L362" i="31"/>
  <c r="L361" i="31"/>
  <c r="L363" i="31"/>
  <c r="L358" i="31"/>
  <c r="L367" i="31"/>
  <c r="L366" i="31"/>
  <c r="L376" i="31"/>
  <c r="L375" i="31"/>
  <c r="M365" i="31"/>
  <c r="M366" i="31"/>
  <c r="K365" i="31"/>
  <c r="M368" i="31"/>
  <c r="M377" i="31"/>
  <c r="K368" i="31"/>
  <c r="L377" i="31"/>
  <c r="M372" i="31"/>
  <c r="K377" i="31"/>
  <c r="K372" i="31"/>
  <c r="M367" i="31"/>
  <c r="M378" i="31"/>
  <c r="M371" i="31"/>
  <c r="M363" i="31"/>
  <c r="L378" i="31"/>
  <c r="K371" i="31"/>
  <c r="K363" i="31"/>
  <c r="K378" i="31"/>
  <c r="K358" i="31"/>
  <c r="M370" i="31"/>
  <c r="M362" i="31"/>
  <c r="K362" i="31"/>
  <c r="M358" i="31"/>
  <c r="M369" i="31"/>
  <c r="M376" i="31"/>
  <c r="K369" i="31"/>
  <c r="K376" i="31"/>
  <c r="K367" i="31"/>
  <c r="M361" i="31"/>
  <c r="M357" i="31"/>
  <c r="K361" i="31"/>
  <c r="M364" i="31"/>
  <c r="K357" i="31"/>
  <c r="K366" i="31"/>
  <c r="M356" i="31"/>
  <c r="K370" i="31"/>
  <c r="L368" i="31"/>
  <c r="L369" i="31"/>
  <c r="L365" i="31"/>
  <c r="L370" i="31"/>
  <c r="L357" i="31"/>
  <c r="M373" i="31"/>
  <c r="K373" i="31"/>
  <c r="M375" i="31"/>
  <c r="K375" i="31"/>
  <c r="M374" i="31"/>
  <c r="K374" i="31"/>
  <c r="L373" i="31"/>
  <c r="L374" i="31"/>
  <c r="M360" i="31"/>
  <c r="M355" i="31"/>
  <c r="K355" i="31"/>
  <c r="M275" i="31"/>
  <c r="K275" i="31"/>
  <c r="M354" i="31"/>
  <c r="M351" i="31"/>
  <c r="K354" i="31"/>
  <c r="M352" i="31"/>
  <c r="K352" i="31"/>
  <c r="L352" i="31"/>
  <c r="L355" i="31"/>
  <c r="L354" i="31"/>
  <c r="L275" i="31"/>
  <c r="M350" i="31"/>
  <c r="K350" i="31"/>
  <c r="M349" i="31"/>
  <c r="K349" i="31"/>
  <c r="M348" i="31"/>
  <c r="K348" i="31"/>
  <c r="K346" i="31"/>
  <c r="M346" i="31"/>
  <c r="L349" i="31"/>
  <c r="K347" i="31"/>
  <c r="M424" i="25"/>
  <c r="M358" i="25"/>
  <c r="M368" i="25"/>
  <c r="M363" i="25"/>
  <c r="K314" i="25"/>
  <c r="M357" i="25"/>
  <c r="K313" i="25"/>
  <c r="K357" i="25"/>
  <c r="M362" i="25"/>
  <c r="K362" i="25"/>
  <c r="M420" i="25"/>
  <c r="K367" i="25"/>
  <c r="K339" i="25"/>
  <c r="K318" i="25"/>
  <c r="L420" i="25"/>
  <c r="M356" i="25"/>
  <c r="K420" i="25"/>
  <c r="K356" i="25"/>
  <c r="M366" i="25"/>
  <c r="M338" i="25"/>
  <c r="M369" i="25"/>
  <c r="K336" i="25"/>
  <c r="K315" i="25"/>
  <c r="K364" i="25"/>
  <c r="M334" i="25"/>
  <c r="K334" i="25"/>
  <c r="L346" i="31"/>
  <c r="L424" i="25"/>
  <c r="K358" i="25"/>
  <c r="K340" i="25"/>
  <c r="K312" i="25"/>
  <c r="K405" i="25"/>
  <c r="M367" i="25"/>
  <c r="L367" i="25"/>
  <c r="M339" i="25"/>
  <c r="M318" i="25"/>
  <c r="M355" i="25"/>
  <c r="M316" i="25"/>
  <c r="M345" i="31"/>
  <c r="K355" i="25"/>
  <c r="M335" i="25"/>
  <c r="K316" i="25"/>
  <c r="M359" i="25"/>
  <c r="K335" i="25"/>
  <c r="M336" i="25"/>
  <c r="M344" i="31"/>
  <c r="K359" i="25"/>
  <c r="M341" i="25"/>
  <c r="M347" i="31"/>
  <c r="K341" i="25"/>
  <c r="L348" i="31"/>
  <c r="K424" i="25"/>
  <c r="K368" i="25"/>
  <c r="K363" i="25"/>
  <c r="M340" i="25"/>
  <c r="M313" i="25"/>
  <c r="M312" i="25"/>
  <c r="L350" i="31"/>
  <c r="M405" i="25"/>
  <c r="K366" i="25"/>
  <c r="K338" i="25"/>
  <c r="M317" i="25"/>
  <c r="K317" i="25"/>
  <c r="M360" i="25"/>
  <c r="M365" i="25"/>
  <c r="M337" i="25"/>
  <c r="K360" i="25"/>
  <c r="K365" i="25"/>
  <c r="K337" i="25"/>
  <c r="M315" i="25"/>
  <c r="K369" i="25"/>
  <c r="M364" i="25"/>
  <c r="M314" i="25"/>
  <c r="L362" i="25"/>
  <c r="L356" i="25"/>
  <c r="L340" i="25"/>
  <c r="L357" i="25"/>
  <c r="L369" i="25"/>
  <c r="L315" i="25"/>
  <c r="L335" i="25"/>
  <c r="L337" i="25"/>
  <c r="L359" i="25"/>
  <c r="L317" i="25"/>
  <c r="L339" i="25"/>
  <c r="L363" i="25"/>
  <c r="L360" i="25"/>
  <c r="L368" i="25"/>
  <c r="L365" i="25"/>
  <c r="L338" i="25"/>
  <c r="L313" i="25"/>
  <c r="L366" i="25"/>
  <c r="L358" i="25"/>
  <c r="L314" i="25"/>
  <c r="L318" i="25"/>
  <c r="L316" i="25"/>
  <c r="L312" i="25"/>
  <c r="L344" i="31"/>
  <c r="L364" i="25"/>
  <c r="L345" i="31"/>
  <c r="L341" i="25"/>
  <c r="L347" i="31"/>
  <c r="L334" i="25"/>
  <c r="L405" i="25"/>
  <c r="L336" i="25"/>
  <c r="L355" i="25"/>
  <c r="K250" i="25"/>
  <c r="M288" i="31"/>
  <c r="M207" i="25"/>
  <c r="M290" i="31"/>
  <c r="K290" i="31"/>
  <c r="M244" i="25"/>
  <c r="K205" i="25"/>
  <c r="K299" i="25"/>
  <c r="M292" i="31"/>
  <c r="K293" i="31"/>
  <c r="K288" i="31"/>
  <c r="M243" i="25"/>
  <c r="M213" i="25"/>
  <c r="K207" i="25"/>
  <c r="M300" i="25"/>
  <c r="K243" i="25"/>
  <c r="M296" i="31"/>
  <c r="K213" i="25"/>
  <c r="L300" i="25"/>
  <c r="L296" i="31"/>
  <c r="K300" i="25"/>
  <c r="K296" i="31"/>
  <c r="M205" i="25"/>
  <c r="M204" i="25"/>
  <c r="M299" i="25"/>
  <c r="K244" i="25"/>
  <c r="K204" i="25"/>
  <c r="M295" i="31"/>
  <c r="K245" i="25"/>
  <c r="M220" i="25"/>
  <c r="K295" i="31"/>
  <c r="K201" i="25"/>
  <c r="M219" i="25"/>
  <c r="M250" i="25"/>
  <c r="M293" i="31"/>
  <c r="K220" i="25"/>
  <c r="M289" i="31"/>
  <c r="M218" i="25"/>
  <c r="K289" i="31"/>
  <c r="M251" i="25"/>
  <c r="K218" i="25"/>
  <c r="M294" i="31"/>
  <c r="K251" i="25"/>
  <c r="K294" i="31"/>
  <c r="M286" i="31"/>
  <c r="K286" i="31"/>
  <c r="K219" i="25"/>
  <c r="K292" i="31"/>
  <c r="L295" i="31"/>
  <c r="M201" i="25"/>
  <c r="L288" i="31"/>
  <c r="L293" i="31"/>
  <c r="L220" i="25"/>
  <c r="L213" i="25"/>
  <c r="L218" i="25"/>
  <c r="L201" i="25"/>
  <c r="L286" i="31"/>
  <c r="L244" i="25"/>
  <c r="L294" i="31"/>
  <c r="L290" i="31"/>
  <c r="L207" i="25"/>
  <c r="L299" i="25"/>
  <c r="L251" i="25"/>
  <c r="L250" i="25"/>
  <c r="L292" i="31"/>
  <c r="L243" i="25"/>
  <c r="L219" i="25"/>
  <c r="L289" i="31"/>
  <c r="L204" i="25"/>
  <c r="L205" i="25"/>
  <c r="M152" i="25"/>
  <c r="K152" i="25"/>
  <c r="M153" i="25"/>
  <c r="K153" i="25"/>
  <c r="M131" i="25"/>
  <c r="K131" i="25"/>
  <c r="M134" i="25"/>
  <c r="K134" i="25"/>
  <c r="L134" i="25"/>
  <c r="L152" i="25"/>
  <c r="L153" i="25"/>
  <c r="L131" i="25"/>
  <c r="M117" i="25"/>
  <c r="M122" i="25"/>
  <c r="M119" i="25"/>
  <c r="K119" i="25"/>
  <c r="M115" i="25"/>
  <c r="K115" i="25"/>
  <c r="M116" i="25"/>
  <c r="K116" i="25"/>
  <c r="M123" i="25"/>
  <c r="M107" i="25"/>
  <c r="L123" i="25"/>
  <c r="K107" i="25"/>
  <c r="K123" i="25"/>
  <c r="K117" i="25"/>
  <c r="K122" i="25"/>
  <c r="M141" i="25"/>
  <c r="K141" i="25"/>
  <c r="L115" i="25"/>
  <c r="M429" i="31"/>
  <c r="L119" i="25"/>
  <c r="M430" i="31"/>
  <c r="L141" i="25"/>
  <c r="M435" i="31"/>
  <c r="L117" i="25"/>
  <c r="L122" i="25"/>
  <c r="L116" i="25"/>
  <c r="L107" i="25"/>
  <c r="M431" i="31"/>
  <c r="K435" i="31"/>
  <c r="L435" i="31"/>
  <c r="M508" i="25"/>
  <c r="M462" i="25"/>
  <c r="K341" i="31"/>
  <c r="K318" i="31"/>
  <c r="K303" i="31"/>
  <c r="K298" i="31"/>
  <c r="K336" i="31"/>
  <c r="M312" i="31"/>
  <c r="M327" i="31"/>
  <c r="M340" i="31"/>
  <c r="M317" i="31"/>
  <c r="K312" i="31"/>
  <c r="K327" i="31"/>
  <c r="L340" i="31"/>
  <c r="M335" i="31"/>
  <c r="K317" i="31"/>
  <c r="M302" i="31"/>
  <c r="K326" i="31"/>
  <c r="K232" i="31"/>
  <c r="M319" i="31"/>
  <c r="M310" i="31"/>
  <c r="K301" i="31"/>
  <c r="M333" i="31"/>
  <c r="K310" i="31"/>
  <c r="K333" i="31"/>
  <c r="M315" i="31"/>
  <c r="K325" i="31"/>
  <c r="K300" i="31"/>
  <c r="K334" i="31"/>
  <c r="K321" i="31"/>
  <c r="M331" i="31"/>
  <c r="M299" i="31"/>
  <c r="M320" i="31"/>
  <c r="K337" i="31"/>
  <c r="K297" i="31"/>
  <c r="K328" i="31"/>
  <c r="K340" i="31"/>
  <c r="K335" i="31"/>
  <c r="M311" i="31"/>
  <c r="K302" i="31"/>
  <c r="M316" i="31"/>
  <c r="K311" i="31"/>
  <c r="M326" i="31"/>
  <c r="K316" i="31"/>
  <c r="M301" i="31"/>
  <c r="M232" i="31"/>
  <c r="K319" i="31"/>
  <c r="M325" i="31"/>
  <c r="L315" i="31"/>
  <c r="M332" i="31"/>
  <c r="M300" i="31"/>
  <c r="M334" i="31"/>
  <c r="K315" i="31"/>
  <c r="K332" i="31"/>
  <c r="M324" i="31"/>
  <c r="M321" i="31"/>
  <c r="K324" i="31"/>
  <c r="M314" i="31"/>
  <c r="M339" i="31"/>
  <c r="K314" i="31"/>
  <c r="K331" i="31"/>
  <c r="M297" i="31"/>
  <c r="K339" i="31"/>
  <c r="M337" i="31"/>
  <c r="L297" i="31"/>
  <c r="K299" i="31"/>
  <c r="K320" i="31"/>
  <c r="M313" i="31"/>
  <c r="K313" i="31"/>
  <c r="M328" i="31"/>
  <c r="M341" i="31"/>
  <c r="M336" i="31"/>
  <c r="M318" i="31"/>
  <c r="M303" i="31"/>
  <c r="M298" i="31"/>
  <c r="L232" i="31"/>
  <c r="L314" i="31"/>
  <c r="L328" i="31"/>
  <c r="L320" i="31"/>
  <c r="L335" i="31"/>
  <c r="L325" i="31"/>
  <c r="L327" i="31"/>
  <c r="L319" i="31"/>
  <c r="L324" i="31"/>
  <c r="L339" i="31"/>
  <c r="L303" i="31"/>
  <c r="L299" i="31"/>
  <c r="L311" i="31"/>
  <c r="L334" i="31"/>
  <c r="L316" i="31"/>
  <c r="L331" i="31"/>
  <c r="L332" i="31"/>
  <c r="L301" i="31"/>
  <c r="L300" i="31"/>
  <c r="L312" i="31"/>
  <c r="L337" i="31"/>
  <c r="L336" i="31"/>
  <c r="L326" i="31"/>
  <c r="L333" i="31"/>
  <c r="L318" i="31"/>
  <c r="L310" i="31"/>
  <c r="L298" i="31"/>
  <c r="L341" i="31"/>
  <c r="L313" i="31"/>
  <c r="L302" i="31"/>
  <c r="L321" i="31"/>
  <c r="L317" i="31"/>
  <c r="K265" i="31"/>
  <c r="M265" i="31"/>
  <c r="L265" i="31"/>
  <c r="K306" i="31"/>
  <c r="K305" i="31"/>
  <c r="M304" i="31"/>
  <c r="K304" i="31"/>
  <c r="M308" i="31"/>
  <c r="K308" i="31"/>
  <c r="M307" i="31"/>
  <c r="M305" i="31"/>
  <c r="K307" i="31"/>
  <c r="M306" i="31"/>
  <c r="L304" i="31"/>
  <c r="L308" i="31"/>
  <c r="L305" i="31"/>
  <c r="L306" i="31"/>
  <c r="L307" i="31"/>
  <c r="M109" i="31"/>
  <c r="M107" i="31"/>
  <c r="K107" i="31"/>
  <c r="K109" i="31"/>
  <c r="K108" i="31"/>
  <c r="M219" i="31"/>
  <c r="K219" i="31"/>
  <c r="M108" i="31"/>
  <c r="L107" i="31"/>
  <c r="L108" i="31"/>
  <c r="L219" i="31"/>
  <c r="M217" i="31"/>
  <c r="L109" i="31"/>
  <c r="M221" i="31"/>
  <c r="K221" i="31"/>
  <c r="M220" i="31"/>
  <c r="K220" i="31"/>
  <c r="K217" i="31"/>
  <c r="L221" i="31"/>
  <c r="L217" i="31"/>
  <c r="L220" i="31"/>
  <c r="E62" i="23"/>
  <c r="D55" i="6"/>
  <c r="M322" i="31"/>
  <c r="M323" i="31"/>
  <c r="K323" i="31"/>
  <c r="M330" i="31"/>
  <c r="M329" i="31"/>
  <c r="K329" i="31"/>
  <c r="K322" i="31"/>
  <c r="L330" i="31"/>
  <c r="K330" i="31"/>
  <c r="L322" i="31"/>
  <c r="L323" i="31"/>
  <c r="L329" i="31"/>
  <c r="L183" i="25"/>
  <c r="K183" i="25"/>
  <c r="M287" i="31"/>
  <c r="L287" i="31"/>
  <c r="K287" i="31"/>
  <c r="K342" i="31"/>
  <c r="M342" i="31"/>
  <c r="M183" i="25"/>
  <c r="L342" i="31"/>
  <c r="M239" i="25"/>
  <c r="K239" i="25"/>
  <c r="M166" i="25"/>
  <c r="K166" i="25"/>
  <c r="M259" i="25"/>
  <c r="K259" i="25"/>
  <c r="L166" i="25"/>
  <c r="L259" i="25"/>
  <c r="L239" i="25"/>
  <c r="M169" i="25"/>
  <c r="M162" i="25"/>
  <c r="K162" i="25"/>
  <c r="M171" i="25"/>
  <c r="K171" i="25"/>
  <c r="K170" i="25"/>
  <c r="K169" i="25"/>
  <c r="M168" i="25"/>
  <c r="K168" i="25"/>
  <c r="M170" i="25"/>
  <c r="L169" i="25"/>
  <c r="L162" i="25"/>
  <c r="L170" i="25"/>
  <c r="L168" i="25"/>
  <c r="L171" i="25"/>
  <c r="K625" i="25"/>
  <c r="L619" i="25"/>
  <c r="M629" i="25"/>
  <c r="K619" i="25"/>
  <c r="M614" i="25"/>
  <c r="M598" i="25"/>
  <c r="M583" i="25"/>
  <c r="M464" i="25"/>
  <c r="K567" i="25"/>
  <c r="M553" i="25"/>
  <c r="M518" i="25"/>
  <c r="M483" i="25"/>
  <c r="M475" i="25"/>
  <c r="M421" i="31"/>
  <c r="K553" i="25"/>
  <c r="M526" i="25"/>
  <c r="M491" i="25"/>
  <c r="M626" i="25"/>
  <c r="M521" i="25"/>
  <c r="M433" i="31"/>
  <c r="L395" i="31"/>
  <c r="M615" i="25"/>
  <c r="M484" i="25"/>
  <c r="K415" i="31"/>
  <c r="K629" i="25"/>
  <c r="M624" i="25"/>
  <c r="K614" i="25"/>
  <c r="K590" i="25"/>
  <c r="K583" i="25"/>
  <c r="M507" i="25"/>
  <c r="L620" i="25"/>
  <c r="M501" i="25"/>
  <c r="L404" i="31"/>
  <c r="M529" i="25"/>
  <c r="M485" i="25"/>
  <c r="M415" i="31"/>
  <c r="M599" i="25"/>
  <c r="M590" i="25"/>
  <c r="K545" i="25"/>
  <c r="K624" i="25"/>
  <c r="M566" i="25"/>
  <c r="M517" i="25"/>
  <c r="M498" i="25"/>
  <c r="M482" i="25"/>
  <c r="M426" i="31"/>
  <c r="M420" i="31"/>
  <c r="M628" i="25"/>
  <c r="K566" i="25"/>
  <c r="M497" i="25"/>
  <c r="K618" i="25"/>
  <c r="L597" i="25"/>
  <c r="M580" i="25"/>
  <c r="K437" i="31"/>
  <c r="K416" i="31"/>
  <c r="L580" i="25"/>
  <c r="M489" i="25"/>
  <c r="M616" i="25"/>
  <c r="L593" i="25"/>
  <c r="M586" i="25"/>
  <c r="M494" i="25"/>
  <c r="M600" i="25"/>
  <c r="M585" i="25"/>
  <c r="K520" i="25"/>
  <c r="L545" i="25"/>
  <c r="M509" i="25"/>
  <c r="M422" i="31"/>
  <c r="M618" i="25"/>
  <c r="M589" i="25"/>
  <c r="M463" i="25"/>
  <c r="K526" i="25"/>
  <c r="M506" i="25"/>
  <c r="M490" i="25"/>
  <c r="M474" i="25"/>
  <c r="M437" i="31"/>
  <c r="K426" i="31"/>
  <c r="M623" i="25"/>
  <c r="L618" i="25"/>
  <c r="M604" i="25"/>
  <c r="M597" i="25"/>
  <c r="M516" i="25"/>
  <c r="M481" i="25"/>
  <c r="L437" i="31"/>
  <c r="M416" i="31"/>
  <c r="M525" i="25"/>
  <c r="M505" i="25"/>
  <c r="M425" i="31"/>
  <c r="K604" i="25"/>
  <c r="M461" i="25"/>
  <c r="M565" i="25"/>
  <c r="K505" i="25"/>
  <c r="M496" i="25"/>
  <c r="M480" i="25"/>
  <c r="M473" i="25"/>
  <c r="M609" i="25"/>
  <c r="K471" i="25"/>
  <c r="M569" i="25"/>
  <c r="K494" i="25"/>
  <c r="K616" i="25"/>
  <c r="M395" i="31"/>
  <c r="L415" i="31"/>
  <c r="M476" i="25"/>
  <c r="M619" i="25"/>
  <c r="M492" i="25"/>
  <c r="M499" i="25"/>
  <c r="L628" i="25"/>
  <c r="L604" i="25"/>
  <c r="M588" i="25"/>
  <c r="M515" i="25"/>
  <c r="K425" i="31"/>
  <c r="M601" i="25"/>
  <c r="K620" i="25"/>
  <c r="M511" i="25"/>
  <c r="M477" i="25"/>
  <c r="K600" i="25"/>
  <c r="M568" i="25"/>
  <c r="M625" i="25"/>
  <c r="M608" i="25"/>
  <c r="M465" i="25"/>
  <c r="K568" i="25"/>
  <c r="M545" i="25"/>
  <c r="M528" i="25"/>
  <c r="M432" i="31"/>
  <c r="L625" i="25"/>
  <c r="K615" i="25"/>
  <c r="K599" i="25"/>
  <c r="M519" i="25"/>
  <c r="K484" i="25"/>
  <c r="M527" i="25"/>
  <c r="K628" i="25"/>
  <c r="M622" i="25"/>
  <c r="K597" i="25"/>
  <c r="M512" i="25"/>
  <c r="M486" i="25"/>
  <c r="L616" i="25"/>
  <c r="M466" i="25"/>
  <c r="K404" i="31"/>
  <c r="M592" i="25"/>
  <c r="M510" i="25"/>
  <c r="K395" i="31"/>
  <c r="K500" i="25"/>
  <c r="K509" i="25"/>
  <c r="K622" i="25"/>
  <c r="M617" i="25"/>
  <c r="K580" i="25"/>
  <c r="K565" i="25"/>
  <c r="M562" i="25"/>
  <c r="M540" i="25"/>
  <c r="M532" i="25"/>
  <c r="M524" i="25"/>
  <c r="M621" i="25"/>
  <c r="M587" i="25"/>
  <c r="M495" i="25"/>
  <c r="K479" i="25"/>
  <c r="M472" i="25"/>
  <c r="K627" i="25"/>
  <c r="M602" i="25"/>
  <c r="M563" i="25"/>
  <c r="K495" i="25"/>
  <c r="M487" i="25"/>
  <c r="M593" i="25"/>
  <c r="K570" i="25"/>
  <c r="M531" i="25"/>
  <c r="M404" i="31"/>
  <c r="K593" i="25"/>
  <c r="M423" i="31"/>
  <c r="M428" i="31"/>
  <c r="M627" i="25"/>
  <c r="K617" i="25"/>
  <c r="M603" i="25"/>
  <c r="K540" i="25"/>
  <c r="M514" i="25"/>
  <c r="M504" i="25"/>
  <c r="M488" i="25"/>
  <c r="M479" i="25"/>
  <c r="L627" i="25"/>
  <c r="M570" i="25"/>
  <c r="K532" i="25"/>
  <c r="M523" i="25"/>
  <c r="K621" i="25"/>
  <c r="L570" i="25"/>
  <c r="M539" i="25"/>
  <c r="M513" i="25"/>
  <c r="K563" i="25"/>
  <c r="K539" i="25"/>
  <c r="M522" i="25"/>
  <c r="M502" i="25"/>
  <c r="M478" i="25"/>
  <c r="M471" i="25"/>
  <c r="M620" i="25"/>
  <c r="M530" i="25"/>
  <c r="M434" i="31"/>
  <c r="L626" i="25"/>
  <c r="K569" i="25"/>
  <c r="K626" i="25"/>
  <c r="M520" i="25"/>
  <c r="M493" i="25"/>
  <c r="M500" i="25"/>
  <c r="M567" i="25"/>
  <c r="L568" i="25"/>
  <c r="L494" i="25"/>
  <c r="L416" i="31"/>
  <c r="L484" i="25"/>
  <c r="L567" i="25"/>
  <c r="L583" i="25"/>
  <c r="L553" i="25"/>
  <c r="L566" i="25"/>
  <c r="L599" i="25"/>
  <c r="L532" i="25"/>
  <c r="L614" i="25"/>
  <c r="L471" i="25"/>
  <c r="L495" i="25"/>
  <c r="L590" i="25"/>
  <c r="L540" i="25"/>
  <c r="L621" i="25"/>
  <c r="L425" i="31"/>
  <c r="L563" i="25"/>
  <c r="L526" i="25"/>
  <c r="L539" i="25"/>
  <c r="L426" i="31"/>
  <c r="L428" i="31"/>
  <c r="L629" i="25"/>
  <c r="L569" i="25"/>
  <c r="L500" i="25"/>
  <c r="L565" i="25"/>
  <c r="L617" i="25"/>
  <c r="L624" i="25"/>
  <c r="L622" i="25"/>
  <c r="L520" i="25"/>
  <c r="L505" i="25"/>
  <c r="L479" i="25"/>
  <c r="L615" i="25"/>
  <c r="L600" i="25"/>
  <c r="L509" i="25"/>
  <c r="M143" i="25"/>
  <c r="K143" i="25"/>
  <c r="L143" i="25"/>
  <c r="M392" i="25"/>
  <c r="K392" i="25"/>
  <c r="M225" i="25"/>
  <c r="K225" i="25"/>
  <c r="M224" i="25"/>
  <c r="K224" i="25"/>
  <c r="L225" i="25"/>
  <c r="L392" i="25"/>
  <c r="L224" i="25"/>
  <c r="K438" i="25"/>
  <c r="M442" i="25"/>
  <c r="M379" i="25"/>
  <c r="L379" i="25"/>
  <c r="K442" i="25"/>
  <c r="M443" i="25"/>
  <c r="K391" i="25"/>
  <c r="K443" i="25"/>
  <c r="M440" i="25"/>
  <c r="K376" i="25"/>
  <c r="M437" i="25"/>
  <c r="K437" i="25"/>
  <c r="M444" i="25"/>
  <c r="K444" i="25"/>
  <c r="K436" i="25"/>
  <c r="M391" i="25"/>
  <c r="K440" i="25"/>
  <c r="M376" i="25"/>
  <c r="K435" i="25"/>
  <c r="M378" i="25"/>
  <c r="M441" i="25"/>
  <c r="M445" i="25"/>
  <c r="K441" i="25"/>
  <c r="K445" i="25"/>
  <c r="M439" i="25"/>
  <c r="M438" i="25"/>
  <c r="K439" i="25"/>
  <c r="L438" i="25"/>
  <c r="K379" i="25"/>
  <c r="M435" i="25"/>
  <c r="M436" i="25"/>
  <c r="K378" i="25"/>
  <c r="L378" i="25"/>
  <c r="L444" i="25"/>
  <c r="L441" i="25"/>
  <c r="L436" i="25"/>
  <c r="L440" i="25"/>
  <c r="L443" i="25"/>
  <c r="L391" i="25"/>
  <c r="L437" i="25"/>
  <c r="L442" i="25"/>
  <c r="L445" i="25"/>
  <c r="L439" i="25"/>
  <c r="L376" i="25"/>
  <c r="L435" i="25"/>
  <c r="M422" i="25"/>
  <c r="M386" i="25"/>
  <c r="K349" i="25"/>
  <c r="K399" i="25"/>
  <c r="K388" i="25"/>
  <c r="M373" i="25"/>
  <c r="M343" i="25"/>
  <c r="K423" i="25"/>
  <c r="K422" i="25"/>
  <c r="K386" i="25"/>
  <c r="M349" i="25"/>
  <c r="M372" i="25"/>
  <c r="K361" i="25"/>
  <c r="M387" i="25"/>
  <c r="K353" i="25"/>
  <c r="K401" i="25"/>
  <c r="K397" i="25"/>
  <c r="M361" i="25"/>
  <c r="M388" i="25"/>
  <c r="M354" i="25"/>
  <c r="K347" i="25"/>
  <c r="M398" i="25"/>
  <c r="K371" i="25"/>
  <c r="M353" i="25"/>
  <c r="M401" i="25"/>
  <c r="M381" i="25"/>
  <c r="M352" i="25"/>
  <c r="K381" i="25"/>
  <c r="K352" i="25"/>
  <c r="M350" i="25"/>
  <c r="K350" i="25"/>
  <c r="M399" i="25"/>
  <c r="M385" i="25"/>
  <c r="K385" i="25"/>
  <c r="K372" i="25"/>
  <c r="M347" i="25"/>
  <c r="K354" i="25"/>
  <c r="K398" i="25"/>
  <c r="K387" i="25"/>
  <c r="K373" i="25"/>
  <c r="M397" i="25"/>
  <c r="K370" i="25"/>
  <c r="M351" i="25"/>
  <c r="K343" i="25"/>
  <c r="M423" i="25"/>
  <c r="M371" i="25"/>
  <c r="M370" i="25"/>
  <c r="K351" i="25"/>
  <c r="L422" i="25"/>
  <c r="L386" i="25"/>
  <c r="M345" i="25"/>
  <c r="L350" i="25"/>
  <c r="K345" i="25"/>
  <c r="L423" i="25"/>
  <c r="L349" i="25"/>
  <c r="L388" i="25"/>
  <c r="L401" i="25"/>
  <c r="L372" i="25"/>
  <c r="L351" i="25"/>
  <c r="L370" i="25"/>
  <c r="L361" i="25"/>
  <c r="M348" i="25"/>
  <c r="L399" i="25"/>
  <c r="L343" i="25"/>
  <c r="L381" i="25"/>
  <c r="L373" i="25"/>
  <c r="M346" i="25"/>
  <c r="K346" i="25"/>
  <c r="M333" i="25"/>
  <c r="L347" i="25"/>
  <c r="L385" i="25"/>
  <c r="K348" i="25"/>
  <c r="L398" i="25"/>
  <c r="L354" i="25"/>
  <c r="L353" i="25"/>
  <c r="L352" i="25"/>
  <c r="K333" i="25"/>
  <c r="K344" i="25"/>
  <c r="L371" i="25"/>
  <c r="M342" i="25"/>
  <c r="K342" i="25"/>
  <c r="L397" i="25"/>
  <c r="M344" i="25"/>
  <c r="L387" i="25"/>
  <c r="L333" i="25"/>
  <c r="L344" i="25"/>
  <c r="M328" i="25"/>
  <c r="K328" i="25"/>
  <c r="M332" i="25"/>
  <c r="K332" i="25"/>
  <c r="K329" i="25"/>
  <c r="L346" i="25"/>
  <c r="L342" i="25"/>
  <c r="K327" i="25"/>
  <c r="M326" i="25"/>
  <c r="K331" i="25"/>
  <c r="M330" i="25"/>
  <c r="L348" i="25"/>
  <c r="M329" i="25"/>
  <c r="M327" i="25"/>
  <c r="K326" i="25"/>
  <c r="M331" i="25"/>
  <c r="K330" i="25"/>
  <c r="L345" i="25"/>
  <c r="L329" i="25"/>
  <c r="L326" i="25"/>
  <c r="L331" i="25"/>
  <c r="L332" i="25"/>
  <c r="L328" i="25"/>
  <c r="L327" i="25"/>
  <c r="L330" i="25"/>
  <c r="M324" i="25"/>
  <c r="K308" i="25"/>
  <c r="M323" i="25"/>
  <c r="M307" i="25"/>
  <c r="L319" i="25"/>
  <c r="M306" i="25"/>
  <c r="K306" i="25"/>
  <c r="M305" i="25"/>
  <c r="K322" i="25"/>
  <c r="M325" i="25"/>
  <c r="M321" i="25"/>
  <c r="M311" i="25"/>
  <c r="K325" i="25"/>
  <c r="K321" i="25"/>
  <c r="M320" i="25"/>
  <c r="K320" i="25"/>
  <c r="M310" i="25"/>
  <c r="M322" i="25"/>
  <c r="K305" i="25"/>
  <c r="K311" i="25"/>
  <c r="M309" i="25"/>
  <c r="K309" i="25"/>
  <c r="K324" i="25"/>
  <c r="M319" i="25"/>
  <c r="L323" i="25"/>
  <c r="K323" i="25"/>
  <c r="K310" i="25"/>
  <c r="M308" i="25"/>
  <c r="K307" i="25"/>
  <c r="K319" i="25"/>
  <c r="L321" i="25"/>
  <c r="L325" i="25"/>
  <c r="L307" i="25"/>
  <c r="L322" i="25"/>
  <c r="L324" i="25"/>
  <c r="L305" i="25"/>
  <c r="L309" i="25"/>
  <c r="L311" i="25"/>
  <c r="L308" i="25"/>
  <c r="L306" i="25"/>
  <c r="L310" i="25"/>
  <c r="L320" i="25"/>
  <c r="M272" i="25"/>
  <c r="K286" i="25"/>
  <c r="M267" i="25"/>
  <c r="K285" i="25"/>
  <c r="M283" i="25"/>
  <c r="M271" i="25"/>
  <c r="K267" i="25"/>
  <c r="K269" i="25"/>
  <c r="M270" i="25"/>
  <c r="K283" i="25"/>
  <c r="M281" i="25"/>
  <c r="K270" i="25"/>
  <c r="K281" i="25"/>
  <c r="M282" i="25"/>
  <c r="K271" i="25"/>
  <c r="K282" i="25"/>
  <c r="K272" i="25"/>
  <c r="M286" i="25"/>
  <c r="M268" i="25"/>
  <c r="K268" i="25"/>
  <c r="M285" i="25"/>
  <c r="K266" i="25"/>
  <c r="M269" i="25"/>
  <c r="M284" i="25"/>
  <c r="K284" i="25"/>
  <c r="M266" i="25"/>
  <c r="L268" i="25"/>
  <c r="L284" i="25"/>
  <c r="M161" i="25"/>
  <c r="K161" i="25"/>
  <c r="L271" i="25"/>
  <c r="K278" i="25"/>
  <c r="K181" i="25"/>
  <c r="L281" i="25"/>
  <c r="L285" i="25"/>
  <c r="L272" i="25"/>
  <c r="M278" i="25"/>
  <c r="L266" i="25"/>
  <c r="M181" i="25"/>
  <c r="L282" i="25"/>
  <c r="M279" i="25"/>
  <c r="K279" i="25"/>
  <c r="L267" i="25"/>
  <c r="L283" i="25"/>
  <c r="L269" i="25"/>
  <c r="M280" i="25"/>
  <c r="K280" i="25"/>
  <c r="L270" i="25"/>
  <c r="L286" i="25"/>
  <c r="L278" i="25"/>
  <c r="L280" i="25"/>
  <c r="L279" i="25"/>
  <c r="L181" i="25"/>
  <c r="L161" i="25"/>
  <c r="K211" i="25"/>
  <c r="M202" i="25"/>
  <c r="K202" i="25"/>
  <c r="M210" i="25"/>
  <c r="K210" i="25"/>
  <c r="K249" i="25"/>
  <c r="M238" i="25"/>
  <c r="K238" i="25"/>
  <c r="K189" i="25"/>
  <c r="M223" i="25"/>
  <c r="K223" i="25"/>
  <c r="K180" i="25"/>
  <c r="M180" i="25"/>
  <c r="K206" i="25"/>
  <c r="K237" i="25"/>
  <c r="M182" i="25"/>
  <c r="K200" i="25"/>
  <c r="M211" i="25"/>
  <c r="M214" i="25"/>
  <c r="M249" i="25"/>
  <c r="K212" i="25"/>
  <c r="K187" i="25"/>
  <c r="M208" i="25"/>
  <c r="K208" i="25"/>
  <c r="K214" i="25"/>
  <c r="M209" i="25"/>
  <c r="K209" i="25"/>
  <c r="K255" i="25"/>
  <c r="M212" i="25"/>
  <c r="M189" i="25"/>
  <c r="K182" i="25"/>
  <c r="M255" i="25"/>
  <c r="M206" i="25"/>
  <c r="M237" i="25"/>
  <c r="M200" i="25"/>
  <c r="L202" i="25"/>
  <c r="L200" i="25"/>
  <c r="L249" i="25"/>
  <c r="L237" i="25"/>
  <c r="L206" i="25"/>
  <c r="L210" i="25"/>
  <c r="L182" i="25"/>
  <c r="L223" i="25"/>
  <c r="L212" i="25"/>
  <c r="K203" i="25"/>
  <c r="L238" i="25"/>
  <c r="L180" i="25"/>
  <c r="L189" i="25"/>
  <c r="L255" i="25"/>
  <c r="L211" i="25"/>
  <c r="L214" i="25"/>
  <c r="L208" i="25"/>
  <c r="L209" i="25"/>
  <c r="M203" i="25"/>
  <c r="L203" i="25"/>
  <c r="K157" i="25"/>
  <c r="M157" i="25"/>
  <c r="L157" i="25"/>
  <c r="M147" i="25"/>
  <c r="K147" i="25"/>
  <c r="K159" i="25"/>
  <c r="M158" i="25"/>
  <c r="M156" i="25"/>
  <c r="M159" i="25"/>
  <c r="K156" i="25"/>
  <c r="M160" i="25"/>
  <c r="K160" i="25"/>
  <c r="K158" i="25"/>
  <c r="L147" i="25"/>
  <c r="K150" i="25"/>
  <c r="L158" i="25"/>
  <c r="M146" i="25"/>
  <c r="M151" i="25"/>
  <c r="L159" i="25"/>
  <c r="K148" i="25"/>
  <c r="L156" i="25"/>
  <c r="M149" i="25"/>
  <c r="K149" i="25"/>
  <c r="L160" i="25"/>
  <c r="M148" i="25"/>
  <c r="K146" i="25"/>
  <c r="K151" i="25"/>
  <c r="M150" i="25"/>
  <c r="L146" i="25"/>
  <c r="L151" i="25"/>
  <c r="L150" i="25"/>
  <c r="L149" i="25"/>
  <c r="L148" i="25"/>
  <c r="M226" i="25"/>
  <c r="K226" i="25"/>
  <c r="L226" i="25"/>
  <c r="K285" i="31"/>
  <c r="K269" i="31"/>
  <c r="M269" i="31"/>
  <c r="M285" i="31"/>
  <c r="L269" i="31"/>
  <c r="L285" i="31"/>
  <c r="M284" i="31"/>
  <c r="M228" i="31"/>
  <c r="K284" i="31"/>
  <c r="M222" i="31"/>
  <c r="M226" i="31"/>
  <c r="K222" i="31"/>
  <c r="L226" i="31"/>
  <c r="K226" i="31"/>
  <c r="M218" i="31"/>
  <c r="K218" i="31"/>
  <c r="M225" i="31"/>
  <c r="K225" i="31"/>
  <c r="M230" i="31"/>
  <c r="M229" i="31"/>
  <c r="K229" i="31"/>
  <c r="M224" i="31"/>
  <c r="L224" i="31"/>
  <c r="K224" i="31"/>
  <c r="M223" i="31"/>
  <c r="K223" i="31"/>
  <c r="M227" i="31"/>
  <c r="K227" i="31"/>
  <c r="K230" i="31"/>
  <c r="K228" i="31"/>
  <c r="L225" i="31"/>
  <c r="L218" i="31"/>
  <c r="L229" i="31"/>
  <c r="L230" i="31"/>
  <c r="L227" i="31"/>
  <c r="L284" i="31"/>
  <c r="L228" i="31"/>
  <c r="L222" i="31"/>
  <c r="L223" i="31"/>
  <c r="M209" i="31"/>
  <c r="K209" i="31"/>
  <c r="M208" i="31"/>
  <c r="L208" i="31"/>
  <c r="K208" i="31"/>
  <c r="L209" i="31"/>
  <c r="AH56" i="31"/>
  <c r="AH56" i="25"/>
  <c r="AH56" i="24"/>
  <c r="M247" i="31"/>
  <c r="K247" i="31"/>
  <c r="M184" i="25"/>
  <c r="K184" i="25"/>
  <c r="M190" i="25"/>
  <c r="L190" i="25"/>
  <c r="K190" i="25"/>
  <c r="M191" i="25"/>
  <c r="K191" i="25"/>
  <c r="L184" i="25"/>
  <c r="M266" i="31"/>
  <c r="L247" i="31"/>
  <c r="L191" i="25"/>
  <c r="K266" i="31"/>
  <c r="L266" i="31"/>
  <c r="M259" i="31"/>
  <c r="K259" i="31"/>
  <c r="M393" i="25"/>
  <c r="K393" i="25"/>
  <c r="L259" i="31"/>
  <c r="L393" i="25"/>
  <c r="M417" i="25"/>
  <c r="K418" i="25"/>
  <c r="L231" i="25"/>
  <c r="K417" i="25"/>
  <c r="K419" i="25"/>
  <c r="M418" i="25"/>
  <c r="M231" i="25"/>
  <c r="M419" i="25"/>
  <c r="K231" i="25"/>
  <c r="K400" i="25"/>
  <c r="K384" i="25"/>
  <c r="M298" i="25"/>
  <c r="M186" i="25"/>
  <c r="M179" i="25"/>
  <c r="K303" i="25"/>
  <c r="M106" i="25"/>
  <c r="L417" i="25"/>
  <c r="M287" i="25"/>
  <c r="M396" i="25"/>
  <c r="K289" i="25"/>
  <c r="K302" i="25"/>
  <c r="K446" i="25"/>
  <c r="M260" i="25"/>
  <c r="K395" i="25"/>
  <c r="M400" i="25"/>
  <c r="K288" i="25"/>
  <c r="M410" i="25"/>
  <c r="M277" i="25"/>
  <c r="K276" i="25"/>
  <c r="K396" i="25"/>
  <c r="M297" i="25"/>
  <c r="K217" i="25"/>
  <c r="K410" i="25"/>
  <c r="M390" i="25"/>
  <c r="M273" i="25"/>
  <c r="K298" i="25"/>
  <c r="K277" i="25"/>
  <c r="M276" i="25"/>
  <c r="K179" i="25"/>
  <c r="K222" i="25"/>
  <c r="K188" i="25"/>
  <c r="M414" i="25"/>
  <c r="K383" i="25"/>
  <c r="K407" i="25"/>
  <c r="M394" i="25"/>
  <c r="M375" i="25"/>
  <c r="M196" i="25"/>
  <c r="M382" i="25"/>
  <c r="M256" i="25"/>
  <c r="M416" i="25"/>
  <c r="K390" i="25"/>
  <c r="K273" i="25"/>
  <c r="M303" i="25"/>
  <c r="K106" i="25"/>
  <c r="M304" i="25"/>
  <c r="M407" i="25"/>
  <c r="K301" i="25"/>
  <c r="M288" i="25"/>
  <c r="M216" i="25"/>
  <c r="K416" i="25"/>
  <c r="M409" i="25"/>
  <c r="K186" i="25"/>
  <c r="M415" i="25"/>
  <c r="K198" i="25"/>
  <c r="M383" i="25"/>
  <c r="M413" i="25"/>
  <c r="M187" i="25"/>
  <c r="K216" i="25"/>
  <c r="L419" i="25"/>
  <c r="K409" i="25"/>
  <c r="M374" i="25"/>
  <c r="K374" i="25"/>
  <c r="M222" i="25"/>
  <c r="M389" i="25"/>
  <c r="K415" i="25"/>
  <c r="M408" i="25"/>
  <c r="K287" i="25"/>
  <c r="K304" i="25"/>
  <c r="M265" i="25"/>
  <c r="M198" i="25"/>
  <c r="M188" i="25"/>
  <c r="M289" i="25"/>
  <c r="K414" i="25"/>
  <c r="K196" i="25"/>
  <c r="K411" i="25"/>
  <c r="K256" i="25"/>
  <c r="L418" i="25"/>
  <c r="K408" i="25"/>
  <c r="K265" i="25"/>
  <c r="M302" i="25"/>
  <c r="M446" i="25"/>
  <c r="K412" i="25"/>
  <c r="K375" i="25"/>
  <c r="M411" i="25"/>
  <c r="M384" i="25"/>
  <c r="K275" i="25"/>
  <c r="K413" i="25"/>
  <c r="M406" i="25"/>
  <c r="K394" i="25"/>
  <c r="K389" i="25"/>
  <c r="M377" i="25"/>
  <c r="K297" i="25"/>
  <c r="M197" i="25"/>
  <c r="K260" i="25"/>
  <c r="M425" i="25"/>
  <c r="K406" i="25"/>
  <c r="K377" i="25"/>
  <c r="K197" i="25"/>
  <c r="K425" i="25"/>
  <c r="M412" i="25"/>
  <c r="M395" i="25"/>
  <c r="M301" i="25"/>
  <c r="M254" i="25"/>
  <c r="M217" i="25"/>
  <c r="K254" i="25"/>
  <c r="M275" i="25"/>
  <c r="K382" i="25"/>
  <c r="L196" i="25"/>
  <c r="L406" i="25"/>
  <c r="L301" i="25"/>
  <c r="L298" i="25"/>
  <c r="L197" i="25"/>
  <c r="L400" i="25"/>
  <c r="L288" i="25"/>
  <c r="L106" i="25"/>
  <c r="L413" i="25"/>
  <c r="L389" i="25"/>
  <c r="L273" i="25"/>
  <c r="L414" i="25"/>
  <c r="L396" i="25"/>
  <c r="L289" i="25"/>
  <c r="L374" i="25"/>
  <c r="L390" i="25"/>
  <c r="L275" i="25"/>
  <c r="L187" i="25"/>
  <c r="L188" i="25"/>
  <c r="L276" i="25"/>
  <c r="L265" i="25"/>
  <c r="L297" i="25"/>
  <c r="L411" i="25"/>
  <c r="L412" i="25"/>
  <c r="L382" i="25"/>
  <c r="L222" i="25"/>
  <c r="L302" i="25"/>
  <c r="L395" i="25"/>
  <c r="L415" i="25"/>
  <c r="L446" i="25"/>
  <c r="L186" i="25"/>
  <c r="L383" i="25"/>
  <c r="L407" i="25"/>
  <c r="L394" i="25"/>
  <c r="L375" i="25"/>
  <c r="L277" i="25"/>
  <c r="L198" i="25"/>
  <c r="L256" i="25"/>
  <c r="L408" i="25"/>
  <c r="L425" i="25"/>
  <c r="L304" i="25"/>
  <c r="L254" i="25"/>
  <c r="L409" i="25"/>
  <c r="L384" i="25"/>
  <c r="L216" i="25"/>
  <c r="L416" i="25"/>
  <c r="L377" i="25"/>
  <c r="L179" i="25"/>
  <c r="L410" i="25"/>
  <c r="L260" i="25"/>
  <c r="L303" i="25"/>
  <c r="L287" i="25"/>
  <c r="L217" i="25"/>
  <c r="M248" i="31"/>
  <c r="K248" i="31"/>
  <c r="M249" i="31"/>
  <c r="K249" i="31"/>
  <c r="L248" i="31"/>
  <c r="L249" i="31"/>
  <c r="M264" i="31"/>
  <c r="K264" i="31"/>
  <c r="M281" i="31"/>
  <c r="K281" i="31"/>
  <c r="M282" i="31"/>
  <c r="K282" i="31"/>
  <c r="K268" i="31"/>
  <c r="M268" i="31"/>
  <c r="M267" i="31"/>
  <c r="K267" i="31"/>
  <c r="L267" i="31"/>
  <c r="L268" i="31"/>
  <c r="L264" i="31"/>
  <c r="L282" i="31"/>
  <c r="L281" i="31"/>
  <c r="M278" i="31"/>
  <c r="M276" i="31"/>
  <c r="K276" i="31"/>
  <c r="M277" i="31"/>
  <c r="K277" i="31"/>
  <c r="M280" i="31"/>
  <c r="M279" i="31"/>
  <c r="K280" i="31"/>
  <c r="K279" i="31"/>
  <c r="K278" i="31"/>
  <c r="L276" i="31"/>
  <c r="L280" i="31"/>
  <c r="L278" i="31"/>
  <c r="L279" i="31"/>
  <c r="L277" i="31"/>
  <c r="M343" i="31"/>
  <c r="K343" i="31"/>
  <c r="M263" i="31"/>
  <c r="K263" i="31"/>
  <c r="L263" i="31"/>
  <c r="L343" i="31"/>
  <c r="K271" i="31"/>
  <c r="K274" i="31"/>
  <c r="K273" i="31"/>
  <c r="M270" i="31"/>
  <c r="M272" i="31"/>
  <c r="M309" i="31"/>
  <c r="K272" i="31"/>
  <c r="M271" i="31"/>
  <c r="K270" i="31"/>
  <c r="K309" i="31"/>
  <c r="K244" i="31"/>
  <c r="M274" i="31"/>
  <c r="M244" i="31"/>
  <c r="M273" i="31"/>
  <c r="L270" i="31"/>
  <c r="L309" i="31"/>
  <c r="L274" i="31"/>
  <c r="L272" i="31"/>
  <c r="L271" i="31"/>
  <c r="L244" i="31"/>
  <c r="L273" i="31"/>
  <c r="K112" i="31"/>
  <c r="M252" i="31"/>
  <c r="K242" i="31"/>
  <c r="M245" i="31"/>
  <c r="M106" i="31"/>
  <c r="M246" i="31"/>
  <c r="M253" i="25"/>
  <c r="M110" i="31"/>
  <c r="M240" i="25"/>
  <c r="M251" i="31"/>
  <c r="K251" i="31"/>
  <c r="K246" i="25"/>
  <c r="K241" i="25"/>
  <c r="K255" i="31"/>
  <c r="L112" i="31"/>
  <c r="K252" i="31"/>
  <c r="M252" i="25"/>
  <c r="K252" i="25"/>
  <c r="M236" i="25"/>
  <c r="K236" i="25"/>
  <c r="K246" i="31"/>
  <c r="M257" i="31"/>
  <c r="M243" i="31"/>
  <c r="K243" i="31"/>
  <c r="M112" i="31"/>
  <c r="M245" i="25"/>
  <c r="K245" i="31"/>
  <c r="K253" i="25"/>
  <c r="K258" i="31"/>
  <c r="M242" i="25"/>
  <c r="M246" i="25"/>
  <c r="M250" i="31"/>
  <c r="M255" i="31"/>
  <c r="M258" i="31"/>
  <c r="M247" i="25"/>
  <c r="K240" i="25"/>
  <c r="M241" i="25"/>
  <c r="K250" i="31"/>
  <c r="M242" i="31"/>
  <c r="K257" i="31"/>
  <c r="K242" i="25"/>
  <c r="K247" i="25"/>
  <c r="L247" i="25"/>
  <c r="L245" i="25"/>
  <c r="L236" i="25"/>
  <c r="L257" i="31"/>
  <c r="L245" i="31"/>
  <c r="L258" i="31"/>
  <c r="L255" i="31"/>
  <c r="L251" i="31"/>
  <c r="L252" i="25"/>
  <c r="L241" i="25"/>
  <c r="L246" i="31"/>
  <c r="L242" i="25"/>
  <c r="L242" i="31"/>
  <c r="L253" i="25"/>
  <c r="L252" i="31"/>
  <c r="L250" i="31"/>
  <c r="L240" i="25"/>
  <c r="L243" i="31"/>
  <c r="L246" i="25"/>
  <c r="M221" i="25"/>
  <c r="K221" i="25"/>
  <c r="M167" i="25"/>
  <c r="K167" i="25"/>
  <c r="K215" i="25"/>
  <c r="M199" i="25"/>
  <c r="M215" i="25"/>
  <c r="K199" i="25"/>
  <c r="L221" i="25"/>
  <c r="L199" i="25"/>
  <c r="L167" i="25"/>
  <c r="L215" i="25"/>
  <c r="K172" i="25"/>
  <c r="K163" i="25"/>
  <c r="M164" i="25"/>
  <c r="M172" i="25"/>
  <c r="K164" i="25"/>
  <c r="M165" i="25"/>
  <c r="K165" i="25"/>
  <c r="M163" i="25"/>
  <c r="L165" i="25"/>
  <c r="L172" i="25"/>
  <c r="L163" i="25"/>
  <c r="L164" i="25"/>
  <c r="K140" i="25"/>
  <c r="K380" i="25"/>
  <c r="M380" i="25"/>
  <c r="M140" i="25"/>
  <c r="L140" i="25"/>
  <c r="L380" i="25"/>
  <c r="M139" i="25"/>
  <c r="K295" i="25"/>
  <c r="K139" i="25"/>
  <c r="M142" i="25"/>
  <c r="K142" i="25"/>
  <c r="M294" i="25"/>
  <c r="K294" i="25"/>
  <c r="M295" i="25"/>
  <c r="L295" i="25"/>
  <c r="K124" i="25"/>
  <c r="L294" i="25"/>
  <c r="L142" i="25"/>
  <c r="M111" i="25"/>
  <c r="K111" i="25"/>
  <c r="K120" i="25"/>
  <c r="K125" i="25"/>
  <c r="L139" i="25"/>
  <c r="M118" i="25"/>
  <c r="K118" i="25"/>
  <c r="K121" i="25"/>
  <c r="M125" i="25"/>
  <c r="M121" i="25"/>
  <c r="M120" i="25"/>
  <c r="M124" i="25"/>
  <c r="L120" i="25"/>
  <c r="L121" i="25"/>
  <c r="L124" i="25"/>
  <c r="L118" i="25"/>
  <c r="L111" i="25"/>
  <c r="L125" i="25"/>
  <c r="M234" i="31"/>
  <c r="K233" i="31"/>
  <c r="K106" i="31"/>
  <c r="K105" i="31"/>
  <c r="K234" i="31"/>
  <c r="M233" i="31"/>
  <c r="K110" i="31"/>
  <c r="M105" i="31"/>
  <c r="L106" i="31"/>
  <c r="L110" i="31"/>
  <c r="L234" i="31"/>
  <c r="L233" i="31"/>
  <c r="L105" i="31"/>
  <c r="M211" i="31"/>
  <c r="K211" i="31"/>
  <c r="M238" i="31"/>
  <c r="K231" i="31"/>
  <c r="K238" i="31"/>
  <c r="M210" i="31"/>
  <c r="M216" i="31"/>
  <c r="K210" i="31"/>
  <c r="K216" i="31"/>
  <c r="K237" i="31"/>
  <c r="M215" i="31"/>
  <c r="M236" i="31"/>
  <c r="K236" i="31"/>
  <c r="M207" i="31"/>
  <c r="K214" i="31"/>
  <c r="K207" i="31"/>
  <c r="M235" i="31"/>
  <c r="M213" i="31"/>
  <c r="M212" i="31"/>
  <c r="M239" i="31"/>
  <c r="M231" i="31"/>
  <c r="K239" i="31"/>
  <c r="K215" i="31"/>
  <c r="M214" i="31"/>
  <c r="K235" i="31"/>
  <c r="K213" i="31"/>
  <c r="K212" i="31"/>
  <c r="M237" i="31"/>
  <c r="L231" i="31"/>
  <c r="L213" i="31"/>
  <c r="L214" i="31"/>
  <c r="L210" i="31"/>
  <c r="L239" i="31"/>
  <c r="L236" i="31"/>
  <c r="L207" i="31"/>
  <c r="L212" i="31"/>
  <c r="L237" i="31"/>
  <c r="L238" i="31"/>
  <c r="L235" i="31"/>
  <c r="L216" i="31"/>
  <c r="L211" i="31"/>
  <c r="L215" i="31"/>
  <c r="M128" i="25"/>
  <c r="M132" i="25"/>
  <c r="K132" i="25"/>
  <c r="M129" i="25"/>
  <c r="K128" i="25"/>
  <c r="K129" i="25"/>
  <c r="M127" i="25"/>
  <c r="K127" i="25"/>
  <c r="M130" i="25"/>
  <c r="K130" i="25"/>
  <c r="L127" i="25"/>
  <c r="L132" i="25"/>
  <c r="L128" i="25"/>
  <c r="L130" i="25"/>
  <c r="L129" i="25"/>
  <c r="M174" i="25"/>
  <c r="K258" i="25"/>
  <c r="M296" i="25"/>
  <c r="K257" i="25"/>
  <c r="M138" i="25"/>
  <c r="K174" i="25"/>
  <c r="M144" i="25"/>
  <c r="K144" i="25"/>
  <c r="K296" i="25"/>
  <c r="M257" i="25"/>
  <c r="M248" i="25"/>
  <c r="K248" i="25"/>
  <c r="M155" i="25"/>
  <c r="K155" i="25"/>
  <c r="M154" i="25"/>
  <c r="M258" i="25"/>
  <c r="K154" i="25"/>
  <c r="M145" i="25"/>
  <c r="K145" i="25"/>
  <c r="K138" i="25"/>
  <c r="L248" i="25"/>
  <c r="L296" i="25"/>
  <c r="L257" i="25"/>
  <c r="L144" i="25"/>
  <c r="L138" i="25"/>
  <c r="L145" i="25"/>
  <c r="L174" i="25"/>
  <c r="L154" i="25"/>
  <c r="L155" i="25"/>
  <c r="L258" i="25"/>
  <c r="K113" i="25"/>
  <c r="M113" i="25"/>
  <c r="M114" i="25"/>
  <c r="K114" i="25"/>
  <c r="L113" i="25"/>
  <c r="L114" i="25"/>
  <c r="M105" i="25"/>
  <c r="K105" i="25"/>
  <c r="M109" i="25"/>
  <c r="K109" i="25"/>
  <c r="L105" i="25"/>
  <c r="L109" i="25"/>
  <c r="M108" i="25"/>
  <c r="K108" i="25"/>
  <c r="M126" i="25"/>
  <c r="K126" i="25"/>
  <c r="K133" i="25"/>
  <c r="M112" i="25"/>
  <c r="K112" i="25"/>
  <c r="K110" i="25"/>
  <c r="K104" i="31"/>
  <c r="M110" i="25"/>
  <c r="M133" i="25"/>
  <c r="M104" i="31"/>
  <c r="L104" i="31"/>
  <c r="M197" i="31"/>
  <c r="M190" i="31"/>
  <c r="K183" i="31"/>
  <c r="K176" i="31"/>
  <c r="M147" i="31"/>
  <c r="M140" i="31"/>
  <c r="K133" i="31"/>
  <c r="K126" i="31"/>
  <c r="M117" i="31"/>
  <c r="K167" i="31"/>
  <c r="M131" i="31"/>
  <c r="M240" i="31"/>
  <c r="M157" i="31"/>
  <c r="K156" i="31"/>
  <c r="L108" i="25"/>
  <c r="M447" i="31"/>
  <c r="K197" i="31"/>
  <c r="K190" i="31"/>
  <c r="M168" i="31"/>
  <c r="M161" i="31"/>
  <c r="K147" i="31"/>
  <c r="K140" i="31"/>
  <c r="M118" i="31"/>
  <c r="K175" i="31"/>
  <c r="M153" i="31"/>
  <c r="M146" i="31"/>
  <c r="K160" i="31"/>
  <c r="L110" i="25"/>
  <c r="M187" i="31"/>
  <c r="K173" i="31"/>
  <c r="M130" i="31"/>
  <c r="M201" i="31"/>
  <c r="M158" i="31"/>
  <c r="K186" i="31"/>
  <c r="K143" i="31"/>
  <c r="K192" i="31"/>
  <c r="M191" i="31"/>
  <c r="M148" i="31"/>
  <c r="K120" i="31"/>
  <c r="M155" i="31"/>
  <c r="M126" i="31"/>
  <c r="K447" i="31"/>
  <c r="M182" i="31"/>
  <c r="M175" i="31"/>
  <c r="K168" i="31"/>
  <c r="K161" i="31"/>
  <c r="M132" i="31"/>
  <c r="M125" i="31"/>
  <c r="K118" i="31"/>
  <c r="K132" i="31"/>
  <c r="M138" i="31"/>
  <c r="K117" i="31"/>
  <c r="K100" i="31"/>
  <c r="K166" i="31"/>
  <c r="K123" i="31"/>
  <c r="K116" i="31"/>
  <c r="K187" i="31"/>
  <c r="M200" i="31"/>
  <c r="M163" i="31"/>
  <c r="K135" i="31"/>
  <c r="K163" i="31"/>
  <c r="K113" i="31"/>
  <c r="M162" i="31"/>
  <c r="K155" i="31"/>
  <c r="M455" i="31"/>
  <c r="M203" i="31"/>
  <c r="M196" i="31"/>
  <c r="K182" i="31"/>
  <c r="K125" i="31"/>
  <c r="M151" i="31"/>
  <c r="K162" i="31"/>
  <c r="L126" i="25"/>
  <c r="K455" i="31"/>
  <c r="M262" i="31"/>
  <c r="K203" i="31"/>
  <c r="K196" i="31"/>
  <c r="M167" i="31"/>
  <c r="M160" i="31"/>
  <c r="K153" i="31"/>
  <c r="K146" i="31"/>
  <c r="M100" i="31"/>
  <c r="K137" i="31"/>
  <c r="K170" i="31"/>
  <c r="K262" i="31"/>
  <c r="M188" i="31"/>
  <c r="M181" i="31"/>
  <c r="M137" i="31"/>
  <c r="K130" i="31"/>
  <c r="M451" i="31"/>
  <c r="M198" i="31"/>
  <c r="L133" i="25"/>
  <c r="M202" i="31"/>
  <c r="M195" i="31"/>
  <c r="K188" i="31"/>
  <c r="K181" i="31"/>
  <c r="M152" i="31"/>
  <c r="M145" i="31"/>
  <c r="K138" i="31"/>
  <c r="K131" i="31"/>
  <c r="K180" i="31"/>
  <c r="K193" i="31"/>
  <c r="M150" i="31"/>
  <c r="M127" i="31"/>
  <c r="K198" i="31"/>
  <c r="M183" i="31"/>
  <c r="L112" i="25"/>
  <c r="M261" i="31"/>
  <c r="K202" i="31"/>
  <c r="K195" i="31"/>
  <c r="M173" i="31"/>
  <c r="M166" i="31"/>
  <c r="K152" i="31"/>
  <c r="K145" i="31"/>
  <c r="M123" i="31"/>
  <c r="M116" i="31"/>
  <c r="K261" i="31"/>
  <c r="M180" i="31"/>
  <c r="K136" i="31"/>
  <c r="K185" i="31"/>
  <c r="K142" i="31"/>
  <c r="K177" i="31"/>
  <c r="M141" i="31"/>
  <c r="K127" i="31"/>
  <c r="M205" i="31"/>
  <c r="M443" i="31"/>
  <c r="K201" i="31"/>
  <c r="M172" i="31"/>
  <c r="M165" i="31"/>
  <c r="K158" i="31"/>
  <c r="K151" i="31"/>
  <c r="M122" i="31"/>
  <c r="M115" i="31"/>
  <c r="K443" i="31"/>
  <c r="M193" i="31"/>
  <c r="M186" i="31"/>
  <c r="K172" i="31"/>
  <c r="K165" i="31"/>
  <c r="M143" i="31"/>
  <c r="M136" i="31"/>
  <c r="K122" i="31"/>
  <c r="K115" i="31"/>
  <c r="M156" i="31"/>
  <c r="M113" i="31"/>
  <c r="K206" i="31"/>
  <c r="M120" i="31"/>
  <c r="K141" i="31"/>
  <c r="K205" i="31"/>
  <c r="K451" i="31"/>
  <c r="M394" i="31"/>
  <c r="K240" i="31"/>
  <c r="K200" i="31"/>
  <c r="M178" i="31"/>
  <c r="M171" i="31"/>
  <c r="K157" i="31"/>
  <c r="K150" i="31"/>
  <c r="M128" i="31"/>
  <c r="M121" i="31"/>
  <c r="K394" i="31"/>
  <c r="M192" i="31"/>
  <c r="M185" i="31"/>
  <c r="K171" i="31"/>
  <c r="M142" i="31"/>
  <c r="M135" i="31"/>
  <c r="K128" i="31"/>
  <c r="K121" i="31"/>
  <c r="M206" i="31"/>
  <c r="M177" i="31"/>
  <c r="K191" i="31"/>
  <c r="K148" i="31"/>
  <c r="M133" i="31"/>
  <c r="M459" i="31"/>
  <c r="K178" i="31"/>
  <c r="K459" i="31"/>
  <c r="M170" i="31"/>
  <c r="M176" i="31"/>
  <c r="L205" i="31"/>
  <c r="L132" i="31"/>
  <c r="L172" i="31"/>
  <c r="L183" i="31"/>
  <c r="M178" i="25"/>
  <c r="M234" i="25"/>
  <c r="M403" i="25"/>
  <c r="M447" i="25"/>
  <c r="M460" i="25"/>
  <c r="M751" i="25"/>
  <c r="M175" i="25"/>
  <c r="M450" i="25"/>
  <c r="M754" i="25"/>
  <c r="K263" i="25"/>
  <c r="K755" i="25"/>
  <c r="M451" i="25"/>
  <c r="M733" i="25"/>
  <c r="K571" i="25"/>
  <c r="K227" i="25"/>
  <c r="L176" i="31"/>
  <c r="M454" i="25"/>
  <c r="K574" i="25"/>
  <c r="K632" i="25"/>
  <c r="L185" i="31"/>
  <c r="M433" i="25"/>
  <c r="L206" i="31"/>
  <c r="L190" i="31"/>
  <c r="L158" i="31"/>
  <c r="K185" i="25"/>
  <c r="K235" i="25"/>
  <c r="K404" i="25"/>
  <c r="K449" i="25"/>
  <c r="K467" i="25"/>
  <c r="K753" i="25"/>
  <c r="K770" i="25"/>
  <c r="M261" i="25"/>
  <c r="K451" i="25"/>
  <c r="M470" i="25"/>
  <c r="M755" i="25"/>
  <c r="K104" i="25"/>
  <c r="K264" i="25"/>
  <c r="M778" i="25"/>
  <c r="K274" i="25"/>
  <c r="L115" i="31"/>
  <c r="K430" i="25"/>
  <c r="M574" i="25"/>
  <c r="L125" i="31"/>
  <c r="M137" i="25"/>
  <c r="M434" i="25"/>
  <c r="M633" i="25"/>
  <c r="M173" i="25"/>
  <c r="L127" i="31"/>
  <c r="K447" i="25"/>
  <c r="L113" i="31"/>
  <c r="L170" i="31"/>
  <c r="L121" i="31"/>
  <c r="L447" i="31"/>
  <c r="M185" i="25"/>
  <c r="M235" i="25"/>
  <c r="M404" i="25"/>
  <c r="M449" i="25"/>
  <c r="M467" i="25"/>
  <c r="M753" i="25"/>
  <c r="M770" i="25"/>
  <c r="M421" i="25"/>
  <c r="K774" i="25"/>
  <c r="K426" i="25"/>
  <c r="M774" i="25"/>
  <c r="M426" i="25"/>
  <c r="K735" i="25"/>
  <c r="K429" i="25"/>
  <c r="M274" i="25"/>
  <c r="M573" i="25"/>
  <c r="M758" i="25"/>
  <c r="K782" i="25"/>
  <c r="L151" i="31"/>
  <c r="M455" i="25"/>
  <c r="M293" i="25"/>
  <c r="L146" i="31"/>
  <c r="K232" i="25"/>
  <c r="K459" i="25"/>
  <c r="K750" i="25"/>
  <c r="L141" i="31"/>
  <c r="K175" i="25"/>
  <c r="L192" i="31"/>
  <c r="L138" i="31"/>
  <c r="L153" i="31"/>
  <c r="L140" i="31"/>
  <c r="L198" i="31"/>
  <c r="K192" i="25"/>
  <c r="K261" i="25"/>
  <c r="K421" i="25"/>
  <c r="K450" i="25"/>
  <c r="K469" i="25"/>
  <c r="K754" i="25"/>
  <c r="M469" i="25"/>
  <c r="K470" i="25"/>
  <c r="M104" i="25"/>
  <c r="M263" i="25"/>
  <c r="K428" i="25"/>
  <c r="K778" i="25"/>
  <c r="K758" i="25"/>
  <c r="K229" i="25"/>
  <c r="K744" i="25"/>
  <c r="K759" i="25"/>
  <c r="L150" i="31"/>
  <c r="L182" i="31"/>
  <c r="M229" i="25"/>
  <c r="M430" i="25"/>
  <c r="M744" i="25"/>
  <c r="M759" i="25"/>
  <c r="L167" i="31"/>
  <c r="L123" i="31"/>
  <c r="L130" i="31"/>
  <c r="K177" i="25"/>
  <c r="K434" i="25"/>
  <c r="K633" i="25"/>
  <c r="K173" i="25"/>
  <c r="L203" i="31"/>
  <c r="M232" i="25"/>
  <c r="M750" i="25"/>
  <c r="L152" i="31"/>
  <c r="K403" i="25"/>
  <c r="K751" i="25"/>
  <c r="L157" i="31"/>
  <c r="L156" i="31"/>
  <c r="L168" i="31"/>
  <c r="L261" i="31"/>
  <c r="M192" i="25"/>
  <c r="K452" i="25"/>
  <c r="K573" i="25"/>
  <c r="K455" i="25"/>
  <c r="M782" i="25"/>
  <c r="L181" i="31"/>
  <c r="K433" i="25"/>
  <c r="M632" i="25"/>
  <c r="L145" i="31"/>
  <c r="M177" i="25"/>
  <c r="L177" i="31"/>
  <c r="L200" i="31"/>
  <c r="L147" i="31"/>
  <c r="L180" i="31"/>
  <c r="L455" i="31"/>
  <c r="L193" i="31"/>
  <c r="K194" i="25"/>
  <c r="K733" i="25"/>
  <c r="L173" i="31"/>
  <c r="K290" i="25"/>
  <c r="L240" i="31"/>
  <c r="L186" i="31"/>
  <c r="L459" i="31"/>
  <c r="L166" i="31"/>
  <c r="L116" i="31"/>
  <c r="M194" i="25"/>
  <c r="M756" i="25"/>
  <c r="K454" i="25"/>
  <c r="M429" i="25"/>
  <c r="M736" i="25"/>
  <c r="L143" i="31"/>
  <c r="M290" i="25"/>
  <c r="K293" i="25"/>
  <c r="K747" i="25"/>
  <c r="L202" i="31"/>
  <c r="M459" i="25"/>
  <c r="K460" i="25"/>
  <c r="L148" i="31"/>
  <c r="L443" i="31"/>
  <c r="L155" i="31"/>
  <c r="L122" i="31"/>
  <c r="K195" i="25"/>
  <c r="K756" i="25"/>
  <c r="K736" i="25"/>
  <c r="L188" i="31"/>
  <c r="L178" i="31"/>
  <c r="K137" i="25"/>
  <c r="L171" i="31"/>
  <c r="K234" i="25"/>
  <c r="L394" i="31"/>
  <c r="L451" i="31"/>
  <c r="L161" i="31"/>
  <c r="L128" i="31"/>
  <c r="L133" i="31"/>
  <c r="L135" i="31"/>
  <c r="M195" i="25"/>
  <c r="M264" i="25"/>
  <c r="M428" i="25"/>
  <c r="M452" i="25"/>
  <c r="M571" i="25"/>
  <c r="M735" i="25"/>
  <c r="M227" i="25"/>
  <c r="L142" i="31"/>
  <c r="L131" i="31"/>
  <c r="L100" i="31"/>
  <c r="L162" i="31"/>
  <c r="L197" i="31"/>
  <c r="L196" i="31"/>
  <c r="L163" i="31"/>
  <c r="L160" i="31"/>
  <c r="L187" i="31"/>
  <c r="K457" i="25"/>
  <c r="L117" i="31"/>
  <c r="M457" i="25"/>
  <c r="L262" i="31"/>
  <c r="L191" i="31"/>
  <c r="L118" i="31"/>
  <c r="L195" i="31"/>
  <c r="K230" i="25"/>
  <c r="K292" i="25"/>
  <c r="K431" i="25"/>
  <c r="K456" i="25"/>
  <c r="K630" i="25"/>
  <c r="K746" i="25"/>
  <c r="K766" i="25"/>
  <c r="L120" i="31"/>
  <c r="L175" i="31"/>
  <c r="L136" i="31"/>
  <c r="L201" i="31"/>
  <c r="M230" i="25"/>
  <c r="M292" i="25"/>
  <c r="M431" i="25"/>
  <c r="M456" i="25"/>
  <c r="M630" i="25"/>
  <c r="M746" i="25"/>
  <c r="M766" i="25"/>
  <c r="L165" i="31"/>
  <c r="M747" i="25"/>
  <c r="L137" i="31"/>
  <c r="L126" i="31"/>
  <c r="K178" i="25"/>
  <c r="L467" i="25"/>
  <c r="L292" i="25"/>
  <c r="L759" i="25"/>
  <c r="L758" i="25"/>
  <c r="L766" i="25"/>
  <c r="L456" i="25"/>
  <c r="L227" i="25"/>
  <c r="L452" i="25"/>
  <c r="L744" i="25"/>
  <c r="L469" i="25"/>
  <c r="L404" i="25"/>
  <c r="L104" i="25"/>
  <c r="L733" i="25"/>
  <c r="L574" i="25"/>
  <c r="L177" i="25"/>
  <c r="L434" i="25"/>
  <c r="L234" i="25"/>
  <c r="L571" i="25"/>
  <c r="L229" i="25"/>
  <c r="L429" i="25"/>
  <c r="L736" i="25"/>
  <c r="L455" i="25"/>
  <c r="L431" i="25"/>
  <c r="L470" i="25"/>
  <c r="L263" i="25"/>
  <c r="L290" i="25"/>
  <c r="L426" i="25"/>
  <c r="L747" i="25"/>
  <c r="L454" i="25"/>
  <c r="L449" i="25"/>
  <c r="L632" i="25"/>
  <c r="L235" i="25"/>
  <c r="L173" i="25"/>
  <c r="L756" i="25"/>
  <c r="L192" i="25"/>
  <c r="L630" i="25"/>
  <c r="L403" i="25"/>
  <c r="L447" i="25"/>
  <c r="L430" i="25"/>
  <c r="L178" i="25"/>
  <c r="L421" i="25"/>
  <c r="L428" i="25"/>
  <c r="L755" i="25"/>
  <c r="L185" i="25"/>
  <c r="L264" i="25"/>
  <c r="L746" i="25"/>
  <c r="L433" i="25"/>
  <c r="L274" i="25"/>
  <c r="L457" i="25"/>
  <c r="L230" i="25"/>
  <c r="L753" i="25"/>
  <c r="L735" i="25"/>
  <c r="L460" i="25"/>
  <c r="L450" i="25"/>
  <c r="L751" i="25"/>
  <c r="L754" i="25"/>
  <c r="L194" i="25"/>
  <c r="L633" i="25"/>
  <c r="L261" i="25"/>
  <c r="L451" i="25"/>
  <c r="L459" i="25"/>
  <c r="L293" i="25"/>
  <c r="L573" i="25"/>
  <c r="L195" i="25"/>
  <c r="L750" i="25"/>
  <c r="L232" i="25"/>
  <c r="M100" i="25"/>
  <c r="M714" i="24"/>
  <c r="M698" i="24"/>
  <c r="M687" i="24"/>
  <c r="K655" i="24"/>
  <c r="K650" i="24"/>
  <c r="M572" i="24"/>
  <c r="K567" i="24"/>
  <c r="K562" i="24"/>
  <c r="K540" i="24"/>
  <c r="K535" i="24"/>
  <c r="K530" i="24"/>
  <c r="K516" i="24"/>
  <c r="K496" i="24"/>
  <c r="K491" i="24"/>
  <c r="M486" i="24"/>
  <c r="K475" i="24"/>
  <c r="M464" i="24"/>
  <c r="K453" i="24"/>
  <c r="K442" i="24"/>
  <c r="M435" i="24"/>
  <c r="K414" i="24"/>
  <c r="M409" i="24"/>
  <c r="M391" i="24"/>
  <c r="M385" i="24"/>
  <c r="M380" i="24"/>
  <c r="K370" i="24"/>
  <c r="M355" i="24"/>
  <c r="M350" i="24"/>
  <c r="K346" i="24"/>
  <c r="K334" i="24"/>
  <c r="K312" i="24"/>
  <c r="K297" i="24"/>
  <c r="K252" i="24"/>
  <c r="K247" i="24"/>
  <c r="M242" i="24"/>
  <c r="M236" i="24"/>
  <c r="K226" i="24"/>
  <c r="M220" i="24"/>
  <c r="K215" i="24"/>
  <c r="M209" i="24"/>
  <c r="M199" i="24"/>
  <c r="K194" i="24"/>
  <c r="M178" i="24"/>
  <c r="K168" i="24"/>
  <c r="K100" i="25"/>
  <c r="M735" i="24"/>
  <c r="M727" i="24"/>
  <c r="K714" i="24"/>
  <c r="M709" i="24"/>
  <c r="M703" i="24"/>
  <c r="M692" i="24"/>
  <c r="K687" i="24"/>
  <c r="K682" i="24"/>
  <c r="M676" i="24"/>
  <c r="K671" i="24"/>
  <c r="M664" i="24"/>
  <c r="M659" i="24"/>
  <c r="K634" i="24"/>
  <c r="M626" i="24"/>
  <c r="M618" i="24"/>
  <c r="K612" i="24"/>
  <c r="K607" i="24"/>
  <c r="K602" i="24"/>
  <c r="M596" i="24"/>
  <c r="M583" i="24"/>
  <c r="M577" i="24"/>
  <c r="K572" i="24"/>
  <c r="K555" i="24"/>
  <c r="K550" i="24"/>
  <c r="K545" i="24"/>
  <c r="M525" i="24"/>
  <c r="K501" i="24"/>
  <c r="K470" i="24"/>
  <c r="K464" i="24"/>
  <c r="M458" i="24"/>
  <c r="K447" i="24"/>
  <c r="K429" i="24"/>
  <c r="K424" i="24"/>
  <c r="K419" i="24"/>
  <c r="K404" i="24"/>
  <c r="K391" i="24"/>
  <c r="K385" i="24"/>
  <c r="M374" i="24"/>
  <c r="K365" i="24"/>
  <c r="K360" i="24"/>
  <c r="K341" i="24"/>
  <c r="M328" i="24"/>
  <c r="K323" i="24"/>
  <c r="M317" i="24"/>
  <c r="K307" i="24"/>
  <c r="K302" i="24"/>
  <c r="M291" i="24"/>
  <c r="K286" i="24"/>
  <c r="K279" i="24"/>
  <c r="M273" i="24"/>
  <c r="M268" i="24"/>
  <c r="K257" i="24"/>
  <c r="K242" i="24"/>
  <c r="K236" i="24"/>
  <c r="K231" i="24"/>
  <c r="M204" i="24"/>
  <c r="M188" i="24"/>
  <c r="M183" i="24"/>
  <c r="K178" i="24"/>
  <c r="K173" i="24"/>
  <c r="K163" i="24"/>
  <c r="L735" i="24"/>
  <c r="K727" i="24"/>
  <c r="K709" i="24"/>
  <c r="K703" i="24"/>
  <c r="K698" i="24"/>
  <c r="L692" i="24"/>
  <c r="L676" i="24"/>
  <c r="K664" i="24"/>
  <c r="L659" i="24"/>
  <c r="M654" i="24"/>
  <c r="K626" i="24"/>
  <c r="L618" i="24"/>
  <c r="K596" i="24"/>
  <c r="M588" i="24"/>
  <c r="K583" i="24"/>
  <c r="K577" i="24"/>
  <c r="M566" i="24"/>
  <c r="M539" i="24"/>
  <c r="M534" i="24"/>
  <c r="L525" i="24"/>
  <c r="M520" i="24"/>
  <c r="M510" i="24"/>
  <c r="M505" i="24"/>
  <c r="K486" i="24"/>
  <c r="M452" i="24"/>
  <c r="M441" i="24"/>
  <c r="K435" i="24"/>
  <c r="M413" i="24"/>
  <c r="K409" i="24"/>
  <c r="K380" i="24"/>
  <c r="K374" i="24"/>
  <c r="M369" i="24"/>
  <c r="K355" i="24"/>
  <c r="K350" i="24"/>
  <c r="M345" i="24"/>
  <c r="M333" i="24"/>
  <c r="M296" i="24"/>
  <c r="M251" i="24"/>
  <c r="M225" i="24"/>
  <c r="K220" i="24"/>
  <c r="M214" i="24"/>
  <c r="K209" i="24"/>
  <c r="K199" i="24"/>
  <c r="M193" i="24"/>
  <c r="M167" i="24"/>
  <c r="K157" i="24"/>
  <c r="K152" i="24"/>
  <c r="M141" i="24"/>
  <c r="M719" i="24"/>
  <c r="M713" i="24"/>
  <c r="M708" i="24"/>
  <c r="M697" i="24"/>
  <c r="K708" i="24"/>
  <c r="M702" i="24"/>
  <c r="K697" i="24"/>
  <c r="M691" i="24"/>
  <c r="K686" i="24"/>
  <c r="K681" i="24"/>
  <c r="M675" i="24"/>
  <c r="K670" i="24"/>
  <c r="K663" i="24"/>
  <c r="M653" i="24"/>
  <c r="K601" i="24"/>
  <c r="K582" i="24"/>
  <c r="M576" i="24"/>
  <c r="K549" i="24"/>
  <c r="K529" i="24"/>
  <c r="M524" i="24"/>
  <c r="K515" i="24"/>
  <c r="K495" i="24"/>
  <c r="K719" i="24"/>
  <c r="K713" i="24"/>
  <c r="K675" i="24"/>
  <c r="M658" i="24"/>
  <c r="K611" i="24"/>
  <c r="K606" i="24"/>
  <c r="M553" i="24"/>
  <c r="M707" i="24"/>
  <c r="K702" i="24"/>
  <c r="M696" i="24"/>
  <c r="K691" i="24"/>
  <c r="M680" i="24"/>
  <c r="L658" i="24"/>
  <c r="K653" i="24"/>
  <c r="M587" i="24"/>
  <c r="M581" i="24"/>
  <c r="K576" i="24"/>
  <c r="M570" i="24"/>
  <c r="M565" i="24"/>
  <c r="L553" i="24"/>
  <c r="M548" i="24"/>
  <c r="M543" i="24"/>
  <c r="K538" i="24"/>
  <c r="L533" i="24"/>
  <c r="M528" i="24"/>
  <c r="L519" i="24"/>
  <c r="M514" i="24"/>
  <c r="L509" i="24"/>
  <c r="K731" i="24"/>
  <c r="K706" i="24"/>
  <c r="M700" i="24"/>
  <c r="K689" i="24"/>
  <c r="M684" i="24"/>
  <c r="M678" i="24"/>
  <c r="K673" i="24"/>
  <c r="M661" i="24"/>
  <c r="K657" i="24"/>
  <c r="K604" i="24"/>
  <c r="K599" i="24"/>
  <c r="K592" i="24"/>
  <c r="M579" i="24"/>
  <c r="K569" i="24"/>
  <c r="K564" i="24"/>
  <c r="K557" i="24"/>
  <c r="M536" i="24"/>
  <c r="K527" i="24"/>
  <c r="M522" i="24"/>
  <c r="K488" i="24"/>
  <c r="K472" i="24"/>
  <c r="M455" i="24"/>
  <c r="K449" i="24"/>
  <c r="K426" i="24"/>
  <c r="M415" i="24"/>
  <c r="M400" i="24"/>
  <c r="M387" i="24"/>
  <c r="K382" i="24"/>
  <c r="K357" i="24"/>
  <c r="K352" i="24"/>
  <c r="M347" i="24"/>
  <c r="M319" i="24"/>
  <c r="K314" i="24"/>
  <c r="K723" i="24"/>
  <c r="K711" i="24"/>
  <c r="K700" i="24"/>
  <c r="M694" i="24"/>
  <c r="K684" i="24"/>
  <c r="K678" i="24"/>
  <c r="M666" i="24"/>
  <c r="M651" i="24"/>
  <c r="K614" i="24"/>
  <c r="K609" i="24"/>
  <c r="K574" i="24"/>
  <c r="M551" i="24"/>
  <c r="M705" i="24"/>
  <c r="K694" i="24"/>
  <c r="L666" i="24"/>
  <c r="K661" i="24"/>
  <c r="M656" i="24"/>
  <c r="L651" i="24"/>
  <c r="M598" i="24"/>
  <c r="M585" i="24"/>
  <c r="K579" i="24"/>
  <c r="M568" i="24"/>
  <c r="M563" i="24"/>
  <c r="M556" i="24"/>
  <c r="L551" i="24"/>
  <c r="M546" i="24"/>
  <c r="K541" i="24"/>
  <c r="K536" i="24"/>
  <c r="K531" i="24"/>
  <c r="K522" i="24"/>
  <c r="L517" i="24"/>
  <c r="L512" i="24"/>
  <c r="K507" i="24"/>
  <c r="L492" i="24"/>
  <c r="L476" i="24"/>
  <c r="M471" i="24"/>
  <c r="K466" i="24"/>
  <c r="L460" i="24"/>
  <c r="M448" i="24"/>
  <c r="L443" i="24"/>
  <c r="K437" i="24"/>
  <c r="L430" i="24"/>
  <c r="M425" i="24"/>
  <c r="L420" i="24"/>
  <c r="K415" i="24"/>
  <c r="M410" i="24"/>
  <c r="L405" i="24"/>
  <c r="K393" i="24"/>
  <c r="K387" i="24"/>
  <c r="K376" i="24"/>
  <c r="L371" i="24"/>
  <c r="M366" i="24"/>
  <c r="M361" i="24"/>
  <c r="K347" i="24"/>
  <c r="M731" i="24"/>
  <c r="M712" i="24"/>
  <c r="M704" i="24"/>
  <c r="K695" i="24"/>
  <c r="K672" i="24"/>
  <c r="M663" i="24"/>
  <c r="M582" i="24"/>
  <c r="M573" i="24"/>
  <c r="K566" i="24"/>
  <c r="L558" i="24"/>
  <c r="K543" i="24"/>
  <c r="M530" i="24"/>
  <c r="M518" i="24"/>
  <c r="M512" i="24"/>
  <c r="K506" i="24"/>
  <c r="M493" i="24"/>
  <c r="K469" i="24"/>
  <c r="K462" i="24"/>
  <c r="M442" i="24"/>
  <c r="M434" i="24"/>
  <c r="M427" i="24"/>
  <c r="M408" i="24"/>
  <c r="K381" i="24"/>
  <c r="M362" i="24"/>
  <c r="L356" i="24"/>
  <c r="K344" i="24"/>
  <c r="K337" i="24"/>
  <c r="L324" i="24"/>
  <c r="K318" i="24"/>
  <c r="M311" i="24"/>
  <c r="K300" i="24"/>
  <c r="M294" i="24"/>
  <c r="M288" i="24"/>
  <c r="K251" i="24"/>
  <c r="K246" i="24"/>
  <c r="K234" i="24"/>
  <c r="K228" i="24"/>
  <c r="M222" i="24"/>
  <c r="M197" i="24"/>
  <c r="M191" i="24"/>
  <c r="K186" i="24"/>
  <c r="M174" i="24"/>
  <c r="M163" i="24"/>
  <c r="M157" i="24"/>
  <c r="M146" i="24"/>
  <c r="M140" i="24"/>
  <c r="K130" i="24"/>
  <c r="K123" i="24"/>
  <c r="K118" i="24"/>
  <c r="M107" i="24"/>
  <c r="K330" i="24"/>
  <c r="M305" i="24"/>
  <c r="K294" i="24"/>
  <c r="M280" i="24"/>
  <c r="K256" i="24"/>
  <c r="M245" i="24"/>
  <c r="M233" i="24"/>
  <c r="L215" i="24"/>
  <c r="L203" i="24"/>
  <c r="K191" i="24"/>
  <c r="K174" i="24"/>
  <c r="L168" i="24"/>
  <c r="M156" i="24"/>
  <c r="K146" i="24"/>
  <c r="M129" i="24"/>
  <c r="K107" i="24"/>
  <c r="K268" i="24"/>
  <c r="K227" i="24"/>
  <c r="L712" i="24"/>
  <c r="K704" i="24"/>
  <c r="M686" i="24"/>
  <c r="M679" i="24"/>
  <c r="M622" i="24"/>
  <c r="M613" i="24"/>
  <c r="M605" i="24"/>
  <c r="M599" i="24"/>
  <c r="L573" i="24"/>
  <c r="K558" i="24"/>
  <c r="L536" i="24"/>
  <c r="K524" i="24"/>
  <c r="K512" i="24"/>
  <c r="M499" i="24"/>
  <c r="K493" i="24"/>
  <c r="K456" i="24"/>
  <c r="L448" i="24"/>
  <c r="K434" i="24"/>
  <c r="M414" i="24"/>
  <c r="K408" i="24"/>
  <c r="K402" i="24"/>
  <c r="M394" i="24"/>
  <c r="M373" i="24"/>
  <c r="K368" i="24"/>
  <c r="K362" i="24"/>
  <c r="K356" i="24"/>
  <c r="M349" i="24"/>
  <c r="M330" i="24"/>
  <c r="K324" i="24"/>
  <c r="L311" i="24"/>
  <c r="K288" i="24"/>
  <c r="M274" i="24"/>
  <c r="K269" i="24"/>
  <c r="M256" i="24"/>
  <c r="K240" i="24"/>
  <c r="K222" i="24"/>
  <c r="M215" i="24"/>
  <c r="M203" i="24"/>
  <c r="K197" i="24"/>
  <c r="K180" i="24"/>
  <c r="M168" i="24"/>
  <c r="M151" i="24"/>
  <c r="K135" i="24"/>
  <c r="M112" i="24"/>
  <c r="K448" i="24"/>
  <c r="M386" i="24"/>
  <c r="L373" i="24"/>
  <c r="K349" i="24"/>
  <c r="M343" i="24"/>
  <c r="M336" i="24"/>
  <c r="K311" i="24"/>
  <c r="M250" i="24"/>
  <c r="M208" i="24"/>
  <c r="M162" i="24"/>
  <c r="L151" i="24"/>
  <c r="K140" i="24"/>
  <c r="M122" i="24"/>
  <c r="M117" i="24"/>
  <c r="L112" i="24"/>
  <c r="K280" i="24"/>
  <c r="M239" i="24"/>
  <c r="L233" i="24"/>
  <c r="M221" i="24"/>
  <c r="L208" i="24"/>
  <c r="K712" i="24"/>
  <c r="L686" i="24"/>
  <c r="K679" i="24"/>
  <c r="M671" i="24"/>
  <c r="L656" i="24"/>
  <c r="K622" i="24"/>
  <c r="K613" i="24"/>
  <c r="K605" i="24"/>
  <c r="K581" i="24"/>
  <c r="K573" i="24"/>
  <c r="L565" i="24"/>
  <c r="M550" i="24"/>
  <c r="M542" i="24"/>
  <c r="K518" i="24"/>
  <c r="L505" i="24"/>
  <c r="L499" i="24"/>
  <c r="M487" i="24"/>
  <c r="M468" i="24"/>
  <c r="M461" i="24"/>
  <c r="K427" i="24"/>
  <c r="M420" i="24"/>
  <c r="L414" i="24"/>
  <c r="K394" i="24"/>
  <c r="L274" i="24"/>
  <c r="M227" i="24"/>
  <c r="M185" i="24"/>
  <c r="M662" i="24"/>
  <c r="K656" i="24"/>
  <c r="K598" i="24"/>
  <c r="K565" i="24"/>
  <c r="M557" i="24"/>
  <c r="L542" i="24"/>
  <c r="M523" i="24"/>
  <c r="M511" i="24"/>
  <c r="K505" i="24"/>
  <c r="K499" i="24"/>
  <c r="M492" i="24"/>
  <c r="L487" i="24"/>
  <c r="M474" i="24"/>
  <c r="L468" i="24"/>
  <c r="L461" i="24"/>
  <c r="K455" i="24"/>
  <c r="K441" i="24"/>
  <c r="K420" i="24"/>
  <c r="M407" i="24"/>
  <c r="M401" i="24"/>
  <c r="K386" i="24"/>
  <c r="K373" i="24"/>
  <c r="M367" i="24"/>
  <c r="L361" i="24"/>
  <c r="L343" i="24"/>
  <c r="K336" i="24"/>
  <c r="K317" i="24"/>
  <c r="K305" i="24"/>
  <c r="M299" i="24"/>
  <c r="M287" i="24"/>
  <c r="K274" i="24"/>
  <c r="M261" i="24"/>
  <c r="L245" i="24"/>
  <c r="M711" i="24"/>
  <c r="M693" i="24"/>
  <c r="M670" i="24"/>
  <c r="L662" i="24"/>
  <c r="M630" i="24"/>
  <c r="M612" i="24"/>
  <c r="M604" i="24"/>
  <c r="M580" i="24"/>
  <c r="M549" i="24"/>
  <c r="K542" i="24"/>
  <c r="M535" i="24"/>
  <c r="M529" i="24"/>
  <c r="L523" i="24"/>
  <c r="M517" i="24"/>
  <c r="K511" i="24"/>
  <c r="K492" i="24"/>
  <c r="K487" i="24"/>
  <c r="K474" i="24"/>
  <c r="K468" i="24"/>
  <c r="K461" i="24"/>
  <c r="M447" i="24"/>
  <c r="M426" i="24"/>
  <c r="K413" i="24"/>
  <c r="K407" i="24"/>
  <c r="K401" i="24"/>
  <c r="M393" i="24"/>
  <c r="M379" i="24"/>
  <c r="L367" i="24"/>
  <c r="K361" i="24"/>
  <c r="M354" i="24"/>
  <c r="K343" i="24"/>
  <c r="M329" i="24"/>
  <c r="M323" i="24"/>
  <c r="M310" i="24"/>
  <c r="L299" i="24"/>
  <c r="M293" i="24"/>
  <c r="L287" i="24"/>
  <c r="K693" i="24"/>
  <c r="M685" i="24"/>
  <c r="M677" i="24"/>
  <c r="L670" i="24"/>
  <c r="K662" i="24"/>
  <c r="M655" i="24"/>
  <c r="M638" i="24"/>
  <c r="K630" i="24"/>
  <c r="M597" i="24"/>
  <c r="L588" i="24"/>
  <c r="K580" i="24"/>
  <c r="M571" i="24"/>
  <c r="M564" i="24"/>
  <c r="K556" i="24"/>
  <c r="L529" i="24"/>
  <c r="K523" i="24"/>
  <c r="K517" i="24"/>
  <c r="M504" i="24"/>
  <c r="M498" i="24"/>
  <c r="M454" i="24"/>
  <c r="M440" i="24"/>
  <c r="K379" i="24"/>
  <c r="M372" i="24"/>
  <c r="K367" i="24"/>
  <c r="K354" i="24"/>
  <c r="M348" i="24"/>
  <c r="M335" i="24"/>
  <c r="K329" i="24"/>
  <c r="M316" i="24"/>
  <c r="K310" i="24"/>
  <c r="M304" i="24"/>
  <c r="K299" i="24"/>
  <c r="K287" i="24"/>
  <c r="M279" i="24"/>
  <c r="K273" i="24"/>
  <c r="K261" i="24"/>
  <c r="K255" i="24"/>
  <c r="K239" i="24"/>
  <c r="K214" i="24"/>
  <c r="K190" i="24"/>
  <c r="M710" i="24"/>
  <c r="M701" i="24"/>
  <c r="L685" i="24"/>
  <c r="L677" i="24"/>
  <c r="M646" i="24"/>
  <c r="L638" i="24"/>
  <c r="M611" i="24"/>
  <c r="K597" i="24"/>
  <c r="K588" i="24"/>
  <c r="K571" i="24"/>
  <c r="L564" i="24"/>
  <c r="K548" i="24"/>
  <c r="M541" i="24"/>
  <c r="L510" i="24"/>
  <c r="L504" i="24"/>
  <c r="K498" i="24"/>
  <c r="M491" i="24"/>
  <c r="L710" i="24"/>
  <c r="L701" i="24"/>
  <c r="K692" i="24"/>
  <c r="K685" i="24"/>
  <c r="K677" i="24"/>
  <c r="K654" i="24"/>
  <c r="K646" i="24"/>
  <c r="K638" i="24"/>
  <c r="L534" i="24"/>
  <c r="M516" i="24"/>
  <c r="K510" i="24"/>
  <c r="K504" i="24"/>
  <c r="L491" i="24"/>
  <c r="L473" i="24"/>
  <c r="L467" i="24"/>
  <c r="M460" i="24"/>
  <c r="L446" i="24"/>
  <c r="M412" i="24"/>
  <c r="K392" i="24"/>
  <c r="L384" i="24"/>
  <c r="M378" i="24"/>
  <c r="K372" i="24"/>
  <c r="M353" i="24"/>
  <c r="K348" i="24"/>
  <c r="L342" i="24"/>
  <c r="L322" i="24"/>
  <c r="K316" i="24"/>
  <c r="M309" i="24"/>
  <c r="K304" i="24"/>
  <c r="M298" i="24"/>
  <c r="M286" i="24"/>
  <c r="M278" i="24"/>
  <c r="M272" i="24"/>
  <c r="K267" i="24"/>
  <c r="M260" i="24"/>
  <c r="M254" i="24"/>
  <c r="M249" i="24"/>
  <c r="M238" i="24"/>
  <c r="K232" i="24"/>
  <c r="M219" i="24"/>
  <c r="M213" i="24"/>
  <c r="K207" i="24"/>
  <c r="K202" i="24"/>
  <c r="M195" i="24"/>
  <c r="M189" i="24"/>
  <c r="K172" i="24"/>
  <c r="M166" i="24"/>
  <c r="M155" i="24"/>
  <c r="M144" i="24"/>
  <c r="M133" i="24"/>
  <c r="K128" i="24"/>
  <c r="K121" i="24"/>
  <c r="M690" i="24"/>
  <c r="K660" i="24"/>
  <c r="K618" i="24"/>
  <c r="M586" i="24"/>
  <c r="K578" i="24"/>
  <c r="M554" i="24"/>
  <c r="K547" i="24"/>
  <c r="M533" i="24"/>
  <c r="M527" i="24"/>
  <c r="K509" i="24"/>
  <c r="M503" i="24"/>
  <c r="M490" i="24"/>
  <c r="K485" i="24"/>
  <c r="K478" i="24"/>
  <c r="M466" i="24"/>
  <c r="M459" i="24"/>
  <c r="K452" i="24"/>
  <c r="M445" i="24"/>
  <c r="M430" i="24"/>
  <c r="M405" i="24"/>
  <c r="K399" i="24"/>
  <c r="M390" i="24"/>
  <c r="M383" i="24"/>
  <c r="M377" i="24"/>
  <c r="M371" i="24"/>
  <c r="M365" i="24"/>
  <c r="K359" i="24"/>
  <c r="L333" i="24"/>
  <c r="M327" i="24"/>
  <c r="M321" i="24"/>
  <c r="K315" i="24"/>
  <c r="K303" i="24"/>
  <c r="K285" i="24"/>
  <c r="M277" i="24"/>
  <c r="K266" i="24"/>
  <c r="M243" i="24"/>
  <c r="M237" i="24"/>
  <c r="K225" i="24"/>
  <c r="M206" i="24"/>
  <c r="K201" i="24"/>
  <c r="K183" i="24"/>
  <c r="M171" i="24"/>
  <c r="K160" i="24"/>
  <c r="K149" i="24"/>
  <c r="K127" i="24"/>
  <c r="M120" i="24"/>
  <c r="M135" i="25"/>
  <c r="K707" i="24"/>
  <c r="M689" i="24"/>
  <c r="K674" i="24"/>
  <c r="K659" i="24"/>
  <c r="K652" i="24"/>
  <c r="M601" i="24"/>
  <c r="K553" i="24"/>
  <c r="K539" i="24"/>
  <c r="M532" i="24"/>
  <c r="K508" i="24"/>
  <c r="M502" i="24"/>
  <c r="M495" i="24"/>
  <c r="K484" i="24"/>
  <c r="M477" i="24"/>
  <c r="K465" i="24"/>
  <c r="K458" i="24"/>
  <c r="K423" i="24"/>
  <c r="K417" i="24"/>
  <c r="K411" i="24"/>
  <c r="M376" i="24"/>
  <c r="M370" i="24"/>
  <c r="L364" i="24"/>
  <c r="K358" i="24"/>
  <c r="M326" i="24"/>
  <c r="M320" i="24"/>
  <c r="K308" i="24"/>
  <c r="M302" i="24"/>
  <c r="L296" i="24"/>
  <c r="M290" i="24"/>
  <c r="M276" i="24"/>
  <c r="K271" i="24"/>
  <c r="K259" i="24"/>
  <c r="K253" i="24"/>
  <c r="K248" i="24"/>
  <c r="M182" i="24"/>
  <c r="K176" i="24"/>
  <c r="K154" i="24"/>
  <c r="M148" i="24"/>
  <c r="K143" i="24"/>
  <c r="K115" i="24"/>
  <c r="M109" i="24"/>
  <c r="M104" i="24"/>
  <c r="L696" i="24"/>
  <c r="M634" i="24"/>
  <c r="M602" i="24"/>
  <c r="M592" i="24"/>
  <c r="K528" i="24"/>
  <c r="M484" i="24"/>
  <c r="M469" i="24"/>
  <c r="M449" i="24"/>
  <c r="M439" i="24"/>
  <c r="K430" i="24"/>
  <c r="M357" i="24"/>
  <c r="K322" i="24"/>
  <c r="K313" i="24"/>
  <c r="L304" i="24"/>
  <c r="M295" i="24"/>
  <c r="M259" i="24"/>
  <c r="M235" i="24"/>
  <c r="M228" i="24"/>
  <c r="K212" i="24"/>
  <c r="K205" i="24"/>
  <c r="K196" i="24"/>
  <c r="M181" i="24"/>
  <c r="M159" i="24"/>
  <c r="K153" i="24"/>
  <c r="M145" i="24"/>
  <c r="K138" i="24"/>
  <c r="K132" i="24"/>
  <c r="M110" i="24"/>
  <c r="M467" i="24"/>
  <c r="M258" i="24"/>
  <c r="M180" i="24"/>
  <c r="L131" i="24"/>
  <c r="L258" i="24"/>
  <c r="K211" i="24"/>
  <c r="K187" i="24"/>
  <c r="M172" i="24"/>
  <c r="M165" i="24"/>
  <c r="K144" i="24"/>
  <c r="K122" i="24"/>
  <c r="K428" i="24"/>
  <c r="M337" i="24"/>
  <c r="L301" i="24"/>
  <c r="M257" i="24"/>
  <c r="K217" i="24"/>
  <c r="K179" i="24"/>
  <c r="L143" i="24"/>
  <c r="K108" i="24"/>
  <c r="L100" i="24"/>
  <c r="M715" i="24"/>
  <c r="M318" i="24"/>
  <c r="K129" i="24"/>
  <c r="K544" i="24"/>
  <c r="M271" i="24"/>
  <c r="K224" i="24"/>
  <c r="M170" i="24"/>
  <c r="K142" i="24"/>
  <c r="M106" i="24"/>
  <c r="K715" i="24"/>
  <c r="K680" i="24"/>
  <c r="K554" i="24"/>
  <c r="L532" i="24"/>
  <c r="M506" i="24"/>
  <c r="M496" i="24"/>
  <c r="K463" i="24"/>
  <c r="M453" i="24"/>
  <c r="K444" i="24"/>
  <c r="K425" i="24"/>
  <c r="M381" i="24"/>
  <c r="M344" i="24"/>
  <c r="K326" i="24"/>
  <c r="L308" i="24"/>
  <c r="M200" i="24"/>
  <c r="K185" i="24"/>
  <c r="K170" i="24"/>
  <c r="M128" i="24"/>
  <c r="L707" i="24"/>
  <c r="K696" i="24"/>
  <c r="M673" i="24"/>
  <c r="M569" i="24"/>
  <c r="M537" i="24"/>
  <c r="L520" i="24"/>
  <c r="M501" i="24"/>
  <c r="M476" i="24"/>
  <c r="K439" i="24"/>
  <c r="M421" i="24"/>
  <c r="M395" i="24"/>
  <c r="M384" i="24"/>
  <c r="M375" i="24"/>
  <c r="K366" i="24"/>
  <c r="M331" i="24"/>
  <c r="K295" i="24"/>
  <c r="M285" i="24"/>
  <c r="M275" i="24"/>
  <c r="M267" i="24"/>
  <c r="L259" i="24"/>
  <c r="M244" i="24"/>
  <c r="L235" i="24"/>
  <c r="K219" i="24"/>
  <c r="K188" i="24"/>
  <c r="K181" i="24"/>
  <c r="L166" i="24"/>
  <c r="K159" i="24"/>
  <c r="K145" i="24"/>
  <c r="K110" i="24"/>
  <c r="L457" i="24"/>
  <c r="M266" i="24"/>
  <c r="M187" i="24"/>
  <c r="L144" i="24"/>
  <c r="L109" i="24"/>
  <c r="K203" i="24"/>
  <c r="K151" i="24"/>
  <c r="L179" i="24"/>
  <c r="M150" i="24"/>
  <c r="M130" i="24"/>
  <c r="M115" i="24"/>
  <c r="M100" i="24"/>
  <c r="M363" i="24"/>
  <c r="K319" i="24"/>
  <c r="K309" i="24"/>
  <c r="M292" i="24"/>
  <c r="K272" i="24"/>
  <c r="L249" i="24"/>
  <c r="L225" i="24"/>
  <c r="M202" i="24"/>
  <c r="M164" i="24"/>
  <c r="K150" i="24"/>
  <c r="K136" i="24"/>
  <c r="L115" i="24"/>
  <c r="K345" i="24"/>
  <c r="M216" i="24"/>
  <c r="K587" i="24"/>
  <c r="K525" i="24"/>
  <c r="M488" i="24"/>
  <c r="M444" i="24"/>
  <c r="K410" i="24"/>
  <c r="M308" i="24"/>
  <c r="L149" i="24"/>
  <c r="K114" i="24"/>
  <c r="L673" i="24"/>
  <c r="M652" i="24"/>
  <c r="M610" i="24"/>
  <c r="L601" i="24"/>
  <c r="L569" i="24"/>
  <c r="L537" i="24"/>
  <c r="L527" i="24"/>
  <c r="K520" i="24"/>
  <c r="M483" i="24"/>
  <c r="K476" i="24"/>
  <c r="M457" i="24"/>
  <c r="K421" i="24"/>
  <c r="M404" i="24"/>
  <c r="K395" i="24"/>
  <c r="K384" i="24"/>
  <c r="L375" i="24"/>
  <c r="L348" i="24"/>
  <c r="K331" i="24"/>
  <c r="K321" i="24"/>
  <c r="M312" i="24"/>
  <c r="M303" i="24"/>
  <c r="K275" i="24"/>
  <c r="L251" i="24"/>
  <c r="K244" i="24"/>
  <c r="K235" i="24"/>
  <c r="M211" i="24"/>
  <c r="K204" i="24"/>
  <c r="M173" i="24"/>
  <c r="K166" i="24"/>
  <c r="M152" i="24"/>
  <c r="M137" i="24"/>
  <c r="M131" i="24"/>
  <c r="M123" i="24"/>
  <c r="M116" i="24"/>
  <c r="K483" i="24"/>
  <c r="L312" i="24"/>
  <c r="M218" i="24"/>
  <c r="L211" i="24"/>
  <c r="K195" i="24"/>
  <c r="K137" i="24"/>
  <c r="K116" i="24"/>
  <c r="K218" i="24"/>
  <c r="M158" i="24"/>
  <c r="K131" i="24"/>
  <c r="K109" i="24"/>
  <c r="M121" i="24"/>
  <c r="M419" i="24"/>
  <c r="K328" i="24"/>
  <c r="L121" i="24"/>
  <c r="L681" i="24"/>
  <c r="M232" i="24"/>
  <c r="M607" i="24"/>
  <c r="M575" i="24"/>
  <c r="M463" i="24"/>
  <c r="K418" i="24"/>
  <c r="K400" i="24"/>
  <c r="K390" i="24"/>
  <c r="M300" i="24"/>
  <c r="K281" i="24"/>
  <c r="M255" i="24"/>
  <c r="K208" i="24"/>
  <c r="M177" i="24"/>
  <c r="M135" i="24"/>
  <c r="L120" i="24"/>
  <c r="K135" i="25"/>
  <c r="K575" i="24"/>
  <c r="L488" i="24"/>
  <c r="M352" i="24"/>
  <c r="M192" i="24"/>
  <c r="K177" i="24"/>
  <c r="M706" i="24"/>
  <c r="M695" i="24"/>
  <c r="M683" i="24"/>
  <c r="L652" i="24"/>
  <c r="M642" i="24"/>
  <c r="K610" i="24"/>
  <c r="M547" i="24"/>
  <c r="K537" i="24"/>
  <c r="M500" i="24"/>
  <c r="L490" i="24"/>
  <c r="M438" i="24"/>
  <c r="M429" i="24"/>
  <c r="L412" i="24"/>
  <c r="K375" i="24"/>
  <c r="M108" i="24"/>
  <c r="M186" i="24"/>
  <c r="K473" i="24"/>
  <c r="K164" i="24"/>
  <c r="M248" i="24"/>
  <c r="L706" i="24"/>
  <c r="K683" i="24"/>
  <c r="L642" i="24"/>
  <c r="K568" i="24"/>
  <c r="M558" i="24"/>
  <c r="M519" i="24"/>
  <c r="M509" i="24"/>
  <c r="K500" i="24"/>
  <c r="K490" i="24"/>
  <c r="M475" i="24"/>
  <c r="K467" i="24"/>
  <c r="K457" i="24"/>
  <c r="M446" i="24"/>
  <c r="K438" i="24"/>
  <c r="K412" i="24"/>
  <c r="M403" i="24"/>
  <c r="K383" i="24"/>
  <c r="M364" i="24"/>
  <c r="M356" i="24"/>
  <c r="L347" i="24"/>
  <c r="K320" i="24"/>
  <c r="L250" i="24"/>
  <c r="L243" i="24"/>
  <c r="M234" i="24"/>
  <c r="L136" i="24"/>
  <c r="L445" i="24"/>
  <c r="K233" i="24"/>
  <c r="M149" i="24"/>
  <c r="L185" i="24"/>
  <c r="M672" i="24"/>
  <c r="K651" i="24"/>
  <c r="K642" i="24"/>
  <c r="M609" i="24"/>
  <c r="M600" i="24"/>
  <c r="M578" i="24"/>
  <c r="K546" i="24"/>
  <c r="M526" i="24"/>
  <c r="K519" i="24"/>
  <c r="M482" i="24"/>
  <c r="K446" i="24"/>
  <c r="M428" i="24"/>
  <c r="K403" i="24"/>
  <c r="K364" i="24"/>
  <c r="K293" i="24"/>
  <c r="M265" i="24"/>
  <c r="K258" i="24"/>
  <c r="K250" i="24"/>
  <c r="K243" i="24"/>
  <c r="M226" i="24"/>
  <c r="M194" i="24"/>
  <c r="M179" i="24"/>
  <c r="K165" i="24"/>
  <c r="K158" i="24"/>
  <c r="M136" i="24"/>
  <c r="M143" i="24"/>
  <c r="L411" i="24"/>
  <c r="L171" i="24"/>
  <c r="L566" i="24"/>
  <c r="K335" i="24"/>
  <c r="K371" i="24"/>
  <c r="M231" i="24"/>
  <c r="K705" i="24"/>
  <c r="M682" i="24"/>
  <c r="L600" i="24"/>
  <c r="L526" i="24"/>
  <c r="M508" i="24"/>
  <c r="M489" i="24"/>
  <c r="K482" i="24"/>
  <c r="M456" i="24"/>
  <c r="M437" i="24"/>
  <c r="L428" i="24"/>
  <c r="M411" i="24"/>
  <c r="M392" i="24"/>
  <c r="M346" i="24"/>
  <c r="L319" i="24"/>
  <c r="M301" i="24"/>
  <c r="K265" i="24"/>
  <c r="M217" i="24"/>
  <c r="M210" i="24"/>
  <c r="L194" i="24"/>
  <c r="K210" i="24"/>
  <c r="M201" i="24"/>
  <c r="L715" i="24"/>
  <c r="K216" i="24"/>
  <c r="K735" i="24"/>
  <c r="M660" i="24"/>
  <c r="M608" i="24"/>
  <c r="K600" i="24"/>
  <c r="M567" i="24"/>
  <c r="M545" i="24"/>
  <c r="K534" i="24"/>
  <c r="K526" i="24"/>
  <c r="K489" i="24"/>
  <c r="M465" i="24"/>
  <c r="M402" i="24"/>
  <c r="M382" i="24"/>
  <c r="L410" i="24"/>
  <c r="M142" i="24"/>
  <c r="M681" i="24"/>
  <c r="M650" i="24"/>
  <c r="K608" i="24"/>
  <c r="M497" i="24"/>
  <c r="M473" i="24"/>
  <c r="K445" i="24"/>
  <c r="M436" i="24"/>
  <c r="L382" i="24"/>
  <c r="L372" i="24"/>
  <c r="L345" i="24"/>
  <c r="K301" i="24"/>
  <c r="K292" i="24"/>
  <c r="K249" i="24"/>
  <c r="M241" i="24"/>
  <c r="L193" i="24"/>
  <c r="K171" i="24"/>
  <c r="L156" i="24"/>
  <c r="L129" i="24"/>
  <c r="K100" i="24"/>
  <c r="K690" i="24"/>
  <c r="M555" i="24"/>
  <c r="M544" i="24"/>
  <c r="K533" i="24"/>
  <c r="L516" i="24"/>
  <c r="M507" i="24"/>
  <c r="K497" i="24"/>
  <c r="K454" i="24"/>
  <c r="K436" i="24"/>
  <c r="M418" i="24"/>
  <c r="L390" i="24"/>
  <c r="K363" i="24"/>
  <c r="K353" i="24"/>
  <c r="K327" i="24"/>
  <c r="M281" i="24"/>
  <c r="K241" i="24"/>
  <c r="M224" i="24"/>
  <c r="K193" i="24"/>
  <c r="K156" i="24"/>
  <c r="M114" i="24"/>
  <c r="M688" i="24"/>
  <c r="K586" i="24"/>
  <c r="M574" i="24"/>
  <c r="L563" i="24"/>
  <c r="L515" i="24"/>
  <c r="L495" i="24"/>
  <c r="L472" i="24"/>
  <c r="M462" i="24"/>
  <c r="M443" i="24"/>
  <c r="M424" i="24"/>
  <c r="L417" i="24"/>
  <c r="L399" i="24"/>
  <c r="K389" i="24"/>
  <c r="M360" i="24"/>
  <c r="M325" i="24"/>
  <c r="L316" i="24"/>
  <c r="M270" i="24"/>
  <c r="K254" i="24"/>
  <c r="M247" i="24"/>
  <c r="L239" i="24"/>
  <c r="M230" i="24"/>
  <c r="M184" i="24"/>
  <c r="M176" i="24"/>
  <c r="M169" i="24"/>
  <c r="K155" i="24"/>
  <c r="L134" i="24"/>
  <c r="M127" i="24"/>
  <c r="M119" i="24"/>
  <c r="K113" i="24"/>
  <c r="L688" i="24"/>
  <c r="K563" i="24"/>
  <c r="M552" i="24"/>
  <c r="M531" i="24"/>
  <c r="M451" i="24"/>
  <c r="K443" i="24"/>
  <c r="K333" i="24"/>
  <c r="K325" i="24"/>
  <c r="M307" i="24"/>
  <c r="K298" i="24"/>
  <c r="K278" i="24"/>
  <c r="L586" i="24"/>
  <c r="M515" i="24"/>
  <c r="K503" i="24"/>
  <c r="L478" i="24"/>
  <c r="K422" i="24"/>
  <c r="K369" i="24"/>
  <c r="M342" i="24"/>
  <c r="L332" i="24"/>
  <c r="M289" i="24"/>
  <c r="K276" i="24"/>
  <c r="M240" i="24"/>
  <c r="K189" i="24"/>
  <c r="K139" i="24"/>
  <c r="M175" i="24"/>
  <c r="K223" i="24"/>
  <c r="M147" i="24"/>
  <c r="K440" i="24"/>
  <c r="M205" i="24"/>
  <c r="L205" i="24"/>
  <c r="M423" i="24"/>
  <c r="L344" i="24"/>
  <c r="K229" i="24"/>
  <c r="M332" i="24"/>
  <c r="L139" i="24"/>
  <c r="K701" i="24"/>
  <c r="L570" i="24"/>
  <c r="M540" i="24"/>
  <c r="M450" i="24"/>
  <c r="K342" i="24"/>
  <c r="K332" i="24"/>
  <c r="K289" i="24"/>
  <c r="K213" i="24"/>
  <c r="K162" i="24"/>
  <c r="L104" i="24"/>
  <c r="M113" i="24"/>
  <c r="K237" i="24"/>
  <c r="L261" i="24"/>
  <c r="K552" i="24"/>
  <c r="L160" i="24"/>
  <c r="M603" i="24"/>
  <c r="K603" i="24"/>
  <c r="K494" i="24"/>
  <c r="L359" i="24"/>
  <c r="M674" i="24"/>
  <c r="M399" i="24"/>
  <c r="M229" i="24"/>
  <c r="K141" i="24"/>
  <c r="M470" i="24"/>
  <c r="L229" i="24"/>
  <c r="K277" i="24"/>
  <c r="M105" i="24"/>
  <c r="M422" i="24"/>
  <c r="L253" i="24"/>
  <c r="K585" i="24"/>
  <c r="K570" i="24"/>
  <c r="L514" i="24"/>
  <c r="K502" i="24"/>
  <c r="K450" i="24"/>
  <c r="L381" i="24"/>
  <c r="M368" i="24"/>
  <c r="M252" i="24"/>
  <c r="K200" i="24"/>
  <c r="M138" i="24"/>
  <c r="K104" i="24"/>
  <c r="M406" i="24"/>
  <c r="M341" i="24"/>
  <c r="M223" i="24"/>
  <c r="K198" i="24"/>
  <c r="M160" i="24"/>
  <c r="K112" i="24"/>
  <c r="K405" i="24"/>
  <c r="M134" i="24"/>
  <c r="M359" i="24"/>
  <c r="L246" i="24"/>
  <c r="L471" i="24"/>
  <c r="K230" i="24"/>
  <c r="K119" i="24"/>
  <c r="K192" i="24"/>
  <c r="M334" i="24"/>
  <c r="K291" i="24"/>
  <c r="L154" i="24"/>
  <c r="L423" i="24"/>
  <c r="M190" i="24"/>
  <c r="K117" i="24"/>
  <c r="M614" i="24"/>
  <c r="K290" i="24"/>
  <c r="M253" i="24"/>
  <c r="L214" i="24"/>
  <c r="L176" i="24"/>
  <c r="M139" i="24"/>
  <c r="M478" i="24"/>
  <c r="L189" i="24"/>
  <c r="K658" i="24"/>
  <c r="L539" i="24"/>
  <c r="K514" i="24"/>
  <c r="K477" i="24"/>
  <c r="L352" i="24"/>
  <c r="M315" i="24"/>
  <c r="K238" i="24"/>
  <c r="M212" i="24"/>
  <c r="K175" i="24"/>
  <c r="M161" i="24"/>
  <c r="K148" i="24"/>
  <c r="M606" i="24"/>
  <c r="L485" i="24"/>
  <c r="M313" i="24"/>
  <c r="L248" i="24"/>
  <c r="K184" i="24"/>
  <c r="K221" i="24"/>
  <c r="K111" i="24"/>
  <c r="K388" i="24"/>
  <c r="K245" i="24"/>
  <c r="L506" i="24"/>
  <c r="M358" i="24"/>
  <c r="M154" i="24"/>
  <c r="M118" i="24"/>
  <c r="L254" i="24"/>
  <c r="K106" i="24"/>
  <c r="K451" i="24"/>
  <c r="M699" i="24"/>
  <c r="M584" i="24"/>
  <c r="K161" i="24"/>
  <c r="L351" i="24"/>
  <c r="K699" i="24"/>
  <c r="M657" i="24"/>
  <c r="K584" i="24"/>
  <c r="M538" i="24"/>
  <c r="M513" i="24"/>
  <c r="K406" i="24"/>
  <c r="M314" i="24"/>
  <c r="M198" i="24"/>
  <c r="L119" i="24"/>
  <c r="L415" i="24"/>
  <c r="L552" i="24"/>
  <c r="K513" i="24"/>
  <c r="M485" i="24"/>
  <c r="K378" i="24"/>
  <c r="M351" i="24"/>
  <c r="M196" i="24"/>
  <c r="K206" i="24"/>
  <c r="M132" i="24"/>
  <c r="M153" i="24"/>
  <c r="L155" i="24"/>
  <c r="M723" i="24"/>
  <c r="K666" i="24"/>
  <c r="L522" i="24"/>
  <c r="K460" i="24"/>
  <c r="M417" i="24"/>
  <c r="K377" i="24"/>
  <c r="K351" i="24"/>
  <c r="M297" i="24"/>
  <c r="L271" i="24"/>
  <c r="K260" i="24"/>
  <c r="K147" i="24"/>
  <c r="K134" i="24"/>
  <c r="M111" i="24"/>
  <c r="K551" i="24"/>
  <c r="M389" i="24"/>
  <c r="M207" i="24"/>
  <c r="M322" i="24"/>
  <c r="K167" i="24"/>
  <c r="M306" i="24"/>
  <c r="K688" i="24"/>
  <c r="K306" i="24"/>
  <c r="L153" i="24"/>
  <c r="K710" i="24"/>
  <c r="M665" i="24"/>
  <c r="K459" i="24"/>
  <c r="M416" i="24"/>
  <c r="K296" i="24"/>
  <c r="K270" i="24"/>
  <c r="K120" i="24"/>
  <c r="K665" i="24"/>
  <c r="M562" i="24"/>
  <c r="M521" i="24"/>
  <c r="M494" i="24"/>
  <c r="M472" i="24"/>
  <c r="K416" i="24"/>
  <c r="M388" i="24"/>
  <c r="M324" i="24"/>
  <c r="M246" i="24"/>
  <c r="L206" i="24"/>
  <c r="K182" i="24"/>
  <c r="K169" i="24"/>
  <c r="K133" i="24"/>
  <c r="K676" i="24"/>
  <c r="K532" i="24"/>
  <c r="K521" i="24"/>
  <c r="L494" i="24"/>
  <c r="M269" i="24"/>
  <c r="K471" i="24"/>
  <c r="L106" i="24"/>
  <c r="L369" i="24"/>
  <c r="L276" i="24"/>
  <c r="K105" i="24"/>
  <c r="L175" i="24"/>
  <c r="L357" i="24"/>
  <c r="L118" i="24"/>
  <c r="L634" i="24"/>
  <c r="L416" i="24"/>
  <c r="L363" i="24"/>
  <c r="L518" i="24"/>
  <c r="L456" i="24"/>
  <c r="L576" i="24"/>
  <c r="L292" i="24"/>
  <c r="L419" i="24"/>
  <c r="L426" i="24"/>
  <c r="L437" i="24"/>
  <c r="L183" i="24"/>
  <c r="L452" i="24"/>
  <c r="L177" i="24"/>
  <c r="L266" i="24"/>
  <c r="L395" i="24"/>
  <c r="L664" i="24"/>
  <c r="L123" i="24"/>
  <c r="L541" i="24"/>
  <c r="L580" i="24"/>
  <c r="L376" i="24"/>
  <c r="L314" i="24"/>
  <c r="L336" i="24"/>
  <c r="L306" i="24"/>
  <c r="L117" i="24"/>
  <c r="L665" i="24"/>
  <c r="L207" i="24"/>
  <c r="L458" i="24"/>
  <c r="L465" i="24"/>
  <c r="L295" i="24"/>
  <c r="L186" i="24"/>
  <c r="L562" i="24"/>
  <c r="L608" i="24"/>
  <c r="L663" i="24"/>
  <c r="L655" i="24"/>
  <c r="L474" i="24"/>
  <c r="L169" i="24"/>
  <c r="L451" i="24"/>
  <c r="L723" i="24"/>
  <c r="L455" i="24"/>
  <c r="L167" i="24"/>
  <c r="L436" i="24"/>
  <c r="L392" i="24"/>
  <c r="L163" i="24"/>
  <c r="L379" i="24"/>
  <c r="L441" i="24"/>
  <c r="L277" i="24"/>
  <c r="L228" i="24"/>
  <c r="L358" i="24"/>
  <c r="L422" i="24"/>
  <c r="L713" i="24"/>
  <c r="L545" i="24"/>
  <c r="L508" i="24"/>
  <c r="L240" i="24"/>
  <c r="L192" i="24"/>
  <c r="L328" i="24"/>
  <c r="L349" i="24"/>
  <c r="L466" i="24"/>
  <c r="L204" i="24"/>
  <c r="L654" i="24"/>
  <c r="L408" i="24"/>
  <c r="L275" i="24"/>
  <c r="L599" i="24"/>
  <c r="L440" i="24"/>
  <c r="L579" i="24"/>
  <c r="L695" i="24"/>
  <c r="L513" i="24"/>
  <c r="L693" i="24"/>
  <c r="L774" i="25"/>
  <c r="L100" i="25"/>
  <c r="L196" i="24"/>
  <c r="L237" i="24"/>
  <c r="L190" i="24"/>
  <c r="L337" i="24"/>
  <c r="L323" i="24"/>
  <c r="L289" i="24"/>
  <c r="L360" i="24"/>
  <c r="L444" i="24"/>
  <c r="L413" i="24"/>
  <c r="L400" i="24"/>
  <c r="L321" i="24"/>
  <c r="L279" i="24"/>
  <c r="L424" i="24"/>
  <c r="L540" i="24"/>
  <c r="L575" i="24"/>
  <c r="L427" i="24"/>
  <c r="L326" i="24"/>
  <c r="L320" i="24"/>
  <c r="L174" i="24"/>
  <c r="L682" i="24"/>
  <c r="L406" i="24"/>
  <c r="L486" i="24"/>
  <c r="L447" i="24"/>
  <c r="L221" i="24"/>
  <c r="L524" i="24"/>
  <c r="L507" i="24"/>
  <c r="L241" i="24"/>
  <c r="L374" i="24"/>
  <c r="L584" i="24"/>
  <c r="L463" i="24"/>
  <c r="L325" i="24"/>
  <c r="L528" i="24"/>
  <c r="L596" i="24"/>
  <c r="L280" i="24"/>
  <c r="L425" i="24"/>
  <c r="L122" i="24"/>
  <c r="L477" i="24"/>
  <c r="L521" i="24"/>
  <c r="L380" i="24"/>
  <c r="L548" i="24"/>
  <c r="L148" i="24"/>
  <c r="L581" i="24"/>
  <c r="L197" i="24"/>
  <c r="L222" i="24"/>
  <c r="L257" i="24"/>
  <c r="L170" i="24"/>
  <c r="L220" i="24"/>
  <c r="L613" i="24"/>
  <c r="L587" i="24"/>
  <c r="L331" i="24"/>
  <c r="L298" i="24"/>
  <c r="L778" i="25"/>
  <c r="L705" i="24"/>
  <c r="L236" i="24"/>
  <c r="L354" i="24"/>
  <c r="L770" i="25"/>
  <c r="L244" i="24"/>
  <c r="L574" i="24"/>
  <c r="L614" i="24"/>
  <c r="L378" i="24"/>
  <c r="L370" i="24"/>
  <c r="L657" i="24"/>
  <c r="L464" i="24"/>
  <c r="L567" i="24"/>
  <c r="L362" i="24"/>
  <c r="L116" i="24"/>
  <c r="L188" i="24"/>
  <c r="L439" i="24"/>
  <c r="L535" i="24"/>
  <c r="L549" i="24"/>
  <c r="L531" i="24"/>
  <c r="L268" i="24"/>
  <c r="L577" i="24"/>
  <c r="L610" i="24"/>
  <c r="L598" i="24"/>
  <c r="L496" i="24"/>
  <c r="L394" i="24"/>
  <c r="L690" i="24"/>
  <c r="L265" i="24"/>
  <c r="L698" i="24"/>
  <c r="L604" i="24"/>
  <c r="L227" i="24"/>
  <c r="L273" i="24"/>
  <c r="L622" i="24"/>
  <c r="L626" i="24"/>
  <c r="L334" i="24"/>
  <c r="L303" i="24"/>
  <c r="L127" i="24"/>
  <c r="L386" i="24"/>
  <c r="L383" i="24"/>
  <c r="L137" i="24"/>
  <c r="L450" i="24"/>
  <c r="L281" i="24"/>
  <c r="L365" i="24"/>
  <c r="L355" i="24"/>
  <c r="L493" i="24"/>
  <c r="L708" i="24"/>
  <c r="L368" i="24"/>
  <c r="L689" i="24"/>
  <c r="L209" i="24"/>
  <c r="L353" i="24"/>
  <c r="L489" i="24"/>
  <c r="L393" i="24"/>
  <c r="L530" i="24"/>
  <c r="L714" i="24"/>
  <c r="L607" i="24"/>
  <c r="L646" i="24"/>
  <c r="L178" i="24"/>
  <c r="L213" i="24"/>
  <c r="L318" i="24"/>
  <c r="L388" i="24"/>
  <c r="L470" i="24"/>
  <c r="L503" i="24"/>
  <c r="L111" i="24"/>
  <c r="L105" i="24"/>
  <c r="L660" i="24"/>
  <c r="L302" i="24"/>
  <c r="L435" i="24"/>
  <c r="L152" i="24"/>
  <c r="L132" i="24"/>
  <c r="L555" i="24"/>
  <c r="L278" i="24"/>
  <c r="L157" i="24"/>
  <c r="L630" i="24"/>
  <c r="L300" i="24"/>
  <c r="L201" i="24"/>
  <c r="L385" i="24"/>
  <c r="L404" i="24"/>
  <c r="L511" i="24"/>
  <c r="L731" i="24"/>
  <c r="L270" i="24"/>
  <c r="L697" i="24"/>
  <c r="L387" i="24"/>
  <c r="L107" i="24"/>
  <c r="L200" i="24"/>
  <c r="L128" i="24"/>
  <c r="L546" i="24"/>
  <c r="L158" i="24"/>
  <c r="L366" i="24"/>
  <c r="L212" i="24"/>
  <c r="L661" i="24"/>
  <c r="L611" i="24"/>
  <c r="L305" i="24"/>
  <c r="L679" i="24"/>
  <c r="L694" i="24"/>
  <c r="L285" i="24"/>
  <c r="L703" i="24"/>
  <c r="L719" i="24"/>
  <c r="L704" i="24"/>
  <c r="L483" i="24"/>
  <c r="L199" i="24"/>
  <c r="L606" i="24"/>
  <c r="L429" i="24"/>
  <c r="L402" i="24"/>
  <c r="L146" i="24"/>
  <c r="L198" i="24"/>
  <c r="L260" i="24"/>
  <c r="L140" i="24"/>
  <c r="L114" i="24"/>
  <c r="L650" i="24"/>
  <c r="L173" i="24"/>
  <c r="L421" i="24"/>
  <c r="L218" i="24"/>
  <c r="L612" i="24"/>
  <c r="L482" i="24"/>
  <c r="L605" i="24"/>
  <c r="L291" i="24"/>
  <c r="L709" i="24"/>
  <c r="L727" i="24"/>
  <c r="L191" i="24"/>
  <c r="L391" i="24"/>
  <c r="L242" i="24"/>
  <c r="L226" i="24"/>
  <c r="L219" i="24"/>
  <c r="L350" i="24"/>
  <c r="L459" i="24"/>
  <c r="L238" i="24"/>
  <c r="L377" i="24"/>
  <c r="L161" i="24"/>
  <c r="L142" i="24"/>
  <c r="L231" i="24"/>
  <c r="L578" i="24"/>
  <c r="L165" i="24"/>
  <c r="L297" i="24"/>
  <c r="L497" i="24"/>
  <c r="L609" i="24"/>
  <c r="L550" i="24"/>
  <c r="L234" i="24"/>
  <c r="L327" i="24"/>
  <c r="L592" i="24"/>
  <c r="L462" i="24"/>
  <c r="L288" i="24"/>
  <c r="L147" i="24"/>
  <c r="L164" i="24"/>
  <c r="L691" i="24"/>
  <c r="L135" i="24"/>
  <c r="L294" i="24"/>
  <c r="L501" i="24"/>
  <c r="L341" i="24"/>
  <c r="L202" i="24"/>
  <c r="L335" i="24"/>
  <c r="L678" i="24"/>
  <c r="L502" i="24"/>
  <c r="L674" i="24"/>
  <c r="L418" i="24"/>
  <c r="L108" i="24"/>
  <c r="L217" i="24"/>
  <c r="L135" i="25"/>
  <c r="L269" i="24"/>
  <c r="L582" i="24"/>
  <c r="L603" i="24"/>
  <c r="L498" i="24"/>
  <c r="L469" i="24"/>
  <c r="L159" i="24"/>
  <c r="L180" i="24"/>
  <c r="L711" i="24"/>
  <c r="L137" i="25"/>
  <c r="L252" i="24"/>
  <c r="L290" i="24"/>
  <c r="L585" i="24"/>
  <c r="L247" i="24"/>
  <c r="L182" i="24"/>
  <c r="L434" i="24"/>
  <c r="L329" i="24"/>
  <c r="L315" i="24"/>
  <c r="L346" i="24"/>
  <c r="L138" i="24"/>
  <c r="L162" i="24"/>
  <c r="L453" i="24"/>
  <c r="L442" i="24"/>
  <c r="L547" i="24"/>
  <c r="L172" i="24"/>
  <c r="L556" i="24"/>
  <c r="L110" i="24"/>
  <c r="L484" i="24"/>
  <c r="L653" i="24"/>
  <c r="L223" i="24"/>
  <c r="L216" i="24"/>
  <c r="L130" i="24"/>
  <c r="L195" i="24"/>
  <c r="L684" i="24"/>
  <c r="L187" i="24"/>
  <c r="L602" i="24"/>
  <c r="L232" i="24"/>
  <c r="L702" i="24"/>
  <c r="L317" i="24"/>
  <c r="L672" i="24"/>
  <c r="L680" i="24"/>
  <c r="L544" i="24"/>
  <c r="L230" i="24"/>
  <c r="L256" i="24"/>
  <c r="L403" i="24"/>
  <c r="L597" i="24"/>
  <c r="L133" i="24"/>
  <c r="L687" i="24"/>
  <c r="L184" i="24"/>
  <c r="L409" i="24"/>
  <c r="L272" i="24"/>
  <c r="L150" i="24"/>
  <c r="L475" i="24"/>
  <c r="L543" i="24"/>
  <c r="L313" i="24"/>
  <c r="L675" i="24"/>
  <c r="L267" i="24"/>
  <c r="L255" i="24"/>
  <c r="L671" i="24"/>
  <c r="L683" i="24"/>
  <c r="L175" i="25"/>
  <c r="L554" i="24"/>
  <c r="L782" i="25"/>
  <c r="L438" i="24"/>
  <c r="L454" i="24"/>
  <c r="L572" i="24"/>
  <c r="L145" i="24"/>
  <c r="L181" i="24"/>
  <c r="L286" i="24"/>
  <c r="L307" i="24"/>
  <c r="L224" i="24"/>
  <c r="L309" i="24"/>
  <c r="L210" i="24"/>
  <c r="L141" i="24"/>
  <c r="L389" i="24"/>
  <c r="L699" i="24"/>
  <c r="L293" i="24"/>
  <c r="L310" i="24"/>
  <c r="L401" i="24"/>
  <c r="L568" i="24"/>
  <c r="L538" i="24"/>
  <c r="L571" i="24"/>
  <c r="L583" i="24"/>
  <c r="L407" i="24"/>
  <c r="L113" i="24"/>
  <c r="L449" i="24"/>
  <c r="L500" i="24"/>
  <c r="L330" i="24"/>
  <c r="L700" i="24"/>
  <c r="L557" i="24"/>
  <c r="AH57" i="31"/>
  <c r="AH57" i="25"/>
  <c r="AH57" i="24"/>
  <c r="AH58" i="31"/>
  <c r="AH58" i="25"/>
  <c r="AH58" i="24"/>
  <c r="AH77" i="31"/>
  <c r="AH77" i="24"/>
  <c r="AH77" i="25"/>
  <c r="AH86" i="31"/>
  <c r="AH86" i="25"/>
  <c r="AH86" i="24"/>
  <c r="AH80" i="31"/>
  <c r="AH80" i="24"/>
  <c r="AH80" i="25"/>
  <c r="AH83" i="31"/>
  <c r="AH83" i="25"/>
  <c r="AH83" i="24"/>
  <c r="AH55" i="31"/>
  <c r="AH55" i="25"/>
  <c r="AH55" i="24"/>
  <c r="J64" i="8"/>
  <c r="B44" i="28"/>
  <c r="J65" i="8"/>
  <c r="B45" i="28"/>
  <c r="J58" i="8"/>
  <c r="B38" i="28"/>
  <c r="J60" i="8"/>
  <c r="B40" i="28"/>
  <c r="J63" i="8"/>
  <c r="B43" i="28"/>
  <c r="J66" i="8"/>
  <c r="B46" i="28"/>
  <c r="D50" i="8"/>
  <c r="D51" i="8"/>
  <c r="D48" i="8"/>
  <c r="D49" i="8"/>
  <c r="B18" i="6"/>
  <c r="B22" i="6"/>
  <c r="D58" i="8"/>
  <c r="D62" i="8"/>
  <c r="D65" i="8"/>
  <c r="D60" i="8"/>
  <c r="D63" i="8"/>
  <c r="D66" i="8"/>
  <c r="D61" i="8"/>
  <c r="D64" i="8"/>
  <c r="AH65" i="31"/>
  <c r="AG53" i="31" l="1"/>
  <c r="AG53" i="24"/>
  <c r="AG53" i="25"/>
  <c r="AG65" i="31"/>
  <c r="AG65" i="25"/>
  <c r="AG65" i="24"/>
  <c r="AG56" i="31"/>
  <c r="AG56" i="24"/>
  <c r="AG56" i="25"/>
  <c r="AH65" i="24"/>
  <c r="AH65" i="25"/>
  <c r="C59" i="8"/>
  <c r="C49" i="8"/>
  <c r="J49" i="8" s="1"/>
  <c r="D59" i="8"/>
  <c r="A29" i="6"/>
  <c r="O637" i="25" s="1"/>
  <c r="G22" i="6"/>
  <c r="O692" i="25" l="1"/>
  <c r="O662" i="25"/>
  <c r="P662" i="25" s="1"/>
  <c r="O647" i="25"/>
  <c r="Q647" i="25" s="1"/>
  <c r="O699" i="25"/>
  <c r="O654" i="25"/>
  <c r="P654" i="25" s="1"/>
  <c r="O652" i="25"/>
  <c r="Q652" i="25" s="1"/>
  <c r="O650" i="25"/>
  <c r="Q650" i="25" s="1"/>
  <c r="O636" i="25"/>
  <c r="O638" i="25"/>
  <c r="Q638" i="25" s="1"/>
  <c r="O666" i="25"/>
  <c r="Q666" i="25" s="1"/>
  <c r="O643" i="25"/>
  <c r="Q643" i="25" s="1"/>
  <c r="O645" i="25"/>
  <c r="P645" i="25" s="1"/>
  <c r="O667" i="25"/>
  <c r="Q667" i="25" s="1"/>
  <c r="O668" i="25"/>
  <c r="Q668" i="25" s="1"/>
  <c r="O653" i="25"/>
  <c r="Q653" i="25" s="1"/>
  <c r="O691" i="25"/>
  <c r="O689" i="25"/>
  <c r="O657" i="25"/>
  <c r="P657" i="25" s="1"/>
  <c r="O690" i="25"/>
  <c r="O717" i="25"/>
  <c r="O639" i="25"/>
  <c r="O669" i="25"/>
  <c r="O714" i="25"/>
  <c r="O665" i="25"/>
  <c r="O646" i="25"/>
  <c r="O640" i="25"/>
  <c r="O656" i="25"/>
  <c r="O379" i="31"/>
  <c r="O716" i="25"/>
  <c r="O660" i="25"/>
  <c r="O702" i="25"/>
  <c r="O715" i="25"/>
  <c r="O649" i="25"/>
  <c r="O644" i="25"/>
  <c r="O659" i="25"/>
  <c r="O651" i="25"/>
  <c r="O641" i="25"/>
  <c r="O648" i="25"/>
  <c r="O674" i="25"/>
  <c r="O672" i="25"/>
  <c r="O686" i="25"/>
  <c r="Q662" i="25"/>
  <c r="O709" i="25"/>
  <c r="P709" i="25" s="1"/>
  <c r="O678" i="25"/>
  <c r="O710" i="25"/>
  <c r="P710" i="25" s="1"/>
  <c r="O675" i="25"/>
  <c r="O707" i="25"/>
  <c r="O658" i="25"/>
  <c r="O701" i="25"/>
  <c r="O635" i="25"/>
  <c r="O722" i="25"/>
  <c r="O634" i="25"/>
  <c r="O383" i="31"/>
  <c r="O684" i="25"/>
  <c r="O697" i="25"/>
  <c r="O704" i="25"/>
  <c r="O703" i="25"/>
  <c r="O721" i="25"/>
  <c r="O720" i="25"/>
  <c r="O382" i="31"/>
  <c r="O738" i="25"/>
  <c r="O698" i="25"/>
  <c r="O683" i="25"/>
  <c r="O380" i="31"/>
  <c r="O696" i="25"/>
  <c r="O681" i="25"/>
  <c r="O663" i="25"/>
  <c r="O739" i="25"/>
  <c r="O712" i="25"/>
  <c r="P712" i="25" s="1"/>
  <c r="O694" i="25"/>
  <c r="O708" i="25"/>
  <c r="O677" i="25"/>
  <c r="O706" i="25"/>
  <c r="O705" i="25"/>
  <c r="O711" i="25"/>
  <c r="P711" i="25" s="1"/>
  <c r="O693" i="25"/>
  <c r="Q693" i="25" s="1"/>
  <c r="O679" i="25"/>
  <c r="O682" i="25"/>
  <c r="O386" i="31"/>
  <c r="O740" i="25"/>
  <c r="O676" i="25"/>
  <c r="O743" i="25"/>
  <c r="O742" i="25"/>
  <c r="O387" i="31"/>
  <c r="O389" i="31"/>
  <c r="O381" i="31"/>
  <c r="O741" i="25"/>
  <c r="O384" i="31"/>
  <c r="O385" i="31"/>
  <c r="O388" i="31"/>
  <c r="O661" i="25"/>
  <c r="O680" i="25"/>
  <c r="O718" i="25"/>
  <c r="O719" i="25"/>
  <c r="O673" i="25"/>
  <c r="O642" i="25"/>
  <c r="O687" i="25"/>
  <c r="O700" i="25"/>
  <c r="O440" i="31"/>
  <c r="O688" i="25"/>
  <c r="O671" i="25"/>
  <c r="O664" i="25"/>
  <c r="O655" i="25"/>
  <c r="O670" i="25"/>
  <c r="O685" i="25"/>
  <c r="O362" i="31"/>
  <c r="Q362" i="31" s="1"/>
  <c r="O283" i="31"/>
  <c r="O291" i="31"/>
  <c r="O111" i="31"/>
  <c r="O353" i="31"/>
  <c r="O355" i="31"/>
  <c r="Q355" i="31" s="1"/>
  <c r="O357" i="31"/>
  <c r="Q357" i="31" s="1"/>
  <c r="O313" i="25"/>
  <c r="O318" i="25"/>
  <c r="O354" i="31"/>
  <c r="O369" i="31"/>
  <c r="Q369" i="31" s="1"/>
  <c r="O368" i="25"/>
  <c r="O335" i="25"/>
  <c r="O363" i="31"/>
  <c r="Q363" i="31" s="1"/>
  <c r="O364" i="25"/>
  <c r="O366" i="31"/>
  <c r="Q366" i="31" s="1"/>
  <c r="O347" i="31"/>
  <c r="Q347" i="31" s="1"/>
  <c r="O365" i="31"/>
  <c r="Q365" i="31" s="1"/>
  <c r="O345" i="31"/>
  <c r="Q345" i="31" s="1"/>
  <c r="O339" i="25"/>
  <c r="O316" i="25"/>
  <c r="O376" i="31"/>
  <c r="O293" i="31"/>
  <c r="Q293" i="31" s="1"/>
  <c r="O358" i="31"/>
  <c r="Q358" i="31" s="1"/>
  <c r="O356" i="31"/>
  <c r="Q356" i="31" s="1"/>
  <c r="O371" i="31"/>
  <c r="O373" i="31"/>
  <c r="O359" i="31"/>
  <c r="Q359" i="31" s="1"/>
  <c r="O360" i="31"/>
  <c r="Q360" i="31" s="1"/>
  <c r="O352" i="31"/>
  <c r="O350" i="31"/>
  <c r="Q350" i="31" s="1"/>
  <c r="O348" i="31"/>
  <c r="Q348" i="31" s="1"/>
  <c r="O349" i="31"/>
  <c r="Q349" i="31" s="1"/>
  <c r="O346" i="31"/>
  <c r="Q346" i="31" s="1"/>
  <c r="O356" i="25"/>
  <c r="O367" i="25"/>
  <c r="O405" i="25"/>
  <c r="O359" i="25"/>
  <c r="O360" i="25"/>
  <c r="O315" i="25"/>
  <c r="O362" i="25"/>
  <c r="O357" i="25"/>
  <c r="O338" i="25"/>
  <c r="O366" i="25"/>
  <c r="O420" i="25"/>
  <c r="O317" i="25"/>
  <c r="O361" i="31"/>
  <c r="Q361" i="31" s="1"/>
  <c r="O344" i="31"/>
  <c r="O355" i="25"/>
  <c r="O341" i="25"/>
  <c r="O424" i="25"/>
  <c r="O365" i="25"/>
  <c r="O334" i="25"/>
  <c r="O336" i="25"/>
  <c r="O340" i="25"/>
  <c r="O375" i="31"/>
  <c r="O374" i="31"/>
  <c r="O351" i="31"/>
  <c r="Q351" i="31" s="1"/>
  <c r="O370" i="31"/>
  <c r="O372" i="31"/>
  <c r="O369" i="25"/>
  <c r="O377" i="31"/>
  <c r="O378" i="31"/>
  <c r="O367" i="31"/>
  <c r="Q367" i="31" s="1"/>
  <c r="O364" i="31"/>
  <c r="Q364" i="31" s="1"/>
  <c r="O363" i="25"/>
  <c r="O275" i="31"/>
  <c r="Q275" i="31" s="1"/>
  <c r="O314" i="25"/>
  <c r="O337" i="25"/>
  <c r="O312" i="25"/>
  <c r="O358" i="25"/>
  <c r="O153" i="25"/>
  <c r="O201" i="25"/>
  <c r="O250" i="25"/>
  <c r="O141" i="25"/>
  <c r="O152" i="25"/>
  <c r="O299" i="25"/>
  <c r="O292" i="31"/>
  <c r="O251" i="25"/>
  <c r="O107" i="25"/>
  <c r="O318" i="31"/>
  <c r="Q318" i="31" s="1"/>
  <c r="O296" i="31"/>
  <c r="O207" i="25"/>
  <c r="O300" i="25"/>
  <c r="O290" i="31"/>
  <c r="O288" i="31"/>
  <c r="O218" i="25"/>
  <c r="O295" i="31"/>
  <c r="O294" i="31"/>
  <c r="O286" i="31"/>
  <c r="O244" i="25"/>
  <c r="O134" i="25"/>
  <c r="O123" i="25"/>
  <c r="O115" i="25"/>
  <c r="O122" i="25"/>
  <c r="O117" i="25"/>
  <c r="O429" i="31"/>
  <c r="O430" i="31"/>
  <c r="O414" i="31"/>
  <c r="O413" i="31"/>
  <c r="O431" i="31"/>
  <c r="O119" i="25"/>
  <c r="O205" i="25"/>
  <c r="O243" i="25"/>
  <c r="O289" i="31"/>
  <c r="O204" i="25"/>
  <c r="O219" i="25"/>
  <c r="O435" i="31"/>
  <c r="O220" i="25"/>
  <c r="O131" i="25"/>
  <c r="O116" i="25"/>
  <c r="O213" i="25"/>
  <c r="O341" i="31"/>
  <c r="Q341" i="31" s="1"/>
  <c r="O299" i="31"/>
  <c r="Q299" i="31" s="1"/>
  <c r="O326" i="31"/>
  <c r="Q326" i="31" s="1"/>
  <c r="O298" i="31"/>
  <c r="P298" i="31" s="1"/>
  <c r="O544" i="25"/>
  <c r="O462" i="25"/>
  <c r="O316" i="31"/>
  <c r="P316" i="31" s="1"/>
  <c r="O265" i="31"/>
  <c r="Q265" i="31" s="1"/>
  <c r="O508" i="25"/>
  <c r="O310" i="31"/>
  <c r="P310" i="31" s="1"/>
  <c r="O507" i="25"/>
  <c r="P507" i="25" s="1"/>
  <c r="O217" i="31"/>
  <c r="O324" i="31"/>
  <c r="O220" i="31"/>
  <c r="O303" i="31"/>
  <c r="O301" i="31"/>
  <c r="O305" i="31"/>
  <c r="O300" i="31"/>
  <c r="O109" i="31"/>
  <c r="O328" i="31"/>
  <c r="O307" i="31"/>
  <c r="O334" i="31"/>
  <c r="O337" i="31"/>
  <c r="O314" i="31"/>
  <c r="O335" i="31"/>
  <c r="O327" i="31"/>
  <c r="O325" i="31"/>
  <c r="O332" i="31"/>
  <c r="O219" i="31"/>
  <c r="O317" i="31"/>
  <c r="O331" i="31"/>
  <c r="O306" i="31"/>
  <c r="O304" i="31"/>
  <c r="O338" i="31"/>
  <c r="O336" i="31"/>
  <c r="O232" i="31"/>
  <c r="O319" i="31"/>
  <c r="O315" i="31"/>
  <c r="O297" i="31"/>
  <c r="O311" i="31"/>
  <c r="O320" i="31"/>
  <c r="O321" i="31"/>
  <c r="O312" i="31"/>
  <c r="O333" i="31"/>
  <c r="O107" i="31"/>
  <c r="O108" i="31"/>
  <c r="O221" i="31"/>
  <c r="O313" i="31"/>
  <c r="O340" i="31"/>
  <c r="O339" i="31"/>
  <c r="O302" i="31"/>
  <c r="O308" i="31"/>
  <c r="O342" i="31"/>
  <c r="Q342" i="31" s="1"/>
  <c r="O322" i="31"/>
  <c r="O329" i="31"/>
  <c r="O323" i="31"/>
  <c r="O330" i="31"/>
  <c r="O239" i="25"/>
  <c r="P239" i="25" s="1"/>
  <c r="O287" i="31"/>
  <c r="Q287" i="31" s="1"/>
  <c r="O171" i="25"/>
  <c r="P171" i="25" s="1"/>
  <c r="O168" i="25"/>
  <c r="Q168" i="25" s="1"/>
  <c r="O404" i="31"/>
  <c r="P404" i="31" s="1"/>
  <c r="O183" i="25"/>
  <c r="O259" i="25"/>
  <c r="O166" i="25"/>
  <c r="O169" i="25"/>
  <c r="O170" i="25"/>
  <c r="O162" i="25"/>
  <c r="O489" i="25"/>
  <c r="P489" i="25" s="1"/>
  <c r="O625" i="25"/>
  <c r="Q625" i="25" s="1"/>
  <c r="O583" i="25"/>
  <c r="Q583" i="25" s="1"/>
  <c r="O437" i="31"/>
  <c r="P437" i="31" s="1"/>
  <c r="O622" i="25"/>
  <c r="Q622" i="25" s="1"/>
  <c r="O531" i="25"/>
  <c r="P531" i="25" s="1"/>
  <c r="O601" i="25"/>
  <c r="Q601" i="25" s="1"/>
  <c r="O422" i="31"/>
  <c r="Q422" i="31" s="1"/>
  <c r="O466" i="25"/>
  <c r="Q466" i="25" s="1"/>
  <c r="O516" i="25"/>
  <c r="P516" i="25" s="1"/>
  <c r="O420" i="31"/>
  <c r="P420" i="31" s="1"/>
  <c r="O511" i="25"/>
  <c r="Q511" i="25" s="1"/>
  <c r="O568" i="25"/>
  <c r="P568" i="25" s="1"/>
  <c r="O527" i="25"/>
  <c r="P527" i="25" s="1"/>
  <c r="O497" i="25"/>
  <c r="P497" i="25" s="1"/>
  <c r="O528" i="25"/>
  <c r="Q528" i="25" s="1"/>
  <c r="O481" i="25"/>
  <c r="Q481" i="25" s="1"/>
  <c r="O482" i="25"/>
  <c r="P482" i="25" s="1"/>
  <c r="O627" i="25"/>
  <c r="P627" i="25" s="1"/>
  <c r="O730" i="25"/>
  <c r="O729" i="25"/>
  <c r="O731" i="25"/>
  <c r="P713" i="25"/>
  <c r="O728" i="25"/>
  <c r="O732" i="25"/>
  <c r="O416" i="31"/>
  <c r="P416" i="31" s="1"/>
  <c r="O545" i="25"/>
  <c r="Q545" i="25" s="1"/>
  <c r="O518" i="25"/>
  <c r="Q518" i="25" s="1"/>
  <c r="O608" i="25"/>
  <c r="P608" i="25" s="1"/>
  <c r="O480" i="25"/>
  <c r="Q480" i="25" s="1"/>
  <c r="O471" i="25"/>
  <c r="P471" i="25" s="1"/>
  <c r="O624" i="25"/>
  <c r="P624" i="25" s="1"/>
  <c r="O425" i="31"/>
  <c r="P425" i="31" s="1"/>
  <c r="O593" i="25"/>
  <c r="P593" i="25" s="1"/>
  <c r="O529" i="25"/>
  <c r="P529" i="25" s="1"/>
  <c r="O495" i="25"/>
  <c r="Q495" i="25" s="1"/>
  <c r="O498" i="25"/>
  <c r="P498" i="25" s="1"/>
  <c r="O515" i="25"/>
  <c r="P515" i="25" s="1"/>
  <c r="O628" i="25"/>
  <c r="P628" i="25" s="1"/>
  <c r="O524" i="25"/>
  <c r="Q524" i="25" s="1"/>
  <c r="O432" i="31"/>
  <c r="Q432" i="31" s="1"/>
  <c r="O604" i="25"/>
  <c r="P604" i="25" s="1"/>
  <c r="O485" i="25"/>
  <c r="P485" i="25" s="1"/>
  <c r="O522" i="25"/>
  <c r="Q522" i="25" s="1"/>
  <c r="O603" i="25"/>
  <c r="P603" i="25" s="1"/>
  <c r="O617" i="25"/>
  <c r="P617" i="25" s="1"/>
  <c r="O618" i="25"/>
  <c r="P618" i="25" s="1"/>
  <c r="O619" i="25"/>
  <c r="P619" i="25" s="1"/>
  <c r="O521" i="25"/>
  <c r="Q521" i="25" s="1"/>
  <c r="O500" i="25"/>
  <c r="Q500" i="25" s="1"/>
  <c r="O487" i="25"/>
  <c r="Q487" i="25" s="1"/>
  <c r="O609" i="25"/>
  <c r="Q609" i="25" s="1"/>
  <c r="O620" i="25"/>
  <c r="Q620" i="25" s="1"/>
  <c r="O590" i="25"/>
  <c r="P590" i="25" s="1"/>
  <c r="O519" i="25"/>
  <c r="Q519" i="25" s="1"/>
  <c r="O562" i="25"/>
  <c r="Q562" i="25" s="1"/>
  <c r="O553" i="25"/>
  <c r="P553" i="25" s="1"/>
  <c r="O523" i="25"/>
  <c r="Q523" i="25" s="1"/>
  <c r="O472" i="25"/>
  <c r="P472" i="25" s="1"/>
  <c r="O433" i="31"/>
  <c r="P433" i="31" s="1"/>
  <c r="O491" i="25"/>
  <c r="Q491" i="25" s="1"/>
  <c r="O421" i="31"/>
  <c r="O569" i="25"/>
  <c r="O415" i="31"/>
  <c r="O465" i="25"/>
  <c r="O423" i="31"/>
  <c r="O502" i="25"/>
  <c r="O539" i="25"/>
  <c r="O428" i="31"/>
  <c r="O434" i="31"/>
  <c r="O506" i="25"/>
  <c r="O600" i="25"/>
  <c r="O616" i="25"/>
  <c r="O517" i="25"/>
  <c r="O602" i="25"/>
  <c r="O580" i="25"/>
  <c r="O565" i="25"/>
  <c r="O520" i="25"/>
  <c r="O512" i="25"/>
  <c r="O607" i="25"/>
  <c r="P607" i="25" s="1"/>
  <c r="O409" i="31"/>
  <c r="O396" i="31"/>
  <c r="O543" i="25"/>
  <c r="O535" i="25"/>
  <c r="O408" i="31"/>
  <c r="O591" i="25"/>
  <c r="P591" i="25" s="1"/>
  <c r="O537" i="25"/>
  <c r="O402" i="31"/>
  <c r="O606" i="25"/>
  <c r="P606" i="25" s="1"/>
  <c r="O546" i="25"/>
  <c r="O398" i="31"/>
  <c r="O605" i="25"/>
  <c r="P605" i="25" s="1"/>
  <c r="O582" i="25"/>
  <c r="P582" i="25" s="1"/>
  <c r="O397" i="31"/>
  <c r="O551" i="25"/>
  <c r="O533" i="25"/>
  <c r="O575" i="25"/>
  <c r="P575" i="25" s="1"/>
  <c r="O581" i="25"/>
  <c r="P581" i="25" s="1"/>
  <c r="O552" i="25"/>
  <c r="O542" i="25"/>
  <c r="O534" i="25"/>
  <c r="O541" i="25"/>
  <c r="O412" i="31"/>
  <c r="O401" i="31"/>
  <c r="O558" i="25"/>
  <c r="P558" i="25" s="1"/>
  <c r="O407" i="31"/>
  <c r="O417" i="31"/>
  <c r="O554" i="25"/>
  <c r="O424" i="31"/>
  <c r="O547" i="25"/>
  <c r="O592" i="25"/>
  <c r="O555" i="25"/>
  <c r="O613" i="25"/>
  <c r="P613" i="25" s="1"/>
  <c r="O596" i="25"/>
  <c r="P596" i="25" s="1"/>
  <c r="O550" i="25"/>
  <c r="O611" i="25"/>
  <c r="P611" i="25" s="1"/>
  <c r="O594" i="25"/>
  <c r="P594" i="25" s="1"/>
  <c r="O436" i="31"/>
  <c r="O610" i="25"/>
  <c r="P610" i="25" s="1"/>
  <c r="O418" i="31"/>
  <c r="O406" i="31"/>
  <c r="O399" i="31"/>
  <c r="O576" i="25"/>
  <c r="P576" i="25" s="1"/>
  <c r="O559" i="25"/>
  <c r="P559" i="25" s="1"/>
  <c r="O548" i="25"/>
  <c r="O427" i="31"/>
  <c r="O626" i="25"/>
  <c r="O536" i="25"/>
  <c r="O612" i="25"/>
  <c r="P612" i="25" s="1"/>
  <c r="O595" i="25"/>
  <c r="P595" i="25" s="1"/>
  <c r="O561" i="25"/>
  <c r="P561" i="25" s="1"/>
  <c r="O419" i="31"/>
  <c r="O411" i="31"/>
  <c r="O400" i="31"/>
  <c r="O560" i="25"/>
  <c r="P560" i="25" s="1"/>
  <c r="O549" i="25"/>
  <c r="O556" i="25"/>
  <c r="P556" i="25" s="1"/>
  <c r="O538" i="25"/>
  <c r="O410" i="31"/>
  <c r="O584" i="25"/>
  <c r="P584" i="25" s="1"/>
  <c r="O405" i="31"/>
  <c r="O586" i="25"/>
  <c r="O479" i="25"/>
  <c r="O509" i="25"/>
  <c r="O598" i="25"/>
  <c r="O475" i="25"/>
  <c r="O587" i="25"/>
  <c r="O464" i="25"/>
  <c r="O493" i="25"/>
  <c r="O540" i="25"/>
  <c r="O395" i="31"/>
  <c r="O585" i="25"/>
  <c r="O461" i="25"/>
  <c r="O589" i="25"/>
  <c r="O478" i="25"/>
  <c r="O504" i="25"/>
  <c r="O599" i="25"/>
  <c r="O474" i="25"/>
  <c r="O484" i="25"/>
  <c r="O473" i="25"/>
  <c r="O476" i="25"/>
  <c r="O629" i="25"/>
  <c r="O505" i="25"/>
  <c r="O563" i="25"/>
  <c r="O567" i="25"/>
  <c r="O496" i="25"/>
  <c r="O588" i="25"/>
  <c r="O526" i="25"/>
  <c r="O490" i="25"/>
  <c r="O532" i="25"/>
  <c r="O463" i="25"/>
  <c r="O494" i="25"/>
  <c r="O566" i="25"/>
  <c r="O621" i="25"/>
  <c r="O499" i="25"/>
  <c r="O426" i="31"/>
  <c r="O477" i="25"/>
  <c r="O501" i="25"/>
  <c r="O570" i="25"/>
  <c r="O577" i="25"/>
  <c r="P577" i="25" s="1"/>
  <c r="Z577" i="25" s="1"/>
  <c r="O492" i="25"/>
  <c r="O578" i="25"/>
  <c r="P578" i="25" s="1"/>
  <c r="Z578" i="25" s="1"/>
  <c r="O579" i="25"/>
  <c r="P579" i="25" s="1"/>
  <c r="Z579" i="25" s="1"/>
  <c r="O486" i="25"/>
  <c r="O513" i="25"/>
  <c r="O614" i="25"/>
  <c r="O597" i="25"/>
  <c r="O514" i="25"/>
  <c r="O510" i="25"/>
  <c r="O488" i="25"/>
  <c r="O483" i="25"/>
  <c r="O615" i="25"/>
  <c r="O530" i="25"/>
  <c r="O525" i="25"/>
  <c r="O381" i="25"/>
  <c r="P381" i="25" s="1"/>
  <c r="O143" i="25"/>
  <c r="O392" i="25"/>
  <c r="O225" i="25"/>
  <c r="O224" i="25"/>
  <c r="O398" i="25"/>
  <c r="Q398" i="25" s="1"/>
  <c r="O159" i="25"/>
  <c r="Q159" i="25" s="1"/>
  <c r="O151" i="25"/>
  <c r="P151" i="25" s="1"/>
  <c r="O323" i="25"/>
  <c r="Q323" i="25" s="1"/>
  <c r="O386" i="25"/>
  <c r="Q386" i="25" s="1"/>
  <c r="O327" i="25"/>
  <c r="O391" i="25"/>
  <c r="O343" i="25"/>
  <c r="O203" i="25"/>
  <c r="Q203" i="25" s="1"/>
  <c r="O361" i="25"/>
  <c r="O385" i="25"/>
  <c r="Q385" i="25" s="1"/>
  <c r="O214" i="25"/>
  <c r="Q214" i="25" s="1"/>
  <c r="O387" i="25"/>
  <c r="O437" i="25"/>
  <c r="O330" i="25"/>
  <c r="O346" i="25"/>
  <c r="O324" i="25"/>
  <c r="Q324" i="25" s="1"/>
  <c r="O181" i="25"/>
  <c r="Q181" i="25" s="1"/>
  <c r="O328" i="25"/>
  <c r="O212" i="25"/>
  <c r="Q212" i="25" s="1"/>
  <c r="O342" i="25"/>
  <c r="O347" i="25"/>
  <c r="O279" i="25"/>
  <c r="Q279" i="25" s="1"/>
  <c r="O438" i="25"/>
  <c r="O210" i="25"/>
  <c r="P210" i="25" s="1"/>
  <c r="O353" i="25"/>
  <c r="O283" i="25"/>
  <c r="Q283" i="25" s="1"/>
  <c r="O376" i="25"/>
  <c r="O238" i="25"/>
  <c r="P238" i="25" s="1"/>
  <c r="O344" i="25"/>
  <c r="O352" i="25"/>
  <c r="O211" i="25"/>
  <c r="P211" i="25" s="1"/>
  <c r="O319" i="25"/>
  <c r="Q319" i="25" s="1"/>
  <c r="O399" i="25"/>
  <c r="O373" i="25"/>
  <c r="O321" i="25"/>
  <c r="P321" i="25" s="1"/>
  <c r="O348" i="25"/>
  <c r="O445" i="25"/>
  <c r="O320" i="25"/>
  <c r="P320" i="25" s="1"/>
  <c r="O371" i="25"/>
  <c r="O436" i="25"/>
  <c r="O439" i="25"/>
  <c r="O442" i="25"/>
  <c r="O440" i="25"/>
  <c r="O379" i="25"/>
  <c r="O443" i="25"/>
  <c r="O444" i="25"/>
  <c r="O378" i="25"/>
  <c r="O423" i="25"/>
  <c r="O422" i="25"/>
  <c r="O370" i="25"/>
  <c r="O350" i="25"/>
  <c r="O333" i="25"/>
  <c r="O331" i="25"/>
  <c r="O329" i="25"/>
  <c r="O326" i="25"/>
  <c r="O401" i="25"/>
  <c r="O208" i="25"/>
  <c r="Q208" i="25" s="1"/>
  <c r="O435" i="25"/>
  <c r="O354" i="25"/>
  <c r="O310" i="25"/>
  <c r="P310" i="25" s="1"/>
  <c r="O372" i="25"/>
  <c r="O388" i="25"/>
  <c r="O307" i="25"/>
  <c r="Q307" i="25" s="1"/>
  <c r="O351" i="25"/>
  <c r="O305" i="25"/>
  <c r="P305" i="25" s="1"/>
  <c r="O397" i="25"/>
  <c r="O308" i="25"/>
  <c r="P308" i="25" s="1"/>
  <c r="O345" i="25"/>
  <c r="O349" i="25"/>
  <c r="O322" i="25"/>
  <c r="Q322" i="25" s="1"/>
  <c r="O332" i="25"/>
  <c r="O441" i="25"/>
  <c r="O202" i="25"/>
  <c r="Q202" i="25" s="1"/>
  <c r="O311" i="25"/>
  <c r="O267" i="25"/>
  <c r="Q267" i="25" s="1"/>
  <c r="O306" i="25"/>
  <c r="O270" i="25"/>
  <c r="Q270" i="25" s="1"/>
  <c r="O309" i="25"/>
  <c r="O286" i="25"/>
  <c r="Q286" i="25" s="1"/>
  <c r="O325" i="25"/>
  <c r="O161" i="25"/>
  <c r="O285" i="31"/>
  <c r="Q285" i="31" s="1"/>
  <c r="O271" i="25"/>
  <c r="O209" i="25"/>
  <c r="O150" i="25"/>
  <c r="P150" i="25" s="1"/>
  <c r="O266" i="25"/>
  <c r="O160" i="25"/>
  <c r="Q160" i="25" s="1"/>
  <c r="O148" i="25"/>
  <c r="P148" i="25" s="1"/>
  <c r="O268" i="25"/>
  <c r="O285" i="25"/>
  <c r="O282" i="25"/>
  <c r="O281" i="25"/>
  <c r="O269" i="25"/>
  <c r="O280" i="25"/>
  <c r="O278" i="25"/>
  <c r="O249" i="25"/>
  <c r="O206" i="25"/>
  <c r="O189" i="25"/>
  <c r="O180" i="25"/>
  <c r="O182" i="25"/>
  <c r="O237" i="25"/>
  <c r="O255" i="25"/>
  <c r="O200" i="25"/>
  <c r="O223" i="25"/>
  <c r="O272" i="25"/>
  <c r="O284" i="25"/>
  <c r="O223" i="31"/>
  <c r="Q223" i="31" s="1"/>
  <c r="O157" i="25"/>
  <c r="O156" i="25"/>
  <c r="O158" i="25"/>
  <c r="O147" i="25"/>
  <c r="O146" i="25"/>
  <c r="O226" i="25"/>
  <c r="O269" i="31"/>
  <c r="O149" i="25"/>
  <c r="O209" i="31"/>
  <c r="O218" i="31"/>
  <c r="O229" i="31"/>
  <c r="O230" i="31"/>
  <c r="O227" i="31"/>
  <c r="O222" i="31"/>
  <c r="O247" i="31"/>
  <c r="P247" i="31" s="1"/>
  <c r="O226" i="31"/>
  <c r="O225" i="31"/>
  <c r="O224" i="31"/>
  <c r="O208" i="31"/>
  <c r="O284" i="31"/>
  <c r="O228" i="31"/>
  <c r="O184" i="25"/>
  <c r="O191" i="25"/>
  <c r="O190" i="25"/>
  <c r="O266" i="31"/>
  <c r="O393" i="25"/>
  <c r="O259" i="31"/>
  <c r="O231" i="25"/>
  <c r="O417" i="25"/>
  <c r="O419" i="25"/>
  <c r="O298" i="25"/>
  <c r="O179" i="25"/>
  <c r="O446" i="25"/>
  <c r="O222" i="25"/>
  <c r="O383" i="25"/>
  <c r="O275" i="25"/>
  <c r="O196" i="25"/>
  <c r="O276" i="25"/>
  <c r="O418" i="25"/>
  <c r="O414" i="25"/>
  <c r="O409" i="25"/>
  <c r="O301" i="25"/>
  <c r="O297" i="25"/>
  <c r="O186" i="25"/>
  <c r="O410" i="25"/>
  <c r="O289" i="25"/>
  <c r="O187" i="25"/>
  <c r="O396" i="25"/>
  <c r="O375" i="25"/>
  <c r="O288" i="25"/>
  <c r="O273" i="25"/>
  <c r="O256" i="25"/>
  <c r="O265" i="25"/>
  <c r="O382" i="25"/>
  <c r="O389" i="25"/>
  <c r="O377" i="25"/>
  <c r="O395" i="25"/>
  <c r="O303" i="25"/>
  <c r="O188" i="25"/>
  <c r="O260" i="25"/>
  <c r="O277" i="25"/>
  <c r="O217" i="25"/>
  <c r="AA217" i="25" s="1"/>
  <c r="O411" i="25"/>
  <c r="O390" i="25"/>
  <c r="O425" i="25"/>
  <c r="O216" i="25"/>
  <c r="O302" i="25"/>
  <c r="O374" i="25"/>
  <c r="O400" i="25"/>
  <c r="O106" i="25"/>
  <c r="O394" i="25"/>
  <c r="O406" i="25"/>
  <c r="O287" i="25"/>
  <c r="O304" i="25"/>
  <c r="O198" i="25"/>
  <c r="O413" i="25"/>
  <c r="O254" i="25"/>
  <c r="O415" i="25"/>
  <c r="O416" i="25"/>
  <c r="O412" i="25"/>
  <c r="O408" i="25"/>
  <c r="O197" i="25"/>
  <c r="O407" i="25"/>
  <c r="O384" i="25"/>
  <c r="O249" i="31"/>
  <c r="O248" i="31"/>
  <c r="O264" i="31"/>
  <c r="O268" i="31"/>
  <c r="O267" i="31"/>
  <c r="O281" i="31"/>
  <c r="O282" i="31"/>
  <c r="O276" i="31"/>
  <c r="O278" i="31"/>
  <c r="O279" i="31"/>
  <c r="O277" i="31"/>
  <c r="O280" i="31"/>
  <c r="O343" i="31"/>
  <c r="O263" i="31"/>
  <c r="O270" i="31"/>
  <c r="O273" i="31"/>
  <c r="O274" i="31"/>
  <c r="O244" i="31"/>
  <c r="O309" i="31"/>
  <c r="O271" i="31"/>
  <c r="O272" i="31"/>
  <c r="O245" i="25"/>
  <c r="O241" i="25"/>
  <c r="O246" i="31"/>
  <c r="O243" i="31"/>
  <c r="O253" i="25"/>
  <c r="O252" i="31"/>
  <c r="O247" i="25"/>
  <c r="O246" i="25"/>
  <c r="O252" i="25"/>
  <c r="O258" i="31"/>
  <c r="O242" i="31"/>
  <c r="O240" i="25"/>
  <c r="O251" i="31"/>
  <c r="O242" i="25"/>
  <c r="O236" i="25"/>
  <c r="O250" i="31"/>
  <c r="O255" i="31"/>
  <c r="O245" i="31"/>
  <c r="O257" i="31"/>
  <c r="O221" i="25"/>
  <c r="O199" i="25"/>
  <c r="O215" i="25"/>
  <c r="O167" i="25"/>
  <c r="O727" i="25"/>
  <c r="O165" i="25"/>
  <c r="O441" i="31"/>
  <c r="O438" i="31"/>
  <c r="O390" i="31"/>
  <c r="O442" i="31"/>
  <c r="O439" i="31"/>
  <c r="O164" i="25"/>
  <c r="O163" i="25"/>
  <c r="O172" i="25"/>
  <c r="O140" i="25"/>
  <c r="O380" i="25"/>
  <c r="O294" i="25"/>
  <c r="O295" i="25"/>
  <c r="O139" i="25"/>
  <c r="O142" i="25"/>
  <c r="O120" i="25"/>
  <c r="O121" i="25"/>
  <c r="O111" i="25"/>
  <c r="O124" i="25"/>
  <c r="O125" i="25"/>
  <c r="O118" i="25"/>
  <c r="O106" i="31"/>
  <c r="O105" i="31"/>
  <c r="O234" i="31"/>
  <c r="O110" i="31"/>
  <c r="O233" i="31"/>
  <c r="O213" i="31"/>
  <c r="O231" i="31"/>
  <c r="O215" i="31"/>
  <c r="O236" i="31"/>
  <c r="O211" i="31"/>
  <c r="O216" i="31"/>
  <c r="O235" i="31"/>
  <c r="O238" i="31"/>
  <c r="O237" i="31"/>
  <c r="O212" i="31"/>
  <c r="O207" i="31"/>
  <c r="O239" i="31"/>
  <c r="O210" i="31"/>
  <c r="O214" i="31"/>
  <c r="O128" i="25"/>
  <c r="O127" i="25"/>
  <c r="O129" i="25"/>
  <c r="O132" i="25"/>
  <c r="O130" i="25"/>
  <c r="O144" i="25"/>
  <c r="O248" i="25"/>
  <c r="O257" i="25"/>
  <c r="O138" i="25"/>
  <c r="O296" i="25"/>
  <c r="O154" i="25"/>
  <c r="O258" i="25"/>
  <c r="O155" i="25"/>
  <c r="O174" i="25"/>
  <c r="O145" i="25"/>
  <c r="O113" i="25"/>
  <c r="O114" i="25"/>
  <c r="O109" i="25"/>
  <c r="O105" i="25"/>
  <c r="O108" i="25"/>
  <c r="O104" i="31"/>
  <c r="O110" i="25"/>
  <c r="O112" i="25"/>
  <c r="O126" i="25"/>
  <c r="O200" i="31"/>
  <c r="O181" i="31"/>
  <c r="O162" i="31"/>
  <c r="O143" i="31"/>
  <c r="O394" i="31"/>
  <c r="O197" i="31"/>
  <c r="O178" i="31"/>
  <c r="O135" i="31"/>
  <c r="O116" i="31"/>
  <c r="O391" i="31"/>
  <c r="O170" i="31"/>
  <c r="O151" i="31"/>
  <c r="O202" i="31"/>
  <c r="O183" i="31"/>
  <c r="O140" i="31"/>
  <c r="O121" i="31"/>
  <c r="O443" i="31"/>
  <c r="O175" i="31"/>
  <c r="O156" i="31"/>
  <c r="O137" i="31"/>
  <c r="O118" i="31"/>
  <c r="O447" i="31"/>
  <c r="O261" i="31"/>
  <c r="O191" i="31"/>
  <c r="O172" i="31"/>
  <c r="O455" i="31"/>
  <c r="O206" i="31"/>
  <c r="O193" i="31"/>
  <c r="O180" i="31"/>
  <c r="O132" i="31"/>
  <c r="O120" i="31"/>
  <c r="O157" i="31"/>
  <c r="O122" i="31"/>
  <c r="O192" i="31"/>
  <c r="O198" i="31"/>
  <c r="O185" i="31"/>
  <c r="O262" i="31"/>
  <c r="O152" i="31"/>
  <c r="O196" i="31"/>
  <c r="O186" i="31"/>
  <c r="O113" i="31"/>
  <c r="O131" i="31"/>
  <c r="O163" i="31"/>
  <c r="O160" i="31"/>
  <c r="O153" i="31"/>
  <c r="O150" i="31"/>
  <c r="O147" i="31"/>
  <c r="O138" i="31"/>
  <c r="O128" i="31"/>
  <c r="O100" i="31"/>
  <c r="O173" i="31"/>
  <c r="O141" i="31"/>
  <c r="O459" i="31"/>
  <c r="O166" i="31"/>
  <c r="O205" i="31"/>
  <c r="O176" i="31"/>
  <c r="O393" i="31"/>
  <c r="O125" i="31"/>
  <c r="O188" i="31"/>
  <c r="O182" i="31"/>
  <c r="O195" i="31"/>
  <c r="O168" i="31"/>
  <c r="O146" i="31"/>
  <c r="O115" i="31"/>
  <c r="O148" i="31"/>
  <c r="O201" i="31"/>
  <c r="O240" i="31"/>
  <c r="O203" i="31"/>
  <c r="O167" i="31"/>
  <c r="O123" i="31"/>
  <c r="O451" i="31"/>
  <c r="O165" i="31"/>
  <c r="O130" i="31"/>
  <c r="O155" i="31"/>
  <c r="O190" i="31"/>
  <c r="O145" i="31"/>
  <c r="O171" i="31"/>
  <c r="O136" i="31"/>
  <c r="O127" i="31"/>
  <c r="O161" i="31"/>
  <c r="O187" i="31"/>
  <c r="O133" i="31"/>
  <c r="O126" i="31"/>
  <c r="O142" i="31"/>
  <c r="O117" i="31"/>
  <c r="O177" i="31"/>
  <c r="O158" i="31"/>
  <c r="O227" i="25"/>
  <c r="P227" i="25" s="1"/>
  <c r="O263" i="25"/>
  <c r="P263" i="25" s="1"/>
  <c r="O434" i="25"/>
  <c r="P434" i="25" s="1"/>
  <c r="O429" i="25"/>
  <c r="P429" i="25" s="1"/>
  <c r="O293" i="25"/>
  <c r="P293" i="25" s="1"/>
  <c r="O173" i="25"/>
  <c r="P173" i="25" s="1"/>
  <c r="O194" i="25"/>
  <c r="P194" i="25" s="1"/>
  <c r="O264" i="25"/>
  <c r="P264" i="25" s="1"/>
  <c r="O467" i="25"/>
  <c r="P467" i="25" s="1"/>
  <c r="O735" i="25"/>
  <c r="P735" i="25" s="1"/>
  <c r="O457" i="25"/>
  <c r="P457" i="25" s="1"/>
  <c r="O759" i="25"/>
  <c r="P759" i="25" s="1"/>
  <c r="O230" i="25"/>
  <c r="P230" i="25" s="1"/>
  <c r="O274" i="25"/>
  <c r="P274" i="25" s="1"/>
  <c r="O431" i="25"/>
  <c r="P431" i="25" s="1"/>
  <c r="O469" i="25"/>
  <c r="P469" i="25" s="1"/>
  <c r="O454" i="25"/>
  <c r="P454" i="25" s="1"/>
  <c r="O178" i="25"/>
  <c r="P178" i="25" s="1"/>
  <c r="O426" i="25"/>
  <c r="P426" i="25" s="1"/>
  <c r="O755" i="25"/>
  <c r="P755" i="25" s="1"/>
  <c r="O449" i="25"/>
  <c r="P449" i="25" s="1"/>
  <c r="O750" i="25"/>
  <c r="P750" i="25" s="1"/>
  <c r="O428" i="25"/>
  <c r="P428" i="25" s="1"/>
  <c r="O292" i="25"/>
  <c r="P292" i="25" s="1"/>
  <c r="O751" i="25"/>
  <c r="P751" i="25" s="1"/>
  <c r="O744" i="25"/>
  <c r="P744" i="25" s="1"/>
  <c r="O456" i="25"/>
  <c r="P456" i="25" s="1"/>
  <c r="O630" i="25"/>
  <c r="P630" i="25" s="1"/>
  <c r="O404" i="25"/>
  <c r="P404" i="25" s="1"/>
  <c r="O571" i="25"/>
  <c r="P571" i="25" s="1"/>
  <c r="O229" i="25"/>
  <c r="P229" i="25" s="1"/>
  <c r="O725" i="25"/>
  <c r="P725" i="25" s="1"/>
  <c r="O452" i="25"/>
  <c r="P452" i="25" s="1"/>
  <c r="O632" i="25"/>
  <c r="P632" i="25" s="1"/>
  <c r="O736" i="25"/>
  <c r="P736" i="25" s="1"/>
  <c r="O195" i="25"/>
  <c r="P195" i="25" s="1"/>
  <c r="O723" i="25"/>
  <c r="P723" i="25" s="1"/>
  <c r="O234" i="25"/>
  <c r="P234" i="25" s="1"/>
  <c r="O766" i="25"/>
  <c r="P766" i="25" s="1"/>
  <c r="O733" i="25"/>
  <c r="P733" i="25" s="1"/>
  <c r="O177" i="25"/>
  <c r="P177" i="25" s="1"/>
  <c r="O235" i="25"/>
  <c r="P235" i="25" s="1"/>
  <c r="O754" i="25"/>
  <c r="P754" i="25" s="1"/>
  <c r="O175" i="25"/>
  <c r="P175" i="25" s="1"/>
  <c r="O421" i="25"/>
  <c r="P421" i="25" s="1"/>
  <c r="O447" i="25"/>
  <c r="P447" i="25" s="1"/>
  <c r="O573" i="25"/>
  <c r="P573" i="25" s="1"/>
  <c r="O747" i="25"/>
  <c r="P747" i="25" s="1"/>
  <c r="O726" i="25"/>
  <c r="P726" i="25" s="1"/>
  <c r="O459" i="25"/>
  <c r="P459" i="25" s="1"/>
  <c r="P737" i="25"/>
  <c r="O433" i="25"/>
  <c r="P433" i="25" s="1"/>
  <c r="O455" i="25"/>
  <c r="P455" i="25" s="1"/>
  <c r="O460" i="25"/>
  <c r="P460" i="25" s="1"/>
  <c r="O185" i="25"/>
  <c r="P185" i="25" s="1"/>
  <c r="O756" i="25"/>
  <c r="P756" i="25" s="1"/>
  <c r="O403" i="25"/>
  <c r="P403" i="25" s="1"/>
  <c r="O450" i="25"/>
  <c r="P450" i="25" s="1"/>
  <c r="O261" i="25"/>
  <c r="P261" i="25" s="1"/>
  <c r="O232" i="25"/>
  <c r="P232" i="25" s="1"/>
  <c r="O430" i="25"/>
  <c r="P430" i="25" s="1"/>
  <c r="O746" i="25"/>
  <c r="P746" i="25" s="1"/>
  <c r="O753" i="25"/>
  <c r="P753" i="25" s="1"/>
  <c r="O137" i="25"/>
  <c r="P137" i="25" s="1"/>
  <c r="O290" i="25"/>
  <c r="P290" i="25" s="1"/>
  <c r="O574" i="25"/>
  <c r="P574" i="25" s="1"/>
  <c r="O633" i="25"/>
  <c r="P633" i="25" s="1"/>
  <c r="O758" i="25"/>
  <c r="P758" i="25" s="1"/>
  <c r="O192" i="25"/>
  <c r="P192" i="25" s="1"/>
  <c r="O470" i="25"/>
  <c r="P470" i="25" s="1"/>
  <c r="O451" i="25"/>
  <c r="P451" i="25" s="1"/>
  <c r="O778" i="25"/>
  <c r="P778" i="25" s="1"/>
  <c r="P779" i="25" s="1"/>
  <c r="O782" i="25"/>
  <c r="P782" i="25" s="1"/>
  <c r="P783" i="25" s="1"/>
  <c r="O774" i="25"/>
  <c r="P774" i="25" s="1"/>
  <c r="P775" i="25" s="1"/>
  <c r="O770" i="25"/>
  <c r="P770" i="25" s="1"/>
  <c r="P771" i="25" s="1"/>
  <c r="O104" i="25"/>
  <c r="J59" i="8"/>
  <c r="B39" i="28"/>
  <c r="O714" i="24"/>
  <c r="O709" i="24"/>
  <c r="O704" i="24"/>
  <c r="O699" i="24"/>
  <c r="O694" i="24"/>
  <c r="O689" i="24"/>
  <c r="O684" i="24"/>
  <c r="O679" i="24"/>
  <c r="O674" i="24"/>
  <c r="O587" i="24"/>
  <c r="O582" i="24"/>
  <c r="O577" i="24"/>
  <c r="O572" i="24"/>
  <c r="O567" i="24"/>
  <c r="O562" i="24"/>
  <c r="O393" i="24"/>
  <c r="O388" i="24"/>
  <c r="O383" i="24"/>
  <c r="O378" i="24"/>
  <c r="O610" i="24"/>
  <c r="O605" i="24"/>
  <c r="O600" i="24"/>
  <c r="O476" i="24"/>
  <c r="O471" i="24"/>
  <c r="O466" i="24"/>
  <c r="O461" i="24"/>
  <c r="O456" i="24"/>
  <c r="O451" i="24"/>
  <c r="O446" i="24"/>
  <c r="O441" i="24"/>
  <c r="O436" i="24"/>
  <c r="O662" i="24"/>
  <c r="O654" i="24"/>
  <c r="O630" i="24"/>
  <c r="O613" i="24"/>
  <c r="O596" i="24"/>
  <c r="O548" i="24"/>
  <c r="O530" i="24"/>
  <c r="O507" i="24"/>
  <c r="O489" i="24"/>
  <c r="O477" i="24"/>
  <c r="O463" i="24"/>
  <c r="O452" i="24"/>
  <c r="O438" i="24"/>
  <c r="O413" i="24"/>
  <c r="O382" i="24"/>
  <c r="O259" i="24"/>
  <c r="O254" i="24"/>
  <c r="O249" i="24"/>
  <c r="O705" i="24"/>
  <c r="O691" i="24"/>
  <c r="O680" i="24"/>
  <c r="O607" i="24"/>
  <c r="O579" i="24"/>
  <c r="O568" i="24"/>
  <c r="O553" i="24"/>
  <c r="O535" i="24"/>
  <c r="O512" i="24"/>
  <c r="O494" i="24"/>
  <c r="O418" i="24"/>
  <c r="O651" i="24"/>
  <c r="O634" i="24"/>
  <c r="O604" i="24"/>
  <c r="O558" i="24"/>
  <c r="O540" i="24"/>
  <c r="O517" i="24"/>
  <c r="O499" i="24"/>
  <c r="O474" i="24"/>
  <c r="O460" i="24"/>
  <c r="O449" i="24"/>
  <c r="O435" i="24"/>
  <c r="O423" i="24"/>
  <c r="O405" i="24"/>
  <c r="O390" i="24"/>
  <c r="O708" i="24"/>
  <c r="O696" i="24"/>
  <c r="O557" i="24"/>
  <c r="O524" i="24"/>
  <c r="O510" i="24"/>
  <c r="O443" i="24"/>
  <c r="O440" i="24"/>
  <c r="O437" i="24"/>
  <c r="O401" i="24"/>
  <c r="O326" i="24"/>
  <c r="O305" i="24"/>
  <c r="O297" i="24"/>
  <c r="O272" i="24"/>
  <c r="O247" i="24"/>
  <c r="O242" i="24"/>
  <c r="O237" i="24"/>
  <c r="O232" i="24"/>
  <c r="O227" i="24"/>
  <c r="O222" i="24"/>
  <c r="O217" i="24"/>
  <c r="O212" i="24"/>
  <c r="O207" i="24"/>
  <c r="O202" i="24"/>
  <c r="O197" i="24"/>
  <c r="O192" i="24"/>
  <c r="O187" i="24"/>
  <c r="O182" i="24"/>
  <c r="O177" i="24"/>
  <c r="O172" i="24"/>
  <c r="O167" i="24"/>
  <c r="O162" i="24"/>
  <c r="O157" i="24"/>
  <c r="O152" i="24"/>
  <c r="O147" i="24"/>
  <c r="O142" i="24"/>
  <c r="O137" i="24"/>
  <c r="O132" i="24"/>
  <c r="O127" i="24"/>
  <c r="O672" i="24"/>
  <c r="O603" i="24"/>
  <c r="O588" i="24"/>
  <c r="O529" i="24"/>
  <c r="O487" i="24"/>
  <c r="O429" i="24"/>
  <c r="O323" i="24"/>
  <c r="O110" i="24"/>
  <c r="O713" i="24"/>
  <c r="O573" i="24"/>
  <c r="O551" i="24"/>
  <c r="O518" i="24"/>
  <c r="O515" i="24"/>
  <c r="O693" i="24"/>
  <c r="O690" i="24"/>
  <c r="O687" i="24"/>
  <c r="O597" i="24"/>
  <c r="O546" i="24"/>
  <c r="O532" i="24"/>
  <c r="O504" i="24"/>
  <c r="O490" i="24"/>
  <c r="O415" i="24"/>
  <c r="O318" i="24"/>
  <c r="O289" i="24"/>
  <c r="O277" i="24"/>
  <c r="O260" i="24"/>
  <c r="O294" i="24"/>
  <c r="O120" i="24"/>
  <c r="O115" i="24"/>
  <c r="O105" i="24"/>
  <c r="O501" i="24"/>
  <c r="O458" i="24"/>
  <c r="O135" i="25"/>
  <c r="O731" i="24"/>
  <c r="O681" i="24"/>
  <c r="O678" i="24"/>
  <c r="O675" i="24"/>
  <c r="O665" i="24"/>
  <c r="O659" i="24"/>
  <c r="O626" i="24"/>
  <c r="O554" i="24"/>
  <c r="O521" i="24"/>
  <c r="O412" i="24"/>
  <c r="O373" i="24"/>
  <c r="O368" i="24"/>
  <c r="O363" i="24"/>
  <c r="O358" i="24"/>
  <c r="O353" i="24"/>
  <c r="O348" i="24"/>
  <c r="O343" i="24"/>
  <c r="O331" i="24"/>
  <c r="O310" i="24"/>
  <c r="O302" i="24"/>
  <c r="O252" i="24"/>
  <c r="O735" i="24"/>
  <c r="O656" i="24"/>
  <c r="O650" i="24"/>
  <c r="O576" i="24"/>
  <c r="O564" i="24"/>
  <c r="O543" i="24"/>
  <c r="O653" i="24"/>
  <c r="O498" i="24"/>
  <c r="O484" i="24"/>
  <c r="O455" i="24"/>
  <c r="O703" i="24"/>
  <c r="O686" i="24"/>
  <c r="O683" i="24"/>
  <c r="O556" i="24"/>
  <c r="O505" i="24"/>
  <c r="O392" i="24"/>
  <c r="O389" i="24"/>
  <c r="O362" i="24"/>
  <c r="O351" i="24"/>
  <c r="O241" i="24"/>
  <c r="O221" i="24"/>
  <c r="O201" i="24"/>
  <c r="O181" i="24"/>
  <c r="O161" i="24"/>
  <c r="O141" i="24"/>
  <c r="O111" i="24"/>
  <c r="O218" i="24"/>
  <c r="O198" i="24"/>
  <c r="O178" i="24"/>
  <c r="O158" i="24"/>
  <c r="O138" i="24"/>
  <c r="O108" i="24"/>
  <c r="O611" i="24"/>
  <c r="O574" i="24"/>
  <c r="O470" i="24"/>
  <c r="O467" i="24"/>
  <c r="O345" i="24"/>
  <c r="O320" i="24"/>
  <c r="O280" i="24"/>
  <c r="O235" i="24"/>
  <c r="O229" i="24"/>
  <c r="O209" i="24"/>
  <c r="O129" i="24"/>
  <c r="O119" i="24"/>
  <c r="O614" i="24"/>
  <c r="O356" i="24"/>
  <c r="O342" i="24"/>
  <c r="O274" i="24"/>
  <c r="O261" i="24"/>
  <c r="O715" i="24"/>
  <c r="O533" i="24"/>
  <c r="O488" i="24"/>
  <c r="O299" i="24"/>
  <c r="O226" i="24"/>
  <c r="O186" i="24"/>
  <c r="O655" i="24"/>
  <c r="O608" i="24"/>
  <c r="O584" i="24"/>
  <c r="O571" i="24"/>
  <c r="O502" i="24"/>
  <c r="O464" i="24"/>
  <c r="O453" i="24"/>
  <c r="O409" i="24"/>
  <c r="O406" i="24"/>
  <c r="O403" i="24"/>
  <c r="O395" i="24"/>
  <c r="O376" i="24"/>
  <c r="O238" i="24"/>
  <c r="O359" i="24"/>
  <c r="O215" i="24"/>
  <c r="O195" i="24"/>
  <c r="O189" i="24"/>
  <c r="O155" i="24"/>
  <c r="O135" i="24"/>
  <c r="O421" i="24"/>
  <c r="O367" i="24"/>
  <c r="O258" i="24"/>
  <c r="O473" i="24"/>
  <c r="O424" i="24"/>
  <c r="O385" i="24"/>
  <c r="O271" i="24"/>
  <c r="O246" i="24"/>
  <c r="O166" i="24"/>
  <c r="O146" i="24"/>
  <c r="O706" i="24"/>
  <c r="O664" i="24"/>
  <c r="O646" i="24"/>
  <c r="O592" i="24"/>
  <c r="O514" i="24"/>
  <c r="O511" i="24"/>
  <c r="O508" i="24"/>
  <c r="O482" i="24"/>
  <c r="O379" i="24"/>
  <c r="O335" i="24"/>
  <c r="O332" i="24"/>
  <c r="O329" i="24"/>
  <c r="O317" i="24"/>
  <c r="O314" i="24"/>
  <c r="O122" i="24"/>
  <c r="O100" i="25"/>
  <c r="O661" i="24"/>
  <c r="O658" i="24"/>
  <c r="O549" i="24"/>
  <c r="O527" i="24"/>
  <c r="O485" i="24"/>
  <c r="O370" i="24"/>
  <c r="O311" i="24"/>
  <c r="O308" i="24"/>
  <c r="O175" i="24"/>
  <c r="O169" i="24"/>
  <c r="O149" i="24"/>
  <c r="O712" i="24"/>
  <c r="O552" i="24"/>
  <c r="O439" i="24"/>
  <c r="O255" i="24"/>
  <c r="O268" i="24"/>
  <c r="O206" i="24"/>
  <c r="O116" i="24"/>
  <c r="O100" i="24"/>
  <c r="O660" i="24"/>
  <c r="O618" i="24"/>
  <c r="O575" i="24"/>
  <c r="O547" i="24"/>
  <c r="O374" i="24"/>
  <c r="O371" i="24"/>
  <c r="O313" i="24"/>
  <c r="O303" i="24"/>
  <c r="O300" i="24"/>
  <c r="O219" i="24"/>
  <c r="O117" i="24"/>
  <c r="O550" i="24"/>
  <c r="O525" i="24"/>
  <c r="O503" i="24"/>
  <c r="O131" i="24"/>
  <c r="O404" i="24"/>
  <c r="O316" i="24"/>
  <c r="O151" i="24"/>
  <c r="O495" i="24"/>
  <c r="O448" i="24"/>
  <c r="O428" i="24"/>
  <c r="O414" i="24"/>
  <c r="O357" i="24"/>
  <c r="O336" i="24"/>
  <c r="O319" i="24"/>
  <c r="O208" i="24"/>
  <c r="O123" i="24"/>
  <c r="O106" i="24"/>
  <c r="O622" i="24"/>
  <c r="O542" i="24"/>
  <c r="O417" i="24"/>
  <c r="O251" i="24"/>
  <c r="O228" i="24"/>
  <c r="O109" i="24"/>
  <c r="O360" i="24"/>
  <c r="O248" i="24"/>
  <c r="O231" i="24"/>
  <c r="O581" i="24"/>
  <c r="O475" i="24"/>
  <c r="O420" i="24"/>
  <c r="O366" i="24"/>
  <c r="O315" i="24"/>
  <c r="O184" i="24"/>
  <c r="O585" i="24"/>
  <c r="O545" i="24"/>
  <c r="O410" i="24"/>
  <c r="O344" i="24"/>
  <c r="O295" i="24"/>
  <c r="O328" i="24"/>
  <c r="O140" i="24"/>
  <c r="O697" i="24"/>
  <c r="O638" i="24"/>
  <c r="O599" i="24"/>
  <c r="O483" i="24"/>
  <c r="O478" i="24"/>
  <c r="O375" i="24"/>
  <c r="O304" i="24"/>
  <c r="O279" i="24"/>
  <c r="O160" i="24"/>
  <c r="O702" i="24"/>
  <c r="O536" i="24"/>
  <c r="O496" i="24"/>
  <c r="O469" i="24"/>
  <c r="O442" i="24"/>
  <c r="O434" i="24"/>
  <c r="O384" i="24"/>
  <c r="O361" i="24"/>
  <c r="O337" i="24"/>
  <c r="O330" i="24"/>
  <c r="O306" i="24"/>
  <c r="O281" i="24"/>
  <c r="O239" i="24"/>
  <c r="O457" i="24"/>
  <c r="O165" i="24"/>
  <c r="O134" i="24"/>
  <c r="O267" i="24"/>
  <c r="O188" i="24"/>
  <c r="O171" i="24"/>
  <c r="O528" i="24"/>
  <c r="O468" i="24"/>
  <c r="O354" i="24"/>
  <c r="O245" i="24"/>
  <c r="O566" i="24"/>
  <c r="O407" i="24"/>
  <c r="O112" i="24"/>
  <c r="O727" i="24"/>
  <c r="O273" i="24"/>
  <c r="O394" i="24"/>
  <c r="O347" i="24"/>
  <c r="O538" i="24"/>
  <c r="O399" i="24"/>
  <c r="O369" i="24"/>
  <c r="O298" i="24"/>
  <c r="O244" i="24"/>
  <c r="O143" i="24"/>
  <c r="O133" i="24"/>
  <c r="O695" i="24"/>
  <c r="O663" i="24"/>
  <c r="O465" i="24"/>
  <c r="O425" i="24"/>
  <c r="O408" i="24"/>
  <c r="O377" i="24"/>
  <c r="O364" i="24"/>
  <c r="O309" i="24"/>
  <c r="O296" i="24"/>
  <c r="O145" i="24"/>
  <c r="O128" i="24"/>
  <c r="O113" i="24"/>
  <c r="O723" i="24"/>
  <c r="O612" i="24"/>
  <c r="O333" i="24"/>
  <c r="O148" i="24"/>
  <c r="O698" i="24"/>
  <c r="O671" i="24"/>
  <c r="O586" i="24"/>
  <c r="O539" i="24"/>
  <c r="O506" i="24"/>
  <c r="O492" i="24"/>
  <c r="O445" i="24"/>
  <c r="O411" i="24"/>
  <c r="O185" i="24"/>
  <c r="O168" i="24"/>
  <c r="O578" i="24"/>
  <c r="O570" i="24"/>
  <c r="O563" i="24"/>
  <c r="O472" i="24"/>
  <c r="O380" i="24"/>
  <c r="O312" i="24"/>
  <c r="O205" i="24"/>
  <c r="O154" i="24"/>
  <c r="O701" i="24"/>
  <c r="O400" i="24"/>
  <c r="O391" i="24"/>
  <c r="O387" i="24"/>
  <c r="O292" i="24"/>
  <c r="O225" i="24"/>
  <c r="O191" i="24"/>
  <c r="O174" i="24"/>
  <c r="O666" i="24"/>
  <c r="O341" i="24"/>
  <c r="O285" i="24"/>
  <c r="O211" i="24"/>
  <c r="O194" i="24"/>
  <c r="O144" i="24"/>
  <c r="O322" i="24"/>
  <c r="O270" i="24"/>
  <c r="O214" i="24"/>
  <c r="O164" i="24"/>
  <c r="O531" i="24"/>
  <c r="O520" i="24"/>
  <c r="O513" i="24"/>
  <c r="O509" i="24"/>
  <c r="O491" i="24"/>
  <c r="O325" i="24"/>
  <c r="O276" i="24"/>
  <c r="O234" i="24"/>
  <c r="O682" i="24"/>
  <c r="O350" i="24"/>
  <c r="O288" i="24"/>
  <c r="O204" i="24"/>
  <c r="O569" i="24"/>
  <c r="O427" i="24"/>
  <c r="O266" i="24"/>
  <c r="O257" i="24"/>
  <c r="O224" i="24"/>
  <c r="O130" i="24"/>
  <c r="O711" i="24"/>
  <c r="O670" i="24"/>
  <c r="O534" i="24"/>
  <c r="O516" i="24"/>
  <c r="O444" i="24"/>
  <c r="O372" i="24"/>
  <c r="O301" i="24"/>
  <c r="O291" i="24"/>
  <c r="O150" i="24"/>
  <c r="O710" i="24"/>
  <c r="O657" i="24"/>
  <c r="O652" i="24"/>
  <c r="O447" i="24"/>
  <c r="O200" i="24"/>
  <c r="O104" i="24"/>
  <c r="O365" i="24"/>
  <c r="O349" i="24"/>
  <c r="O213" i="24"/>
  <c r="O700" i="24"/>
  <c r="O685" i="24"/>
  <c r="O602" i="24"/>
  <c r="O243" i="24"/>
  <c r="O598" i="24"/>
  <c r="O402" i="24"/>
  <c r="O352" i="24"/>
  <c r="O139" i="24"/>
  <c r="O580" i="24"/>
  <c r="O555" i="24"/>
  <c r="O230" i="24"/>
  <c r="O203" i="24"/>
  <c r="O176" i="24"/>
  <c r="O278" i="24"/>
  <c r="O265" i="24"/>
  <c r="O216" i="24"/>
  <c r="O523" i="24"/>
  <c r="O497" i="24"/>
  <c r="O493" i="24"/>
  <c r="O293" i="24"/>
  <c r="O459" i="24"/>
  <c r="O324" i="24"/>
  <c r="O220" i="24"/>
  <c r="O688" i="24"/>
  <c r="O601" i="24"/>
  <c r="O519" i="24"/>
  <c r="O454" i="24"/>
  <c r="O355" i="24"/>
  <c r="O269" i="24"/>
  <c r="O118" i="24"/>
  <c r="O642" i="24"/>
  <c r="O541" i="24"/>
  <c r="O707" i="24"/>
  <c r="O565" i="24"/>
  <c r="O287" i="24"/>
  <c r="O250" i="24"/>
  <c r="O233" i="24"/>
  <c r="O114" i="24"/>
  <c r="O500" i="24"/>
  <c r="O419" i="24"/>
  <c r="O179" i="24"/>
  <c r="O692" i="24"/>
  <c r="O673" i="24"/>
  <c r="O609" i="24"/>
  <c r="O522" i="24"/>
  <c r="O193" i="24"/>
  <c r="O170" i="24"/>
  <c r="O156" i="24"/>
  <c r="O121" i="24"/>
  <c r="O677" i="24"/>
  <c r="O583" i="24"/>
  <c r="O526" i="24"/>
  <c r="O462" i="24"/>
  <c r="O253" i="24"/>
  <c r="O236" i="24"/>
  <c r="O223" i="24"/>
  <c r="O210" i="24"/>
  <c r="O183" i="24"/>
  <c r="O544" i="24"/>
  <c r="O327" i="24"/>
  <c r="O286" i="24"/>
  <c r="O136" i="24"/>
  <c r="O346" i="24"/>
  <c r="O240" i="24"/>
  <c r="O196" i="24"/>
  <c r="O486" i="24"/>
  <c r="O426" i="24"/>
  <c r="O159" i="24"/>
  <c r="O256" i="24"/>
  <c r="O422" i="24"/>
  <c r="O719" i="24"/>
  <c r="O676" i="24"/>
  <c r="O430" i="24"/>
  <c r="O290" i="24"/>
  <c r="O275" i="24"/>
  <c r="O173" i="24"/>
  <c r="O307" i="24"/>
  <c r="O163" i="24"/>
  <c r="O107" i="24"/>
  <c r="O199" i="24"/>
  <c r="O334" i="24"/>
  <c r="O321" i="24"/>
  <c r="O386" i="24"/>
  <c r="O606" i="24"/>
  <c r="O537" i="24"/>
  <c r="O450" i="24"/>
  <c r="O416" i="24"/>
  <c r="O381" i="24"/>
  <c r="O190" i="24"/>
  <c r="O180" i="24"/>
  <c r="O153" i="24"/>
  <c r="P652" i="25" l="1"/>
  <c r="Q654" i="25"/>
  <c r="P638" i="25"/>
  <c r="Q645" i="25"/>
  <c r="P647" i="25"/>
  <c r="P668" i="25"/>
  <c r="Q657" i="25"/>
  <c r="P362" i="31"/>
  <c r="P666" i="25"/>
  <c r="P643" i="25"/>
  <c r="P653" i="25"/>
  <c r="P650" i="25"/>
  <c r="P667" i="25"/>
  <c r="Q383" i="31"/>
  <c r="P383" i="31"/>
  <c r="P677" i="25"/>
  <c r="Q677" i="25"/>
  <c r="P661" i="25"/>
  <c r="Q661" i="25"/>
  <c r="P388" i="31"/>
  <c r="Q388" i="31"/>
  <c r="P641" i="25"/>
  <c r="Q641" i="25"/>
  <c r="Q385" i="31"/>
  <c r="P385" i="31"/>
  <c r="Q651" i="25"/>
  <c r="P651" i="25"/>
  <c r="Q384" i="31"/>
  <c r="P384" i="31"/>
  <c r="Q739" i="25"/>
  <c r="P739" i="25"/>
  <c r="Q658" i="25"/>
  <c r="P658" i="25"/>
  <c r="P659" i="25"/>
  <c r="Q659" i="25"/>
  <c r="Q656" i="25"/>
  <c r="P656" i="25"/>
  <c r="Q741" i="25"/>
  <c r="P741" i="25"/>
  <c r="Q663" i="25"/>
  <c r="P663" i="25"/>
  <c r="P707" i="25"/>
  <c r="Q707" i="25"/>
  <c r="Q644" i="25"/>
  <c r="P644" i="25"/>
  <c r="P640" i="25"/>
  <c r="Q640" i="25"/>
  <c r="P681" i="25"/>
  <c r="Q681" i="25"/>
  <c r="P664" i="25"/>
  <c r="Q664" i="25"/>
  <c r="Q743" i="25"/>
  <c r="P743" i="25"/>
  <c r="Q639" i="25"/>
  <c r="P639" i="25"/>
  <c r="Q381" i="31"/>
  <c r="P381" i="31"/>
  <c r="Q671" i="25"/>
  <c r="P671" i="25"/>
  <c r="P676" i="25"/>
  <c r="Q676" i="25"/>
  <c r="Q738" i="25"/>
  <c r="P738" i="25"/>
  <c r="Q379" i="31"/>
  <c r="P379" i="31"/>
  <c r="P680" i="25"/>
  <c r="Q680" i="25"/>
  <c r="Q685" i="25"/>
  <c r="P685" i="25"/>
  <c r="Q742" i="25"/>
  <c r="P742" i="25"/>
  <c r="Q740" i="25"/>
  <c r="P740" i="25"/>
  <c r="Q382" i="31"/>
  <c r="P382" i="31"/>
  <c r="P684" i="25"/>
  <c r="Q684" i="25"/>
  <c r="P674" i="25"/>
  <c r="Q674" i="25"/>
  <c r="Q675" i="25"/>
  <c r="P675" i="25"/>
  <c r="Q670" i="25"/>
  <c r="P670" i="25"/>
  <c r="P380" i="31"/>
  <c r="Q380" i="31"/>
  <c r="P660" i="25"/>
  <c r="Q660" i="25"/>
  <c r="Q440" i="31"/>
  <c r="P440" i="31"/>
  <c r="Q386" i="31"/>
  <c r="P386" i="31"/>
  <c r="P683" i="25"/>
  <c r="Q683" i="25"/>
  <c r="Q682" i="25"/>
  <c r="P682" i="25"/>
  <c r="P672" i="25"/>
  <c r="Q672" i="25"/>
  <c r="P722" i="25"/>
  <c r="Q722" i="25"/>
  <c r="P649" i="25"/>
  <c r="Q649" i="25"/>
  <c r="Q389" i="31"/>
  <c r="P389" i="31"/>
  <c r="Q678" i="25"/>
  <c r="P678" i="25"/>
  <c r="P669" i="25"/>
  <c r="Q669" i="25"/>
  <c r="P686" i="25"/>
  <c r="Q686" i="25"/>
  <c r="P648" i="25"/>
  <c r="Q648" i="25"/>
  <c r="Q646" i="25"/>
  <c r="P646" i="25"/>
  <c r="P665" i="25"/>
  <c r="Q665" i="25"/>
  <c r="Q679" i="25"/>
  <c r="P679" i="25"/>
  <c r="P642" i="25"/>
  <c r="Q642" i="25"/>
  <c r="Q387" i="31"/>
  <c r="P387" i="31"/>
  <c r="P655" i="25"/>
  <c r="Q655" i="25"/>
  <c r="P673" i="25"/>
  <c r="Q673" i="25"/>
  <c r="P111" i="31"/>
  <c r="Q111" i="31"/>
  <c r="Q291" i="31"/>
  <c r="P291" i="31"/>
  <c r="P283" i="31"/>
  <c r="Q283" i="31"/>
  <c r="Q353" i="31"/>
  <c r="P353" i="31"/>
  <c r="Q354" i="31"/>
  <c r="P354" i="31"/>
  <c r="Q352" i="31"/>
  <c r="P352" i="31"/>
  <c r="Q316" i="25"/>
  <c r="P316" i="25"/>
  <c r="P351" i="31"/>
  <c r="P405" i="25"/>
  <c r="Q405" i="25"/>
  <c r="P366" i="31"/>
  <c r="Q364" i="25"/>
  <c r="P364" i="25"/>
  <c r="P363" i="31"/>
  <c r="P358" i="25"/>
  <c r="Q358" i="25"/>
  <c r="P360" i="31"/>
  <c r="Q363" i="25"/>
  <c r="P363" i="25"/>
  <c r="Q317" i="25"/>
  <c r="P317" i="25"/>
  <c r="P359" i="31"/>
  <c r="Q313" i="25"/>
  <c r="P313" i="25"/>
  <c r="Q315" i="25"/>
  <c r="P315" i="25"/>
  <c r="P359" i="25"/>
  <c r="Q359" i="25"/>
  <c r="P345" i="31"/>
  <c r="P365" i="31"/>
  <c r="Q340" i="25"/>
  <c r="P340" i="25"/>
  <c r="P349" i="31"/>
  <c r="P348" i="31"/>
  <c r="P424" i="25"/>
  <c r="Q424" i="25"/>
  <c r="Q368" i="25"/>
  <c r="P368" i="25"/>
  <c r="P355" i="25"/>
  <c r="Q355" i="25"/>
  <c r="P344" i="31"/>
  <c r="Q344" i="31"/>
  <c r="P318" i="25"/>
  <c r="Q318" i="25"/>
  <c r="P364" i="31"/>
  <c r="Q420" i="25"/>
  <c r="P420" i="25"/>
  <c r="Q373" i="31"/>
  <c r="P373" i="31"/>
  <c r="P357" i="31"/>
  <c r="Q372" i="31"/>
  <c r="P372" i="31"/>
  <c r="P356" i="25"/>
  <c r="Q356" i="25"/>
  <c r="Q336" i="25"/>
  <c r="P336" i="25"/>
  <c r="Q334" i="25"/>
  <c r="P334" i="25"/>
  <c r="Q365" i="25"/>
  <c r="P365" i="25"/>
  <c r="P350" i="31"/>
  <c r="Q312" i="25"/>
  <c r="P312" i="25"/>
  <c r="Q337" i="25"/>
  <c r="P337" i="25"/>
  <c r="P367" i="31"/>
  <c r="Q366" i="25"/>
  <c r="P366" i="25"/>
  <c r="P371" i="31"/>
  <c r="Q371" i="31"/>
  <c r="P355" i="31"/>
  <c r="P369" i="25"/>
  <c r="Q369" i="25"/>
  <c r="Q376" i="31"/>
  <c r="P376" i="31"/>
  <c r="Q370" i="31"/>
  <c r="P370" i="31"/>
  <c r="Q339" i="25"/>
  <c r="P339" i="25"/>
  <c r="Q374" i="31"/>
  <c r="P374" i="31"/>
  <c r="Q367" i="25"/>
  <c r="P367" i="25"/>
  <c r="P347" i="31"/>
  <c r="P293" i="31"/>
  <c r="Q341" i="25"/>
  <c r="P341" i="25"/>
  <c r="P275" i="31"/>
  <c r="Q378" i="31"/>
  <c r="P378" i="31"/>
  <c r="Q338" i="25"/>
  <c r="P338" i="25"/>
  <c r="P356" i="31"/>
  <c r="Q362" i="25"/>
  <c r="P362" i="25"/>
  <c r="Q360" i="25"/>
  <c r="P360" i="25"/>
  <c r="Q375" i="31"/>
  <c r="P375" i="31"/>
  <c r="P346" i="31"/>
  <c r="Q335" i="25"/>
  <c r="P335" i="25"/>
  <c r="P369" i="31"/>
  <c r="Q314" i="25"/>
  <c r="P314" i="25"/>
  <c r="P361" i="31"/>
  <c r="Q377" i="31"/>
  <c r="P377" i="31"/>
  <c r="P357" i="25"/>
  <c r="Q357" i="25"/>
  <c r="P358" i="31"/>
  <c r="P326" i="31"/>
  <c r="P341" i="31"/>
  <c r="P318" i="31"/>
  <c r="Q220" i="25"/>
  <c r="P220" i="25"/>
  <c r="Q243" i="25"/>
  <c r="P243" i="25"/>
  <c r="P119" i="25"/>
  <c r="Q119" i="25"/>
  <c r="Q296" i="31"/>
  <c r="P296" i="31"/>
  <c r="Q431" i="31"/>
  <c r="P431" i="31"/>
  <c r="P413" i="31"/>
  <c r="Q413" i="31"/>
  <c r="Q107" i="25"/>
  <c r="P107" i="25"/>
  <c r="P435" i="31"/>
  <c r="Q435" i="31"/>
  <c r="Q219" i="25"/>
  <c r="P219" i="25"/>
  <c r="Q205" i="25"/>
  <c r="P205" i="25"/>
  <c r="Q251" i="25"/>
  <c r="P251" i="25"/>
  <c r="Q429" i="31"/>
  <c r="P429" i="31"/>
  <c r="P299" i="25"/>
  <c r="Q299" i="25"/>
  <c r="Q117" i="25"/>
  <c r="P117" i="25"/>
  <c r="P152" i="25"/>
  <c r="Q152" i="25"/>
  <c r="Q122" i="25"/>
  <c r="P122" i="25"/>
  <c r="Q141" i="25"/>
  <c r="P141" i="25"/>
  <c r="Q213" i="25"/>
  <c r="P213" i="25"/>
  <c r="Q134" i="25"/>
  <c r="P134" i="25"/>
  <c r="P153" i="25"/>
  <c r="Q153" i="25"/>
  <c r="Q294" i="31"/>
  <c r="P294" i="31"/>
  <c r="Q295" i="31"/>
  <c r="P295" i="31"/>
  <c r="Q204" i="25"/>
  <c r="P204" i="25"/>
  <c r="Q289" i="31"/>
  <c r="P289" i="31"/>
  <c r="Q300" i="25"/>
  <c r="P300" i="25"/>
  <c r="Q430" i="31"/>
  <c r="P430" i="31"/>
  <c r="Q250" i="25"/>
  <c r="P250" i="25"/>
  <c r="Q201" i="25"/>
  <c r="P201" i="25"/>
  <c r="P116" i="25"/>
  <c r="Q116" i="25"/>
  <c r="P244" i="25"/>
  <c r="Q244" i="25"/>
  <c r="Q218" i="25"/>
  <c r="P218" i="25"/>
  <c r="P288" i="31"/>
  <c r="Q288" i="31"/>
  <c r="P290" i="31"/>
  <c r="Q290" i="31"/>
  <c r="P207" i="25"/>
  <c r="Q207" i="25"/>
  <c r="P414" i="31"/>
  <c r="Q414" i="31"/>
  <c r="Q292" i="31"/>
  <c r="P292" i="31"/>
  <c r="P115" i="25"/>
  <c r="Q115" i="25"/>
  <c r="Q123" i="25"/>
  <c r="P123" i="25"/>
  <c r="Q131" i="25"/>
  <c r="P131" i="25"/>
  <c r="Q286" i="31"/>
  <c r="P286" i="31"/>
  <c r="P299" i="31"/>
  <c r="Q298" i="31"/>
  <c r="P265" i="31"/>
  <c r="Q508" i="25"/>
  <c r="P508" i="25"/>
  <c r="Q310" i="31"/>
  <c r="Q462" i="25"/>
  <c r="P462" i="25"/>
  <c r="Q544" i="25"/>
  <c r="P544" i="25"/>
  <c r="P342" i="31"/>
  <c r="Q316" i="31"/>
  <c r="Q338" i="31"/>
  <c r="P338" i="31"/>
  <c r="Q325" i="31"/>
  <c r="P325" i="31"/>
  <c r="Q302" i="31"/>
  <c r="P302" i="31"/>
  <c r="Q335" i="31"/>
  <c r="P335" i="31"/>
  <c r="P340" i="31"/>
  <c r="Q340" i="31"/>
  <c r="Q304" i="31"/>
  <c r="P304" i="31"/>
  <c r="Q221" i="31"/>
  <c r="P221" i="31"/>
  <c r="P334" i="31"/>
  <c r="Q334" i="31"/>
  <c r="P108" i="31"/>
  <c r="Q108" i="31"/>
  <c r="Q331" i="31"/>
  <c r="P331" i="31"/>
  <c r="Q107" i="31"/>
  <c r="P107" i="31"/>
  <c r="Q317" i="31"/>
  <c r="P317" i="31"/>
  <c r="Q307" i="31"/>
  <c r="P307" i="31"/>
  <c r="P328" i="31"/>
  <c r="Q328" i="31"/>
  <c r="P308" i="31"/>
  <c r="Q308" i="31"/>
  <c r="Q327" i="31"/>
  <c r="P327" i="31"/>
  <c r="Q339" i="31"/>
  <c r="P339" i="31"/>
  <c r="P314" i="31"/>
  <c r="Q314" i="31"/>
  <c r="Q313" i="31"/>
  <c r="P313" i="31"/>
  <c r="Q337" i="31"/>
  <c r="P337" i="31"/>
  <c r="Q306" i="31"/>
  <c r="P306" i="31"/>
  <c r="Q333" i="31"/>
  <c r="P333" i="31"/>
  <c r="Q109" i="31"/>
  <c r="P109" i="31"/>
  <c r="P312" i="31"/>
  <c r="Q312" i="31"/>
  <c r="P300" i="31"/>
  <c r="Q300" i="31"/>
  <c r="Q321" i="31"/>
  <c r="P321" i="31"/>
  <c r="Q305" i="31"/>
  <c r="P305" i="31"/>
  <c r="P219" i="31"/>
  <c r="Q219" i="31"/>
  <c r="Q332" i="31"/>
  <c r="P332" i="31"/>
  <c r="P319" i="31"/>
  <c r="Q319" i="31"/>
  <c r="Q217" i="31"/>
  <c r="P217" i="31"/>
  <c r="P320" i="31"/>
  <c r="Q320" i="31"/>
  <c r="Q301" i="31"/>
  <c r="P301" i="31"/>
  <c r="Q311" i="31"/>
  <c r="P311" i="31"/>
  <c r="Q303" i="31"/>
  <c r="P303" i="31"/>
  <c r="P297" i="31"/>
  <c r="Q297" i="31"/>
  <c r="Q220" i="31"/>
  <c r="P220" i="31"/>
  <c r="Q315" i="31"/>
  <c r="P315" i="31"/>
  <c r="P324" i="31"/>
  <c r="Q324" i="31"/>
  <c r="Q232" i="31"/>
  <c r="P232" i="31"/>
  <c r="P336" i="31"/>
  <c r="Q336" i="31"/>
  <c r="P287" i="31"/>
  <c r="Q239" i="25"/>
  <c r="P330" i="31"/>
  <c r="Q330" i="31"/>
  <c r="P323" i="31"/>
  <c r="Q323" i="31"/>
  <c r="P329" i="31"/>
  <c r="Q329" i="31"/>
  <c r="Q322" i="31"/>
  <c r="P322" i="31"/>
  <c r="P693" i="25"/>
  <c r="Q404" i="31"/>
  <c r="Q171" i="25"/>
  <c r="P168" i="25"/>
  <c r="P583" i="25"/>
  <c r="Q437" i="31"/>
  <c r="P519" i="25"/>
  <c r="Q169" i="25"/>
  <c r="P169" i="25"/>
  <c r="Q166" i="25"/>
  <c r="P166" i="25"/>
  <c r="P259" i="25"/>
  <c r="Q259" i="25"/>
  <c r="P625" i="25"/>
  <c r="Q162" i="25"/>
  <c r="P162" i="25"/>
  <c r="Q170" i="25"/>
  <c r="P170" i="25"/>
  <c r="Q183" i="25"/>
  <c r="P183" i="25"/>
  <c r="Q489" i="25"/>
  <c r="Q433" i="31"/>
  <c r="P422" i="31"/>
  <c r="P466" i="25"/>
  <c r="Q485" i="25"/>
  <c r="Q604" i="25"/>
  <c r="P601" i="25"/>
  <c r="P480" i="25"/>
  <c r="Q420" i="31"/>
  <c r="P491" i="25"/>
  <c r="Q472" i="25"/>
  <c r="Q628" i="25"/>
  <c r="P481" i="25"/>
  <c r="Q619" i="25"/>
  <c r="P528" i="25"/>
  <c r="Q497" i="25"/>
  <c r="P518" i="25"/>
  <c r="Q624" i="25"/>
  <c r="P545" i="25"/>
  <c r="P495" i="25"/>
  <c r="P522" i="25"/>
  <c r="P487" i="25"/>
  <c r="Q516" i="25"/>
  <c r="P620" i="25"/>
  <c r="Q593" i="25"/>
  <c r="Q531" i="25"/>
  <c r="Q507" i="25"/>
  <c r="P511" i="25"/>
  <c r="P500" i="25"/>
  <c r="Q416" i="31"/>
  <c r="P622" i="25"/>
  <c r="P521" i="25"/>
  <c r="Q425" i="31"/>
  <c r="P699" i="25"/>
  <c r="Q699" i="25"/>
  <c r="Q697" i="25"/>
  <c r="P697" i="25"/>
  <c r="Q701" i="25"/>
  <c r="P701" i="25"/>
  <c r="Q719" i="25"/>
  <c r="P719" i="25"/>
  <c r="P432" i="31"/>
  <c r="P702" i="25"/>
  <c r="Q702" i="25"/>
  <c r="Q471" i="25"/>
  <c r="P523" i="25"/>
  <c r="P636" i="25"/>
  <c r="Q636" i="25"/>
  <c r="P721" i="25"/>
  <c r="Q721" i="25"/>
  <c r="Q715" i="25"/>
  <c r="P715" i="25"/>
  <c r="Q720" i="25"/>
  <c r="P720" i="25"/>
  <c r="P687" i="25"/>
  <c r="Q687" i="25"/>
  <c r="Q498" i="25"/>
  <c r="Q568" i="25"/>
  <c r="P637" i="25"/>
  <c r="Q637" i="25"/>
  <c r="Q714" i="25"/>
  <c r="P714" i="25"/>
  <c r="P609" i="25"/>
  <c r="Q618" i="25"/>
  <c r="Q482" i="25"/>
  <c r="Q527" i="25"/>
  <c r="Q627" i="25"/>
  <c r="P695" i="25"/>
  <c r="Q695" i="25"/>
  <c r="Q716" i="25"/>
  <c r="P716" i="25"/>
  <c r="P728" i="25"/>
  <c r="Q728" i="25"/>
  <c r="P731" i="25"/>
  <c r="Q731" i="25"/>
  <c r="Q553" i="25"/>
  <c r="P688" i="25"/>
  <c r="Q688" i="25"/>
  <c r="Q692" i="25"/>
  <c r="P692" i="25"/>
  <c r="Q590" i="25"/>
  <c r="P694" i="25"/>
  <c r="Q694" i="25"/>
  <c r="Q529" i="25"/>
  <c r="Q603" i="25"/>
  <c r="Q608" i="25"/>
  <c r="P689" i="25"/>
  <c r="Q689" i="25"/>
  <c r="P690" i="25"/>
  <c r="Q690" i="25"/>
  <c r="P700" i="25"/>
  <c r="Q700" i="25"/>
  <c r="Q717" i="25"/>
  <c r="P717" i="25"/>
  <c r="Q730" i="25"/>
  <c r="P730" i="25"/>
  <c r="P703" i="25"/>
  <c r="Q703" i="25"/>
  <c r="P398" i="25"/>
  <c r="P562" i="25"/>
  <c r="Q617" i="25"/>
  <c r="Q515" i="25"/>
  <c r="P524" i="25"/>
  <c r="Q732" i="25"/>
  <c r="P732" i="25"/>
  <c r="P698" i="25"/>
  <c r="Q698" i="25"/>
  <c r="P729" i="25"/>
  <c r="Q729" i="25"/>
  <c r="Q718" i="25"/>
  <c r="P718" i="25"/>
  <c r="Q708" i="25"/>
  <c r="P708" i="25"/>
  <c r="Q696" i="25"/>
  <c r="P696" i="25"/>
  <c r="P704" i="25"/>
  <c r="Q704" i="25"/>
  <c r="Q691" i="25"/>
  <c r="P691" i="25"/>
  <c r="P706" i="25"/>
  <c r="Q706" i="25"/>
  <c r="P705" i="25"/>
  <c r="Q705" i="25"/>
  <c r="P214" i="25"/>
  <c r="Q381" i="25"/>
  <c r="Q490" i="25"/>
  <c r="P490" i="25"/>
  <c r="P585" i="25"/>
  <c r="Q585" i="25"/>
  <c r="Q526" i="25"/>
  <c r="P526" i="25"/>
  <c r="Q411" i="31"/>
  <c r="P411" i="31"/>
  <c r="P419" i="31"/>
  <c r="Q419" i="31"/>
  <c r="P397" i="31"/>
  <c r="Q397" i="31"/>
  <c r="P476" i="25"/>
  <c r="Q476" i="25"/>
  <c r="P509" i="25"/>
  <c r="Q509" i="25"/>
  <c r="P427" i="31"/>
  <c r="Q427" i="31"/>
  <c r="Q417" i="31"/>
  <c r="P417" i="31"/>
  <c r="Q398" i="31"/>
  <c r="P398" i="31"/>
  <c r="Q616" i="25"/>
  <c r="P616" i="25"/>
  <c r="Q549" i="25"/>
  <c r="P549" i="25"/>
  <c r="P510" i="25"/>
  <c r="Q510" i="25"/>
  <c r="P552" i="25"/>
  <c r="Q552" i="25"/>
  <c r="Q395" i="31"/>
  <c r="P395" i="31"/>
  <c r="P513" i="25"/>
  <c r="Q513" i="25"/>
  <c r="P520" i="25"/>
  <c r="Q520" i="25"/>
  <c r="Q587" i="25"/>
  <c r="P587" i="25"/>
  <c r="Q421" i="31"/>
  <c r="P421" i="31"/>
  <c r="Q570" i="25"/>
  <c r="P570" i="25"/>
  <c r="P473" i="25"/>
  <c r="Q473" i="25"/>
  <c r="Q479" i="25"/>
  <c r="P479" i="25"/>
  <c r="Q548" i="25"/>
  <c r="P548" i="25"/>
  <c r="P407" i="31"/>
  <c r="Q407" i="31"/>
  <c r="P546" i="25"/>
  <c r="Q546" i="25"/>
  <c r="Q600" i="25"/>
  <c r="P600" i="25"/>
  <c r="Q415" i="31"/>
  <c r="P415" i="31"/>
  <c r="P542" i="25"/>
  <c r="Q542" i="25"/>
  <c r="P540" i="25"/>
  <c r="Q540" i="25"/>
  <c r="Q565" i="25"/>
  <c r="P565" i="25"/>
  <c r="Q501" i="25"/>
  <c r="P501" i="25"/>
  <c r="Q586" i="25"/>
  <c r="P586" i="25"/>
  <c r="Q506" i="25"/>
  <c r="P506" i="25"/>
  <c r="P569" i="25"/>
  <c r="Q569" i="25"/>
  <c r="P400" i="31"/>
  <c r="Q400" i="31"/>
  <c r="P496" i="25"/>
  <c r="Q496" i="25"/>
  <c r="P551" i="25"/>
  <c r="Q551" i="25"/>
  <c r="Q563" i="25"/>
  <c r="P563" i="25"/>
  <c r="Q580" i="25"/>
  <c r="P580" i="25"/>
  <c r="Q536" i="25"/>
  <c r="P536" i="25"/>
  <c r="Q477" i="25"/>
  <c r="P477" i="25"/>
  <c r="Q484" i="25"/>
  <c r="P484" i="25"/>
  <c r="P405" i="31"/>
  <c r="Q405" i="31"/>
  <c r="Q402" i="31"/>
  <c r="P402" i="31"/>
  <c r="Q434" i="31"/>
  <c r="P434" i="31"/>
  <c r="P488" i="25"/>
  <c r="Q488" i="25"/>
  <c r="Q514" i="25"/>
  <c r="P514" i="25"/>
  <c r="Q512" i="25"/>
  <c r="P512" i="25"/>
  <c r="P547" i="25"/>
  <c r="Q547" i="25"/>
  <c r="P626" i="25"/>
  <c r="Q626" i="25"/>
  <c r="P426" i="31"/>
  <c r="Q426" i="31"/>
  <c r="Q474" i="25"/>
  <c r="P474" i="25"/>
  <c r="Q399" i="31"/>
  <c r="P399" i="31"/>
  <c r="P401" i="31"/>
  <c r="Q401" i="31"/>
  <c r="P537" i="25"/>
  <c r="Q537" i="25"/>
  <c r="Q428" i="31"/>
  <c r="P428" i="31"/>
  <c r="P532" i="25"/>
  <c r="Q532" i="25"/>
  <c r="Q597" i="25"/>
  <c r="P597" i="25"/>
  <c r="Q614" i="25"/>
  <c r="P614" i="25"/>
  <c r="Q567" i="25"/>
  <c r="P567" i="25"/>
  <c r="Q499" i="25"/>
  <c r="P499" i="25"/>
  <c r="Q599" i="25"/>
  <c r="P599" i="25"/>
  <c r="P410" i="31"/>
  <c r="Q410" i="31"/>
  <c r="P406" i="31"/>
  <c r="Q406" i="31"/>
  <c r="P412" i="31"/>
  <c r="Q412" i="31"/>
  <c r="Q539" i="25"/>
  <c r="P539" i="25"/>
  <c r="P461" i="25"/>
  <c r="Q461" i="25"/>
  <c r="P409" i="31"/>
  <c r="Q409" i="31"/>
  <c r="P550" i="25"/>
  <c r="Q550" i="25"/>
  <c r="P533" i="25"/>
  <c r="Q533" i="25"/>
  <c r="P555" i="25"/>
  <c r="Q555" i="25"/>
  <c r="P492" i="25"/>
  <c r="Q492" i="25"/>
  <c r="P525" i="25"/>
  <c r="Q525" i="25"/>
  <c r="Q621" i="25"/>
  <c r="P621" i="25"/>
  <c r="Q504" i="25"/>
  <c r="P504" i="25"/>
  <c r="Q538" i="25"/>
  <c r="P538" i="25"/>
  <c r="P418" i="31"/>
  <c r="Q418" i="31"/>
  <c r="Q541" i="25"/>
  <c r="P541" i="25"/>
  <c r="P408" i="31"/>
  <c r="Q408" i="31"/>
  <c r="Q502" i="25"/>
  <c r="P502" i="25"/>
  <c r="Q588" i="25"/>
  <c r="P588" i="25"/>
  <c r="Q493" i="25"/>
  <c r="P493" i="25"/>
  <c r="P592" i="25"/>
  <c r="Q592" i="25"/>
  <c r="Q475" i="25"/>
  <c r="P475" i="25"/>
  <c r="P424" i="31"/>
  <c r="Q424" i="31"/>
  <c r="P517" i="25"/>
  <c r="Q517" i="25"/>
  <c r="P159" i="25"/>
  <c r="Q530" i="25"/>
  <c r="P530" i="25"/>
  <c r="Q566" i="25"/>
  <c r="P566" i="25"/>
  <c r="Q478" i="25"/>
  <c r="P478" i="25"/>
  <c r="Q535" i="25"/>
  <c r="P535" i="25"/>
  <c r="Q423" i="31"/>
  <c r="P423" i="31"/>
  <c r="P464" i="25"/>
  <c r="Q464" i="25"/>
  <c r="P505" i="25"/>
  <c r="Q505" i="25"/>
  <c r="Q602" i="25"/>
  <c r="P602" i="25"/>
  <c r="P629" i="25"/>
  <c r="Q629" i="25"/>
  <c r="Q554" i="25"/>
  <c r="P554" i="25"/>
  <c r="Q615" i="25"/>
  <c r="P615" i="25"/>
  <c r="P494" i="25"/>
  <c r="Q494" i="25"/>
  <c r="P589" i="25"/>
  <c r="Q589" i="25"/>
  <c r="Q436" i="31"/>
  <c r="P436" i="31"/>
  <c r="Q543" i="25"/>
  <c r="P543" i="25"/>
  <c r="P465" i="25"/>
  <c r="Q465" i="25"/>
  <c r="Q486" i="25"/>
  <c r="P486" i="25"/>
  <c r="Q598" i="25"/>
  <c r="P598" i="25"/>
  <c r="Q483" i="25"/>
  <c r="P483" i="25"/>
  <c r="Q463" i="25"/>
  <c r="P463" i="25"/>
  <c r="Q534" i="25"/>
  <c r="P534" i="25"/>
  <c r="P396" i="31"/>
  <c r="Q396" i="31"/>
  <c r="P323" i="25"/>
  <c r="Q151" i="25"/>
  <c r="P285" i="31"/>
  <c r="P386" i="25"/>
  <c r="Q321" i="25"/>
  <c r="P279" i="25"/>
  <c r="Q310" i="25"/>
  <c r="P307" i="25"/>
  <c r="Q224" i="25"/>
  <c r="P224" i="25"/>
  <c r="P225" i="25"/>
  <c r="Q225" i="25"/>
  <c r="P392" i="25"/>
  <c r="Q392" i="25"/>
  <c r="Q211" i="25"/>
  <c r="Q143" i="25"/>
  <c r="P143" i="25"/>
  <c r="P319" i="25"/>
  <c r="P203" i="25"/>
  <c r="P212" i="25"/>
  <c r="P322" i="25"/>
  <c r="P283" i="25"/>
  <c r="Q371" i="25"/>
  <c r="P371" i="25"/>
  <c r="Q401" i="25"/>
  <c r="P401" i="25"/>
  <c r="Q331" i="25"/>
  <c r="P331" i="25"/>
  <c r="Q441" i="25"/>
  <c r="P441" i="25"/>
  <c r="P333" i="25"/>
  <c r="Q333" i="25"/>
  <c r="Q373" i="25"/>
  <c r="P373" i="25"/>
  <c r="P350" i="25"/>
  <c r="Q350" i="25"/>
  <c r="Q330" i="25"/>
  <c r="P330" i="25"/>
  <c r="Q349" i="25"/>
  <c r="P349" i="25"/>
  <c r="Q422" i="25"/>
  <c r="P422" i="25"/>
  <c r="Q387" i="25"/>
  <c r="P387" i="25"/>
  <c r="Q328" i="25"/>
  <c r="P328" i="25"/>
  <c r="P326" i="25"/>
  <c r="Q326" i="25"/>
  <c r="Q329" i="25"/>
  <c r="P329" i="25"/>
  <c r="Q320" i="25"/>
  <c r="P346" i="25"/>
  <c r="Q346" i="25"/>
  <c r="Q332" i="25"/>
  <c r="P332" i="25"/>
  <c r="Q399" i="25"/>
  <c r="P399" i="25"/>
  <c r="P370" i="25"/>
  <c r="Q370" i="25"/>
  <c r="P437" i="25"/>
  <c r="Q437" i="25"/>
  <c r="P345" i="25"/>
  <c r="Q345" i="25"/>
  <c r="P423" i="25"/>
  <c r="Q423" i="25"/>
  <c r="P352" i="25"/>
  <c r="Q352" i="25"/>
  <c r="Q376" i="25"/>
  <c r="P376" i="25"/>
  <c r="P181" i="25"/>
  <c r="P324" i="25"/>
  <c r="Q351" i="25"/>
  <c r="P351" i="25"/>
  <c r="Q379" i="25"/>
  <c r="P379" i="25"/>
  <c r="P343" i="25"/>
  <c r="Q343" i="25"/>
  <c r="Q397" i="25"/>
  <c r="P397" i="25"/>
  <c r="Q443" i="25"/>
  <c r="P443" i="25"/>
  <c r="Q238" i="25"/>
  <c r="P440" i="25"/>
  <c r="Q440" i="25"/>
  <c r="Q353" i="25"/>
  <c r="P353" i="25"/>
  <c r="Q378" i="25"/>
  <c r="P378" i="25"/>
  <c r="P444" i="25"/>
  <c r="Q444" i="25"/>
  <c r="P208" i="25"/>
  <c r="Q308" i="25"/>
  <c r="Q388" i="25"/>
  <c r="P388" i="25"/>
  <c r="Q442" i="25"/>
  <c r="P442" i="25"/>
  <c r="Q305" i="25"/>
  <c r="P436" i="25"/>
  <c r="Q436" i="25"/>
  <c r="Q327" i="25"/>
  <c r="P327" i="25"/>
  <c r="Q445" i="25"/>
  <c r="P445" i="25"/>
  <c r="P372" i="25"/>
  <c r="Q372" i="25"/>
  <c r="P439" i="25"/>
  <c r="Q439" i="25"/>
  <c r="Q438" i="25"/>
  <c r="P438" i="25"/>
  <c r="Q210" i="25"/>
  <c r="Q354" i="25"/>
  <c r="P354" i="25"/>
  <c r="P347" i="25"/>
  <c r="Q347" i="25"/>
  <c r="Q348" i="25"/>
  <c r="P348" i="25"/>
  <c r="Q344" i="25"/>
  <c r="P344" i="25"/>
  <c r="P361" i="25"/>
  <c r="Q361" i="25"/>
  <c r="Q391" i="25"/>
  <c r="P391" i="25"/>
  <c r="P435" i="25"/>
  <c r="Q435" i="25"/>
  <c r="Q342" i="25"/>
  <c r="P342" i="25"/>
  <c r="P286" i="25"/>
  <c r="P202" i="25"/>
  <c r="Q306" i="25"/>
  <c r="P306" i="25"/>
  <c r="Q311" i="25"/>
  <c r="P311" i="25"/>
  <c r="P270" i="25"/>
  <c r="P267" i="25"/>
  <c r="Q309" i="25"/>
  <c r="P309" i="25"/>
  <c r="Q325" i="25"/>
  <c r="P325" i="25"/>
  <c r="Q278" i="25"/>
  <c r="P278" i="25"/>
  <c r="Q280" i="25"/>
  <c r="P280" i="25"/>
  <c r="P281" i="25"/>
  <c r="Q281" i="25"/>
  <c r="P282" i="25"/>
  <c r="Q282" i="25"/>
  <c r="P161" i="25"/>
  <c r="Q161" i="25"/>
  <c r="Q269" i="25"/>
  <c r="P269" i="25"/>
  <c r="P160" i="25"/>
  <c r="Q285" i="25"/>
  <c r="P285" i="25"/>
  <c r="P255" i="25"/>
  <c r="Q255" i="25"/>
  <c r="Q148" i="25"/>
  <c r="P268" i="25"/>
  <c r="Q268" i="25"/>
  <c r="P266" i="25"/>
  <c r="Q266" i="25"/>
  <c r="P182" i="25"/>
  <c r="Q182" i="25"/>
  <c r="P271" i="25"/>
  <c r="Q271" i="25"/>
  <c r="Q150" i="25"/>
  <c r="P180" i="25"/>
  <c r="Q180" i="25"/>
  <c r="P206" i="25"/>
  <c r="Q206" i="25"/>
  <c r="Q200" i="25"/>
  <c r="P200" i="25"/>
  <c r="Q209" i="25"/>
  <c r="P209" i="25"/>
  <c r="P272" i="25"/>
  <c r="Q272" i="25"/>
  <c r="P237" i="25"/>
  <c r="Q237" i="25"/>
  <c r="P284" i="25"/>
  <c r="Q284" i="25"/>
  <c r="P189" i="25"/>
  <c r="Q189" i="25"/>
  <c r="Q249" i="25"/>
  <c r="P249" i="25"/>
  <c r="Q223" i="25"/>
  <c r="P223" i="25"/>
  <c r="P223" i="31"/>
  <c r="Q269" i="31"/>
  <c r="P269" i="31"/>
  <c r="P158" i="25"/>
  <c r="Q158" i="25"/>
  <c r="Q156" i="25"/>
  <c r="P156" i="25"/>
  <c r="Q157" i="25"/>
  <c r="P157" i="25"/>
  <c r="Q149" i="25"/>
  <c r="P149" i="25"/>
  <c r="Q146" i="25"/>
  <c r="P146" i="25"/>
  <c r="P226" i="25"/>
  <c r="AA226" i="25" s="1"/>
  <c r="Q226" i="25"/>
  <c r="P147" i="25"/>
  <c r="Q147" i="25"/>
  <c r="Q247" i="31"/>
  <c r="Q208" i="31"/>
  <c r="P208" i="31"/>
  <c r="Q224" i="31"/>
  <c r="P224" i="31"/>
  <c r="Q225" i="31"/>
  <c r="P225" i="31"/>
  <c r="P226" i="31"/>
  <c r="Q226" i="31"/>
  <c r="Q218" i="31"/>
  <c r="P218" i="31"/>
  <c r="P222" i="31"/>
  <c r="Q222" i="31"/>
  <c r="Q209" i="31"/>
  <c r="P209" i="31"/>
  <c r="Q284" i="31"/>
  <c r="P284" i="31"/>
  <c r="Q229" i="31"/>
  <c r="P229" i="31"/>
  <c r="P228" i="31"/>
  <c r="Q228" i="31"/>
  <c r="P227" i="31"/>
  <c r="Q227" i="31"/>
  <c r="Q230" i="31"/>
  <c r="P230" i="31"/>
  <c r="P266" i="31"/>
  <c r="Q266" i="31"/>
  <c r="Q190" i="25"/>
  <c r="P190" i="25"/>
  <c r="Q191" i="25"/>
  <c r="P191" i="25"/>
  <c r="Q184" i="25"/>
  <c r="P184" i="25"/>
  <c r="P259" i="31"/>
  <c r="Q259" i="31"/>
  <c r="P393" i="25"/>
  <c r="Q393" i="25"/>
  <c r="Q296" i="25"/>
  <c r="P296" i="25"/>
  <c r="Q132" i="25"/>
  <c r="P132" i="25"/>
  <c r="P231" i="31"/>
  <c r="Q231" i="31"/>
  <c r="Q406" i="25"/>
  <c r="P406" i="25"/>
  <c r="Q277" i="25"/>
  <c r="P277" i="25"/>
  <c r="P165" i="25"/>
  <c r="Q165" i="25"/>
  <c r="P243" i="31"/>
  <c r="Q243" i="31"/>
  <c r="Q260" i="25"/>
  <c r="P260" i="25"/>
  <c r="Q172" i="25"/>
  <c r="P172" i="25"/>
  <c r="Q187" i="25"/>
  <c r="P187" i="25"/>
  <c r="Q257" i="25"/>
  <c r="P257" i="25"/>
  <c r="P233" i="31"/>
  <c r="Q233" i="31"/>
  <c r="P241" i="25"/>
  <c r="Q241" i="25"/>
  <c r="P303" i="25"/>
  <c r="Q303" i="25"/>
  <c r="P110" i="25"/>
  <c r="Q110" i="25"/>
  <c r="P110" i="31"/>
  <c r="Q110" i="31"/>
  <c r="Q634" i="25"/>
  <c r="P634" i="25"/>
  <c r="Q245" i="25"/>
  <c r="P245" i="25"/>
  <c r="P395" i="25"/>
  <c r="Q395" i="25"/>
  <c r="P257" i="31"/>
  <c r="Q257" i="31"/>
  <c r="Q377" i="25"/>
  <c r="P377" i="25"/>
  <c r="Q108" i="25"/>
  <c r="P108" i="25"/>
  <c r="Q144" i="25"/>
  <c r="P144" i="25"/>
  <c r="P214" i="31"/>
  <c r="Q214" i="31"/>
  <c r="P105" i="31"/>
  <c r="Q105" i="31"/>
  <c r="Q439" i="31"/>
  <c r="P439" i="31"/>
  <c r="Q727" i="25"/>
  <c r="P727" i="25"/>
  <c r="P245" i="31"/>
  <c r="Q245" i="31"/>
  <c r="P267" i="31"/>
  <c r="Q267" i="31"/>
  <c r="Q186" i="25"/>
  <c r="P186" i="25"/>
  <c r="P222" i="25"/>
  <c r="Q222" i="25"/>
  <c r="Q105" i="25"/>
  <c r="P105" i="25"/>
  <c r="P210" i="31"/>
  <c r="Q210" i="31"/>
  <c r="P106" i="31"/>
  <c r="Q106" i="31"/>
  <c r="Q635" i="25"/>
  <c r="P635" i="25"/>
  <c r="Q255" i="31"/>
  <c r="P255" i="31"/>
  <c r="P268" i="31"/>
  <c r="Q268" i="31"/>
  <c r="Q412" i="25"/>
  <c r="P412" i="25"/>
  <c r="Q106" i="25"/>
  <c r="P106" i="25"/>
  <c r="Q297" i="25"/>
  <c r="P297" i="25"/>
  <c r="Q109" i="25"/>
  <c r="P109" i="25"/>
  <c r="P130" i="25"/>
  <c r="Q130" i="25"/>
  <c r="Q129" i="25"/>
  <c r="P129" i="25"/>
  <c r="P239" i="31"/>
  <c r="Q239" i="31"/>
  <c r="P250" i="31"/>
  <c r="Q250" i="31"/>
  <c r="P416" i="25"/>
  <c r="Q416" i="25"/>
  <c r="Q301" i="25"/>
  <c r="P301" i="25"/>
  <c r="P446" i="25"/>
  <c r="Q446" i="25"/>
  <c r="Q114" i="25"/>
  <c r="P114" i="25"/>
  <c r="Q207" i="31"/>
  <c r="P207" i="31"/>
  <c r="Q236" i="25"/>
  <c r="P236" i="25"/>
  <c r="Q272" i="31"/>
  <c r="P272" i="31"/>
  <c r="Q264" i="31"/>
  <c r="P264" i="31"/>
  <c r="Q389" i="25"/>
  <c r="P389" i="25"/>
  <c r="Q179" i="25"/>
  <c r="P179" i="25"/>
  <c r="P253" i="25"/>
  <c r="Q253" i="25"/>
  <c r="Q254" i="25"/>
  <c r="P254" i="25"/>
  <c r="Q174" i="25"/>
  <c r="P174" i="25"/>
  <c r="P238" i="31"/>
  <c r="Q238" i="31"/>
  <c r="Q111" i="25"/>
  <c r="P111" i="25"/>
  <c r="P242" i="31"/>
  <c r="Q242" i="31"/>
  <c r="P244" i="31"/>
  <c r="Q244" i="31"/>
  <c r="Q249" i="31"/>
  <c r="P249" i="31"/>
  <c r="Q216" i="25"/>
  <c r="P216" i="25"/>
  <c r="Q265" i="25"/>
  <c r="P265" i="25"/>
  <c r="P407" i="25"/>
  <c r="Q407" i="25"/>
  <c r="P197" i="25"/>
  <c r="Q197" i="25"/>
  <c r="Q394" i="25"/>
  <c r="P394" i="25"/>
  <c r="P415" i="25"/>
  <c r="Q415" i="25"/>
  <c r="P248" i="31"/>
  <c r="Q248" i="31"/>
  <c r="Q155" i="25"/>
  <c r="P155" i="25"/>
  <c r="P235" i="31"/>
  <c r="Q235" i="31"/>
  <c r="Q121" i="25"/>
  <c r="P121" i="25"/>
  <c r="Q258" i="31"/>
  <c r="P258" i="31"/>
  <c r="Q274" i="31"/>
  <c r="P274" i="31"/>
  <c r="Q277" i="31"/>
  <c r="P277" i="31"/>
  <c r="P425" i="25"/>
  <c r="Q425" i="25"/>
  <c r="Q256" i="25"/>
  <c r="P256" i="25"/>
  <c r="P417" i="25"/>
  <c r="Q417" i="25"/>
  <c r="Q294" i="25"/>
  <c r="P294" i="25"/>
  <c r="Q263" i="31"/>
  <c r="P263" i="31"/>
  <c r="Q343" i="31"/>
  <c r="P343" i="31"/>
  <c r="Q400" i="25"/>
  <c r="P400" i="25"/>
  <c r="P374" i="25"/>
  <c r="Q374" i="25"/>
  <c r="Q382" i="25"/>
  <c r="P382" i="25"/>
  <c r="Q258" i="25"/>
  <c r="P258" i="25"/>
  <c r="P216" i="31"/>
  <c r="Q216" i="31"/>
  <c r="P120" i="25"/>
  <c r="Q120" i="25"/>
  <c r="Q438" i="31"/>
  <c r="P438" i="31"/>
  <c r="Q252" i="25"/>
  <c r="P252" i="25"/>
  <c r="Q273" i="31"/>
  <c r="P273" i="31"/>
  <c r="P413" i="25"/>
  <c r="Q413" i="25"/>
  <c r="Q273" i="25"/>
  <c r="P273" i="25"/>
  <c r="P414" i="25"/>
  <c r="Q414" i="25"/>
  <c r="Q215" i="25"/>
  <c r="P215" i="25"/>
  <c r="P282" i="31"/>
  <c r="Q282" i="31"/>
  <c r="P281" i="31"/>
  <c r="Q281" i="31"/>
  <c r="Q408" i="25"/>
  <c r="P408" i="25"/>
  <c r="Q302" i="25"/>
  <c r="P302" i="25"/>
  <c r="P211" i="31"/>
  <c r="Q211" i="31"/>
  <c r="P142" i="25"/>
  <c r="Q142" i="25"/>
  <c r="P441" i="31"/>
  <c r="Q441" i="31"/>
  <c r="Q246" i="25"/>
  <c r="P246" i="25"/>
  <c r="P279" i="31"/>
  <c r="Q279" i="31"/>
  <c r="Q198" i="25"/>
  <c r="P198" i="25"/>
  <c r="Q288" i="25"/>
  <c r="P288" i="25"/>
  <c r="Q380" i="25"/>
  <c r="P380" i="25"/>
  <c r="Q276" i="31"/>
  <c r="P276" i="31"/>
  <c r="Q276" i="25"/>
  <c r="P276" i="25"/>
  <c r="Q128" i="25"/>
  <c r="P128" i="25"/>
  <c r="P140" i="25"/>
  <c r="Q140" i="25"/>
  <c r="P196" i="25"/>
  <c r="Q196" i="25"/>
  <c r="P126" i="25"/>
  <c r="Q126" i="25"/>
  <c r="P213" i="31"/>
  <c r="Q213" i="31"/>
  <c r="P390" i="31"/>
  <c r="Q390" i="31"/>
  <c r="Q289" i="25"/>
  <c r="P289" i="25"/>
  <c r="Q248" i="25"/>
  <c r="P248" i="25"/>
  <c r="P164" i="25"/>
  <c r="Q164" i="25"/>
  <c r="Q383" i="25"/>
  <c r="Q234" i="31"/>
  <c r="P234" i="31"/>
  <c r="Q118" i="25"/>
  <c r="P118" i="25"/>
  <c r="Q242" i="25"/>
  <c r="P242" i="25"/>
  <c r="Q125" i="25"/>
  <c r="P125" i="25"/>
  <c r="Q251" i="31"/>
  <c r="P251" i="31"/>
  <c r="Q409" i="25"/>
  <c r="P409" i="25"/>
  <c r="P237" i="31"/>
  <c r="Q237" i="31"/>
  <c r="Q240" i="25"/>
  <c r="P240" i="25"/>
  <c r="P154" i="25"/>
  <c r="Q154" i="25"/>
  <c r="P127" i="25"/>
  <c r="Q127" i="25"/>
  <c r="P139" i="25"/>
  <c r="Q139" i="25"/>
  <c r="Q247" i="25"/>
  <c r="P247" i="25"/>
  <c r="Q304" i="25"/>
  <c r="P304" i="25"/>
  <c r="Q390" i="25"/>
  <c r="P390" i="25"/>
  <c r="Q375" i="25"/>
  <c r="P375" i="25"/>
  <c r="Q231" i="25"/>
  <c r="P231" i="25"/>
  <c r="Q215" i="31"/>
  <c r="P215" i="31"/>
  <c r="Q217" i="25"/>
  <c r="P217" i="25"/>
  <c r="Q138" i="25"/>
  <c r="P138" i="25"/>
  <c r="P442" i="31"/>
  <c r="Q442" i="31"/>
  <c r="Q246" i="31"/>
  <c r="P246" i="31"/>
  <c r="P188" i="25"/>
  <c r="Q188" i="25"/>
  <c r="Q112" i="25"/>
  <c r="P112" i="25"/>
  <c r="Q163" i="25"/>
  <c r="P163" i="25"/>
  <c r="Q199" i="25"/>
  <c r="P199" i="25"/>
  <c r="Q275" i="25"/>
  <c r="P275" i="25"/>
  <c r="P221" i="25"/>
  <c r="Q221" i="25"/>
  <c r="P410" i="25"/>
  <c r="Q410" i="25"/>
  <c r="Q104" i="31"/>
  <c r="P104" i="31"/>
  <c r="P113" i="25"/>
  <c r="Q113" i="25"/>
  <c r="P212" i="31"/>
  <c r="Q212" i="31"/>
  <c r="Q280" i="31"/>
  <c r="P280" i="31"/>
  <c r="Q298" i="25"/>
  <c r="P298" i="25"/>
  <c r="Q271" i="31"/>
  <c r="P271" i="31"/>
  <c r="P419" i="25"/>
  <c r="Q419" i="25"/>
  <c r="Q145" i="25"/>
  <c r="P145" i="25"/>
  <c r="Q124" i="25"/>
  <c r="P124" i="25"/>
  <c r="Q309" i="31"/>
  <c r="P309" i="31"/>
  <c r="P236" i="31"/>
  <c r="Q236" i="31"/>
  <c r="P295" i="25"/>
  <c r="Q295" i="25"/>
  <c r="Q167" i="25"/>
  <c r="P167" i="25"/>
  <c r="Q252" i="31"/>
  <c r="P252" i="31"/>
  <c r="Q270" i="31"/>
  <c r="P270" i="31"/>
  <c r="Q278" i="31"/>
  <c r="P278" i="31"/>
  <c r="P384" i="25"/>
  <c r="Q384" i="25"/>
  <c r="Q287" i="25"/>
  <c r="P287" i="25"/>
  <c r="P411" i="25"/>
  <c r="Q411" i="25"/>
  <c r="Q396" i="25"/>
  <c r="P396" i="25"/>
  <c r="Q418" i="25"/>
  <c r="P418" i="25"/>
  <c r="Q175" i="25"/>
  <c r="Q125" i="31"/>
  <c r="P125" i="31"/>
  <c r="Q155" i="31"/>
  <c r="P155" i="31"/>
  <c r="Q176" i="31"/>
  <c r="P176" i="31"/>
  <c r="P152" i="31"/>
  <c r="Q152" i="31"/>
  <c r="P175" i="31"/>
  <c r="Q175" i="31"/>
  <c r="Q130" i="31"/>
  <c r="P130" i="31"/>
  <c r="Q205" i="31"/>
  <c r="P205" i="31"/>
  <c r="Q262" i="31"/>
  <c r="P262" i="31"/>
  <c r="P443" i="31"/>
  <c r="Q443" i="31"/>
  <c r="Q165" i="31"/>
  <c r="P165" i="31"/>
  <c r="Q166" i="31"/>
  <c r="P166" i="31"/>
  <c r="Q185" i="31"/>
  <c r="P185" i="31"/>
  <c r="Q121" i="31"/>
  <c r="P121" i="31"/>
  <c r="Q451" i="31"/>
  <c r="P451" i="31"/>
  <c r="P452" i="31" s="1"/>
  <c r="Q459" i="31"/>
  <c r="P459" i="31"/>
  <c r="P460" i="31" s="1"/>
  <c r="Q198" i="31"/>
  <c r="P198" i="31"/>
  <c r="Q140" i="31"/>
  <c r="P140" i="31"/>
  <c r="Q123" i="31"/>
  <c r="P123" i="31"/>
  <c r="Q141" i="31"/>
  <c r="P141" i="31"/>
  <c r="Q192" i="31"/>
  <c r="P192" i="31"/>
  <c r="Q183" i="31"/>
  <c r="P183" i="31"/>
  <c r="Q196" i="31"/>
  <c r="P196" i="31"/>
  <c r="Q202" i="31"/>
  <c r="P202" i="31"/>
  <c r="Q100" i="31"/>
  <c r="P100" i="31"/>
  <c r="P101" i="31" s="1"/>
  <c r="P120" i="31"/>
  <c r="Q120" i="31"/>
  <c r="Q391" i="31"/>
  <c r="P391" i="31"/>
  <c r="Q117" i="31"/>
  <c r="P117" i="31"/>
  <c r="Q201" i="31"/>
  <c r="P201" i="31"/>
  <c r="Q150" i="31"/>
  <c r="P150" i="31"/>
  <c r="Q206" i="31"/>
  <c r="P206" i="31"/>
  <c r="Q455" i="31"/>
  <c r="P455" i="31"/>
  <c r="P456" i="31" s="1"/>
  <c r="Q187" i="31"/>
  <c r="P187" i="31"/>
  <c r="P168" i="31"/>
  <c r="Q168" i="31"/>
  <c r="Q161" i="31"/>
  <c r="P161" i="31"/>
  <c r="Q195" i="31"/>
  <c r="P195" i="31"/>
  <c r="Q191" i="31"/>
  <c r="P191" i="31"/>
  <c r="Q143" i="31"/>
  <c r="P143" i="31"/>
  <c r="Q186" i="31"/>
  <c r="P186" i="31"/>
  <c r="P190" i="31"/>
  <c r="Q190" i="31"/>
  <c r="P203" i="31"/>
  <c r="Q203" i="31"/>
  <c r="Q158" i="31"/>
  <c r="P158" i="31"/>
  <c r="Q240" i="31"/>
  <c r="P240" i="31"/>
  <c r="Q147" i="31"/>
  <c r="P147" i="31"/>
  <c r="Q142" i="31"/>
  <c r="P142" i="31"/>
  <c r="Q148" i="31"/>
  <c r="P148" i="31"/>
  <c r="P178" i="31"/>
  <c r="Q178" i="31"/>
  <c r="Q146" i="31"/>
  <c r="P146" i="31"/>
  <c r="Q172" i="31"/>
  <c r="P172" i="31"/>
  <c r="Q127" i="31"/>
  <c r="P127" i="31"/>
  <c r="P131" i="31"/>
  <c r="Q131" i="31"/>
  <c r="Q261" i="31"/>
  <c r="P261" i="31"/>
  <c r="Q162" i="31"/>
  <c r="P162" i="31"/>
  <c r="P137" i="31"/>
  <c r="Q137" i="31"/>
  <c r="Q393" i="31"/>
  <c r="P393" i="31"/>
  <c r="Q167" i="31"/>
  <c r="P167" i="31"/>
  <c r="Q173" i="31"/>
  <c r="P173" i="31"/>
  <c r="P157" i="31"/>
  <c r="Q157" i="31"/>
  <c r="Q170" i="31"/>
  <c r="P170" i="31"/>
  <c r="Q177" i="31"/>
  <c r="P177" i="31"/>
  <c r="Q138" i="31"/>
  <c r="P138" i="31"/>
  <c r="P116" i="31"/>
  <c r="Q116" i="31"/>
  <c r="P135" i="31"/>
  <c r="Q135" i="31"/>
  <c r="Q126" i="31"/>
  <c r="P126" i="31"/>
  <c r="Q115" i="31"/>
  <c r="P115" i="31"/>
  <c r="P133" i="31"/>
  <c r="Q133" i="31"/>
  <c r="Q160" i="31"/>
  <c r="P160" i="31"/>
  <c r="P394" i="31"/>
  <c r="Q394" i="31"/>
  <c r="Q136" i="31"/>
  <c r="P136" i="31"/>
  <c r="Q182" i="31"/>
  <c r="P182" i="31"/>
  <c r="Q447" i="31"/>
  <c r="P447" i="31"/>
  <c r="P448" i="31" s="1"/>
  <c r="Q181" i="31"/>
  <c r="P181" i="31"/>
  <c r="Q145" i="31"/>
  <c r="P145" i="31"/>
  <c r="P156" i="31"/>
  <c r="Q156" i="31"/>
  <c r="P122" i="31"/>
  <c r="Q122" i="31"/>
  <c r="Q151" i="31"/>
  <c r="P151" i="31"/>
  <c r="Q128" i="31"/>
  <c r="P128" i="31"/>
  <c r="Q132" i="31"/>
  <c r="P132" i="31"/>
  <c r="Q180" i="31"/>
  <c r="P180" i="31"/>
  <c r="Q193" i="31"/>
  <c r="P193" i="31"/>
  <c r="Q153" i="31"/>
  <c r="P153" i="31"/>
  <c r="P197" i="31"/>
  <c r="Q197" i="31"/>
  <c r="Q163" i="31"/>
  <c r="P163" i="31"/>
  <c r="Q171" i="31"/>
  <c r="P171" i="31"/>
  <c r="Q188" i="31"/>
  <c r="P188" i="31"/>
  <c r="Q113" i="31"/>
  <c r="P113" i="31"/>
  <c r="P118" i="31"/>
  <c r="Q118" i="31"/>
  <c r="Q200" i="31"/>
  <c r="P200" i="31"/>
  <c r="P752" i="25"/>
  <c r="P767" i="25"/>
  <c r="P757" i="25"/>
  <c r="P453" i="25"/>
  <c r="P432" i="25"/>
  <c r="P458" i="25"/>
  <c r="Q469" i="25"/>
  <c r="Q735" i="25"/>
  <c r="Q754" i="25"/>
  <c r="Q459" i="25"/>
  <c r="Q434" i="25"/>
  <c r="Q747" i="25"/>
  <c r="Q274" i="25"/>
  <c r="Q737" i="25"/>
  <c r="Q195" i="25"/>
  <c r="Q725" i="25"/>
  <c r="Q746" i="25"/>
  <c r="Q404" i="25"/>
  <c r="Q736" i="25"/>
  <c r="Q467" i="25"/>
  <c r="Q450" i="25"/>
  <c r="Q723" i="25"/>
  <c r="Q633" i="25"/>
  <c r="Q571" i="25"/>
  <c r="Q234" i="25"/>
  <c r="Q293" i="25"/>
  <c r="Q137" i="25"/>
  <c r="Q104" i="25"/>
  <c r="P104" i="25"/>
  <c r="Q456" i="25"/>
  <c r="Q230" i="25"/>
  <c r="Q574" i="25"/>
  <c r="Q235" i="25"/>
  <c r="Q431" i="25"/>
  <c r="Q177" i="25"/>
  <c r="Q194" i="25"/>
  <c r="Q403" i="25"/>
  <c r="Q744" i="25"/>
  <c r="Q421" i="25"/>
  <c r="Q758" i="25"/>
  <c r="Q227" i="25"/>
  <c r="Q229" i="25"/>
  <c r="Q449" i="25"/>
  <c r="Q756" i="25"/>
  <c r="Q264" i="25"/>
  <c r="Q173" i="25"/>
  <c r="Q755" i="25"/>
  <c r="Q457" i="25"/>
  <c r="Q261" i="25"/>
  <c r="Q454" i="25"/>
  <c r="Q428" i="25"/>
  <c r="Q430" i="25"/>
  <c r="Q733" i="25"/>
  <c r="Q426" i="25"/>
  <c r="Q455" i="25"/>
  <c r="Q470" i="25"/>
  <c r="Q753" i="25"/>
  <c r="Q447" i="25"/>
  <c r="Q451" i="25"/>
  <c r="Q429" i="25"/>
  <c r="Q460" i="25"/>
  <c r="Q192" i="25"/>
  <c r="Q263" i="25"/>
  <c r="Q290" i="25"/>
  <c r="Q573" i="25"/>
  <c r="Q232" i="25"/>
  <c r="Q632" i="25"/>
  <c r="Q750" i="25"/>
  <c r="Q185" i="25"/>
  <c r="Q433" i="25"/>
  <c r="Q630" i="25"/>
  <c r="Q726" i="25"/>
  <c r="Q292" i="25"/>
  <c r="Q452" i="25"/>
  <c r="Q766" i="25"/>
  <c r="Q751" i="25"/>
  <c r="Q759" i="25"/>
  <c r="Q178" i="25"/>
  <c r="Q486" i="24"/>
  <c r="P486" i="24"/>
  <c r="Q601" i="24"/>
  <c r="P601" i="24"/>
  <c r="Q447" i="24"/>
  <c r="P447" i="24"/>
  <c r="Q130" i="24"/>
  <c r="P130" i="24"/>
  <c r="Q509" i="24"/>
  <c r="P509" i="24"/>
  <c r="Q425" i="24"/>
  <c r="P425" i="24"/>
  <c r="P361" i="24"/>
  <c r="Q361" i="24"/>
  <c r="Q315" i="24"/>
  <c r="P315" i="24"/>
  <c r="Q116" i="24"/>
  <c r="P116" i="24"/>
  <c r="Q706" i="24"/>
  <c r="P706" i="24"/>
  <c r="Q161" i="24"/>
  <c r="P161" i="24"/>
  <c r="Q543" i="24"/>
  <c r="P543" i="24"/>
  <c r="P518" i="24"/>
  <c r="Q518" i="24"/>
  <c r="Q477" i="24"/>
  <c r="P477" i="24"/>
  <c r="Q583" i="24"/>
  <c r="P583" i="24"/>
  <c r="P555" i="24"/>
  <c r="Q555" i="24"/>
  <c r="Q224" i="24"/>
  <c r="P224" i="24"/>
  <c r="Q666" i="24"/>
  <c r="P666" i="24"/>
  <c r="Q112" i="24"/>
  <c r="P112" i="24"/>
  <c r="P366" i="24"/>
  <c r="Q366" i="24"/>
  <c r="Q547" i="24"/>
  <c r="P547" i="24"/>
  <c r="P206" i="24"/>
  <c r="Q206" i="24"/>
  <c r="Q135" i="24"/>
  <c r="P135" i="24"/>
  <c r="P181" i="24"/>
  <c r="Q181" i="24"/>
  <c r="Q564" i="24"/>
  <c r="P564" i="24"/>
  <c r="Q551" i="24"/>
  <c r="P551" i="24"/>
  <c r="P222" i="24"/>
  <c r="Q222" i="24"/>
  <c r="Q107" i="24"/>
  <c r="P107" i="24"/>
  <c r="Q677" i="24"/>
  <c r="P677" i="24"/>
  <c r="Q657" i="24"/>
  <c r="P657" i="24"/>
  <c r="P520" i="24"/>
  <c r="Q520" i="24"/>
  <c r="P205" i="24"/>
  <c r="Q205" i="24"/>
  <c r="P407" i="24"/>
  <c r="Q407" i="24"/>
  <c r="Q106" i="24"/>
  <c r="P106" i="24"/>
  <c r="P575" i="24"/>
  <c r="Q575" i="24"/>
  <c r="Q661" i="24"/>
  <c r="P661" i="24"/>
  <c r="Q320" i="24"/>
  <c r="P320" i="24"/>
  <c r="Q201" i="24"/>
  <c r="P201" i="24"/>
  <c r="Q576" i="24"/>
  <c r="P576" i="24"/>
  <c r="Q353" i="24"/>
  <c r="P353" i="24"/>
  <c r="P597" i="24"/>
  <c r="Q597" i="24"/>
  <c r="Q127" i="24"/>
  <c r="P127" i="24"/>
  <c r="Q507" i="24"/>
  <c r="P507" i="24"/>
  <c r="Q346" i="24"/>
  <c r="P346" i="24"/>
  <c r="Q250" i="24"/>
  <c r="P250" i="24"/>
  <c r="Q710" i="24"/>
  <c r="P710" i="24"/>
  <c r="P531" i="24"/>
  <c r="Q531" i="24"/>
  <c r="Q189" i="24"/>
  <c r="P189" i="24"/>
  <c r="P132" i="24"/>
  <c r="Q132" i="24"/>
  <c r="Q572" i="24"/>
  <c r="P572" i="24"/>
  <c r="Q148" i="24"/>
  <c r="P148" i="24"/>
  <c r="Q548" i="24"/>
  <c r="P548" i="24"/>
  <c r="P577" i="24"/>
  <c r="Q577" i="24"/>
  <c r="Q565" i="24"/>
  <c r="P565" i="24"/>
  <c r="P472" i="24"/>
  <c r="Q472" i="24"/>
  <c r="P496" i="24"/>
  <c r="Q496" i="24"/>
  <c r="P404" i="24"/>
  <c r="Q404" i="24"/>
  <c r="P255" i="24"/>
  <c r="Q255" i="24"/>
  <c r="Q274" i="24"/>
  <c r="P274" i="24"/>
  <c r="P351" i="24"/>
  <c r="Q351" i="24"/>
  <c r="P484" i="24"/>
  <c r="Q484" i="24"/>
  <c r="Q368" i="24"/>
  <c r="P368" i="24"/>
  <c r="P693" i="24"/>
  <c r="Q693" i="24"/>
  <c r="Q142" i="24"/>
  <c r="P142" i="24"/>
  <c r="P242" i="24"/>
  <c r="Q242" i="24"/>
  <c r="Q435" i="24"/>
  <c r="P435" i="24"/>
  <c r="P596" i="24"/>
  <c r="Q596" i="24"/>
  <c r="Q707" i="24"/>
  <c r="P707" i="24"/>
  <c r="Q598" i="24"/>
  <c r="P598" i="24"/>
  <c r="P164" i="24"/>
  <c r="Q164" i="24"/>
  <c r="P563" i="24"/>
  <c r="Q563" i="24"/>
  <c r="Q612" i="24"/>
  <c r="P612" i="24"/>
  <c r="Q468" i="24"/>
  <c r="P468" i="24"/>
  <c r="P336" i="24"/>
  <c r="Q336" i="24"/>
  <c r="Q122" i="24"/>
  <c r="P122" i="24"/>
  <c r="Q574" i="24"/>
  <c r="P574" i="24"/>
  <c r="Q498" i="24"/>
  <c r="P498" i="24"/>
  <c r="Q373" i="24"/>
  <c r="P373" i="24"/>
  <c r="Q147" i="24"/>
  <c r="P147" i="24"/>
  <c r="Q613" i="24"/>
  <c r="P613" i="24"/>
  <c r="P153" i="24"/>
  <c r="Q153" i="24"/>
  <c r="Q173" i="24"/>
  <c r="P173" i="24"/>
  <c r="Q121" i="24"/>
  <c r="P121" i="24"/>
  <c r="Q541" i="24"/>
  <c r="P541" i="24"/>
  <c r="Q243" i="24"/>
  <c r="P243" i="24"/>
  <c r="P214" i="24"/>
  <c r="Q214" i="24"/>
  <c r="P570" i="24"/>
  <c r="Q570" i="24"/>
  <c r="Q723" i="24"/>
  <c r="P723" i="24"/>
  <c r="P724" i="24" s="1"/>
  <c r="Q528" i="24"/>
  <c r="P528" i="24"/>
  <c r="Q140" i="24"/>
  <c r="P140" i="24"/>
  <c r="Q357" i="24"/>
  <c r="P357" i="24"/>
  <c r="Q552" i="24"/>
  <c r="P552" i="24"/>
  <c r="Q356" i="24"/>
  <c r="P356" i="24"/>
  <c r="Q389" i="24"/>
  <c r="P389" i="24"/>
  <c r="Q653" i="24"/>
  <c r="P653" i="24"/>
  <c r="P412" i="24"/>
  <c r="Q412" i="24"/>
  <c r="Q152" i="24"/>
  <c r="P152" i="24"/>
  <c r="Q460" i="24"/>
  <c r="P460" i="24"/>
  <c r="P630" i="24"/>
  <c r="P631" i="24" s="1"/>
  <c r="Q630" i="24"/>
  <c r="P674" i="24"/>
  <c r="Q674" i="24"/>
  <c r="Q275" i="24"/>
  <c r="P275" i="24"/>
  <c r="Q136" i="24"/>
  <c r="P136" i="24"/>
  <c r="Q156" i="24"/>
  <c r="P156" i="24"/>
  <c r="Q493" i="24"/>
  <c r="P493" i="24"/>
  <c r="P602" i="24"/>
  <c r="Q602" i="24"/>
  <c r="P204" i="24"/>
  <c r="Q204" i="24"/>
  <c r="Q292" i="24"/>
  <c r="P292" i="24"/>
  <c r="Q328" i="24"/>
  <c r="P328" i="24"/>
  <c r="Q414" i="24"/>
  <c r="P414" i="24"/>
  <c r="Q131" i="24"/>
  <c r="P131" i="24"/>
  <c r="Q712" i="24"/>
  <c r="P712" i="24"/>
  <c r="Q317" i="24"/>
  <c r="P317" i="24"/>
  <c r="P376" i="24"/>
  <c r="Q376" i="24"/>
  <c r="P614" i="24"/>
  <c r="Q614" i="24"/>
  <c r="Q521" i="24"/>
  <c r="P521" i="24"/>
  <c r="Q501" i="24"/>
  <c r="P501" i="24"/>
  <c r="Q157" i="24"/>
  <c r="P157" i="24"/>
  <c r="Q297" i="24"/>
  <c r="P297" i="24"/>
  <c r="Q654" i="24"/>
  <c r="P654" i="24"/>
  <c r="Q290" i="24"/>
  <c r="P290" i="24"/>
  <c r="Q150" i="24"/>
  <c r="P150" i="24"/>
  <c r="Q387" i="24"/>
  <c r="P387" i="24"/>
  <c r="Q188" i="24"/>
  <c r="P188" i="24"/>
  <c r="Q428" i="24"/>
  <c r="P428" i="24"/>
  <c r="Q329" i="24"/>
  <c r="P329" i="24"/>
  <c r="Q395" i="24"/>
  <c r="P395" i="24"/>
  <c r="Q554" i="24"/>
  <c r="P554" i="24"/>
  <c r="P162" i="24"/>
  <c r="Q162" i="24"/>
  <c r="P418" i="24"/>
  <c r="Q418" i="24"/>
  <c r="Q662" i="24"/>
  <c r="P662" i="24"/>
  <c r="Q327" i="24"/>
  <c r="P327" i="24"/>
  <c r="Q291" i="24"/>
  <c r="P291" i="24"/>
  <c r="P391" i="24"/>
  <c r="Q391" i="24"/>
  <c r="P267" i="24"/>
  <c r="Q267" i="24"/>
  <c r="Q448" i="24"/>
  <c r="P448" i="24"/>
  <c r="Q332" i="24"/>
  <c r="P332" i="24"/>
  <c r="P403" i="24"/>
  <c r="Q403" i="24"/>
  <c r="Q626" i="24"/>
  <c r="P626" i="24"/>
  <c r="P627" i="24" s="1"/>
  <c r="P167" i="24"/>
  <c r="Q167" i="24"/>
  <c r="P494" i="24"/>
  <c r="Q494" i="24"/>
  <c r="Q436" i="24"/>
  <c r="P436" i="24"/>
  <c r="Q676" i="24"/>
  <c r="P676" i="24"/>
  <c r="Q522" i="24"/>
  <c r="P522" i="24"/>
  <c r="Q682" i="24"/>
  <c r="P682" i="24"/>
  <c r="P400" i="24"/>
  <c r="Q400" i="24"/>
  <c r="P295" i="24"/>
  <c r="Q295" i="24"/>
  <c r="P495" i="24"/>
  <c r="Q495" i="24"/>
  <c r="P146" i="24"/>
  <c r="Q146" i="24"/>
  <c r="P406" i="24"/>
  <c r="Q406" i="24"/>
  <c r="Q659" i="24"/>
  <c r="P659" i="24"/>
  <c r="P172" i="24"/>
  <c r="Q172" i="24"/>
  <c r="P540" i="24"/>
  <c r="Q540" i="24"/>
  <c r="Q441" i="24"/>
  <c r="P441" i="24"/>
  <c r="Q416" i="24"/>
  <c r="P416" i="24"/>
  <c r="Q183" i="24"/>
  <c r="P183" i="24"/>
  <c r="Q609" i="24"/>
  <c r="P609" i="24"/>
  <c r="P216" i="24"/>
  <c r="Q216" i="24"/>
  <c r="Q700" i="24"/>
  <c r="P700" i="24"/>
  <c r="P372" i="24"/>
  <c r="Q372" i="24"/>
  <c r="Q701" i="24"/>
  <c r="P701" i="24"/>
  <c r="P411" i="24"/>
  <c r="Q411" i="24"/>
  <c r="Q244" i="24"/>
  <c r="P244" i="24"/>
  <c r="Q134" i="24"/>
  <c r="P134" i="24"/>
  <c r="Q279" i="24"/>
  <c r="P279" i="24"/>
  <c r="Q228" i="24"/>
  <c r="P228" i="24"/>
  <c r="Q149" i="24"/>
  <c r="P149" i="24"/>
  <c r="Q379" i="24"/>
  <c r="P379" i="24"/>
  <c r="Q166" i="24"/>
  <c r="P166" i="24"/>
  <c r="P409" i="24"/>
  <c r="Q409" i="24"/>
  <c r="Q686" i="24"/>
  <c r="P686" i="24"/>
  <c r="Q294" i="24"/>
  <c r="P294" i="24"/>
  <c r="P177" i="24"/>
  <c r="Q177" i="24"/>
  <c r="Q558" i="24"/>
  <c r="P558" i="24"/>
  <c r="Q249" i="24"/>
  <c r="P249" i="24"/>
  <c r="Q673" i="24"/>
  <c r="P673" i="24"/>
  <c r="Q265" i="24"/>
  <c r="P265" i="24"/>
  <c r="Q444" i="24"/>
  <c r="P444" i="24"/>
  <c r="Q445" i="24"/>
  <c r="P445" i="24"/>
  <c r="Q165" i="24"/>
  <c r="P165" i="24"/>
  <c r="Q410" i="24"/>
  <c r="P410" i="24"/>
  <c r="P169" i="24"/>
  <c r="Q169" i="24"/>
  <c r="Q482" i="24"/>
  <c r="P482" i="24"/>
  <c r="P453" i="24"/>
  <c r="Q453" i="24"/>
  <c r="Q186" i="24"/>
  <c r="P186" i="24"/>
  <c r="P138" i="24"/>
  <c r="Q138" i="24"/>
  <c r="Q675" i="24"/>
  <c r="P675" i="24"/>
  <c r="Q323" i="24"/>
  <c r="P323" i="24"/>
  <c r="P440" i="24"/>
  <c r="Q440" i="24"/>
  <c r="P553" i="24"/>
  <c r="Q553" i="24"/>
  <c r="Q704" i="24"/>
  <c r="P704" i="24"/>
  <c r="Q692" i="24"/>
  <c r="P692" i="24"/>
  <c r="P278" i="24"/>
  <c r="Q278" i="24"/>
  <c r="Q516" i="24"/>
  <c r="P516" i="24"/>
  <c r="Q492" i="24"/>
  <c r="P492" i="24"/>
  <c r="P369" i="24"/>
  <c r="Q369" i="24"/>
  <c r="Q375" i="24"/>
  <c r="P375" i="24"/>
  <c r="P417" i="24"/>
  <c r="Q417" i="24"/>
  <c r="Q508" i="24"/>
  <c r="P508" i="24"/>
  <c r="P464" i="24"/>
  <c r="Q464" i="24"/>
  <c r="P158" i="24"/>
  <c r="Q158" i="24"/>
  <c r="P568" i="24"/>
  <c r="Q568" i="24"/>
  <c r="Q456" i="24"/>
  <c r="P456" i="24"/>
  <c r="Q709" i="24"/>
  <c r="P709" i="24"/>
  <c r="Q236" i="24"/>
  <c r="P236" i="24"/>
  <c r="Q534" i="24"/>
  <c r="P534" i="24"/>
  <c r="Q506" i="24"/>
  <c r="P506" i="24"/>
  <c r="Q399" i="24"/>
  <c r="P399" i="24"/>
  <c r="Q478" i="24"/>
  <c r="P478" i="24"/>
  <c r="Q542" i="24"/>
  <c r="P542" i="24"/>
  <c r="Q511" i="24"/>
  <c r="P511" i="24"/>
  <c r="P502" i="24"/>
  <c r="Q502" i="24"/>
  <c r="P178" i="24"/>
  <c r="Q178" i="24"/>
  <c r="Q681" i="24"/>
  <c r="P681" i="24"/>
  <c r="Q487" i="24"/>
  <c r="P487" i="24"/>
  <c r="P510" i="24"/>
  <c r="Q510" i="24"/>
  <c r="Q651" i="24"/>
  <c r="P651" i="24"/>
  <c r="Q382" i="24"/>
  <c r="P382" i="24"/>
  <c r="Q461" i="24"/>
  <c r="P461" i="24"/>
  <c r="Q714" i="24"/>
  <c r="P714" i="24"/>
  <c r="P422" i="24"/>
  <c r="Q422" i="24"/>
  <c r="P179" i="24"/>
  <c r="Q179" i="24"/>
  <c r="Q349" i="24"/>
  <c r="P349" i="24"/>
  <c r="Q234" i="24"/>
  <c r="P234" i="24"/>
  <c r="P144" i="24"/>
  <c r="Q144" i="24"/>
  <c r="P539" i="24"/>
  <c r="Q539" i="24"/>
  <c r="Q309" i="24"/>
  <c r="P309" i="24"/>
  <c r="P281" i="24"/>
  <c r="Q281" i="24"/>
  <c r="Q483" i="24"/>
  <c r="P483" i="24"/>
  <c r="Q622" i="24"/>
  <c r="P622" i="24"/>
  <c r="P623" i="24" s="1"/>
  <c r="Q300" i="24"/>
  <c r="P300" i="24"/>
  <c r="Q514" i="24"/>
  <c r="P514" i="24"/>
  <c r="Q424" i="24"/>
  <c r="P424" i="24"/>
  <c r="P571" i="24"/>
  <c r="Q571" i="24"/>
  <c r="Q119" i="24"/>
  <c r="P119" i="24"/>
  <c r="P198" i="24"/>
  <c r="Q198" i="24"/>
  <c r="Q252" i="24"/>
  <c r="P252" i="24"/>
  <c r="P318" i="24"/>
  <c r="Q318" i="24"/>
  <c r="Q197" i="24"/>
  <c r="P197" i="24"/>
  <c r="P607" i="24"/>
  <c r="Q607" i="24"/>
  <c r="Q386" i="24"/>
  <c r="P386" i="24"/>
  <c r="Q276" i="24"/>
  <c r="P276" i="24"/>
  <c r="Q364" i="24"/>
  <c r="P364" i="24"/>
  <c r="P306" i="24"/>
  <c r="Q306" i="24"/>
  <c r="Q592" i="24"/>
  <c r="P592" i="24"/>
  <c r="P593" i="24" s="1"/>
  <c r="Q584" i="24"/>
  <c r="P584" i="24"/>
  <c r="P129" i="24"/>
  <c r="Q129" i="24"/>
  <c r="Q135" i="25"/>
  <c r="P135" i="25"/>
  <c r="Q202" i="24"/>
  <c r="P202" i="24"/>
  <c r="P680" i="24"/>
  <c r="Q680" i="24"/>
  <c r="Q471" i="24"/>
  <c r="P471" i="24"/>
  <c r="Q378" i="24"/>
  <c r="P378" i="24"/>
  <c r="P321" i="24"/>
  <c r="Q321" i="24"/>
  <c r="P500" i="24"/>
  <c r="Q500" i="24"/>
  <c r="Q454" i="24"/>
  <c r="P454" i="24"/>
  <c r="P176" i="24"/>
  <c r="Q176" i="24"/>
  <c r="Q104" i="24"/>
  <c r="P104" i="24"/>
  <c r="Q325" i="24"/>
  <c r="P325" i="24"/>
  <c r="P211" i="24"/>
  <c r="Q211" i="24"/>
  <c r="Q671" i="24"/>
  <c r="P671" i="24"/>
  <c r="Q377" i="24"/>
  <c r="P377" i="24"/>
  <c r="P394" i="24"/>
  <c r="Q394" i="24"/>
  <c r="P330" i="24"/>
  <c r="Q330" i="24"/>
  <c r="Q638" i="24"/>
  <c r="P638" i="24"/>
  <c r="P639" i="24" s="1"/>
  <c r="Q313" i="24"/>
  <c r="P313" i="24"/>
  <c r="Q770" i="25"/>
  <c r="P485" i="24"/>
  <c r="Q485" i="24"/>
  <c r="Q646" i="24"/>
  <c r="P646" i="24"/>
  <c r="P647" i="24" s="1"/>
  <c r="Q258" i="24"/>
  <c r="P258" i="24"/>
  <c r="P608" i="24"/>
  <c r="Q608" i="24"/>
  <c r="P715" i="24"/>
  <c r="Q715" i="24"/>
  <c r="Q209" i="24"/>
  <c r="P209" i="24"/>
  <c r="P111" i="24"/>
  <c r="Q111" i="24"/>
  <c r="Q310" i="24"/>
  <c r="P310" i="24"/>
  <c r="P490" i="24"/>
  <c r="Q490" i="24"/>
  <c r="Q603" i="24"/>
  <c r="P603" i="24"/>
  <c r="Q207" i="24"/>
  <c r="P207" i="24"/>
  <c r="Q696" i="24"/>
  <c r="P696" i="24"/>
  <c r="Q691" i="24"/>
  <c r="P691" i="24"/>
  <c r="P452" i="24"/>
  <c r="Q452" i="24"/>
  <c r="Q476" i="24"/>
  <c r="P476" i="24"/>
  <c r="P383" i="24"/>
  <c r="Q383" i="24"/>
  <c r="P199" i="24"/>
  <c r="Q199" i="24"/>
  <c r="Q526" i="24"/>
  <c r="P526" i="24"/>
  <c r="Q230" i="24"/>
  <c r="P230" i="24"/>
  <c r="Q341" i="24"/>
  <c r="P341" i="24"/>
  <c r="Q727" i="24"/>
  <c r="P727" i="24"/>
  <c r="P728" i="24" s="1"/>
  <c r="Q374" i="24"/>
  <c r="P374" i="24"/>
  <c r="Q549" i="24"/>
  <c r="P549" i="24"/>
  <c r="Q421" i="24"/>
  <c r="P421" i="24"/>
  <c r="Q235" i="24"/>
  <c r="P235" i="24"/>
  <c r="Q343" i="24"/>
  <c r="P343" i="24"/>
  <c r="P532" i="24"/>
  <c r="Q532" i="24"/>
  <c r="Q217" i="24"/>
  <c r="P217" i="24"/>
  <c r="Q605" i="24"/>
  <c r="P605" i="24"/>
  <c r="Q393" i="24"/>
  <c r="P393" i="24"/>
  <c r="Q196" i="24"/>
  <c r="P196" i="24"/>
  <c r="Q114" i="24"/>
  <c r="P114" i="24"/>
  <c r="Q688" i="24"/>
  <c r="P688" i="24"/>
  <c r="Q652" i="24"/>
  <c r="P652" i="24"/>
  <c r="P513" i="24"/>
  <c r="Q513" i="24"/>
  <c r="Q154" i="24"/>
  <c r="P154" i="24"/>
  <c r="Q465" i="24"/>
  <c r="P465" i="24"/>
  <c r="Q384" i="24"/>
  <c r="P384" i="24"/>
  <c r="Q658" i="24"/>
  <c r="P658" i="24"/>
  <c r="Q280" i="24"/>
  <c r="P280" i="24"/>
  <c r="Q348" i="24"/>
  <c r="P348" i="24"/>
  <c r="P546" i="24"/>
  <c r="Q546" i="24"/>
  <c r="Q489" i="24"/>
  <c r="P489" i="24"/>
  <c r="Q610" i="24"/>
  <c r="P610" i="24"/>
  <c r="Q562" i="24"/>
  <c r="P562" i="24"/>
  <c r="Q240" i="24"/>
  <c r="P240" i="24"/>
  <c r="Q233" i="24"/>
  <c r="P233" i="24"/>
  <c r="Q580" i="24"/>
  <c r="P580" i="24"/>
  <c r="Q257" i="24"/>
  <c r="P257" i="24"/>
  <c r="Q663" i="24"/>
  <c r="P663" i="24"/>
  <c r="P434" i="24"/>
  <c r="Q434" i="24"/>
  <c r="Q420" i="24"/>
  <c r="P420" i="24"/>
  <c r="P268" i="24"/>
  <c r="Q268" i="24"/>
  <c r="Q155" i="24"/>
  <c r="P155" i="24"/>
  <c r="P573" i="24"/>
  <c r="Q573" i="24"/>
  <c r="P227" i="24"/>
  <c r="Q227" i="24"/>
  <c r="Q390" i="24"/>
  <c r="P390" i="24"/>
  <c r="Q567" i="24"/>
  <c r="P567" i="24"/>
  <c r="Q163" i="24"/>
  <c r="P163" i="24"/>
  <c r="Q139" i="24"/>
  <c r="P139" i="24"/>
  <c r="Q266" i="24"/>
  <c r="P266" i="24"/>
  <c r="Q312" i="24"/>
  <c r="P312" i="24"/>
  <c r="Q695" i="24"/>
  <c r="P695" i="24"/>
  <c r="Q566" i="24"/>
  <c r="P566" i="24"/>
  <c r="P442" i="24"/>
  <c r="Q442" i="24"/>
  <c r="Q475" i="24"/>
  <c r="P475" i="24"/>
  <c r="Q123" i="24"/>
  <c r="P123" i="24"/>
  <c r="Q151" i="24"/>
  <c r="P151" i="24"/>
  <c r="P618" i="24"/>
  <c r="P619" i="24" s="1"/>
  <c r="Q618" i="24"/>
  <c r="Q100" i="25"/>
  <c r="P100" i="25"/>
  <c r="P101" i="25" s="1"/>
  <c r="Q345" i="24"/>
  <c r="P345" i="24"/>
  <c r="Q221" i="24"/>
  <c r="P221" i="24"/>
  <c r="Q650" i="24"/>
  <c r="P650" i="24"/>
  <c r="Q358" i="24"/>
  <c r="P358" i="24"/>
  <c r="P687" i="24"/>
  <c r="Q687" i="24"/>
  <c r="Q713" i="24"/>
  <c r="P713" i="24"/>
  <c r="P232" i="24"/>
  <c r="Q232" i="24"/>
  <c r="Q405" i="24"/>
  <c r="P405" i="24"/>
  <c r="P530" i="24"/>
  <c r="Q530" i="24"/>
  <c r="Q307" i="24"/>
  <c r="P307" i="24"/>
  <c r="Q287" i="24"/>
  <c r="P287" i="24"/>
  <c r="Q220" i="24"/>
  <c r="P220" i="24"/>
  <c r="Q352" i="24"/>
  <c r="P352" i="24"/>
  <c r="P427" i="24"/>
  <c r="Q427" i="24"/>
  <c r="Q380" i="24"/>
  <c r="P380" i="24"/>
  <c r="Q245" i="24"/>
  <c r="P245" i="24"/>
  <c r="P469" i="24"/>
  <c r="Q469" i="24"/>
  <c r="P581" i="24"/>
  <c r="Q581" i="24"/>
  <c r="Q208" i="24"/>
  <c r="P208" i="24"/>
  <c r="P316" i="24"/>
  <c r="Q316" i="24"/>
  <c r="P660" i="24"/>
  <c r="Q660" i="24"/>
  <c r="Q195" i="24"/>
  <c r="P195" i="24"/>
  <c r="P261" i="24"/>
  <c r="Q261" i="24"/>
  <c r="Q467" i="24"/>
  <c r="P467" i="24"/>
  <c r="P241" i="24"/>
  <c r="Q241" i="24"/>
  <c r="Q455" i="24"/>
  <c r="P455" i="24"/>
  <c r="Q656" i="24"/>
  <c r="P656" i="24"/>
  <c r="Q363" i="24"/>
  <c r="P363" i="24"/>
  <c r="P690" i="24"/>
  <c r="Q690" i="24"/>
  <c r="Q137" i="24"/>
  <c r="P137" i="24"/>
  <c r="Q237" i="24"/>
  <c r="P237" i="24"/>
  <c r="Q423" i="24"/>
  <c r="P423" i="24"/>
  <c r="Q324" i="24"/>
  <c r="P324" i="24"/>
  <c r="P402" i="24"/>
  <c r="Q402" i="24"/>
  <c r="Q569" i="24"/>
  <c r="P569" i="24"/>
  <c r="P174" i="24"/>
  <c r="Q174" i="24"/>
  <c r="Q333" i="24"/>
  <c r="P333" i="24"/>
  <c r="P354" i="24"/>
  <c r="Q354" i="24"/>
  <c r="P319" i="24"/>
  <c r="Q319" i="24"/>
  <c r="Q782" i="25"/>
  <c r="Q215" i="24"/>
  <c r="P215" i="24"/>
  <c r="Q470" i="24"/>
  <c r="P470" i="24"/>
  <c r="Q735" i="24"/>
  <c r="P735" i="24"/>
  <c r="P736" i="24" s="1"/>
  <c r="P582" i="24"/>
  <c r="Q582" i="24"/>
  <c r="Q774" i="25"/>
  <c r="Q459" i="24"/>
  <c r="P459" i="24"/>
  <c r="P191" i="24"/>
  <c r="Q191" i="24"/>
  <c r="Q536" i="24"/>
  <c r="P536" i="24"/>
  <c r="P231" i="24"/>
  <c r="Q231" i="24"/>
  <c r="Q439" i="24"/>
  <c r="P439" i="24"/>
  <c r="Q359" i="24"/>
  <c r="P359" i="24"/>
  <c r="P342" i="24"/>
  <c r="Q342" i="24"/>
  <c r="Q362" i="24"/>
  <c r="P362" i="24"/>
  <c r="Q247" i="24"/>
  <c r="P247" i="24"/>
  <c r="Q449" i="24"/>
  <c r="P449" i="24"/>
  <c r="Q587" i="24"/>
  <c r="P587" i="24"/>
  <c r="P293" i="24"/>
  <c r="Q293" i="24"/>
  <c r="Q225" i="24"/>
  <c r="P225" i="24"/>
  <c r="Q702" i="24"/>
  <c r="P702" i="24"/>
  <c r="Q248" i="24"/>
  <c r="P248" i="24"/>
  <c r="Q314" i="24"/>
  <c r="P314" i="24"/>
  <c r="P238" i="24"/>
  <c r="Q238" i="24"/>
  <c r="Q611" i="24"/>
  <c r="P611" i="24"/>
  <c r="P458" i="24"/>
  <c r="Q458" i="24"/>
  <c r="Q272" i="24"/>
  <c r="P272" i="24"/>
  <c r="Q180" i="24"/>
  <c r="P180" i="24"/>
  <c r="P642" i="24"/>
  <c r="P643" i="24" s="1"/>
  <c r="Q642" i="24"/>
  <c r="Q270" i="24"/>
  <c r="P270" i="24"/>
  <c r="P578" i="24"/>
  <c r="Q578" i="24"/>
  <c r="Q171" i="24"/>
  <c r="P171" i="24"/>
  <c r="Q360" i="24"/>
  <c r="P360" i="24"/>
  <c r="P392" i="24"/>
  <c r="Q392" i="24"/>
  <c r="Q474" i="24"/>
  <c r="P474" i="24"/>
  <c r="Q679" i="24"/>
  <c r="P679" i="24"/>
  <c r="P286" i="24"/>
  <c r="Q286" i="24"/>
  <c r="Q170" i="24"/>
  <c r="P170" i="24"/>
  <c r="Q497" i="24"/>
  <c r="P497" i="24"/>
  <c r="Q685" i="24"/>
  <c r="P685" i="24"/>
  <c r="P288" i="24"/>
  <c r="Q288" i="24"/>
  <c r="Q322" i="24"/>
  <c r="P322" i="24"/>
  <c r="Q503" i="24"/>
  <c r="P503" i="24"/>
  <c r="P505" i="24"/>
  <c r="Q505" i="24"/>
  <c r="Q105" i="24"/>
  <c r="P105" i="24"/>
  <c r="Q305" i="24"/>
  <c r="P305" i="24"/>
  <c r="Q499" i="24"/>
  <c r="P499" i="24"/>
  <c r="Q684" i="24"/>
  <c r="P684" i="24"/>
  <c r="Q778" i="25"/>
  <c r="Q190" i="24"/>
  <c r="P190" i="24"/>
  <c r="Q430" i="24"/>
  <c r="P430" i="24"/>
  <c r="Q193" i="24"/>
  <c r="P193" i="24"/>
  <c r="Q523" i="24"/>
  <c r="P523" i="24"/>
  <c r="Q350" i="24"/>
  <c r="P350" i="24"/>
  <c r="P168" i="24"/>
  <c r="Q168" i="24"/>
  <c r="P133" i="24"/>
  <c r="Q133" i="24"/>
  <c r="P525" i="24"/>
  <c r="Q525" i="24"/>
  <c r="Q556" i="24"/>
  <c r="P556" i="24"/>
  <c r="Q115" i="24"/>
  <c r="P115" i="24"/>
  <c r="Q326" i="24"/>
  <c r="P326" i="24"/>
  <c r="Q517" i="24"/>
  <c r="P517" i="24"/>
  <c r="P689" i="24"/>
  <c r="Q689" i="24"/>
  <c r="Q381" i="24"/>
  <c r="P381" i="24"/>
  <c r="Q544" i="24"/>
  <c r="P544" i="24"/>
  <c r="Q301" i="24"/>
  <c r="P301" i="24"/>
  <c r="Q185" i="24"/>
  <c r="P185" i="24"/>
  <c r="P143" i="24"/>
  <c r="Q143" i="24"/>
  <c r="Q160" i="24"/>
  <c r="P160" i="24"/>
  <c r="Q109" i="24"/>
  <c r="P109" i="24"/>
  <c r="P550" i="24"/>
  <c r="Q550" i="24"/>
  <c r="Q335" i="24"/>
  <c r="P335" i="24"/>
  <c r="Q683" i="24"/>
  <c r="P683" i="24"/>
  <c r="Q120" i="24"/>
  <c r="P120" i="24"/>
  <c r="P401" i="24"/>
  <c r="Q401" i="24"/>
  <c r="P512" i="24"/>
  <c r="Q512" i="24"/>
  <c r="P694" i="24"/>
  <c r="Q694" i="24"/>
  <c r="Q719" i="24"/>
  <c r="P719" i="24"/>
  <c r="P720" i="24" s="1"/>
  <c r="Q113" i="24"/>
  <c r="P113" i="24"/>
  <c r="Q344" i="24"/>
  <c r="P344" i="24"/>
  <c r="P108" i="24"/>
  <c r="Q108" i="24"/>
  <c r="Q665" i="24"/>
  <c r="P665" i="24"/>
  <c r="Q110" i="24"/>
  <c r="P110" i="24"/>
  <c r="P437" i="24"/>
  <c r="Q437" i="24"/>
  <c r="P535" i="24"/>
  <c r="Q535" i="24"/>
  <c r="Q446" i="24"/>
  <c r="P446" i="24"/>
  <c r="P699" i="24"/>
  <c r="Q699" i="24"/>
  <c r="Q450" i="24"/>
  <c r="P450" i="24"/>
  <c r="Q210" i="24"/>
  <c r="P210" i="24"/>
  <c r="Q128" i="24"/>
  <c r="P128" i="24"/>
  <c r="Q298" i="24"/>
  <c r="P298" i="24"/>
  <c r="P304" i="24"/>
  <c r="Q304" i="24"/>
  <c r="Q251" i="24"/>
  <c r="P251" i="24"/>
  <c r="Q246" i="24"/>
  <c r="P246" i="24"/>
  <c r="Q703" i="24"/>
  <c r="P703" i="24"/>
  <c r="P260" i="24"/>
  <c r="Q260" i="24"/>
  <c r="Q182" i="24"/>
  <c r="P182" i="24"/>
  <c r="Q604" i="24"/>
  <c r="P604" i="24"/>
  <c r="Q254" i="24"/>
  <c r="P254" i="24"/>
  <c r="Q451" i="24"/>
  <c r="P451" i="24"/>
  <c r="P537" i="24"/>
  <c r="Q537" i="24"/>
  <c r="Q223" i="24"/>
  <c r="P223" i="24"/>
  <c r="Q145" i="24"/>
  <c r="P145" i="24"/>
  <c r="Q457" i="24"/>
  <c r="P457" i="24"/>
  <c r="P545" i="24"/>
  <c r="Q545" i="24"/>
  <c r="Q117" i="24"/>
  <c r="P117" i="24"/>
  <c r="Q175" i="24"/>
  <c r="P175" i="24"/>
  <c r="Q271" i="24"/>
  <c r="P271" i="24"/>
  <c r="Q226" i="24"/>
  <c r="P226" i="24"/>
  <c r="Q678" i="24"/>
  <c r="P678" i="24"/>
  <c r="P277" i="24"/>
  <c r="Q277" i="24"/>
  <c r="Q429" i="24"/>
  <c r="P429" i="24"/>
  <c r="Q187" i="24"/>
  <c r="P187" i="24"/>
  <c r="Q443" i="24"/>
  <c r="P443" i="24"/>
  <c r="Q634" i="24"/>
  <c r="P634" i="24"/>
  <c r="P635" i="24" s="1"/>
  <c r="Q259" i="24"/>
  <c r="P259" i="24"/>
  <c r="Q606" i="24"/>
  <c r="P606" i="24"/>
  <c r="Q118" i="24"/>
  <c r="P118" i="24"/>
  <c r="Q213" i="24"/>
  <c r="P213" i="24"/>
  <c r="Q296" i="24"/>
  <c r="P296" i="24"/>
  <c r="P239" i="24"/>
  <c r="Q239" i="24"/>
  <c r="P585" i="24"/>
  <c r="Q585" i="24"/>
  <c r="P219" i="24"/>
  <c r="Q219" i="24"/>
  <c r="Q308" i="24"/>
  <c r="P308" i="24"/>
  <c r="Q385" i="24"/>
  <c r="P385" i="24"/>
  <c r="Q299" i="24"/>
  <c r="P299" i="24"/>
  <c r="P289" i="24"/>
  <c r="Q289" i="24"/>
  <c r="Q192" i="24"/>
  <c r="P192" i="24"/>
  <c r="Q579" i="24"/>
  <c r="P579" i="24"/>
  <c r="Q253" i="24"/>
  <c r="P253" i="24"/>
  <c r="Q269" i="24"/>
  <c r="P269" i="24"/>
  <c r="Q670" i="24"/>
  <c r="P670" i="24"/>
  <c r="Q538" i="24"/>
  <c r="P538" i="24"/>
  <c r="Q311" i="24"/>
  <c r="P311" i="24"/>
  <c r="Q488" i="24"/>
  <c r="P488" i="24"/>
  <c r="Q731" i="24"/>
  <c r="P731" i="24"/>
  <c r="P732" i="24" s="1"/>
  <c r="Q529" i="24"/>
  <c r="P529" i="24"/>
  <c r="P524" i="24"/>
  <c r="Q524" i="24"/>
  <c r="Q413" i="24"/>
  <c r="P413" i="24"/>
  <c r="Q466" i="24"/>
  <c r="P466" i="24"/>
  <c r="P256" i="24"/>
  <c r="Q256" i="24"/>
  <c r="Q419" i="24"/>
  <c r="P419" i="24"/>
  <c r="Q355" i="24"/>
  <c r="P355" i="24"/>
  <c r="Q365" i="24"/>
  <c r="P365" i="24"/>
  <c r="Q711" i="24"/>
  <c r="P711" i="24"/>
  <c r="P194" i="24"/>
  <c r="Q194" i="24"/>
  <c r="Q586" i="24"/>
  <c r="P586" i="24"/>
  <c r="Q347" i="24"/>
  <c r="P347" i="24"/>
  <c r="P599" i="24"/>
  <c r="Q599" i="24"/>
  <c r="P303" i="24"/>
  <c r="Q303" i="24"/>
  <c r="Q370" i="24"/>
  <c r="P370" i="24"/>
  <c r="Q473" i="24"/>
  <c r="P473" i="24"/>
  <c r="Q533" i="24"/>
  <c r="P533" i="24"/>
  <c r="P218" i="24"/>
  <c r="Q218" i="24"/>
  <c r="Q302" i="24"/>
  <c r="P302" i="24"/>
  <c r="Q415" i="24"/>
  <c r="P415" i="24"/>
  <c r="Q588" i="24"/>
  <c r="P588" i="24"/>
  <c r="Q557" i="24"/>
  <c r="P557" i="24"/>
  <c r="P438" i="24"/>
  <c r="Q438" i="24"/>
  <c r="P159" i="24"/>
  <c r="Q159" i="24"/>
  <c r="Q334" i="24"/>
  <c r="P334" i="24"/>
  <c r="Q426" i="24"/>
  <c r="P426" i="24"/>
  <c r="Q462" i="24"/>
  <c r="P462" i="24"/>
  <c r="Q519" i="24"/>
  <c r="P519" i="24"/>
  <c r="Q203" i="24"/>
  <c r="P203" i="24"/>
  <c r="Q200" i="24"/>
  <c r="P200" i="24"/>
  <c r="Q491" i="24"/>
  <c r="P491" i="24"/>
  <c r="Q285" i="24"/>
  <c r="P285" i="24"/>
  <c r="P698" i="24"/>
  <c r="Q698" i="24"/>
  <c r="Q408" i="24"/>
  <c r="P408" i="24"/>
  <c r="P273" i="24"/>
  <c r="Q273" i="24"/>
  <c r="Q337" i="24"/>
  <c r="P337" i="24"/>
  <c r="Q697" i="24"/>
  <c r="P697" i="24"/>
  <c r="Q184" i="24"/>
  <c r="P184" i="24"/>
  <c r="Q371" i="24"/>
  <c r="P371" i="24"/>
  <c r="Q100" i="24"/>
  <c r="P100" i="24"/>
  <c r="P101" i="24" s="1"/>
  <c r="Q527" i="24"/>
  <c r="P527" i="24"/>
  <c r="Q664" i="24"/>
  <c r="P664" i="24"/>
  <c r="P367" i="24"/>
  <c r="Q367" i="24"/>
  <c r="P655" i="24"/>
  <c r="Q655" i="24"/>
  <c r="P229" i="24"/>
  <c r="Q229" i="24"/>
  <c r="Q141" i="24"/>
  <c r="P141" i="24"/>
  <c r="Q331" i="24"/>
  <c r="P331" i="24"/>
  <c r="Q504" i="24"/>
  <c r="P504" i="24"/>
  <c r="P515" i="24"/>
  <c r="Q515" i="24"/>
  <c r="Q672" i="24"/>
  <c r="P672" i="24"/>
  <c r="Q212" i="24"/>
  <c r="P212" i="24"/>
  <c r="Q708" i="24"/>
  <c r="P708" i="24"/>
  <c r="P705" i="24"/>
  <c r="Q705" i="24"/>
  <c r="Q463" i="24"/>
  <c r="P463" i="24"/>
  <c r="Q600" i="24"/>
  <c r="P600" i="24"/>
  <c r="Q388" i="24"/>
  <c r="P388" i="24"/>
  <c r="P745" i="25" l="1"/>
  <c r="N368" i="31"/>
  <c r="O368" i="31" s="1"/>
  <c r="Q368" i="31" s="1"/>
  <c r="N133" i="25"/>
  <c r="O133" i="25" s="1"/>
  <c r="N112" i="31"/>
  <c r="O112" i="31" s="1"/>
  <c r="P112" i="31" s="1"/>
  <c r="P114" i="31" s="1"/>
  <c r="AC533" i="25"/>
  <c r="AC510" i="25"/>
  <c r="Q564" i="25"/>
  <c r="Z623" i="25"/>
  <c r="X623" i="25" s="1"/>
  <c r="Z564" i="25"/>
  <c r="L564" i="25" s="1"/>
  <c r="P448" i="25"/>
  <c r="Q448" i="25" s="1"/>
  <c r="P193" i="25"/>
  <c r="Q193" i="25" s="1"/>
  <c r="P176" i="25"/>
  <c r="Q176" i="25" s="1"/>
  <c r="P260" i="31"/>
  <c r="Q260" i="31" s="1"/>
  <c r="P734" i="25"/>
  <c r="Q734" i="25" s="1"/>
  <c r="P262" i="25"/>
  <c r="Q262" i="25" s="1"/>
  <c r="P233" i="25"/>
  <c r="Q233" i="25" s="1"/>
  <c r="P427" i="25"/>
  <c r="Q427" i="25" s="1"/>
  <c r="P291" i="25"/>
  <c r="Q291" i="25" s="1"/>
  <c r="P468" i="25"/>
  <c r="Q468" i="25" s="1"/>
  <c r="P228" i="25"/>
  <c r="Q228" i="25" s="1"/>
  <c r="P724" i="25"/>
  <c r="Q724" i="25" s="1"/>
  <c r="P184" i="31"/>
  <c r="AI40" i="31" s="1"/>
  <c r="P444" i="31"/>
  <c r="Q444" i="31" s="1"/>
  <c r="P189" i="31"/>
  <c r="Q189" i="31" s="1"/>
  <c r="P144" i="31"/>
  <c r="AI32" i="31" s="1"/>
  <c r="P154" i="31"/>
  <c r="AI34" i="31" s="1"/>
  <c r="P149" i="31"/>
  <c r="Q149" i="31" s="1"/>
  <c r="P204" i="31"/>
  <c r="AI44" i="31" s="1"/>
  <c r="P174" i="31"/>
  <c r="P194" i="31"/>
  <c r="P159" i="31"/>
  <c r="P129" i="31"/>
  <c r="Z460" i="31"/>
  <c r="AI51" i="31"/>
  <c r="AL51" i="31" s="1"/>
  <c r="Z448" i="31"/>
  <c r="AI48" i="31"/>
  <c r="AL48" i="31" s="1"/>
  <c r="P164" i="31"/>
  <c r="P134" i="31"/>
  <c r="P199" i="31"/>
  <c r="Z452" i="31"/>
  <c r="AI49" i="31"/>
  <c r="AL49" i="31" s="1"/>
  <c r="Z101" i="31"/>
  <c r="AI25" i="31"/>
  <c r="P179" i="31"/>
  <c r="P139" i="31"/>
  <c r="AI50" i="31"/>
  <c r="AL50" i="31" s="1"/>
  <c r="Z456" i="31"/>
  <c r="P169" i="31"/>
  <c r="P119" i="31"/>
  <c r="P124" i="31"/>
  <c r="Q458" i="25"/>
  <c r="Q453" i="25"/>
  <c r="Q752" i="25"/>
  <c r="Q757" i="25"/>
  <c r="Q767" i="25"/>
  <c r="Q432" i="25"/>
  <c r="Q745" i="25"/>
  <c r="P338" i="24"/>
  <c r="AI48" i="25"/>
  <c r="Z771" i="25"/>
  <c r="AI38" i="25"/>
  <c r="Z720" i="24"/>
  <c r="AI47" i="24"/>
  <c r="AL47" i="24" s="1"/>
  <c r="P396" i="24"/>
  <c r="P282" i="24"/>
  <c r="Z623" i="24"/>
  <c r="AI38" i="24"/>
  <c r="AL38" i="24" s="1"/>
  <c r="P431" i="24"/>
  <c r="AI40" i="24"/>
  <c r="AL40" i="24" s="1"/>
  <c r="Z631" i="24"/>
  <c r="P716" i="24"/>
  <c r="Z783" i="25"/>
  <c r="AI51" i="25"/>
  <c r="AI50" i="24"/>
  <c r="AL50" i="24" s="1"/>
  <c r="Z732" i="24"/>
  <c r="Z635" i="24"/>
  <c r="AI41" i="24"/>
  <c r="AL41" i="24" s="1"/>
  <c r="P589" i="24"/>
  <c r="AI43" i="24"/>
  <c r="AL43" i="24" s="1"/>
  <c r="Z643" i="24"/>
  <c r="Z101" i="24"/>
  <c r="AI25" i="24"/>
  <c r="Z728" i="24"/>
  <c r="AI49" i="24"/>
  <c r="AL49" i="24" s="1"/>
  <c r="Z779" i="25"/>
  <c r="AI50" i="25"/>
  <c r="P559" i="24"/>
  <c r="AI49" i="25"/>
  <c r="Z775" i="25"/>
  <c r="AI51" i="24"/>
  <c r="AL51" i="24" s="1"/>
  <c r="Z736" i="24"/>
  <c r="P667" i="24"/>
  <c r="AI35" i="24"/>
  <c r="AL35" i="24" s="1"/>
  <c r="Z593" i="24"/>
  <c r="P124" i="24"/>
  <c r="Z627" i="24"/>
  <c r="AI39" i="24"/>
  <c r="AL39" i="24" s="1"/>
  <c r="P262" i="24"/>
  <c r="P479" i="24"/>
  <c r="AI42" i="24"/>
  <c r="AL42" i="24" s="1"/>
  <c r="Z639" i="24"/>
  <c r="Z101" i="25"/>
  <c r="AI25" i="25"/>
  <c r="AI44" i="24"/>
  <c r="AL44" i="24" s="1"/>
  <c r="Z647" i="24"/>
  <c r="AI47" i="25"/>
  <c r="Z724" i="24"/>
  <c r="AI48" i="24"/>
  <c r="AL48" i="24" s="1"/>
  <c r="P615" i="24"/>
  <c r="Z619" i="24"/>
  <c r="AI37" i="24"/>
  <c r="AL37" i="24" s="1"/>
  <c r="P368" i="31" l="1"/>
  <c r="AA351" i="31" s="1"/>
  <c r="AL40" i="31"/>
  <c r="AL44" i="31"/>
  <c r="AL34" i="31"/>
  <c r="AL32" i="31"/>
  <c r="AL48" i="25"/>
  <c r="AL51" i="25"/>
  <c r="AL49" i="25"/>
  <c r="AL50" i="25"/>
  <c r="L623" i="25"/>
  <c r="K623" i="25"/>
  <c r="K564" i="25"/>
  <c r="O564" i="25" s="1"/>
  <c r="P564" i="25" s="1"/>
  <c r="P572" i="25" s="1"/>
  <c r="AI43" i="25"/>
  <c r="D12" i="28"/>
  <c r="AI42" i="25"/>
  <c r="Q184" i="31"/>
  <c r="Q154" i="31"/>
  <c r="Q204" i="31"/>
  <c r="AI33" i="31"/>
  <c r="AI45" i="31"/>
  <c r="AI47" i="31"/>
  <c r="Q144" i="31"/>
  <c r="AI41" i="31"/>
  <c r="P133" i="25"/>
  <c r="P136" i="25" s="1"/>
  <c r="Q133" i="25"/>
  <c r="Q164" i="31"/>
  <c r="AI36" i="31"/>
  <c r="Q179" i="31"/>
  <c r="AI39" i="31"/>
  <c r="AL25" i="31"/>
  <c r="Q129" i="31"/>
  <c r="AI29" i="31"/>
  <c r="Q159" i="31"/>
  <c r="AI35" i="31"/>
  <c r="AI27" i="31"/>
  <c r="Q119" i="31"/>
  <c r="AI31" i="31"/>
  <c r="Q139" i="31"/>
  <c r="AI42" i="31"/>
  <c r="Q194" i="31"/>
  <c r="AI38" i="31"/>
  <c r="Q174" i="31"/>
  <c r="AI30" i="31"/>
  <c r="Q134" i="31"/>
  <c r="AI37" i="31"/>
  <c r="Q169" i="31"/>
  <c r="Q199" i="31"/>
  <c r="AI43" i="31"/>
  <c r="Q124" i="31"/>
  <c r="AI28" i="31"/>
  <c r="AI26" i="31"/>
  <c r="Q114" i="31"/>
  <c r="AI44" i="25"/>
  <c r="AI39" i="25"/>
  <c r="AI37" i="25"/>
  <c r="AI35" i="25"/>
  <c r="AL47" i="25"/>
  <c r="AL38" i="25"/>
  <c r="AI31" i="25"/>
  <c r="AI45" i="25"/>
  <c r="AI46" i="25"/>
  <c r="Z282" i="24"/>
  <c r="AI28" i="24"/>
  <c r="AL28" i="24" s="1"/>
  <c r="Z559" i="24"/>
  <c r="AI33" i="24"/>
  <c r="AL33" i="24" s="1"/>
  <c r="Z615" i="24"/>
  <c r="AI36" i="24"/>
  <c r="AL36" i="24" s="1"/>
  <c r="AI26" i="24"/>
  <c r="AL26" i="24" s="1"/>
  <c r="Z124" i="24"/>
  <c r="AI29" i="25"/>
  <c r="AI31" i="24"/>
  <c r="AL31" i="24" s="1"/>
  <c r="Z431" i="24"/>
  <c r="Z667" i="24"/>
  <c r="AI45" i="24"/>
  <c r="AL45" i="24" s="1"/>
  <c r="AL25" i="24"/>
  <c r="AL25" i="25"/>
  <c r="AI30" i="25"/>
  <c r="Z589" i="24"/>
  <c r="AI34" i="24"/>
  <c r="AL34" i="24" s="1"/>
  <c r="AI28" i="25"/>
  <c r="AI30" i="24"/>
  <c r="AL30" i="24" s="1"/>
  <c r="Z396" i="24"/>
  <c r="AI36" i="25"/>
  <c r="AI27" i="25"/>
  <c r="AI32" i="25"/>
  <c r="AI32" i="24"/>
  <c r="AL32" i="24" s="1"/>
  <c r="Z479" i="24"/>
  <c r="AI34" i="25"/>
  <c r="Z262" i="24"/>
  <c r="AI27" i="24"/>
  <c r="AL27" i="24" s="1"/>
  <c r="Z716" i="24"/>
  <c r="AI46" i="24"/>
  <c r="AL46" i="24" s="1"/>
  <c r="Z338" i="24"/>
  <c r="AI29" i="24"/>
  <c r="AL29" i="24" s="1"/>
  <c r="AA371" i="31" l="1" a="1"/>
  <c r="AA371" i="31" s="1"/>
  <c r="P392" i="31"/>
  <c r="AL35" i="31"/>
  <c r="AL28" i="31"/>
  <c r="AL37" i="31"/>
  <c r="AL47" i="31"/>
  <c r="AL42" i="31"/>
  <c r="AL36" i="31"/>
  <c r="AL30" i="31"/>
  <c r="AL33" i="31"/>
  <c r="AL29" i="31"/>
  <c r="AL41" i="31"/>
  <c r="AL31" i="31"/>
  <c r="AL27" i="31"/>
  <c r="AL26" i="31"/>
  <c r="AL39" i="31"/>
  <c r="AL43" i="31"/>
  <c r="AL38" i="31"/>
  <c r="AL43" i="25"/>
  <c r="D31" i="28"/>
  <c r="E31" i="28" s="1"/>
  <c r="D19" i="28"/>
  <c r="D21" i="28"/>
  <c r="O623" i="25"/>
  <c r="Q623" i="25" s="1"/>
  <c r="D16" i="28"/>
  <c r="D15" i="28"/>
  <c r="D18" i="28"/>
  <c r="AL37" i="25"/>
  <c r="D24" i="28"/>
  <c r="D17" i="28"/>
  <c r="AL39" i="25"/>
  <c r="D26" i="28"/>
  <c r="AL42" i="25"/>
  <c r="D29" i="28"/>
  <c r="E29" i="28" s="1"/>
  <c r="AL35" i="25"/>
  <c r="D22" i="28"/>
  <c r="D25" i="28"/>
  <c r="A25" i="28" s="1"/>
  <c r="D14" i="28"/>
  <c r="D30" i="28"/>
  <c r="A30" i="28" s="1"/>
  <c r="D23" i="28"/>
  <c r="D34" i="28"/>
  <c r="E34" i="28" s="1"/>
  <c r="AL45" i="31"/>
  <c r="D32" i="28"/>
  <c r="Q572" i="25"/>
  <c r="AI40" i="25"/>
  <c r="Q136" i="25"/>
  <c r="AI26" i="25"/>
  <c r="AL44" i="25"/>
  <c r="AL32" i="25"/>
  <c r="AL27" i="25"/>
  <c r="AL29" i="25"/>
  <c r="AL36" i="25"/>
  <c r="AL28" i="25"/>
  <c r="G12" i="28"/>
  <c r="E12" i="28"/>
  <c r="F12" i="28"/>
  <c r="AL46" i="25"/>
  <c r="A12" i="28"/>
  <c r="AL30" i="25"/>
  <c r="AL45" i="25"/>
  <c r="AL34" i="25"/>
  <c r="AL31" i="25"/>
  <c r="AI53" i="24"/>
  <c r="AI46" i="31" l="1"/>
  <c r="Q392" i="31"/>
  <c r="D27" i="28"/>
  <c r="E27" i="28" s="1"/>
  <c r="P623" i="25"/>
  <c r="P631" i="25" s="1"/>
  <c r="F29" i="28"/>
  <c r="E30" i="28"/>
  <c r="F30" i="28"/>
  <c r="G30" i="28"/>
  <c r="G25" i="28"/>
  <c r="G34" i="28"/>
  <c r="F25" i="28"/>
  <c r="E25" i="28"/>
  <c r="A34" i="28"/>
  <c r="F34" i="28"/>
  <c r="AL26" i="25"/>
  <c r="D13" i="28"/>
  <c r="A29" i="28"/>
  <c r="G29" i="28"/>
  <c r="AL40" i="25"/>
  <c r="A22" i="28"/>
  <c r="E24" i="28"/>
  <c r="F24" i="28"/>
  <c r="A31" i="28"/>
  <c r="G31" i="28"/>
  <c r="F31" i="28"/>
  <c r="F22" i="28"/>
  <c r="G26" i="28"/>
  <c r="E22" i="28"/>
  <c r="G24" i="28"/>
  <c r="G22" i="28"/>
  <c r="A26" i="28"/>
  <c r="E26" i="28"/>
  <c r="F26" i="28"/>
  <c r="A21" i="28"/>
  <c r="A24" i="28"/>
  <c r="A18" i="28"/>
  <c r="A23" i="28"/>
  <c r="A17" i="28"/>
  <c r="A32" i="28"/>
  <c r="A14" i="28"/>
  <c r="A19" i="28"/>
  <c r="F32" i="28"/>
  <c r="G32" i="28"/>
  <c r="E32" i="28"/>
  <c r="E14" i="28"/>
  <c r="G14" i="28"/>
  <c r="F14" i="28"/>
  <c r="F18" i="28"/>
  <c r="E18" i="28"/>
  <c r="G18" i="28"/>
  <c r="E23" i="28"/>
  <c r="G23" i="28"/>
  <c r="F23" i="28"/>
  <c r="E21" i="28"/>
  <c r="F21" i="28"/>
  <c r="G21" i="28"/>
  <c r="A15" i="28"/>
  <c r="G16" i="28"/>
  <c r="E16" i="28"/>
  <c r="F16" i="28"/>
  <c r="G17" i="28"/>
  <c r="F17" i="28"/>
  <c r="E17" i="28"/>
  <c r="G19" i="28"/>
  <c r="F19" i="28"/>
  <c r="E19" i="28"/>
  <c r="E15" i="28"/>
  <c r="G15" i="28"/>
  <c r="F15" i="28"/>
  <c r="A16" i="28"/>
  <c r="AI55" i="24"/>
  <c r="AL55" i="24" s="1"/>
  <c r="AL53" i="24"/>
  <c r="AL46" i="31" l="1"/>
  <c r="D33" i="28"/>
  <c r="AI53" i="31"/>
  <c r="G27" i="28"/>
  <c r="A27" i="28"/>
  <c r="F27" i="28"/>
  <c r="Q631" i="25"/>
  <c r="AI41" i="25"/>
  <c r="A13" i="28"/>
  <c r="G13" i="28"/>
  <c r="F13" i="28"/>
  <c r="E13" i="28"/>
  <c r="AI56" i="24"/>
  <c r="E42" i="8" l="1"/>
  <c r="H42" i="8" s="1"/>
  <c r="AL53" i="31"/>
  <c r="AI55" i="31"/>
  <c r="A33" i="28"/>
  <c r="F33" i="28"/>
  <c r="G33" i="28"/>
  <c r="E33" i="28"/>
  <c r="D28" i="28"/>
  <c r="AL41" i="25"/>
  <c r="AL56" i="24"/>
  <c r="AI57" i="24"/>
  <c r="AL55" i="31" l="1"/>
  <c r="AI56" i="31"/>
  <c r="A28" i="28"/>
  <c r="G28" i="28"/>
  <c r="E28" i="28"/>
  <c r="F28" i="28"/>
  <c r="AL57" i="24"/>
  <c r="AI58" i="24"/>
  <c r="AL58" i="24" s="1"/>
  <c r="AL56" i="31" l="1"/>
  <c r="AI57" i="31"/>
  <c r="AI60" i="24"/>
  <c r="AL57" i="31" l="1"/>
  <c r="AI58" i="31"/>
  <c r="AL58" i="31" s="1"/>
  <c r="AL60" i="24"/>
  <c r="AI62" i="24"/>
  <c r="AL62" i="24" s="1"/>
  <c r="AI60" i="31" l="1"/>
  <c r="AL60" i="31" s="1"/>
  <c r="C51" i="28"/>
  <c r="AI64" i="24"/>
  <c r="AI62" i="31" l="1"/>
  <c r="AL62" i="31" s="1"/>
  <c r="AI65" i="24"/>
  <c r="AL65" i="24" s="1"/>
  <c r="AL64" i="24"/>
  <c r="AI64" i="31" l="1"/>
  <c r="AL64" i="31" s="1"/>
  <c r="AI67" i="24"/>
  <c r="AI65" i="31" l="1"/>
  <c r="AL65" i="31" s="1"/>
  <c r="AI68" i="24"/>
  <c r="AL68" i="24" s="1"/>
  <c r="AL67" i="24"/>
  <c r="AI67" i="31" l="1"/>
  <c r="AI68" i="31" s="1"/>
  <c r="AL68" i="31" s="1"/>
  <c r="AI70" i="24"/>
  <c r="AL67" i="31" l="1"/>
  <c r="AI70" i="31"/>
  <c r="AL70" i="24"/>
  <c r="AI71" i="24"/>
  <c r="AL71" i="24" s="1"/>
  <c r="AL70" i="31" l="1"/>
  <c r="AI71" i="31"/>
  <c r="AI73" i="24"/>
  <c r="AL71" i="31" l="1"/>
  <c r="AI73" i="31"/>
  <c r="AL73" i="24"/>
  <c r="AI74" i="24"/>
  <c r="AL74" i="24" s="1"/>
  <c r="AL73" i="31" l="1"/>
  <c r="AI74" i="31"/>
  <c r="AI76" i="24"/>
  <c r="AL74" i="31" l="1"/>
  <c r="AI76" i="31"/>
  <c r="AI77" i="24"/>
  <c r="AL77" i="24" s="1"/>
  <c r="AL76" i="24"/>
  <c r="AL76" i="31" l="1"/>
  <c r="AI77" i="31"/>
  <c r="AI79" i="24"/>
  <c r="AI80" i="24" s="1"/>
  <c r="AL80" i="24" s="1"/>
  <c r="AL77" i="31" l="1"/>
  <c r="AI79" i="31"/>
  <c r="AL79" i="24"/>
  <c r="AI82" i="24"/>
  <c r="AI83" i="24" s="1"/>
  <c r="AL83" i="24" s="1"/>
  <c r="AI80" i="31" l="1"/>
  <c r="AL79" i="31"/>
  <c r="AL82" i="24"/>
  <c r="AI85" i="24"/>
  <c r="AL80" i="31" l="1"/>
  <c r="AI82" i="31"/>
  <c r="AI86" i="24"/>
  <c r="AL86" i="24" s="1"/>
  <c r="AL85" i="24"/>
  <c r="AI83" i="31" l="1"/>
  <c r="AL82" i="31"/>
  <c r="AI88" i="24"/>
  <c r="AL88" i="24" s="1"/>
  <c r="AL83" i="31" l="1"/>
  <c r="AI85" i="31"/>
  <c r="AI86" i="31" l="1"/>
  <c r="AL85" i="31"/>
  <c r="AL86" i="31" l="1"/>
  <c r="AI88" i="31"/>
  <c r="P383" i="25"/>
  <c r="P385" i="25"/>
  <c r="AL88" i="31" l="1"/>
  <c r="E18" i="8"/>
  <c r="H18" i="8" s="1"/>
  <c r="P402" i="25"/>
  <c r="Q402" i="25" l="1"/>
  <c r="AI33" i="25"/>
  <c r="D20" i="28" l="1"/>
  <c r="A20" i="28" s="1"/>
  <c r="AI53" i="25"/>
  <c r="AL33" i="25"/>
  <c r="D36" i="28" l="1"/>
  <c r="E36" i="28" s="1"/>
  <c r="E20" i="28"/>
  <c r="F20" i="28"/>
  <c r="G20" i="28"/>
  <c r="AA444" i="31"/>
  <c r="AI55" i="25"/>
  <c r="AL53" i="25"/>
  <c r="E40" i="8"/>
  <c r="E46" i="8" s="1"/>
  <c r="E48" i="8" s="1"/>
  <c r="E49" i="8" s="1"/>
  <c r="E50" i="8" s="1"/>
  <c r="E51" i="8" s="1"/>
  <c r="E54" i="8" s="1"/>
  <c r="G36" i="28" l="1"/>
  <c r="F36" i="28"/>
  <c r="AL55" i="25"/>
  <c r="H40" i="8"/>
  <c r="AI56" i="25"/>
  <c r="E58" i="8"/>
  <c r="D38" i="28" s="1"/>
  <c r="E67" i="8"/>
  <c r="E71" i="8"/>
  <c r="E69" i="8"/>
  <c r="E72" i="8"/>
  <c r="E68" i="8"/>
  <c r="E76" i="8"/>
  <c r="E70" i="8"/>
  <c r="AL56" i="25" l="1"/>
  <c r="AI57" i="25"/>
  <c r="E59" i="8"/>
  <c r="D39" i="28" s="1"/>
  <c r="E39" i="28" s="1"/>
  <c r="F38" i="28"/>
  <c r="E38" i="28"/>
  <c r="G38" i="28"/>
  <c r="A38" i="28"/>
  <c r="AL57" i="25" l="1"/>
  <c r="AI58" i="25"/>
  <c r="G39" i="28"/>
  <c r="A39" i="28"/>
  <c r="F39" i="28"/>
  <c r="E60" i="8"/>
  <c r="AL58" i="25" l="1"/>
  <c r="AI60" i="25"/>
  <c r="E61" i="8"/>
  <c r="D40" i="28"/>
  <c r="AI62" i="25" l="1"/>
  <c r="AL60" i="25"/>
  <c r="E40" i="28"/>
  <c r="F40" i="28"/>
  <c r="A40" i="28"/>
  <c r="G40" i="28"/>
  <c r="E62" i="8"/>
  <c r="E63" i="8" s="1"/>
  <c r="D43" i="28" s="1"/>
  <c r="J61" i="8"/>
  <c r="D41" i="28"/>
  <c r="AL62" i="25" l="1"/>
  <c r="AI64" i="25"/>
  <c r="A43" i="28"/>
  <c r="G43" i="28"/>
  <c r="F43" i="28"/>
  <c r="E43" i="28"/>
  <c r="G41" i="28"/>
  <c r="E41" i="28"/>
  <c r="F41" i="28"/>
  <c r="A41" i="28"/>
  <c r="D42" i="28"/>
  <c r="J62" i="8"/>
  <c r="E64" i="8"/>
  <c r="AL64" i="25" l="1"/>
  <c r="AI65" i="25"/>
  <c r="D44" i="28"/>
  <c r="E65" i="8"/>
  <c r="D45" i="28" s="1"/>
  <c r="A42" i="28"/>
  <c r="F42" i="28"/>
  <c r="E42" i="28"/>
  <c r="G42" i="28"/>
  <c r="AL65" i="25" l="1"/>
  <c r="AI67" i="25"/>
  <c r="E66" i="8"/>
  <c r="E45" i="28"/>
  <c r="A45" i="28"/>
  <c r="G45" i="28"/>
  <c r="F45" i="28"/>
  <c r="F44" i="28"/>
  <c r="E44" i="28"/>
  <c r="A44" i="28"/>
  <c r="G44" i="28"/>
  <c r="AI68" i="25" l="1"/>
  <c r="AI70" i="25" s="1"/>
  <c r="AL67" i="25"/>
  <c r="D46" i="28"/>
  <c r="E78" i="8"/>
  <c r="E79" i="8" s="1"/>
  <c r="E81" i="8" s="1"/>
  <c r="E33" i="33" s="1"/>
  <c r="AI71" i="25" l="1"/>
  <c r="AI73" i="25" s="1"/>
  <c r="AL68" i="25"/>
  <c r="AL70" i="25"/>
  <c r="D48" i="28"/>
  <c r="F46" i="28"/>
  <c r="A46" i="28"/>
  <c r="G46" i="28"/>
  <c r="E46" i="28"/>
  <c r="AI74" i="25" l="1"/>
  <c r="AI76" i="25" s="1"/>
  <c r="AL71" i="25"/>
  <c r="AL73" i="25"/>
  <c r="D51" i="28"/>
  <c r="F48" i="28"/>
  <c r="G48" i="28"/>
  <c r="E48" i="28"/>
  <c r="AL74" i="25" l="1"/>
  <c r="AL76" i="25"/>
  <c r="AI77" i="25"/>
  <c r="F51" i="28"/>
  <c r="E51" i="28"/>
  <c r="G51" i="28"/>
  <c r="AL77" i="25" l="1"/>
  <c r="AI79" i="25"/>
  <c r="AL79" i="25" l="1"/>
  <c r="AI80" i="25"/>
  <c r="AL80" i="25" l="1"/>
  <c r="AI82" i="25"/>
  <c r="AI83" i="25" l="1"/>
  <c r="AL82" i="25"/>
  <c r="AL83" i="25" l="1"/>
  <c r="AI85" i="25"/>
  <c r="AI86" i="25" l="1"/>
  <c r="AL85" i="25"/>
  <c r="AL86" i="25" l="1"/>
  <c r="AI88" i="25"/>
  <c r="AL88" i="25" l="1"/>
  <c r="E16" i="8"/>
  <c r="H16" i="8" l="1"/>
  <c r="E23" i="8"/>
  <c r="D1"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Dowdell</author>
  </authors>
  <commentList>
    <comment ref="S18" authorId="0" shapeId="0" xr:uid="{B3CC81B0-F918-4326-9078-DFB80094E5BA}">
      <text>
        <r>
          <rPr>
            <b/>
            <sz val="9"/>
            <color indexed="81"/>
            <rFont val="Tahoma"/>
            <family val="2"/>
          </rPr>
          <t>John Dowdell:</t>
        </r>
        <r>
          <rPr>
            <sz val="9"/>
            <color indexed="81"/>
            <rFont val="Tahoma"/>
            <family val="2"/>
          </rPr>
          <t xml:space="preserve">
Item selector mouse scrolling</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<sst xmlns="http://schemas.openxmlformats.org/spreadsheetml/2006/main" count="5049" uniqueCount="1865">
  <si>
    <t>ELEMENT</t>
  </si>
  <si>
    <t>TOTAL COST</t>
  </si>
  <si>
    <t>Project Name</t>
  </si>
  <si>
    <t>Project Location</t>
  </si>
  <si>
    <t>Estimate Detail</t>
  </si>
  <si>
    <t>Date</t>
  </si>
  <si>
    <t>General</t>
  </si>
  <si>
    <t>WBS</t>
  </si>
  <si>
    <t>Systems</t>
  </si>
  <si>
    <t>CSI (16)</t>
  </si>
  <si>
    <t>CSI (2004)</t>
  </si>
  <si>
    <t>Custom</t>
  </si>
  <si>
    <t>Description</t>
  </si>
  <si>
    <t>SUMMARY</t>
  </si>
  <si>
    <t>Project Name:</t>
  </si>
  <si>
    <t>Estimate Level:</t>
  </si>
  <si>
    <t>Project Location:</t>
  </si>
  <si>
    <t>Job #</t>
  </si>
  <si>
    <t>Measurement</t>
  </si>
  <si>
    <t>Other</t>
  </si>
  <si>
    <t>Imperial</t>
  </si>
  <si>
    <t>Metric</t>
  </si>
  <si>
    <t>NET DIRECT SITE COST</t>
  </si>
  <si>
    <t>Format</t>
  </si>
  <si>
    <t>Setup</t>
  </si>
  <si>
    <t>Uniformat (GSA)</t>
  </si>
  <si>
    <t>Uniformat (CSU)</t>
  </si>
  <si>
    <t>Percent</t>
  </si>
  <si>
    <t>General Markups (Included in Summary Sheet)</t>
  </si>
  <si>
    <t>Alternate Markups (Included in Database Rates Only)</t>
  </si>
  <si>
    <t>Summarized</t>
  </si>
  <si>
    <t>Detailed</t>
  </si>
  <si>
    <t>Template Items</t>
  </si>
  <si>
    <t>Blank</t>
  </si>
  <si>
    <t>Region</t>
  </si>
  <si>
    <t>Las Vegas, NV</t>
  </si>
  <si>
    <t>Los Angeles, CA</t>
  </si>
  <si>
    <t>San Diego, CA</t>
  </si>
  <si>
    <t>San Francisco, CA</t>
  </si>
  <si>
    <t>Washington, DC</t>
  </si>
  <si>
    <t>Subcontractor OH + P</t>
  </si>
  <si>
    <t>Other Functions</t>
  </si>
  <si>
    <t>Difficulty</t>
  </si>
  <si>
    <t>Custom Area Markups (Database Rates Only)</t>
  </si>
  <si>
    <t>Division</t>
  </si>
  <si>
    <t>Mat %</t>
  </si>
  <si>
    <t>Inst %</t>
  </si>
  <si>
    <t>02</t>
  </si>
  <si>
    <t>03</t>
  </si>
  <si>
    <t>04</t>
  </si>
  <si>
    <t>05</t>
  </si>
  <si>
    <t>06</t>
  </si>
  <si>
    <t>07</t>
  </si>
  <si>
    <t>08</t>
  </si>
  <si>
    <t>09</t>
  </si>
  <si>
    <t>10</t>
  </si>
  <si>
    <t>11</t>
  </si>
  <si>
    <t>12</t>
  </si>
  <si>
    <t>13</t>
  </si>
  <si>
    <t>14</t>
  </si>
  <si>
    <t>21</t>
  </si>
  <si>
    <t>22</t>
  </si>
  <si>
    <t>23</t>
  </si>
  <si>
    <t>26</t>
  </si>
  <si>
    <t>27</t>
  </si>
  <si>
    <t>28</t>
  </si>
  <si>
    <t>31</t>
  </si>
  <si>
    <t>32</t>
  </si>
  <si>
    <t>33</t>
  </si>
  <si>
    <t>34</t>
  </si>
  <si>
    <t>35</t>
  </si>
  <si>
    <t>41</t>
  </si>
  <si>
    <t>44</t>
  </si>
  <si>
    <t>Total (excludes Difficulty)</t>
  </si>
  <si>
    <t>Tax</t>
  </si>
  <si>
    <t xml:space="preserve">TOTAL CONSTRUCTION COST </t>
  </si>
  <si>
    <t>Material</t>
  </si>
  <si>
    <t>Installation</t>
  </si>
  <si>
    <t>Total</t>
  </si>
  <si>
    <t>Embedded</t>
  </si>
  <si>
    <t>Markup</t>
  </si>
  <si>
    <t>Embed</t>
  </si>
  <si>
    <t>PROJECT SUMMARY</t>
  </si>
  <si>
    <t>GFA</t>
  </si>
  <si>
    <t>Uniformat II (ASTM E1557-09)</t>
  </si>
  <si>
    <t>Midpoint Calculation</t>
  </si>
  <si>
    <t>Date of Estimate</t>
  </si>
  <si>
    <t>Midpoint of Construction</t>
  </si>
  <si>
    <t>Answers</t>
  </si>
  <si>
    <t>* For Uniformat (GSA) templates, add 2 lines below Markup 9 for "Art in Architecture" and "Construction Contingency"</t>
  </si>
  <si>
    <t>** This markup summary does not account for tabs with different markups, draws markups from Initial tab</t>
  </si>
  <si>
    <t>Design Contingency</t>
  </si>
  <si>
    <t>Bonds: Contractor</t>
  </si>
  <si>
    <t>Bonds: Subcontractor</t>
  </si>
  <si>
    <t>Construction Duration (months)</t>
  </si>
  <si>
    <t>Construction Start (MM/YYYY)</t>
  </si>
  <si>
    <t>Escalation to Midpoint</t>
  </si>
  <si>
    <t>Escalation Per Annum</t>
  </si>
  <si>
    <t>Factor</t>
  </si>
  <si>
    <t>GENERAL MARKUPS</t>
  </si>
  <si>
    <t>TOTAL NET DIRECT COST</t>
  </si>
  <si>
    <t xml:space="preserve">Above the </t>
  </si>
  <si>
    <t>Line Markups</t>
  </si>
  <si>
    <t>Markup 4</t>
  </si>
  <si>
    <t xml:space="preserve">Below the </t>
  </si>
  <si>
    <t>Compounding</t>
  </si>
  <si>
    <t>TOTAL CONSTRUCTION COST</t>
  </si>
  <si>
    <t>Markup 3</t>
  </si>
  <si>
    <t>Construction Contingency</t>
  </si>
  <si>
    <t>Art in Architecture</t>
  </si>
  <si>
    <t>Additional</t>
  </si>
  <si>
    <t>for GSA</t>
  </si>
  <si>
    <t>DETAILED PROJECT SUMMARY</t>
  </si>
  <si>
    <t>INTRODUCTORY NOTES</t>
  </si>
  <si>
    <t>The following items are excluded from this estimate:</t>
  </si>
  <si>
    <t>Professional fees.</t>
  </si>
  <si>
    <t>•</t>
  </si>
  <si>
    <t>Installation of owner furnished equipment.</t>
  </si>
  <si>
    <t>Building permits and fees.</t>
  </si>
  <si>
    <t>Overtime.</t>
  </si>
  <si>
    <t>Hazardous material abatement/removal.</t>
  </si>
  <si>
    <t>Items referenced as NOT INCLUDED or NIC in estimate.</t>
  </si>
  <si>
    <t>Inspections and tests.</t>
  </si>
  <si>
    <t>This estimate is based on a detailed measurement of quantities.  We have made allowances for items that were not clearly defined in the drawings.  The client should verify these allowances.</t>
  </si>
  <si>
    <t>This estimate is based on a minimum of four competitive bids and a stable bidding market.</t>
  </si>
  <si>
    <t xml:space="preserve">    COST ESTIMATE</t>
  </si>
  <si>
    <t>Construction change order contingency.</t>
  </si>
  <si>
    <t>Received Date</t>
  </si>
  <si>
    <t>Labor Rate</t>
  </si>
  <si>
    <t>Delivery Method</t>
  </si>
  <si>
    <t>Design-Bid-Build</t>
  </si>
  <si>
    <t>prevailing wage</t>
  </si>
  <si>
    <t>SUBTOTAL</t>
  </si>
  <si>
    <t>Consult GSA document P-120 for more information on these additional markups.</t>
  </si>
  <si>
    <t>For new capital construction, use a Construction Contingency of 7%.  Otherwise use 10%.</t>
  </si>
  <si>
    <t>Design-Build</t>
  </si>
  <si>
    <t>Construction Manager at Risk</t>
  </si>
  <si>
    <t>Construction Manager Multi-Prime</t>
  </si>
  <si>
    <t>Construction Manager Agency</t>
  </si>
  <si>
    <t>Lease-Leaseback</t>
  </si>
  <si>
    <t>Job Order Contract</t>
  </si>
  <si>
    <t>non-prevailing wage</t>
  </si>
  <si>
    <t>open shop</t>
  </si>
  <si>
    <t>Davis Bacon Act</t>
  </si>
  <si>
    <t>ALTERNATES</t>
  </si>
  <si>
    <t>for DGS</t>
  </si>
  <si>
    <t>(% of Trades)</t>
  </si>
  <si>
    <t>Insurance Burden</t>
  </si>
  <si>
    <t>Builders Risk Insurance</t>
  </si>
  <si>
    <t>Public Art Allowance</t>
  </si>
  <si>
    <t>Performance &amp; Payment Bond</t>
  </si>
  <si>
    <t>Construction Management Fee</t>
  </si>
  <si>
    <t>CONSTRUCTION COST</t>
  </si>
  <si>
    <t xml:space="preserve">This estimate should be updated if more definitive information becomes available, or if there is any change in scope. </t>
  </si>
  <si>
    <t>Contractor Contingency</t>
  </si>
  <si>
    <t>General Conditions/Requirements</t>
  </si>
  <si>
    <t>Contractor Overhead and Profit</t>
  </si>
  <si>
    <t>Uniformat II (Level 3 Hidden)</t>
  </si>
  <si>
    <t>RegionPref</t>
  </si>
  <si>
    <t>CSI (2004) LAUSD</t>
  </si>
  <si>
    <t>Tri Services Mod Uniformat II</t>
  </si>
  <si>
    <t>CCSD Roof HVAC</t>
  </si>
  <si>
    <t>Note: not part of the standard Escalation to Midpoint calculation</t>
  </si>
  <si>
    <t>Original Cost Estimate Date</t>
  </si>
  <si>
    <t>Original Escalation Per Annum</t>
  </si>
  <si>
    <t>Estimate Date Minus Original Date (Days)</t>
  </si>
  <si>
    <t>Estimate Date Minus Original Date (Months)</t>
  </si>
  <si>
    <t>Loss Due To Escalation</t>
  </si>
  <si>
    <t>Furniture, fixtures &amp; equipment, except as noted.</t>
  </si>
  <si>
    <t>CSI (TICS)</t>
  </si>
  <si>
    <t>c3 Version</t>
  </si>
  <si>
    <t>Loss Due to Escalation</t>
  </si>
  <si>
    <t>Charlotte, NC</t>
  </si>
  <si>
    <t>Dallas, TX</t>
  </si>
  <si>
    <t>Seattle, WA</t>
  </si>
  <si>
    <t>Denver, CO</t>
  </si>
  <si>
    <t>Miami, FL</t>
  </si>
  <si>
    <t>Chicago, IL</t>
  </si>
  <si>
    <t>Boston, MA</t>
  </si>
  <si>
    <t>Baltimore, MD</t>
  </si>
  <si>
    <t>New York, NY</t>
  </si>
  <si>
    <t>Tampa, FL</t>
  </si>
  <si>
    <t>Atlanta, GA</t>
  </si>
  <si>
    <t>Indianapolis, IN</t>
  </si>
  <si>
    <t>New Orleans, LA</t>
  </si>
  <si>
    <t>Philadelphia, PA</t>
  </si>
  <si>
    <t>Nashville, TN</t>
  </si>
  <si>
    <t>Sales Tax Rate</t>
  </si>
  <si>
    <t>Cities Supported</t>
  </si>
  <si>
    <t>Sacramento, CA</t>
  </si>
  <si>
    <t>Reno, NV</t>
  </si>
  <si>
    <t>Portland, OR</t>
  </si>
  <si>
    <t>NEWCOVERSHEET</t>
  </si>
  <si>
    <t>DD</t>
  </si>
  <si>
    <t>Phoenix, AZ</t>
  </si>
  <si>
    <t>Tucson, AZ</t>
  </si>
  <si>
    <t>Long Beach, CA</t>
  </si>
  <si>
    <t>Oakland, CA</t>
  </si>
  <si>
    <t>Palm Springs, CA</t>
  </si>
  <si>
    <t>Riverside, CA</t>
  </si>
  <si>
    <t>San Jose, CA</t>
  </si>
  <si>
    <t>Raleigh, NC</t>
  </si>
  <si>
    <t>Albuquerque, NM</t>
  </si>
  <si>
    <t>Carson City, NV</t>
  </si>
  <si>
    <t>Columbia, SC</t>
  </si>
  <si>
    <t>Anchorage, AK</t>
  </si>
  <si>
    <t>Omaha, NE</t>
  </si>
  <si>
    <t>New Haven, CT</t>
  </si>
  <si>
    <t>Newark, NJ</t>
  </si>
  <si>
    <t>Lawton, OK</t>
  </si>
  <si>
    <t>Muskogee, OK</t>
  </si>
  <si>
    <t>Oklahoma City, OK</t>
  </si>
  <si>
    <t>Tulsa, OK</t>
  </si>
  <si>
    <t>CCSD Template</t>
  </si>
  <si>
    <t>Austin, TX</t>
  </si>
  <si>
    <t>Denton, TX</t>
  </si>
  <si>
    <t>Fort Worth, TX</t>
  </si>
  <si>
    <t>Houston, TX</t>
  </si>
  <si>
    <t>San Antonio, TX</t>
  </si>
  <si>
    <t>Wichita Falls, TX</t>
  </si>
  <si>
    <t>Richmond, VA</t>
  </si>
  <si>
    <t>Bellingham, WA</t>
  </si>
  <si>
    <t>Everett, WA</t>
  </si>
  <si>
    <t>Olympia, WA</t>
  </si>
  <si>
    <t>Richland, WA</t>
  </si>
  <si>
    <t>Spokane, WA</t>
  </si>
  <si>
    <t>Tacoma, WA</t>
  </si>
  <si>
    <t>Vancouver, WA</t>
  </si>
  <si>
    <t>Yakima, WA</t>
  </si>
  <si>
    <t>Casper, WY</t>
  </si>
  <si>
    <t>Duluth, MN</t>
  </si>
  <si>
    <t>Biloxi, MS</t>
  </si>
  <si>
    <t>01</t>
  </si>
  <si>
    <t>Index Values</t>
  </si>
  <si>
    <t>We strongly advise the client to review this estimate in detail.  If any interpretations in this estimate appear to differ from those intended by the design documents, they should be addressed immediately.</t>
  </si>
  <si>
    <t>Kansas City, MO</t>
  </si>
  <si>
    <t>St. Louis, MO</t>
  </si>
  <si>
    <t>Los Angeles</t>
  </si>
  <si>
    <t>1/1/2024|1/1/2023|1/1/2022|1/1/2021|1/1/2020|1/1/2019|1/1/2018</t>
  </si>
  <si>
    <t>8.00.000</t>
  </si>
  <si>
    <t>Insurance and Bonds</t>
  </si>
  <si>
    <t>CSI (2004) TEMPLATE</t>
  </si>
  <si>
    <t>Level 1</t>
  </si>
  <si>
    <t>Sub Name:</t>
  </si>
  <si>
    <t>SUB NAME</t>
  </si>
  <si>
    <t>GFA:</t>
  </si>
  <si>
    <t>FECA:</t>
  </si>
  <si>
    <t>50|0|0|0|0|0|0|0</t>
  </si>
  <si>
    <t>Site:</t>
  </si>
  <si>
    <t>DESCRIPTION</t>
  </si>
  <si>
    <t>QUANTITY</t>
  </si>
  <si>
    <t>UNIT</t>
  </si>
  <si>
    <t>MAT.</t>
  </si>
  <si>
    <t>LABOR</t>
  </si>
  <si>
    <t>EQUIP.</t>
  </si>
  <si>
    <t>OTHER</t>
  </si>
  <si>
    <t>UNIT RATE</t>
  </si>
  <si>
    <t>ESTIMATED COST</t>
  </si>
  <si>
    <t>% CHG</t>
  </si>
  <si>
    <t>Mat</t>
  </si>
  <si>
    <t>Lab</t>
  </si>
  <si>
    <t>Laborer</t>
  </si>
  <si>
    <t>Rate</t>
  </si>
  <si>
    <t>Productivity</t>
  </si>
  <si>
    <t>Equip</t>
  </si>
  <si>
    <t>Base Cost</t>
  </si>
  <si>
    <t>ID</t>
  </si>
  <si>
    <t>01  GENERAL REQUIREMENTS</t>
  </si>
  <si>
    <t>02  EXISTING CONDITIONS</t>
  </si>
  <si>
    <t>03  CONCRETE</t>
  </si>
  <si>
    <t>04  MASONRY</t>
  </si>
  <si>
    <t>05  METALS</t>
  </si>
  <si>
    <t>06  WOOD, PLASTICS, AND COMPOSITES</t>
  </si>
  <si>
    <t>07  THERMAL AND MOISTURE PROTECTION</t>
  </si>
  <si>
    <t>08  OPENINGS</t>
  </si>
  <si>
    <t>09  FINISHES</t>
  </si>
  <si>
    <t>10  SPECIALTIES</t>
  </si>
  <si>
    <t>11  EQUIPMENT</t>
  </si>
  <si>
    <t>12  FURNISHINGS</t>
  </si>
  <si>
    <t>13  SPECIAL CONSTRUCTION</t>
  </si>
  <si>
    <t>14  CONVEYING EQUIPMENT</t>
  </si>
  <si>
    <t>21  FIRE SUPPRESSION</t>
  </si>
  <si>
    <t>22  PLUMBING</t>
  </si>
  <si>
    <t>23  HEATING, VENTILATING, AND AIR CONDITIONING</t>
  </si>
  <si>
    <t>26  ELECTRICAL</t>
  </si>
  <si>
    <t>27  COMMUNICATIONS</t>
  </si>
  <si>
    <t>28  ELECTRONIC SAFETY AND SECURITY</t>
  </si>
  <si>
    <t>31  EARTHWORK</t>
  </si>
  <si>
    <t>32  EXTERIOR IMPROVEMENTS</t>
  </si>
  <si>
    <t>33  UTILITIES</t>
  </si>
  <si>
    <t>34  TRANSPORTATION</t>
  </si>
  <si>
    <t>35  WATERWAY AND MARINE</t>
  </si>
  <si>
    <t>41  MATERIAL PROCESSING AND HANDLING EQUIPMENT</t>
  </si>
  <si>
    <t>44  POLLUTION CONTROL EQUIPMENT</t>
  </si>
  <si>
    <t>I</t>
  </si>
  <si>
    <t>/SF</t>
  </si>
  <si>
    <t>b</t>
  </si>
  <si>
    <t>Demolition</t>
  </si>
  <si>
    <t>c</t>
  </si>
  <si>
    <t>FLOOR PREPARATION</t>
  </si>
  <si>
    <t>Sandblast slab, remove residue</t>
  </si>
  <si>
    <t>SF</t>
  </si>
  <si>
    <t>02.00.0000.0440</t>
  </si>
  <si>
    <t>REMOVE HARDSCAPE</t>
  </si>
  <si>
    <t>Concrete pavement, small area</t>
  </si>
  <si>
    <t>02.00.0000.0450</t>
  </si>
  <si>
    <t>Concrete pavement, large area</t>
  </si>
  <si>
    <t>02.00.0000.0455</t>
  </si>
  <si>
    <t>Concrete curb and gutter</t>
  </si>
  <si>
    <t>LF</t>
  </si>
  <si>
    <t>02.00.0000.0460</t>
  </si>
  <si>
    <t>Concrete curb</t>
  </si>
  <si>
    <t>02.00.0000.0465</t>
  </si>
  <si>
    <t>Sawcut ac paving</t>
  </si>
  <si>
    <t>02.00.0000.0075</t>
  </si>
  <si>
    <t>Sawcut concrete</t>
  </si>
  <si>
    <t>02.00.0000.0080</t>
  </si>
  <si>
    <t>Grind asphalt surface</t>
  </si>
  <si>
    <t>02.00.0000.0270</t>
  </si>
  <si>
    <t>Hazardous materials/abatement</t>
  </si>
  <si>
    <t>ASBESTOS REMOVAL</t>
  </si>
  <si>
    <t>Vinyl asbestos floor tile</t>
  </si>
  <si>
    <t>02.00.0000.0360</t>
  </si>
  <si>
    <t>Asbestos fireproofing at ceiling</t>
  </si>
  <si>
    <t>02.00.0000.0370</t>
  </si>
  <si>
    <t>LEAD PAINT ABATEMENT</t>
  </si>
  <si>
    <t>Metal/wood siding</t>
  </si>
  <si>
    <t>02.00.0000.0380</t>
  </si>
  <si>
    <t>Door</t>
  </si>
  <si>
    <t>02.00.0000.0390</t>
  </si>
  <si>
    <t>d</t>
  </si>
  <si>
    <t>Continuous footings</t>
  </si>
  <si>
    <t>Excavation</t>
  </si>
  <si>
    <t>CY</t>
  </si>
  <si>
    <t>31.10.1000.0005</t>
  </si>
  <si>
    <t>Formwork</t>
  </si>
  <si>
    <t>03.00.0000.0005</t>
  </si>
  <si>
    <t>Rebar</t>
  </si>
  <si>
    <t>LBS</t>
  </si>
  <si>
    <t>03.10.0000.0005</t>
  </si>
  <si>
    <t>Concrete</t>
  </si>
  <si>
    <t>03.20.0000.0105</t>
  </si>
  <si>
    <t>Backfill</t>
  </si>
  <si>
    <t>31.10.1000.0010</t>
  </si>
  <si>
    <t>Haul</t>
  </si>
  <si>
    <t>31.10.1000.0020</t>
  </si>
  <si>
    <t>Spread footings</t>
  </si>
  <si>
    <t>03.20.0000.0100</t>
  </si>
  <si>
    <t>Pile caps</t>
  </si>
  <si>
    <t>Grade beams</t>
  </si>
  <si>
    <t>03.20.0000.0110</t>
  </si>
  <si>
    <t>s</t>
  </si>
  <si>
    <t>03.20.0000.0010</t>
  </si>
  <si>
    <t>03.20.0000.0005</t>
  </si>
  <si>
    <t>03.20.0000.0020</t>
  </si>
  <si>
    <t>03.20.0000.0050</t>
  </si>
  <si>
    <t>Slab on grade</t>
  </si>
  <si>
    <t>03.00.0000.0010</t>
  </si>
  <si>
    <t>03.20.0000.0120</t>
  </si>
  <si>
    <t>Thickened edge</t>
  </si>
  <si>
    <t>03.20.3000.0020</t>
  </si>
  <si>
    <t>LB</t>
  </si>
  <si>
    <t>Sub-base course</t>
  </si>
  <si>
    <t>03.20.2000.0015</t>
  </si>
  <si>
    <t>Sand base course - double layer</t>
  </si>
  <si>
    <t>03.20.2000.0045</t>
  </si>
  <si>
    <t>Vapor barrier</t>
  </si>
  <si>
    <t>03.20.2000.0020</t>
  </si>
  <si>
    <t>Float finish</t>
  </si>
  <si>
    <t>03.20.2000.0055</t>
  </si>
  <si>
    <t>Reinforced concrete slab, 4" thick</t>
  </si>
  <si>
    <t>03.20.3000.0000</t>
  </si>
  <si>
    <t>Reinforced concrete slab, 5" thick</t>
  </si>
  <si>
    <t>03.20.3000.0005</t>
  </si>
  <si>
    <t>Reinforced concrete slab, 6" thick</t>
  </si>
  <si>
    <t>03.20.3000.0010</t>
  </si>
  <si>
    <t>Reinforced concrete slab, 8" thick</t>
  </si>
  <si>
    <t>03.20.3000.0015</t>
  </si>
  <si>
    <t>Miscellaneous</t>
  </si>
  <si>
    <t>Depressed slab, premium</t>
  </si>
  <si>
    <t>03.20.2000.0005</t>
  </si>
  <si>
    <t>Topping, concrete</t>
  </si>
  <si>
    <t>2"</t>
  </si>
  <si>
    <t>03.20.1000.0005</t>
  </si>
  <si>
    <t>3"</t>
  </si>
  <si>
    <t>03.20.1000.0010</t>
  </si>
  <si>
    <t>Fall to outlet, premium</t>
  </si>
  <si>
    <t>03.20.2000.0010</t>
  </si>
  <si>
    <t>Elevator pit</t>
  </si>
  <si>
    <t>Single</t>
  </si>
  <si>
    <t>EA</t>
  </si>
  <si>
    <t>03.20.2000.0035</t>
  </si>
  <si>
    <t>Double</t>
  </si>
  <si>
    <t>03.20.2000.0040</t>
  </si>
  <si>
    <t>03.20.2000.0025</t>
  </si>
  <si>
    <t>Coloring, premium</t>
  </si>
  <si>
    <t>03.20.2000.0050</t>
  </si>
  <si>
    <t>Staining, premium</t>
  </si>
  <si>
    <t>03.20.2000.0065</t>
  </si>
  <si>
    <t>w</t>
  </si>
  <si>
    <t>to transition/connection to existing concrete surfaces</t>
  </si>
  <si>
    <t>Dowel</t>
  </si>
  <si>
    <t>03.20.2000.0030</t>
  </si>
  <si>
    <t>Sandblast</t>
  </si>
  <si>
    <t>03.00.1000.0015</t>
  </si>
  <si>
    <t>Control joint</t>
  </si>
  <si>
    <t>03.20.2000.0070</t>
  </si>
  <si>
    <t>03.00.1000.0025</t>
  </si>
  <si>
    <t>Hold down bracket</t>
  </si>
  <si>
    <t>03.00.1000.0035</t>
  </si>
  <si>
    <t>Basement walls</t>
  </si>
  <si>
    <t>Footings included in above - Foundations</t>
  </si>
  <si>
    <t>03.00.0000.0020</t>
  </si>
  <si>
    <t>8" thick</t>
  </si>
  <si>
    <t>03.20.0000.0115</t>
  </si>
  <si>
    <t>based on 250 lbs/cy</t>
  </si>
  <si>
    <t>Sack and patch</t>
  </si>
  <si>
    <t>03.20.2000.0060</t>
  </si>
  <si>
    <t>n</t>
  </si>
  <si>
    <t>BASED ON 8" THICK WALL</t>
  </si>
  <si>
    <t>Concrete retaining wall, reinforced</t>
  </si>
  <si>
    <t>03.20.0000.0045</t>
  </si>
  <si>
    <t>Fill, metal deck</t>
  </si>
  <si>
    <t>Concrete, lightweight</t>
  </si>
  <si>
    <t>03.20.0000.0145</t>
  </si>
  <si>
    <t>03.20.0000.0140</t>
  </si>
  <si>
    <t>Reinforcing wire mesh</t>
  </si>
  <si>
    <t>03.10.0000.0010</t>
  </si>
  <si>
    <t>NOTE: FOR CONCRETE STRUCTURE</t>
  </si>
  <si>
    <t>Suspended structural slab</t>
  </si>
  <si>
    <t>03.00.0000.0035</t>
  </si>
  <si>
    <t>03.20.0000.0135</t>
  </si>
  <si>
    <t>typically allow 0.75 lb/sf for parking structure</t>
  </si>
  <si>
    <t>Post tensioning</t>
  </si>
  <si>
    <t>03.10.0000.0015</t>
  </si>
  <si>
    <t>03.20.0000.0040</t>
  </si>
  <si>
    <t>Beams</t>
  </si>
  <si>
    <t>03.00.0000.0040</t>
  </si>
  <si>
    <t>03.20.0000.0130</t>
  </si>
  <si>
    <t>Concrete, beams</t>
  </si>
  <si>
    <t>03.20.0000.0030</t>
  </si>
  <si>
    <t>Columns</t>
  </si>
  <si>
    <t>03.00.0000.0030</t>
  </si>
  <si>
    <t>03.20.0000.0125</t>
  </si>
  <si>
    <t>Concrete, columns</t>
  </si>
  <si>
    <t>03.20.0000.0035</t>
  </si>
  <si>
    <t>Concrete stair, cast in place, including rebar</t>
  </si>
  <si>
    <t>Riser</t>
  </si>
  <si>
    <t>LFR</t>
  </si>
  <si>
    <t>03.20.0000.0155</t>
  </si>
  <si>
    <t>Landing</t>
  </si>
  <si>
    <t>03.20.0000.0165</t>
  </si>
  <si>
    <t>Tilt-up</t>
  </si>
  <si>
    <t>Wall panel, 5-1/2" including rebar</t>
  </si>
  <si>
    <t>03.20.6000.0005</t>
  </si>
  <si>
    <t>Wall panel, 7-1/2" including rebar</t>
  </si>
  <si>
    <t>03.20.6000.0010</t>
  </si>
  <si>
    <t>Wall panel, 5-1/2" including pilasters and rebar</t>
  </si>
  <si>
    <t>03.20.6000.0015</t>
  </si>
  <si>
    <t>Wall panel, 7-1/2" including pilasters and rebar</t>
  </si>
  <si>
    <t>03.20.6000.0020</t>
  </si>
  <si>
    <t>Tilt-up wall, 5-1/2"</t>
  </si>
  <si>
    <t>03.20.6000.0030</t>
  </si>
  <si>
    <t>Tilt-up wall, 7-1/2"</t>
  </si>
  <si>
    <t>03.20.6000.0035</t>
  </si>
  <si>
    <t>CMU, precision block filled and reinforced</t>
  </si>
  <si>
    <t>6" thick</t>
  </si>
  <si>
    <t>04.00.0000.0030</t>
  </si>
  <si>
    <t>04.00.0000.0035</t>
  </si>
  <si>
    <t>12" thick</t>
  </si>
  <si>
    <t>04.00.0000.0040</t>
  </si>
  <si>
    <t>CMU, burnished block filled and reinforced</t>
  </si>
  <si>
    <t>04.00.0000.0005</t>
  </si>
  <si>
    <t>04.00.0000.0010</t>
  </si>
  <si>
    <t>10" thick</t>
  </si>
  <si>
    <t>04.00.0000.0015</t>
  </si>
  <si>
    <t>04.00.0000.0020</t>
  </si>
  <si>
    <t>CMU, split faced filled and reinforced</t>
  </si>
  <si>
    <t>04.00.0000.0055</t>
  </si>
  <si>
    <t>04.00.0000.0060</t>
  </si>
  <si>
    <t>Lintels</t>
  </si>
  <si>
    <t>04.00.0000.0045</t>
  </si>
  <si>
    <t>Brick veneer</t>
  </si>
  <si>
    <t>04.00.0000.0070</t>
  </si>
  <si>
    <t>Structural steel</t>
  </si>
  <si>
    <t>Wide flange</t>
  </si>
  <si>
    <t>TON</t>
  </si>
  <si>
    <t>05.00.0000.0010</t>
  </si>
  <si>
    <t>Piping and tube steel</t>
  </si>
  <si>
    <t>05.00.0000.0015</t>
  </si>
  <si>
    <t>Miscellaneous angles and channels</t>
  </si>
  <si>
    <t>05.00.0000.0020</t>
  </si>
  <si>
    <t>Moment connections</t>
  </si>
  <si>
    <t>05.00.0000.0025</t>
  </si>
  <si>
    <t>Anchors and baseplates</t>
  </si>
  <si>
    <t>05.00.0000.0030</t>
  </si>
  <si>
    <t>05.00.0000.0005</t>
  </si>
  <si>
    <t>Floor</t>
  </si>
  <si>
    <t>Metal deck</t>
  </si>
  <si>
    <t>1-1/2"</t>
  </si>
  <si>
    <t>05.20.0000.0005</t>
  </si>
  <si>
    <t>05.20.0000.0010</t>
  </si>
  <si>
    <t>05.20.0000.0015</t>
  </si>
  <si>
    <t xml:space="preserve">Epicore, acoustical </t>
  </si>
  <si>
    <t>05.20.0000.0040</t>
  </si>
  <si>
    <t>Roof</t>
  </si>
  <si>
    <t>05.20.0000.0030</t>
  </si>
  <si>
    <t>05.20.0000.0035</t>
  </si>
  <si>
    <t>Longspan joist up to 96' 0" span - REFERENCE ONLY</t>
  </si>
  <si>
    <t>Longspan joist, 18LH04</t>
  </si>
  <si>
    <t>05.10.0000.0010</t>
  </si>
  <si>
    <t>Longspan joist, 18LH08</t>
  </si>
  <si>
    <t>05.10.0000.0015</t>
  </si>
  <si>
    <t>Longspan joist, 20LH04</t>
  </si>
  <si>
    <t>05.10.0000.0020</t>
  </si>
  <si>
    <t>Longspan joist, 20LH08</t>
  </si>
  <si>
    <t>05.10.0000.0025</t>
  </si>
  <si>
    <t>Longspan joist, 24LH05</t>
  </si>
  <si>
    <t>05.10.0000.0030</t>
  </si>
  <si>
    <t>Longspan joist, 24LH10</t>
  </si>
  <si>
    <t>05.10.0000.0035</t>
  </si>
  <si>
    <t>Longspan joist, 28LH06</t>
  </si>
  <si>
    <t>05.10.0000.0040</t>
  </si>
  <si>
    <t>Longspan joist, 28LH11</t>
  </si>
  <si>
    <t>05.10.0000.0045</t>
  </si>
  <si>
    <t>Connections and hardware</t>
  </si>
  <si>
    <t>05.10.0000.0050</t>
  </si>
  <si>
    <t>Open web bar joist up to 30' 0" span - REFERENCE ONLY</t>
  </si>
  <si>
    <t>Open web bar joist, 8K1</t>
  </si>
  <si>
    <t>05.10.0000.0065</t>
  </si>
  <si>
    <t>Open web bar joist 10K1</t>
  </si>
  <si>
    <t>05.10.0000.0070</t>
  </si>
  <si>
    <t>Open web bar joist 14K3</t>
  </si>
  <si>
    <t>05.10.0000.0075</t>
  </si>
  <si>
    <t>Open web bar joist 16K3</t>
  </si>
  <si>
    <t>05.10.0000.0080</t>
  </si>
  <si>
    <t xml:space="preserve">Open web bar joist 16K6 </t>
  </si>
  <si>
    <t>05.10.0000.0085</t>
  </si>
  <si>
    <t>Open web steel joist</t>
  </si>
  <si>
    <t>Metal stair, concrete filled</t>
  </si>
  <si>
    <t>05.40.0000.0005</t>
  </si>
  <si>
    <t>05.40.0000.0010</t>
  </si>
  <si>
    <t>Guardrail</t>
  </si>
  <si>
    <t>05.40.1000.0020</t>
  </si>
  <si>
    <t>Handrail, wall mounted</t>
  </si>
  <si>
    <t>05.40.1000.0005</t>
  </si>
  <si>
    <t>Handrail, floor mounted</t>
  </si>
  <si>
    <t>05.40.1000.0010</t>
  </si>
  <si>
    <t>Metal ladder</t>
  </si>
  <si>
    <t>Roof access ladder</t>
  </si>
  <si>
    <t>VLF</t>
  </si>
  <si>
    <t>05.40.0000.0020</t>
  </si>
  <si>
    <t>TJI, including blocking and bridging - FOR LIGHT STRUCTURES AND SHORT SPANS</t>
  </si>
  <si>
    <t>(15' 0" to 24' 0" span minimum)</t>
  </si>
  <si>
    <t>Wood I joists at 24" o.c.</t>
  </si>
  <si>
    <t>06.00.4000.0005</t>
  </si>
  <si>
    <t>(15' 0" to 24' 0" span average)</t>
  </si>
  <si>
    <t>06.00.4000.0010</t>
  </si>
  <si>
    <t>(15' 0" to 24' 0" span maximum)</t>
  </si>
  <si>
    <t>06.00.4000.0015</t>
  </si>
  <si>
    <t>(24' 0" to 30' 0" minimum)</t>
  </si>
  <si>
    <t>06.00.4000.0020</t>
  </si>
  <si>
    <t>(24' 0" to 30' 0" average)</t>
  </si>
  <si>
    <t>06.00.4000.0025</t>
  </si>
  <si>
    <t>(24' 0" to 30' 0" maximum)</t>
  </si>
  <si>
    <t>06.00.4000.0030</t>
  </si>
  <si>
    <t>06.00.4000.0035</t>
  </si>
  <si>
    <t>TJI, including blocking and bridging - FOR LONG SPAN CONSTRUCTION</t>
  </si>
  <si>
    <t>(minimum)</t>
  </si>
  <si>
    <t>Wood I joists at 48" o.c.</t>
  </si>
  <si>
    <t>06.00.4000.0055</t>
  </si>
  <si>
    <t>(average)</t>
  </si>
  <si>
    <t>06.00.4000.0060</t>
  </si>
  <si>
    <t>(maximum)</t>
  </si>
  <si>
    <t>06.00.4000.0065</t>
  </si>
  <si>
    <t>Wood I joists at 32" o.c.</t>
  </si>
  <si>
    <t>06.00.4000.0070</t>
  </si>
  <si>
    <t>06.00.4000.0075</t>
  </si>
  <si>
    <t>06.00.4000.0080</t>
  </si>
  <si>
    <t>Truss</t>
  </si>
  <si>
    <t>(24' 0" to 29' 0" span)</t>
  </si>
  <si>
    <t>Wood 2' 0" o.c.</t>
  </si>
  <si>
    <t>06.00.4000.0090</t>
  </si>
  <si>
    <t>(30' 0" to 43' 0" span)</t>
  </si>
  <si>
    <t>06.00.4000.0095</t>
  </si>
  <si>
    <t>(44' 0" to 60' 0" span)</t>
  </si>
  <si>
    <t>06.00.4000.0100</t>
  </si>
  <si>
    <t>Glulam, straight</t>
  </si>
  <si>
    <t>BF</t>
  </si>
  <si>
    <t>06.00.5000.0005</t>
  </si>
  <si>
    <t>(per each fixed end or joint)</t>
  </si>
  <si>
    <t>Connections and hardware, Allowance</t>
  </si>
  <si>
    <t>06.00.5000.0020</t>
  </si>
  <si>
    <t>Glulam, curved</t>
  </si>
  <si>
    <t>06.00.5000.0010</t>
  </si>
  <si>
    <t>Framing, 3" x 8", typically between glulam beams</t>
  </si>
  <si>
    <t>06.00.5000.0015</t>
  </si>
  <si>
    <t>Interior partitions</t>
  </si>
  <si>
    <t>Framing</t>
  </si>
  <si>
    <t>4"</t>
  </si>
  <si>
    <t>06.00.0000.0005</t>
  </si>
  <si>
    <t>6"</t>
  </si>
  <si>
    <t>06.00.0000.0010</t>
  </si>
  <si>
    <t>Sheathing</t>
  </si>
  <si>
    <t>06.00.3000.0030</t>
  </si>
  <si>
    <t>Wood paneling</t>
  </si>
  <si>
    <t>06.10.0000.0020</t>
  </si>
  <si>
    <t>Exterior walls</t>
  </si>
  <si>
    <t>Fiber cement siding</t>
  </si>
  <si>
    <t>07.50.2000.0025</t>
  </si>
  <si>
    <t>Corrugated metal, paint finish</t>
  </si>
  <si>
    <t>07.50.2000.0010</t>
  </si>
  <si>
    <t>Insulation, batt</t>
  </si>
  <si>
    <t>07.10.0000.0005</t>
  </si>
  <si>
    <t>07.10.0000.0010</t>
  </si>
  <si>
    <t>Building paper</t>
  </si>
  <si>
    <t>07.20.0000.0005</t>
  </si>
  <si>
    <t>Waterproofing with fiberboard protection</t>
  </si>
  <si>
    <t>07.00.1000.0015</t>
  </si>
  <si>
    <t>Roofing</t>
  </si>
  <si>
    <t>Standing seam metal roof</t>
  </si>
  <si>
    <t>07.50.0000.0005</t>
  </si>
  <si>
    <t>Single ply membrane</t>
  </si>
  <si>
    <t>07.60.0000.0015</t>
  </si>
  <si>
    <t>Rigid insulation</t>
  </si>
  <si>
    <t>07.10.1000.0010</t>
  </si>
  <si>
    <t>Cant strip</t>
  </si>
  <si>
    <t>07.80.0000.0035</t>
  </si>
  <si>
    <t>Walkpad</t>
  </si>
  <si>
    <t>07.80.0000.0085</t>
  </si>
  <si>
    <t>Flashing and sheet metal</t>
  </si>
  <si>
    <t>Reglet</t>
  </si>
  <si>
    <t>07.80.0000.0045</t>
  </si>
  <si>
    <t>Flashing</t>
  </si>
  <si>
    <t>07.70.0000.0005</t>
  </si>
  <si>
    <t>Downspout</t>
  </si>
  <si>
    <t>07.80.0000.0010</t>
  </si>
  <si>
    <t>Gutter</t>
  </si>
  <si>
    <t>07.80.0000.0025</t>
  </si>
  <si>
    <t>Access hatch</t>
  </si>
  <si>
    <t>07.80.0000.0070</t>
  </si>
  <si>
    <t>Fire protection</t>
  </si>
  <si>
    <t>07.90.0000.0010</t>
  </si>
  <si>
    <t>Deck</t>
  </si>
  <si>
    <t>07.90.0000.0005</t>
  </si>
  <si>
    <t>Exterior doors</t>
  </si>
  <si>
    <t>Aluminum fully glazed including frame and hardware</t>
  </si>
  <si>
    <t>08.00.0000.0005</t>
  </si>
  <si>
    <t>PR</t>
  </si>
  <si>
    <t>08.00.0000.0010</t>
  </si>
  <si>
    <t>Wood including frame and hardware</t>
  </si>
  <si>
    <t>08.00.0000.0055</t>
  </si>
  <si>
    <t>08.00.0000.0060</t>
  </si>
  <si>
    <t>Hollow metal including frame and hardware</t>
  </si>
  <si>
    <t>08.00.0000.0025</t>
  </si>
  <si>
    <t>08.00.0000.0030</t>
  </si>
  <si>
    <t>Coiling door, steel, 10' 0" x 10' 0"</t>
  </si>
  <si>
    <t>08.10.1000.0005</t>
  </si>
  <si>
    <t>Coiling door, steel, 10' 0" x 14' 0"</t>
  </si>
  <si>
    <t>08.10.1000.0010</t>
  </si>
  <si>
    <t>Vision panel</t>
  </si>
  <si>
    <t>08.00.0000.0080</t>
  </si>
  <si>
    <t>Closer</t>
  </si>
  <si>
    <t>08.50.0000.0030</t>
  </si>
  <si>
    <t>Panic hardware</t>
  </si>
  <si>
    <t>08.50.0000.0005</t>
  </si>
  <si>
    <t>Card reader</t>
  </si>
  <si>
    <t>08.50.1000.0010</t>
  </si>
  <si>
    <t>Exterior windows</t>
  </si>
  <si>
    <t>Storefront</t>
  </si>
  <si>
    <t>08.20.1000.0005</t>
  </si>
  <si>
    <t>Curtainwall</t>
  </si>
  <si>
    <t>08.20.2000.0005</t>
  </si>
  <si>
    <t>Aluminum</t>
  </si>
  <si>
    <t>08.30.0000.0005</t>
  </si>
  <si>
    <t>Skylight</t>
  </si>
  <si>
    <t>08.40.0000.0005</t>
  </si>
  <si>
    <t>Interior doors</t>
  </si>
  <si>
    <t>Interior windows</t>
  </si>
  <si>
    <t>Exterior</t>
  </si>
  <si>
    <t>Framing, metal stud</t>
  </si>
  <si>
    <t>16" o.c.</t>
  </si>
  <si>
    <t>09.00.0000.0030</t>
  </si>
  <si>
    <t>24" o.c.</t>
  </si>
  <si>
    <t>09.00.0000.0035</t>
  </si>
  <si>
    <t>09.00.0000.0040</t>
  </si>
  <si>
    <t>09.00.0000.0045</t>
  </si>
  <si>
    <t>DensGlass</t>
  </si>
  <si>
    <t>09.00.0000.0130</t>
  </si>
  <si>
    <t>cheapest</t>
  </si>
  <si>
    <t>Cement plaster</t>
  </si>
  <si>
    <t>09.00.0000.0085</t>
  </si>
  <si>
    <t>modified - mid range</t>
  </si>
  <si>
    <t>09.00.0000.0095</t>
  </si>
  <si>
    <t>modified - most expensive</t>
  </si>
  <si>
    <t>09.00.0000.0090</t>
  </si>
  <si>
    <t>Sheathing, plywood</t>
  </si>
  <si>
    <t>Gypsum board</t>
  </si>
  <si>
    <t>Taped and finished</t>
  </si>
  <si>
    <t>09.00.0000.0120</t>
  </si>
  <si>
    <t>Underlayment</t>
  </si>
  <si>
    <t>09.00.0000.0135</t>
  </si>
  <si>
    <t>Paint</t>
  </si>
  <si>
    <t>09.60.0000.0010</t>
  </si>
  <si>
    <t>Soffit</t>
  </si>
  <si>
    <t>09.00.0000.0050</t>
  </si>
  <si>
    <t>Interior</t>
  </si>
  <si>
    <t>Wall</t>
  </si>
  <si>
    <t>Framing, wood stud</t>
  </si>
  <si>
    <t>Shaft wall</t>
  </si>
  <si>
    <t>Shaft liner</t>
  </si>
  <si>
    <t>09.00.0000.0140</t>
  </si>
  <si>
    <t>09.60.0000.0005</t>
  </si>
  <si>
    <t>Ceramic tile</t>
  </si>
  <si>
    <t>09.10.0000.0010</t>
  </si>
  <si>
    <t>Acoustic wall panels</t>
  </si>
  <si>
    <t>Wood grained</t>
  </si>
  <si>
    <t>09.50.0000.0005</t>
  </si>
  <si>
    <t>Fabric, 1"</t>
  </si>
  <si>
    <t>09.50.0000.0010</t>
  </si>
  <si>
    <t>Fabric, 2"</t>
  </si>
  <si>
    <t>09.50.0000.0015</t>
  </si>
  <si>
    <t>Carpet</t>
  </si>
  <si>
    <t>09.30.5000.0005</t>
  </si>
  <si>
    <t>Carpet tile</t>
  </si>
  <si>
    <t>09.30.5000.0010</t>
  </si>
  <si>
    <t>Linoleum</t>
  </si>
  <si>
    <t>09.30.3000.0010</t>
  </si>
  <si>
    <t xml:space="preserve">VCT </t>
  </si>
  <si>
    <t>09.30.3000.0015</t>
  </si>
  <si>
    <t>Sheet vinyl</t>
  </si>
  <si>
    <t>09.30.3000.0025</t>
  </si>
  <si>
    <t>09.10.0000.0005</t>
  </si>
  <si>
    <t>Concrete, sealer</t>
  </si>
  <si>
    <t>09.30.1000.0005</t>
  </si>
  <si>
    <t>Terrazzo, thick set</t>
  </si>
  <si>
    <t>09.30.4000.0005</t>
  </si>
  <si>
    <t>Terrazzo, epoxy</t>
  </si>
  <si>
    <t>09.30.4000.0010</t>
  </si>
  <si>
    <t>Stone</t>
  </si>
  <si>
    <t>09.30.1000.0040</t>
  </si>
  <si>
    <t>Rubber</t>
  </si>
  <si>
    <t>09.30.3000.0030</t>
  </si>
  <si>
    <t>Epoxy</t>
  </si>
  <si>
    <t>09.30.3000.0005</t>
  </si>
  <si>
    <t>Base</t>
  </si>
  <si>
    <t>09.30.0000.0010</t>
  </si>
  <si>
    <t>09.30.0000.0005</t>
  </si>
  <si>
    <t>Wood</t>
  </si>
  <si>
    <t>09.30.0000.0020</t>
  </si>
  <si>
    <t>Ceiling</t>
  </si>
  <si>
    <t>ACT</t>
  </si>
  <si>
    <t>09.20.0000.0005</t>
  </si>
  <si>
    <t>NOTE: Hard lid includes framing, gyp bd, tape and finish</t>
  </si>
  <si>
    <t>Hard lid</t>
  </si>
  <si>
    <t>09.20.1000.0005</t>
  </si>
  <si>
    <t>NOTE: Soffit includes framing, gyp bd, tape and finish</t>
  </si>
  <si>
    <t xml:space="preserve">Paint </t>
  </si>
  <si>
    <t>Restroom accessories</t>
  </si>
  <si>
    <t>Partition</t>
  </si>
  <si>
    <t>10.10.0000.0005</t>
  </si>
  <si>
    <t>Partition, ADA</t>
  </si>
  <si>
    <t>10.10.0000.0010</t>
  </si>
  <si>
    <t>Urinal screen</t>
  </si>
  <si>
    <t>10.10.0000.0015</t>
  </si>
  <si>
    <t>Grab bar set</t>
  </si>
  <si>
    <t>10.10.3000.0135</t>
  </si>
  <si>
    <t>Paper towel dispenser</t>
  </si>
  <si>
    <t>10.10.3000.0010</t>
  </si>
  <si>
    <t>Paper towel dispenser and waste receptacle</t>
  </si>
  <si>
    <t>10.10.3000.0020</t>
  </si>
  <si>
    <t>Soap dispenser</t>
  </si>
  <si>
    <t>10.10.3000.0035</t>
  </si>
  <si>
    <t>Feminine napkin dispenser</t>
  </si>
  <si>
    <t>10.10.3000.0110</t>
  </si>
  <si>
    <t>Feminine napkin dispenser, 1 coin</t>
  </si>
  <si>
    <t>10.10.3000.0115</t>
  </si>
  <si>
    <t>Feminine napkin disposal</t>
  </si>
  <si>
    <t>10.10.3000.0125</t>
  </si>
  <si>
    <t>Toilet seat cover dispenser</t>
  </si>
  <si>
    <t>10.10.3000.0075</t>
  </si>
  <si>
    <t>Toilet tissue dispenser</t>
  </si>
  <si>
    <t>10.10.3000.0080</t>
  </si>
  <si>
    <t>10.10.3000.0085</t>
  </si>
  <si>
    <t>Toilet tissue, seat cover dispenser</t>
  </si>
  <si>
    <t>10.10.3000.0095</t>
  </si>
  <si>
    <t>Toilet tissue, seat cover dispenser, and napkin disposal</t>
  </si>
  <si>
    <t>10.10.3000.0105</t>
  </si>
  <si>
    <t>Robe hook</t>
  </si>
  <si>
    <t>10.10.3000.0140</t>
  </si>
  <si>
    <t>Mirror, metal frame</t>
  </si>
  <si>
    <t>10.10.3000.0040</t>
  </si>
  <si>
    <t>Mirror, metal frame and shelf</t>
  </si>
  <si>
    <t>10.10.3000.0045</t>
  </si>
  <si>
    <t>Markerboard</t>
  </si>
  <si>
    <t>10.00.0000.0005</t>
  </si>
  <si>
    <t>Tackboard</t>
  </si>
  <si>
    <t>10.00.0000.0010</t>
  </si>
  <si>
    <t>Signage</t>
  </si>
  <si>
    <t>10.00.2000.0015</t>
  </si>
  <si>
    <t>Fire extinguisher and recessed cabinet</t>
  </si>
  <si>
    <t>10.20.0000.0010</t>
  </si>
  <si>
    <t>Casework</t>
  </si>
  <si>
    <t>Base cabinet, wood standard</t>
  </si>
  <si>
    <t>12.00.0000.0005</t>
  </si>
  <si>
    <t>Base cabinet, wood custom</t>
  </si>
  <si>
    <t>12.00.0000.0010</t>
  </si>
  <si>
    <t>Base cabinet, plastic laminate</t>
  </si>
  <si>
    <t>12.00.0000.0015</t>
  </si>
  <si>
    <t>Wall cabinet, wood standard</t>
  </si>
  <si>
    <t>12.00.0000.0020</t>
  </si>
  <si>
    <t>Wall cabinet, wood custom</t>
  </si>
  <si>
    <t>12.00.0000.0025</t>
  </si>
  <si>
    <t>Wall cabinet, plastic laminate</t>
  </si>
  <si>
    <t>12.00.0000.0030</t>
  </si>
  <si>
    <t>Full height wall cabinet, wood</t>
  </si>
  <si>
    <t>12.00.0000.0035</t>
  </si>
  <si>
    <t>Full height wall cabinet, plastic laminate</t>
  </si>
  <si>
    <t>12.00.0000.0040</t>
  </si>
  <si>
    <r>
      <t xml:space="preserve">Countertop, plastic laminate </t>
    </r>
    <r>
      <rPr>
        <sz val="10"/>
        <color indexed="10"/>
        <rFont val="Calibri"/>
        <family val="2"/>
      </rPr>
      <t>(very cheap, low quality)</t>
    </r>
  </si>
  <si>
    <t>12.00.0000.0045</t>
  </si>
  <si>
    <t>Countertop, plastic laminate</t>
  </si>
  <si>
    <t>12.00.0000.0050</t>
  </si>
  <si>
    <t>Countertop, plastic laminate with backsplash</t>
  </si>
  <si>
    <t>12.00.0000.0055</t>
  </si>
  <si>
    <t>Countertop, epoxy solid surface</t>
  </si>
  <si>
    <t>12.00.0000.0060</t>
  </si>
  <si>
    <t>Countertop, epoxy solid surface with backsplash</t>
  </si>
  <si>
    <t>12.00.0000.0065</t>
  </si>
  <si>
    <t>Vanity countertop</t>
  </si>
  <si>
    <t>10.10.3000.0055</t>
  </si>
  <si>
    <t>Blinds</t>
  </si>
  <si>
    <t>12.40.0000.0010</t>
  </si>
  <si>
    <t>Mecho shades</t>
  </si>
  <si>
    <t>12.40.0000.0005</t>
  </si>
  <si>
    <t>Clearing and grubbing</t>
  </si>
  <si>
    <t>Remove tree, small</t>
  </si>
  <si>
    <t>31.00.0000.0020</t>
  </si>
  <si>
    <t xml:space="preserve">Remove tree, medium </t>
  </si>
  <si>
    <t>31.00.0000.0025</t>
  </si>
  <si>
    <t>Remove tree, large</t>
  </si>
  <si>
    <t>31.00.0000.0030</t>
  </si>
  <si>
    <t>Remove planting/garden</t>
  </si>
  <si>
    <t>31.00.0000.0050</t>
  </si>
  <si>
    <t>Grading</t>
  </si>
  <si>
    <t>Rough, machine</t>
  </si>
  <si>
    <t>31.10.0000.0010</t>
  </si>
  <si>
    <t>Fine, machine</t>
  </si>
  <si>
    <t>31.10.0000.0015</t>
  </si>
  <si>
    <t>Fine, hand</t>
  </si>
  <si>
    <t>31.10.0000.0020</t>
  </si>
  <si>
    <t>Excavation and fill</t>
  </si>
  <si>
    <t>Overexcavation</t>
  </si>
  <si>
    <t>Backfill and recompact</t>
  </si>
  <si>
    <t>Engineered fill</t>
  </si>
  <si>
    <t>31.10.1000.0015</t>
  </si>
  <si>
    <t>Hardscape</t>
  </si>
  <si>
    <t>Asphaltic concrete paving, 2", on 4" base</t>
  </si>
  <si>
    <t>32.00.0000.0005</t>
  </si>
  <si>
    <t>Asphaltic concrete paving, 2", on 6" base</t>
  </si>
  <si>
    <t>32.00.0000.0010</t>
  </si>
  <si>
    <t>Asphaltic concrete paving, 3", on 8" base</t>
  </si>
  <si>
    <t>32.00.0000.0020</t>
  </si>
  <si>
    <t>Concrete paving, 4"</t>
  </si>
  <si>
    <t>32.40.2000.0015</t>
  </si>
  <si>
    <t>Concrete paving, 6"</t>
  </si>
  <si>
    <t>32.40.2000.0020</t>
  </si>
  <si>
    <t>Ramp, premium</t>
  </si>
  <si>
    <t>32.40.2000.0095</t>
  </si>
  <si>
    <t>Curb</t>
  </si>
  <si>
    <t>32.40.3000.0005</t>
  </si>
  <si>
    <t>Curb and gutter</t>
  </si>
  <si>
    <t>32.40.3000.0010</t>
  </si>
  <si>
    <t>Paving specialties</t>
  </si>
  <si>
    <t>Striped parking stall</t>
  </si>
  <si>
    <t>32.00.5000.0025</t>
  </si>
  <si>
    <t>ADA symbol, painted</t>
  </si>
  <si>
    <t>32.00.5000.0040</t>
  </si>
  <si>
    <t>Pole mounted sign</t>
  </si>
  <si>
    <t>32.00.5000.0045</t>
  </si>
  <si>
    <t>Cross hatching</t>
  </si>
  <si>
    <t>32.00.5000.0035</t>
  </si>
  <si>
    <t>Parking bumper</t>
  </si>
  <si>
    <t>32.00.5000.0010</t>
  </si>
  <si>
    <t>Softscape</t>
  </si>
  <si>
    <t>Irrigation, plant area</t>
  </si>
  <si>
    <t>32.20.0000.0005</t>
  </si>
  <si>
    <t>Irrigation, lawn area</t>
  </si>
  <si>
    <t>32.20.0000.0010</t>
  </si>
  <si>
    <t>Planting area, including shrubs and mulch</t>
  </si>
  <si>
    <t>32.30.0000.0005</t>
  </si>
  <si>
    <t>Turf</t>
  </si>
  <si>
    <t>32.30.0000.0015</t>
  </si>
  <si>
    <t>Ground cover</t>
  </si>
  <si>
    <t>32.30.1000.0005</t>
  </si>
  <si>
    <t>Shrubs</t>
  </si>
  <si>
    <t>1 gallon</t>
  </si>
  <si>
    <t>32.30.1000.0020</t>
  </si>
  <si>
    <t>5 gallon</t>
  </si>
  <si>
    <t>32.30.1000.0030</t>
  </si>
  <si>
    <t>Trees</t>
  </si>
  <si>
    <t>24" box</t>
  </si>
  <si>
    <t>32.30.1000.0040</t>
  </si>
  <si>
    <t>36" box</t>
  </si>
  <si>
    <t>32.30.1000.0045</t>
  </si>
  <si>
    <t>48" box</t>
  </si>
  <si>
    <t>32.30.1000.0050</t>
  </si>
  <si>
    <t>60" box</t>
  </si>
  <si>
    <t>32.30.1000.0055</t>
  </si>
  <si>
    <t>72" box</t>
  </si>
  <si>
    <t>32.30.1000.0060</t>
  </si>
  <si>
    <t>120" box</t>
  </si>
  <si>
    <t>32.30.1000.0065</t>
  </si>
  <si>
    <t>Palm, 12' high</t>
  </si>
  <si>
    <t>32.30.1000.0070</t>
  </si>
  <si>
    <t>Palm, 18' high</t>
  </si>
  <si>
    <t>32.30.1000.0075</t>
  </si>
  <si>
    <t>Palm, 24' high</t>
  </si>
  <si>
    <t>32.30.1000.0080</t>
  </si>
  <si>
    <t>Palm, 30' high</t>
  </si>
  <si>
    <t>32.30.1000.0085</t>
  </si>
  <si>
    <t>Soil amending</t>
  </si>
  <si>
    <t>31.10.0000.0005</t>
  </si>
  <si>
    <t>Aluminum metal edging</t>
  </si>
  <si>
    <t>32.00.3000.0020</t>
  </si>
  <si>
    <t>Decomposed granite over prepared sub base</t>
  </si>
  <si>
    <t>32.00.3000.0035</t>
  </si>
  <si>
    <t>Top soil</t>
  </si>
  <si>
    <t>32.30.1000.0090</t>
  </si>
  <si>
    <t>Mulch, wood chips, 2", hand spread</t>
  </si>
  <si>
    <t>32.30.1000.0100</t>
  </si>
  <si>
    <t>Gravel bed, 4" pea gravel</t>
  </si>
  <si>
    <t>32.30.1000.0010</t>
  </si>
  <si>
    <t>Maintenance of landscape 90 days</t>
  </si>
  <si>
    <t>32.30.0000.0020</t>
  </si>
  <si>
    <t>X</t>
  </si>
  <si>
    <t>&lt;-- DO NOT REMOVE THAT X</t>
  </si>
  <si>
    <t>Level Name</t>
  </si>
  <si>
    <t>Floor Area</t>
  </si>
  <si>
    <t>Covered Area</t>
  </si>
  <si>
    <t>Perimeter</t>
  </si>
  <si>
    <t>Floor to Floor</t>
  </si>
  <si>
    <t>TOTALS:</t>
  </si>
  <si>
    <t>Level 2</t>
  </si>
  <si>
    <t>Level 3</t>
  </si>
  <si>
    <t>Level 4</t>
  </si>
  <si>
    <t>Level 5</t>
  </si>
  <si>
    <t>Level 6</t>
  </si>
  <si>
    <t>Level 7</t>
  </si>
  <si>
    <t>Level 8</t>
  </si>
  <si>
    <t>Level 9</t>
  </si>
  <si>
    <t>Level 10</t>
  </si>
  <si>
    <t>Level 11</t>
  </si>
  <si>
    <t>Level 12</t>
  </si>
  <si>
    <t>BUILDING</t>
  </si>
  <si>
    <t>Client:</t>
  </si>
  <si>
    <t>TOTAL VARIANCE</t>
  </si>
  <si>
    <t>VARIANCE REPORT</t>
  </si>
  <si>
    <t>VARIANCE</t>
  </si>
  <si>
    <t>x</t>
  </si>
  <si>
    <t>$/SF</t>
  </si>
  <si>
    <t>BUILDING!AL15</t>
  </si>
  <si>
    <t>240540.000</t>
  </si>
  <si>
    <t>Greenville, TX</t>
  </si>
  <si>
    <t>Grace Hebert Curtis Architects</t>
  </si>
  <si>
    <t>Common Laborer</t>
  </si>
  <si>
    <t>02.00.0001.0090</t>
  </si>
  <si>
    <t>Door and frame, single</t>
  </si>
  <si>
    <t>Carpenter</t>
  </si>
  <si>
    <t>02.00.0000.0145</t>
  </si>
  <si>
    <t>Coiling door</t>
  </si>
  <si>
    <t>Metal siding, vapor barrier, insulation, and sheathing</t>
  </si>
  <si>
    <t>Haul and dispose</t>
  </si>
  <si>
    <t>PCT</t>
  </si>
  <si>
    <t>Wood siding</t>
  </si>
  <si>
    <t>02.00.0001.0095</t>
  </si>
  <si>
    <t>Metal roof, flashing, vapor barrier, insulation, sheathing</t>
  </si>
  <si>
    <t>Exterior demolition</t>
  </si>
  <si>
    <t>Interior demolition</t>
  </si>
  <si>
    <t>2CL1EO</t>
  </si>
  <si>
    <t>Cement Finishers</t>
  </si>
  <si>
    <t>Structural Steel Worker</t>
  </si>
  <si>
    <t>Roofer</t>
  </si>
  <si>
    <t>07.50.0000.0010</t>
  </si>
  <si>
    <t>07.80.0000.0090</t>
  </si>
  <si>
    <t>Downspout, sheet metal</t>
  </si>
  <si>
    <t>3CL1EO</t>
  </si>
  <si>
    <t>03.20.5000.0015</t>
  </si>
  <si>
    <t>Precast concrete splash block</t>
  </si>
  <si>
    <t>ASSEMBLY</t>
  </si>
  <si>
    <t>QTY</t>
  </si>
  <si>
    <t>SITE</t>
  </si>
  <si>
    <t>LS</t>
  </si>
  <si>
    <t xml:space="preserve">Design/engineering, rentals, tagging &amp; identification                    </t>
  </si>
  <si>
    <t>Supervision </t>
  </si>
  <si>
    <t>Plumbing fixtures</t>
  </si>
  <si>
    <t>Fixtures including rough-in</t>
  </si>
  <si>
    <t>Automatic sensor, premium</t>
  </si>
  <si>
    <t>Water closet</t>
  </si>
  <si>
    <t>Urinal</t>
  </si>
  <si>
    <t>Hose bibb</t>
  </si>
  <si>
    <t>Indirect condensate drain system</t>
  </si>
  <si>
    <t>Pipe with fittings and supports, 3/4"</t>
  </si>
  <si>
    <t>Insulation, 3/4"</t>
  </si>
  <si>
    <t>Condensate drain pan</t>
  </si>
  <si>
    <t xml:space="preserve">Condensate pump </t>
  </si>
  <si>
    <t>Testing and cleaning - Included</t>
  </si>
  <si>
    <t>NOTE</t>
  </si>
  <si>
    <t>Commissioning assistance - Included</t>
  </si>
  <si>
    <t>MEP coordination - Included</t>
  </si>
  <si>
    <t>Piping identification - Included</t>
  </si>
  <si>
    <t>Penetrations and firestopping - Included</t>
  </si>
  <si>
    <t>Supervision</t>
  </si>
  <si>
    <t>Equipment</t>
  </si>
  <si>
    <t>Ductwork, galvanized</t>
  </si>
  <si>
    <t>Ductwork insulation, 2" fiberglass</t>
  </si>
  <si>
    <t>Refrigeration piping</t>
  </si>
  <si>
    <t>Piping components and specialties</t>
  </si>
  <si>
    <t>DDC controls, connect to existing</t>
  </si>
  <si>
    <t>PTS</t>
  </si>
  <si>
    <t>Testing and balancing - Included</t>
  </si>
  <si>
    <t>Start-up and check-out - Included</t>
  </si>
  <si>
    <t>HVAC supervision - Included</t>
  </si>
  <si>
    <t>Tie into existing system</t>
  </si>
  <si>
    <t>Fire protection service</t>
  </si>
  <si>
    <t>Mechanical</t>
  </si>
  <si>
    <t>Existing mechanical demolition</t>
  </si>
  <si>
    <t>Existing plumbing demolition</t>
  </si>
  <si>
    <t xml:space="preserve">Erosion control    </t>
  </si>
  <si>
    <t>L</t>
  </si>
  <si>
    <t>W</t>
  </si>
  <si>
    <t>10 mil plastic lining</t>
  </si>
  <si>
    <t>07.00.2000.0005</t>
  </si>
  <si>
    <t>2" x 12", rough wood frame</t>
  </si>
  <si>
    <t>06.00.0000.0320</t>
  </si>
  <si>
    <t>Sandbags/berm barrier</t>
  </si>
  <si>
    <t>Hay bales, staked</t>
  </si>
  <si>
    <t>31.10.2000.0040</t>
  </si>
  <si>
    <t>Plywood sign, painted</t>
  </si>
  <si>
    <t>1CL1EO</t>
  </si>
  <si>
    <t>Equipment Operators</t>
  </si>
  <si>
    <t>50%|0|0|0|0|0|0|0</t>
  </si>
  <si>
    <t>Site demolition</t>
  </si>
  <si>
    <t>02.00.0000.0030</t>
  </si>
  <si>
    <t>Concrete parking lot</t>
  </si>
  <si>
    <t>02.00.0000.0210</t>
  </si>
  <si>
    <t>Wood fence</t>
  </si>
  <si>
    <t>Clear and grub, brush, turf, roots, disposal</t>
  </si>
  <si>
    <t>31.00.0000.0010</t>
  </si>
  <si>
    <t>Scarify and compact top 6"</t>
  </si>
  <si>
    <t>31.00.0000.0060</t>
  </si>
  <si>
    <t>31.10.1000.0090</t>
  </si>
  <si>
    <t>DEPTH</t>
  </si>
  <si>
    <t>Truck Driver</t>
  </si>
  <si>
    <t>Excavation, expansive soils</t>
  </si>
  <si>
    <t>PER</t>
  </si>
  <si>
    <t>Door and frame, double</t>
  </si>
  <si>
    <t>02.00.0000.0150</t>
  </si>
  <si>
    <t>Interior partition</t>
  </si>
  <si>
    <t>02.00.0000.0110</t>
  </si>
  <si>
    <t>02.00.0001.0110</t>
  </si>
  <si>
    <t>Qty premium</t>
  </si>
  <si>
    <t>Furring</t>
  </si>
  <si>
    <t>Concrete wall</t>
  </si>
  <si>
    <t>02.00.0000.0115</t>
  </si>
  <si>
    <t>Prep and clean concrete basement walls</t>
  </si>
  <si>
    <t>Prep and clean concrete basement floor</t>
  </si>
  <si>
    <t>Infill slab, basement</t>
  </si>
  <si>
    <t>Sack and patch, concrete wall demo</t>
  </si>
  <si>
    <t>Painters</t>
  </si>
  <si>
    <t>8.2 Ga Dryloc paint- Int price</t>
  </si>
  <si>
    <t>Service and distribution</t>
  </si>
  <si>
    <t>Building feeders</t>
  </si>
  <si>
    <t>Smart metering</t>
  </si>
  <si>
    <t>Building grounding system</t>
  </si>
  <si>
    <t>Building lighting protection system, Allowance</t>
  </si>
  <si>
    <t>Equipment and machinery power, Allowance</t>
  </si>
  <si>
    <t>HVAC equipment</t>
  </si>
  <si>
    <t>Lighting system, Allowance</t>
  </si>
  <si>
    <t>Light fixtures</t>
  </si>
  <si>
    <t>Occupancy sensor</t>
  </si>
  <si>
    <t>Digital switch</t>
  </si>
  <si>
    <t>Fittings</t>
  </si>
  <si>
    <t>Testing and verification</t>
  </si>
  <si>
    <t>Conduit and wire</t>
  </si>
  <si>
    <t>Convenience power</t>
  </si>
  <si>
    <t>Communications system, Allowance</t>
  </si>
  <si>
    <t>Site electrical</t>
  </si>
  <si>
    <t>Primary power OH service, Allowance</t>
  </si>
  <si>
    <t>Duct bank w/ conductors</t>
  </si>
  <si>
    <t>Existing fire protection demolition</t>
  </si>
  <si>
    <t>Sack and patch, spalled concrete</t>
  </si>
  <si>
    <t>Concrete stair on grade, riser</t>
  </si>
  <si>
    <t>03.20.0000.0175</t>
  </si>
  <si>
    <t>Stair extension</t>
  </si>
  <si>
    <t>31.40.1000.0070</t>
  </si>
  <si>
    <t>Caissons</t>
  </si>
  <si>
    <t>Diameter</t>
  </si>
  <si>
    <t>Misc.</t>
  </si>
  <si>
    <t>Expansion joint</t>
  </si>
  <si>
    <t>03.00.1000.0005</t>
  </si>
  <si>
    <t>Metal deck, 1-1/2", 20 ga.</t>
  </si>
  <si>
    <t>07.60.0000.0030</t>
  </si>
  <si>
    <t xml:space="preserve">Flat roof </t>
  </si>
  <si>
    <t>07.10.1000.0005</t>
  </si>
  <si>
    <t xml:space="preserve">Thermoplastic membrane, 60 mils, mechanically fastened </t>
  </si>
  <si>
    <t>Metal roof</t>
  </si>
  <si>
    <t>Excavation, exterior walkway</t>
  </si>
  <si>
    <t>31.10.1000.0105</t>
  </si>
  <si>
    <t>Backfill and recompact existing</t>
  </si>
  <si>
    <t>Void boxes</t>
  </si>
  <si>
    <t>SOG</t>
  </si>
  <si>
    <t>Compaction by sheepsfoot</t>
  </si>
  <si>
    <t>Excavation, flatwork</t>
  </si>
  <si>
    <t>10"</t>
  </si>
  <si>
    <t>Flatwork</t>
  </si>
  <si>
    <t>Fill and compact</t>
  </si>
  <si>
    <t>5CL1CF1EO</t>
  </si>
  <si>
    <t>1CL3CA</t>
  </si>
  <si>
    <t>Striped parking stall, standard</t>
  </si>
  <si>
    <t>Paving Specialties</t>
  </si>
  <si>
    <t>Site furnishings</t>
  </si>
  <si>
    <t>Back parking lot repairs not included</t>
  </si>
  <si>
    <t>*</t>
  </si>
  <si>
    <t>Select fill, porch</t>
  </si>
  <si>
    <t>Select fill, east side of 1984 addition</t>
  </si>
  <si>
    <t>Canopy roof, porch</t>
  </si>
  <si>
    <t>07.80.0000.0060</t>
  </si>
  <si>
    <t>Roof hatch, 4' 0" x 4' 0"</t>
  </si>
  <si>
    <t>07.80.0000.0075</t>
  </si>
  <si>
    <t>Metal sidewalls</t>
  </si>
  <si>
    <t>Bricklayer</t>
  </si>
  <si>
    <t>04.00.0000.0075</t>
  </si>
  <si>
    <t>Thin stone veneer, TS01</t>
  </si>
  <si>
    <t>Cast stone cap, CS01</t>
  </si>
  <si>
    <t>Tile Layer</t>
  </si>
  <si>
    <t>Stone masonry veneer, ST01</t>
  </si>
  <si>
    <t>Perimeter wall</t>
  </si>
  <si>
    <t>CMU, 8" thick, filled and reinforced</t>
  </si>
  <si>
    <t>Maintenance</t>
  </si>
  <si>
    <t>Surface prep for corroded steel, Allowance</t>
  </si>
  <si>
    <t>02.00.0000.0105</t>
  </si>
  <si>
    <t>Exterior wall framing</t>
  </si>
  <si>
    <t>Glaziers</t>
  </si>
  <si>
    <t>Storefront windows</t>
  </si>
  <si>
    <t>Gutter, sheet metal, SM01</t>
  </si>
  <si>
    <t>Coping, aluminum, SM02</t>
  </si>
  <si>
    <t>Standing seam metal wall panels, MP01</t>
  </si>
  <si>
    <t>Sheet Metal Worker</t>
  </si>
  <si>
    <t>07.10.0000.0030</t>
  </si>
  <si>
    <t>Metal studs 4", 16" o.c.</t>
  </si>
  <si>
    <t>Exterior wall</t>
  </si>
  <si>
    <t>Insulation, batt, 4"</t>
  </si>
  <si>
    <t>Gypsum board, taped and finished</t>
  </si>
  <si>
    <t>Wall finishes</t>
  </si>
  <si>
    <t>09.10.0000.0011</t>
  </si>
  <si>
    <t>Floor finishes</t>
  </si>
  <si>
    <t>09.10.0000.0006</t>
  </si>
  <si>
    <t>Carpet &amp; Linoleum Layers</t>
  </si>
  <si>
    <t>09.30.3000.0020</t>
  </si>
  <si>
    <t>Ceramic tile base</t>
  </si>
  <si>
    <t>Rubber base, 4" high</t>
  </si>
  <si>
    <t>Ceiling finishes</t>
  </si>
  <si>
    <t>09.20.0000.0025</t>
  </si>
  <si>
    <t>Diaper changing station</t>
  </si>
  <si>
    <t>10.10.3000.0005</t>
  </si>
  <si>
    <t>Waste receptacle</t>
  </si>
  <si>
    <t>10.10.3000.0065</t>
  </si>
  <si>
    <t>Toilet tissue dispenser, single</t>
  </si>
  <si>
    <t>10.10.2000.0015</t>
  </si>
  <si>
    <t>Wall and door protection</t>
  </si>
  <si>
    <t>Concrete, sealer, basement</t>
  </si>
  <si>
    <t>0|0</t>
  </si>
  <si>
    <t>Basement</t>
  </si>
  <si>
    <t>Basement|Level 1</t>
  </si>
  <si>
    <t>Existing building demolition</t>
  </si>
  <si>
    <t>Hunt County</t>
  </si>
  <si>
    <t>Hunt County Government Building</t>
  </si>
  <si>
    <t>32.00.2000.0010</t>
  </si>
  <si>
    <t xml:space="preserve"> </t>
  </si>
  <si>
    <t>Interior wall</t>
  </si>
  <si>
    <t>Type II-B steel; not fire proofed</t>
  </si>
  <si>
    <t>31.10.1000.0085</t>
  </si>
  <si>
    <t>Excavation, borrowed earth</t>
  </si>
  <si>
    <t>Haul and dispose, on-site</t>
  </si>
  <si>
    <t>Green</t>
  </si>
  <si>
    <t>04 Current</t>
  </si>
  <si>
    <t>Heather Nicholson</t>
  </si>
  <si>
    <t>Kyle Veater</t>
  </si>
  <si>
    <t>Filter</t>
  </si>
  <si>
    <r>
      <rPr>
        <b/>
        <sz val="18"/>
        <color theme="0"/>
        <rFont val="Calibri"/>
        <family val="2"/>
        <scheme val="minor"/>
      </rPr>
      <t xml:space="preserve">01 </t>
    </r>
    <r>
      <rPr>
        <b/>
        <sz val="18"/>
        <color rgb="FF6CB33F"/>
        <rFont val="Calibri"/>
        <family val="2"/>
        <scheme val="minor"/>
      </rPr>
      <t>PROJECT OVERVIEW</t>
    </r>
  </si>
  <si>
    <t>General Requirements:</t>
  </si>
  <si>
    <t>Assumptions | Exclusions:</t>
  </si>
  <si>
    <t>Potential Cost Drivers:</t>
  </si>
  <si>
    <t>Mark-ups</t>
  </si>
  <si>
    <t>Project Categories</t>
  </si>
  <si>
    <t>--</t>
  </si>
  <si>
    <t>Services:</t>
  </si>
  <si>
    <t>Cost Estimate</t>
  </si>
  <si>
    <t>Project Owner:</t>
  </si>
  <si>
    <t>Project Scope:</t>
  </si>
  <si>
    <t>Cranes</t>
  </si>
  <si>
    <t>OFOI</t>
  </si>
  <si>
    <t>Soil conditions</t>
  </si>
  <si>
    <t>K-12 Education</t>
  </si>
  <si>
    <t>Project Type:</t>
  </si>
  <si>
    <t>Client Type:</t>
  </si>
  <si>
    <t>Site access</t>
  </si>
  <si>
    <t>OFCI</t>
  </si>
  <si>
    <t>Hazmat</t>
  </si>
  <si>
    <t>Higher Education</t>
  </si>
  <si>
    <t>OCMI Contract Type:</t>
  </si>
  <si>
    <t>Lump Sum</t>
  </si>
  <si>
    <t>Trailer</t>
  </si>
  <si>
    <t>CFCI</t>
  </si>
  <si>
    <t>Accessibility</t>
  </si>
  <si>
    <t>GC / GR</t>
  </si>
  <si>
    <t>Municipal Agency</t>
  </si>
  <si>
    <t>Delivery Method:</t>
  </si>
  <si>
    <t>Client Contact:</t>
  </si>
  <si>
    <t>Scaffolding</t>
  </si>
  <si>
    <t>FF&amp;E</t>
  </si>
  <si>
    <t>Regulatory factors</t>
  </si>
  <si>
    <t>Contractor OH &amp; Profit</t>
  </si>
  <si>
    <t>Healthcare</t>
  </si>
  <si>
    <t>Internal Deadline:</t>
  </si>
  <si>
    <t>Client Email:</t>
  </si>
  <si>
    <t>Trash chutes</t>
  </si>
  <si>
    <t>Devices</t>
  </si>
  <si>
    <t>Resource availability</t>
  </si>
  <si>
    <t>Insurance &amp;  Bonds</t>
  </si>
  <si>
    <t>Commercial &amp; Hospitality</t>
  </si>
  <si>
    <t>Delivery Deadline:</t>
  </si>
  <si>
    <t>Project Budget:</t>
  </si>
  <si>
    <t>Laydown location</t>
  </si>
  <si>
    <t>Logistics</t>
  </si>
  <si>
    <t>Residential</t>
  </si>
  <si>
    <t>Trades parking</t>
  </si>
  <si>
    <t>Supply chain</t>
  </si>
  <si>
    <t>Federal</t>
  </si>
  <si>
    <t>Executive PM:</t>
  </si>
  <si>
    <t>Site security</t>
  </si>
  <si>
    <t>Lead times</t>
  </si>
  <si>
    <t>Production PM:</t>
  </si>
  <si>
    <t>Map View:</t>
  </si>
  <si>
    <t>Google Earth</t>
  </si>
  <si>
    <t>Make-ready work</t>
  </si>
  <si>
    <t>Design &amp; engineering complexities</t>
  </si>
  <si>
    <t>Documents Received:</t>
  </si>
  <si>
    <t>Construction Start:</t>
  </si>
  <si>
    <t>Phasing</t>
  </si>
  <si>
    <t>Estimate Format:</t>
  </si>
  <si>
    <t>Duration:</t>
  </si>
  <si>
    <t>Cost Breakouts:</t>
  </si>
  <si>
    <t>Base Services:</t>
  </si>
  <si>
    <t>enter month and year</t>
  </si>
  <si>
    <t>Project Estimate</t>
  </si>
  <si>
    <r>
      <rPr>
        <b/>
        <sz val="18"/>
        <color theme="0"/>
        <rFont val="Calibri"/>
        <family val="2"/>
        <scheme val="minor"/>
      </rPr>
      <t xml:space="preserve">02 </t>
    </r>
    <r>
      <rPr>
        <b/>
        <sz val="18"/>
        <color rgb="FF6CB33F"/>
        <rFont val="Calibri"/>
        <family val="2"/>
        <scheme val="minor"/>
      </rPr>
      <t>TASKING SUMMARY</t>
    </r>
  </si>
  <si>
    <t>Team Member:</t>
  </si>
  <si>
    <t>Task:</t>
  </si>
  <si>
    <t>Complete</t>
  </si>
  <si>
    <t>Due Date</t>
  </si>
  <si>
    <t>Planned Hours</t>
  </si>
  <si>
    <t>% of total</t>
  </si>
  <si>
    <t>Project set up, kickoff meeting</t>
  </si>
  <si>
    <t>Site, Architectural, Structural</t>
  </si>
  <si>
    <t>Mechanical, Plumbing</t>
  </si>
  <si>
    <t>Electrical, Telecom</t>
  </si>
  <si>
    <t>Final QAQC</t>
  </si>
  <si>
    <t>Estimate delivery</t>
  </si>
  <si>
    <t>Totals:</t>
  </si>
  <si>
    <t>Actual Hours</t>
  </si>
  <si>
    <t>Remaining</t>
  </si>
  <si>
    <r>
      <rPr>
        <b/>
        <sz val="18"/>
        <color theme="0"/>
        <rFont val="Calibri"/>
        <family val="2"/>
        <scheme val="minor"/>
      </rPr>
      <t>03</t>
    </r>
    <r>
      <rPr>
        <b/>
        <sz val="18"/>
        <color rgb="FF6CB33F"/>
        <rFont val="Calibri"/>
        <family val="2"/>
        <scheme val="minor"/>
      </rPr>
      <t xml:space="preserve"> KICKOFF NOTES</t>
    </r>
  </si>
  <si>
    <t>No issue</t>
  </si>
  <si>
    <t>Project Mark-ups:</t>
  </si>
  <si>
    <t>Similar Projects:</t>
  </si>
  <si>
    <t>Client RFI's:</t>
  </si>
  <si>
    <t>Response:</t>
  </si>
  <si>
    <r>
      <rPr>
        <b/>
        <sz val="18"/>
        <color theme="0"/>
        <rFont val="Calibri"/>
        <family val="2"/>
        <scheme val="minor"/>
      </rPr>
      <t xml:space="preserve">04 </t>
    </r>
    <r>
      <rPr>
        <b/>
        <sz val="18"/>
        <color rgb="FF6CB33F"/>
        <rFont val="Calibri"/>
        <family val="2"/>
        <scheme val="minor"/>
      </rPr>
      <t>QA | QC REQUIREMENTS</t>
    </r>
  </si>
  <si>
    <t>Verify:</t>
  </si>
  <si>
    <t xml:space="preserve">Note: </t>
  </si>
  <si>
    <t xml:space="preserve">Cost database is updated to current QTR </t>
  </si>
  <si>
    <t>Working Estimate File:</t>
  </si>
  <si>
    <t>Updated the cover letter notes.</t>
  </si>
  <si>
    <t>Ran QA/QC to correct calculation and spelling errors.</t>
  </si>
  <si>
    <t>Formatted and indented line items properly.</t>
  </si>
  <si>
    <t>Pasted unit rates into the correct cells.</t>
  </si>
  <si>
    <t>Do not paste over "Unit Rate" or "Estimated Cost" calculations.</t>
  </si>
  <si>
    <t>Ensured sub-totals add the correct cells.</t>
  </si>
  <si>
    <t>Hid or deleted unused lines.</t>
  </si>
  <si>
    <t>Added exclusions, assumptions, and notes to cover sheet.</t>
  </si>
  <si>
    <t>Miscellaneous:</t>
  </si>
  <si>
    <t>Save takeoff files to OST folder</t>
  </si>
  <si>
    <t>Add Variance Report tab if required</t>
  </si>
  <si>
    <t>PRELIMINARY DESIGN</t>
  </si>
  <si>
    <t>Hunt County: Building Renovations</t>
  </si>
  <si>
    <t>Ben Marshall</t>
  </si>
  <si>
    <t>Aravind Kallahally</t>
  </si>
  <si>
    <t>Nishant More</t>
  </si>
  <si>
    <t>Raymond Bodo</t>
  </si>
  <si>
    <t>SD Cost Estimate</t>
  </si>
  <si>
    <t>DD Cost Estimate</t>
  </si>
  <si>
    <t>CD Cost estimate</t>
  </si>
  <si>
    <t>Pittsburgh, PA</t>
  </si>
  <si>
    <t xml:space="preserve">Estimate Detail: </t>
  </si>
  <si>
    <t>Start Date:</t>
  </si>
  <si>
    <t>Yes</t>
  </si>
  <si>
    <t>None</t>
  </si>
  <si>
    <t>Not required</t>
  </si>
  <si>
    <t>Added detailed notes to Variance Report</t>
  </si>
  <si>
    <t>NIC</t>
  </si>
  <si>
    <t>Existing building demo - NIC</t>
  </si>
  <si>
    <t>No change</t>
  </si>
  <si>
    <t>Silt fence, polypropylene, incl. wood stakes and removal</t>
  </si>
  <si>
    <t>Trench 4"x4", backfill and compact</t>
  </si>
  <si>
    <t>Added</t>
  </si>
  <si>
    <t>Stabilized construction entrance up to 12", Incl. excavation,</t>
  </si>
  <si>
    <t>32.40.2000.0025</t>
  </si>
  <si>
    <t xml:space="preserve"> crushed stone,  filter fabric, and removal</t>
  </si>
  <si>
    <t>Sediment filter sock, 9", 3" embed, incl. removal</t>
  </si>
  <si>
    <t>Added 15 spaces</t>
  </si>
  <si>
    <t xml:space="preserve">Added 2 </t>
  </si>
  <si>
    <t xml:space="preserve">LF </t>
  </si>
  <si>
    <t>XX' O.C.</t>
  </si>
  <si>
    <t>Decreased SW SF</t>
  </si>
  <si>
    <t>Concrete sidewalk, 4",broom finish, incl. reinforcing, base</t>
  </si>
  <si>
    <t>Parking bumper block, precast 6' 0"</t>
  </si>
  <si>
    <t>RS MEANS</t>
  </si>
  <si>
    <t>Pipe bollard, mounted sign</t>
  </si>
  <si>
    <t>Assembly&gt;&gt;&gt;</t>
  </si>
  <si>
    <t>Pedestrian paving</t>
  </si>
  <si>
    <t>08.10.0000.0035</t>
  </si>
  <si>
    <t>Floor access, aluminum, steel frame, 3'-6" x 3'-6"</t>
  </si>
  <si>
    <t>Drill pier, 16' 0" deep, 24" dia, dispose of spoils</t>
  </si>
  <si>
    <t>LBS /LF</t>
  </si>
  <si>
    <t>LF EA</t>
  </si>
  <si>
    <t>Steel casing, .375" thk</t>
  </si>
  <si>
    <t>Vertical bars and ties</t>
  </si>
  <si>
    <t>Rodmen</t>
  </si>
  <si>
    <t>03.20.0000.0150</t>
  </si>
  <si>
    <t>Grade beam, assembly, incl. reinforcing, 2'x2.5'</t>
  </si>
  <si>
    <t>Grade beam, assembly, incl. reinforcing, 2'x2'</t>
  </si>
  <si>
    <t>Slab on grade, 5", incl. reinforcing</t>
  </si>
  <si>
    <t>Height</t>
  </si>
  <si>
    <t>Width</t>
  </si>
  <si>
    <t>Control joint, 15' O.C.</t>
  </si>
  <si>
    <t>Drill pier, and dispose of spoils, Incl. in SITE</t>
  </si>
  <si>
    <t>Concrete, 3,500 PSI</t>
  </si>
  <si>
    <t>10.40.0000.0005</t>
  </si>
  <si>
    <t>HSS12x4x1/2</t>
  </si>
  <si>
    <t>HSS12X8X5/8</t>
  </si>
  <si>
    <t>HSS4x4x1/2</t>
  </si>
  <si>
    <t>HSS6x4x1/2</t>
  </si>
  <si>
    <t>HSS6x6x1/4</t>
  </si>
  <si>
    <t>HSS6x6x3/8</t>
  </si>
  <si>
    <t>HSS8x6x1/2</t>
  </si>
  <si>
    <t>HSS8x8x1/4</t>
  </si>
  <si>
    <t>HSS8x8x3/8</t>
  </si>
  <si>
    <t>07.50.1000.0005</t>
  </si>
  <si>
    <t>Insulation, polypropylene, R-20,6"</t>
  </si>
  <si>
    <t>Standing seam metal roof panels, MR01</t>
  </si>
  <si>
    <t>Exterior walls, building</t>
  </si>
  <si>
    <t>Ridge cap</t>
  </si>
  <si>
    <t>07.80.0000.0065</t>
  </si>
  <si>
    <t>Misc. flashing and accessories</t>
  </si>
  <si>
    <t>05.00.1000.0010</t>
  </si>
  <si>
    <t>0|1162</t>
  </si>
  <si>
    <t>0|15</t>
  </si>
  <si>
    <t>Wall sheathing, 3/4"</t>
  </si>
  <si>
    <t>08.00.0000.0125</t>
  </si>
  <si>
    <t>Solid core wood door and HM frame, single, 8'</t>
  </si>
  <si>
    <t>Tempered glass premium</t>
  </si>
  <si>
    <t>08.00.0000.0160</t>
  </si>
  <si>
    <t>Solid core wood door and HM frame, double, 8'</t>
  </si>
  <si>
    <t>Hollow metal door and HM frame, single, 7'</t>
  </si>
  <si>
    <t>Hollow metal door and HM frame, single, 8'</t>
  </si>
  <si>
    <t>Aluminum fully glazed door and frame, double, 7'</t>
  </si>
  <si>
    <t>Aluminum fully glazed door and frame, single, 7'</t>
  </si>
  <si>
    <t>Coiling door 10' x 10', insulated</t>
  </si>
  <si>
    <t>08.00.0000.0070</t>
  </si>
  <si>
    <t>Fire rating, premium, 90 min</t>
  </si>
  <si>
    <t>Wall Type</t>
  </si>
  <si>
    <t>HT</t>
  </si>
  <si>
    <t>A3</t>
  </si>
  <si>
    <t>Sound attenuation, batt, 4"</t>
  </si>
  <si>
    <t>Mineral wool, batt</t>
  </si>
  <si>
    <t>Sealant and fire stopping</t>
  </si>
  <si>
    <t>07.80.0000.0080</t>
  </si>
  <si>
    <t>B3</t>
  </si>
  <si>
    <t>Gypsum board, base layer</t>
  </si>
  <si>
    <t>C3</t>
  </si>
  <si>
    <t>Sides</t>
  </si>
  <si>
    <t>Metal studs 2 1/2", 16" o.c.</t>
  </si>
  <si>
    <t>Lathers</t>
  </si>
  <si>
    <t>09.00.0000.0005</t>
  </si>
  <si>
    <t>E3</t>
  </si>
  <si>
    <t>E2</t>
  </si>
  <si>
    <t>Metal stud bracing</t>
  </si>
  <si>
    <t>CMU, Incl. in Div. 04</t>
  </si>
  <si>
    <t>Rubber, 4" high</t>
  </si>
  <si>
    <t>Luxury vinyl tile</t>
  </si>
  <si>
    <t>Ceramic tile, 3'</t>
  </si>
  <si>
    <t>Interior glazing</t>
  </si>
  <si>
    <t>08.30.0000.0006</t>
  </si>
  <si>
    <t>Glass, tempered, HM frame</t>
  </si>
  <si>
    <t>Glass, tempered, frameless</t>
  </si>
  <si>
    <t>Overhead track partition, acoustical</t>
  </si>
  <si>
    <t>10.10.1000.0040</t>
  </si>
  <si>
    <t>Structural support</t>
  </si>
  <si>
    <t>10.10.1000.0060</t>
  </si>
  <si>
    <t>Paint exposed</t>
  </si>
  <si>
    <t>09.00.0000.0060</t>
  </si>
  <si>
    <t>Gypsum, incl. suspended ceiling framing</t>
  </si>
  <si>
    <t>09.00.0000.0125</t>
  </si>
  <si>
    <t>Gypsum board, restrooms</t>
  </si>
  <si>
    <t>ACT, incl. grid system, 2' 0" x 2' 0"</t>
  </si>
  <si>
    <t>Countertop</t>
  </si>
  <si>
    <t>Countertop support bracket, lag bolts, screws</t>
  </si>
  <si>
    <t>Plastic laminate finish</t>
  </si>
  <si>
    <t>09.40.0000.0005</t>
  </si>
  <si>
    <t>Solid surface material</t>
  </si>
  <si>
    <t>Incl Break room</t>
  </si>
  <si>
    <t>Roller shades</t>
  </si>
  <si>
    <t>Cementitious backerboard, 1/2" sheet</t>
  </si>
  <si>
    <t>09.00.0000.0105</t>
  </si>
  <si>
    <t>Acoustic wall panels, fabric, 1"</t>
  </si>
  <si>
    <t>09.30.1000.0015</t>
  </si>
  <si>
    <t>Marble threshold</t>
  </si>
  <si>
    <t>Cabinets</t>
  </si>
  <si>
    <t>Wall guard, vinyl</t>
  </si>
  <si>
    <t>05.40.2000.0030</t>
  </si>
  <si>
    <t>Vinyl stair treads</t>
  </si>
  <si>
    <t>5094|26380</t>
  </si>
  <si>
    <t>Topping, concrete, 2"</t>
  </si>
  <si>
    <t>Handrail, floor mounted, porch</t>
  </si>
  <si>
    <t>Handrail, wall mounted, basement</t>
  </si>
  <si>
    <t>Swing gate, basement</t>
  </si>
  <si>
    <t>Domestic water service</t>
  </si>
  <si>
    <t xml:space="preserve">Pipe and fittings, PVC C900, including </t>
  </si>
  <si>
    <t>trench and backfill</t>
  </si>
  <si>
    <t>Water meter, 2"</t>
  </si>
  <si>
    <t>Pipe and fittings, PVC C900, including</t>
  </si>
  <si>
    <t>Thrust block</t>
  </si>
  <si>
    <t>Connect to existing pipe</t>
  </si>
  <si>
    <t>Fire hydrant including valve</t>
  </si>
  <si>
    <t>Post indicator valve, 6"</t>
  </si>
  <si>
    <t>Fire department connection</t>
  </si>
  <si>
    <t>Sanitary waste service</t>
  </si>
  <si>
    <t xml:space="preserve">Pipe and fittings, gravity sewer, PVC, including </t>
  </si>
  <si>
    <t/>
  </si>
  <si>
    <t>8"</t>
  </si>
  <si>
    <t xml:space="preserve">Connect to street main </t>
  </si>
  <si>
    <t>Connect to existing sewer, 4"</t>
  </si>
  <si>
    <t>Sanitary sewer cleanout, 4"</t>
  </si>
  <si>
    <t>Manhole</t>
  </si>
  <si>
    <t>Storm water service</t>
  </si>
  <si>
    <t>Pipe and fittings, HDPE , including trench and backfill</t>
  </si>
  <si>
    <t>12"</t>
  </si>
  <si>
    <t>18"</t>
  </si>
  <si>
    <t>24"</t>
  </si>
  <si>
    <t>Connect to existing storm water main, 24"</t>
  </si>
  <si>
    <t>Water closet , WC-1, SLOAN</t>
  </si>
  <si>
    <t>Internet price</t>
  </si>
  <si>
    <t>Lavatory, L-1, SLOAN</t>
  </si>
  <si>
    <t>Urinal, UR-1, SLOAN</t>
  </si>
  <si>
    <t>Mop sink, MS-1, STERN WILLIAMS</t>
  </si>
  <si>
    <t>Sink, single bowl, S-1, ELKAY</t>
  </si>
  <si>
    <t>Electric Water Cooler, EWC-1, HALSEY TAYLOR</t>
  </si>
  <si>
    <t xml:space="preserve">Lavatory  </t>
  </si>
  <si>
    <t>Miscellaneous fittings</t>
  </si>
  <si>
    <t xml:space="preserve">Floor sink </t>
  </si>
  <si>
    <t>Floor drain with P- trap and strainer</t>
  </si>
  <si>
    <t>Wall hydrant</t>
  </si>
  <si>
    <t>Thermostatic mixing valve</t>
  </si>
  <si>
    <t>Trap primer with access panel</t>
  </si>
  <si>
    <t>Water box outlet, WB-1</t>
  </si>
  <si>
    <t>Watts RPZ</t>
  </si>
  <si>
    <t>Circulation pump, RCP 1, TACO, Inline</t>
  </si>
  <si>
    <t>Thermostatic mixing valve, LEONARD TM-26-LF</t>
  </si>
  <si>
    <t>Water heater, 30 gallon, 12.3 KW, WH-2</t>
  </si>
  <si>
    <t>Circulation pump, RCP 2, TACO, Inline</t>
  </si>
  <si>
    <t>manual</t>
  </si>
  <si>
    <t>Water heater, instantaneous, CHRONOMITE CMI-20L</t>
  </si>
  <si>
    <t xml:space="preserve">Domestic water system </t>
  </si>
  <si>
    <t>Pipe with fittings and supports</t>
  </si>
  <si>
    <t>1/2"</t>
  </si>
  <si>
    <t>3/4"</t>
  </si>
  <si>
    <t>1"</t>
  </si>
  <si>
    <t>1-1/4"</t>
  </si>
  <si>
    <t>2-1/2"</t>
  </si>
  <si>
    <t>Insulation, fiberglass with jacket</t>
  </si>
  <si>
    <t>Sanitary waste system</t>
  </si>
  <si>
    <t>Pipe with fittings, below grade, Cast iron</t>
  </si>
  <si>
    <t>Trench, backfill, and remove excess spoil</t>
  </si>
  <si>
    <t>Cut and patch slab</t>
  </si>
  <si>
    <t>Pipe with fittings and supports, above grade, Cast iron</t>
  </si>
  <si>
    <t xml:space="preserve">2"    </t>
  </si>
  <si>
    <t xml:space="preserve">3"    </t>
  </si>
  <si>
    <t>Floor clean-out</t>
  </si>
  <si>
    <t>Wall clean-out with access cover</t>
  </si>
  <si>
    <t>Sanitary vent system</t>
  </si>
  <si>
    <t xml:space="preserve">4"    </t>
  </si>
  <si>
    <t>Vent through roof</t>
  </si>
  <si>
    <t>Up to 2-1/2"</t>
  </si>
  <si>
    <t>3"- 4"</t>
  </si>
  <si>
    <t>Wet sprinkler system, Light hazard</t>
  </si>
  <si>
    <t>Split system, ahu and heat pumps, includes louver price</t>
  </si>
  <si>
    <t>Split system, fan coil and condensing units,</t>
  </si>
  <si>
    <t>VAV terminal</t>
  </si>
  <si>
    <t>Pipe, with insulation, fittings, and supports</t>
  </si>
  <si>
    <t>Electric unit heater, OAS, 2 KW</t>
  </si>
  <si>
    <t>Equipment Connection</t>
  </si>
  <si>
    <t>Split system, FCU/CU</t>
  </si>
  <si>
    <t>VAV</t>
  </si>
  <si>
    <t>Air inlets and outlets</t>
  </si>
  <si>
    <t>Supply diffuser, lay-in/sidewall</t>
  </si>
  <si>
    <t>Return register, Exhaust grilles</t>
  </si>
  <si>
    <t>Damper</t>
  </si>
  <si>
    <t>Volume, manual</t>
  </si>
  <si>
    <t>AHU/HP (3 each)</t>
  </si>
  <si>
    <t>Split system (1 each)</t>
  </si>
  <si>
    <t>Unit heater (1 each)</t>
  </si>
  <si>
    <t>VAV boxes w/ reheat (23 each)</t>
  </si>
  <si>
    <t>Exhaust fans (9each)</t>
  </si>
  <si>
    <t>AK: 8% of Overall cost</t>
  </si>
  <si>
    <t>Exhaust fan, 200 CFM, GREENHECK</t>
  </si>
  <si>
    <t>VAV 6", 275 CFM, PRICE/SDV</t>
  </si>
  <si>
    <t>VAV 8",  &lt; 675 CFM, PRICE/SDV</t>
  </si>
  <si>
    <t>VAV 10", &lt; 1200 CFM, PRICE/SDV</t>
  </si>
  <si>
    <t>VAV 12", &lt; 1750 CFM, PRICE/SDV</t>
  </si>
  <si>
    <t>Data</t>
  </si>
  <si>
    <t>Conduit up to accessible ceiling</t>
  </si>
  <si>
    <t>Cabling including terminations</t>
  </si>
  <si>
    <t>Transformers 480/120v, 3ph, 112.5 kVA, k-rated</t>
  </si>
  <si>
    <t>4’ Linear LED fixture, C/C2</t>
  </si>
  <si>
    <t>4” Down light LED fixture, D1</t>
  </si>
  <si>
    <t>Exit Light and sign LED fixture, X</t>
  </si>
  <si>
    <t>Emergency battery pack</t>
  </si>
  <si>
    <t>Receptacle</t>
  </si>
  <si>
    <t>Duplex</t>
  </si>
  <si>
    <t>Duplex, GFCI</t>
  </si>
  <si>
    <t>Double Duplex</t>
  </si>
  <si>
    <t>Double Duplex, GFCI</t>
  </si>
  <si>
    <t>Landscape</t>
  </si>
  <si>
    <t>Civil</t>
  </si>
  <si>
    <t>Structural</t>
  </si>
  <si>
    <t>Architectural</t>
  </si>
  <si>
    <t>Electrical</t>
  </si>
  <si>
    <t>Fire Protection</t>
  </si>
  <si>
    <t>Plumbing</t>
  </si>
  <si>
    <t>G-000 thru G004 (05 sheets)</t>
  </si>
  <si>
    <t>LS101 thru LS101 (01 sheet)</t>
  </si>
  <si>
    <t>C1 thru C9 (09 sheets)</t>
  </si>
  <si>
    <t>S001 thru S502 (22 sheets)</t>
  </si>
  <si>
    <t>ADS101 thru ID401 (39 sheets)</t>
  </si>
  <si>
    <t>MH101 thru MZ804 (10 sheets)</t>
  </si>
  <si>
    <t>E-001 thru EZ601 (08 pages)</t>
  </si>
  <si>
    <t>FA101A thru FX101 (05 pages)</t>
  </si>
  <si>
    <t>P-001 thru PZ501 (13 pages)</t>
  </si>
  <si>
    <t>Drilled Piers, cased</t>
  </si>
  <si>
    <t>Tie in to existing</t>
  </si>
  <si>
    <t>Lf of existing</t>
  </si>
  <si>
    <t>XX o.c.</t>
  </si>
  <si>
    <t>Drill and dowel to existing structure incl. adhesive</t>
  </si>
  <si>
    <t>Splice new reinforcing to existing reinforcing</t>
  </si>
  <si>
    <t>Level surface</t>
  </si>
  <si>
    <t>03.00.0000.0015</t>
  </si>
  <si>
    <t>Void forms</t>
  </si>
  <si>
    <t>Miscellaneous connections, hardware, Allow. 10%</t>
  </si>
  <si>
    <t>Standing seam metal roof panels, MR02</t>
  </si>
  <si>
    <t>Scuppers</t>
  </si>
  <si>
    <t>County of Hunt</t>
  </si>
  <si>
    <t>Quote price - from Texas Air system</t>
  </si>
  <si>
    <t xml:space="preserve">KV: Is this assuming new, or Salvage &amp; Resuse (noted as "if possible" in drawings). Clarify in description. </t>
  </si>
  <si>
    <t>Domestic Water:</t>
  </si>
  <si>
    <t>Sanitary Water:</t>
  </si>
  <si>
    <t xml:space="preserve">Recommend this be 8-10%. Lots of MEP info still missing or inconsistent. Don't want to be to cut this too deep unless we have to. </t>
  </si>
  <si>
    <t>added description</t>
  </si>
  <si>
    <t>Concrete retaining wall, assembly, incl. reinforcing</t>
  </si>
  <si>
    <t>Low voltage lighting controls, includes</t>
  </si>
  <si>
    <t>32.10.0000.0040</t>
  </si>
  <si>
    <t>Paint CMU</t>
  </si>
  <si>
    <t>Architecturally exposed structural steel, premium</t>
  </si>
  <si>
    <t>Rigid insulation, 2"</t>
  </si>
  <si>
    <t>Paint, basement walls and columns, Xypex</t>
  </si>
  <si>
    <t xml:space="preserve">Dry chemical system, FM200 server room </t>
  </si>
  <si>
    <t>CONSTRUCTION DOCUMENTS ESTIMATE</t>
  </si>
  <si>
    <t>CD Cost Estimating</t>
  </si>
  <si>
    <t>2024-Q4|2024-Q3|2024-Q2|2024-Q1|2023-Q4|2023-Q3|2023-Q2|2023-Q1|2022-Q4|2022-Q3|2022-Q2|2022-Q1|2021-Q4|2021-Q3|2021-Q2|2021-Q1|2020-Q4|2020-Q3|2020-Q2|2020-Q1|2019-Q4|2019-Q3|2019-Q2|2019-Q1|2018-Q4|2018-Q3|2018-Q2|2018-Q1</t>
  </si>
  <si>
    <t>2024-Q4</t>
  </si>
  <si>
    <t>CD Changes</t>
  </si>
  <si>
    <t>31.20.0000.0010</t>
  </si>
  <si>
    <t>Rock filter dam</t>
  </si>
  <si>
    <t>+48 LF</t>
  </si>
  <si>
    <t>31.20.1000.0015</t>
  </si>
  <si>
    <t xml:space="preserve">Rip-rap and rock lining, random, broken stone, 18" </t>
  </si>
  <si>
    <t>minimum thickness, machine placed, not grouted</t>
  </si>
  <si>
    <t>Sandbags</t>
  </si>
  <si>
    <t>02.00.0000.0475</t>
  </si>
  <si>
    <t>Concrete stair</t>
  </si>
  <si>
    <t>02.00.0001.0075</t>
  </si>
  <si>
    <t>Revised</t>
  </si>
  <si>
    <t>Metal handrail</t>
  </si>
  <si>
    <t>02.00.0001.0080</t>
  </si>
  <si>
    <t>Called out in G001 but not in AS101-Include?</t>
  </si>
  <si>
    <t>Not called out-include?</t>
  </si>
  <si>
    <t>Ht</t>
  </si>
  <si>
    <t>Footing excavation</t>
  </si>
  <si>
    <t>Concrete footing assembly</t>
  </si>
  <si>
    <t xml:space="preserve">Added detail </t>
  </si>
  <si>
    <t>Flagpole, 40' aluminum</t>
  </si>
  <si>
    <t>Baseplate, anchor and sleeve incl compound</t>
  </si>
  <si>
    <t>Paving</t>
  </si>
  <si>
    <t>32.00.2000.0020</t>
  </si>
  <si>
    <t>Heavy duty concrete paving, 10" over prepared base</t>
  </si>
  <si>
    <t>Medium duty concrete paving, 8" over prepared base</t>
  </si>
  <si>
    <t>Added'14K SF paving</t>
  </si>
  <si>
    <t>+3572 SF</t>
  </si>
  <si>
    <t>+10 spaces</t>
  </si>
  <si>
    <t>+120 SF</t>
  </si>
  <si>
    <t>+2</t>
  </si>
  <si>
    <t>+121 SF</t>
  </si>
  <si>
    <t>Concrete filled steel bollard</t>
  </si>
  <si>
    <t>Concrete fill to steel</t>
  </si>
  <si>
    <t>32.40.4000.0015</t>
  </si>
  <si>
    <t>Added  +9</t>
  </si>
  <si>
    <t>Drilled pier, assembly, incl. reinforcing, P-2</t>
  </si>
  <si>
    <t>03.20.0000.0015</t>
  </si>
  <si>
    <t>Pier cap, assembly, incl. reinforcing</t>
  </si>
  <si>
    <t>LxW</t>
  </si>
  <si>
    <t>Slab on grade, 5", incl reinforcing and base</t>
  </si>
  <si>
    <t>Dumpster enclosure</t>
  </si>
  <si>
    <t>Metal coping cap, prefinished</t>
  </si>
  <si>
    <t>32.10.0000.0035</t>
  </si>
  <si>
    <t>Single leaf gates to 8', painted</t>
  </si>
  <si>
    <t>Double leaf gates to 8', painted</t>
  </si>
  <si>
    <t>Generator enclosure</t>
  </si>
  <si>
    <t>Hollow metal door, 8', single</t>
  </si>
  <si>
    <t>Chain link fence</t>
  </si>
  <si>
    <t>Double leaf gate, manual operation</t>
  </si>
  <si>
    <t>32.10.0000.0075</t>
  </si>
  <si>
    <t>HVAC equipment enclosure</t>
  </si>
  <si>
    <t>+50K SF per grading plan</t>
  </si>
  <si>
    <t>Gravel lot</t>
  </si>
  <si>
    <t>Moved to demo</t>
  </si>
  <si>
    <t>Incl existing building demo'd by city</t>
  </si>
  <si>
    <t>Increased</t>
  </si>
  <si>
    <t>Decreased</t>
  </si>
  <si>
    <t>Wet sprinkler system, Ordinary hazard</t>
  </si>
  <si>
    <t>Fire pump, FDC, valves</t>
  </si>
  <si>
    <t>Water heater, 50 gallon, 13.5 KW, WH-1</t>
  </si>
  <si>
    <t>Thermal expansion tank, AMTROL ST-12,3.2 gallon</t>
  </si>
  <si>
    <t>Sump pump, SP1, 50 GPM, 0.5 HP</t>
  </si>
  <si>
    <t>Sump pump, SP2, 65 GPM, 1 HP</t>
  </si>
  <si>
    <t>2 TON, FCU1/CU1, LSN/LSU</t>
  </si>
  <si>
    <t>VAV 14", &lt; 2200 CFM, PRICE/SDV</t>
  </si>
  <si>
    <t>25.5 TON, AHU1 / HP1, AAON, includes louver, ventilator</t>
  </si>
  <si>
    <t>Fire and smoke, motorized</t>
  </si>
  <si>
    <t>Above grade, cold water (type copper)</t>
  </si>
  <si>
    <t>Above grade, hot water (type  copper)</t>
  </si>
  <si>
    <t>22.5 TON, AHU2 / HP2, AAON, includes louver, ventilator</t>
  </si>
  <si>
    <t>15.5 TON, AHU3 / HP3, AAON, includes louver, ventilator</t>
  </si>
  <si>
    <t>Actual ductwork, removal of allowances</t>
  </si>
  <si>
    <t>Actual pipe and fixture counts, removed allowances on gas piping</t>
  </si>
  <si>
    <t>Reduced</t>
  </si>
  <si>
    <t>trench and backfill, 2.5"</t>
  </si>
  <si>
    <t>Connect to existing building</t>
  </si>
  <si>
    <t>trench and backfill, 6"</t>
  </si>
  <si>
    <t>Gate valve, 2.5"</t>
  </si>
  <si>
    <t>Gate valve, 6"</t>
  </si>
  <si>
    <t>Riprap protection</t>
  </si>
  <si>
    <t>Grate inlet, 2'x3'</t>
  </si>
  <si>
    <t>Removed Natural Gas</t>
  </si>
  <si>
    <t>Reduced wall ht</t>
  </si>
  <si>
    <t>NO change</t>
  </si>
  <si>
    <t>02.00.0000.0085</t>
  </si>
  <si>
    <t>Remove CMU wall</t>
  </si>
  <si>
    <t>02.00.0000.0120</t>
  </si>
  <si>
    <t>Standard window</t>
  </si>
  <si>
    <t>02.00.0000.0155</t>
  </si>
  <si>
    <t>Metal pan stair</t>
  </si>
  <si>
    <t>Sawcut concrete, plumbing demo</t>
  </si>
  <si>
    <t>Sack and patch, plumbing demo</t>
  </si>
  <si>
    <t>Inc $</t>
  </si>
  <si>
    <t>Remove spray foam for basement walls</t>
  </si>
  <si>
    <t>Base cabinet</t>
  </si>
  <si>
    <t>02.00.0000.0160</t>
  </si>
  <si>
    <t>HR</t>
  </si>
  <si>
    <t>GPR scan at concrete demo</t>
  </si>
  <si>
    <t>Standard foundations</t>
  </si>
  <si>
    <t>Slab turndown</t>
  </si>
  <si>
    <t>HSS12x6x3/8</t>
  </si>
  <si>
    <t>HSS4x4x3/8</t>
  </si>
  <si>
    <t>Removed</t>
  </si>
  <si>
    <t>HSS6x6x1/2</t>
  </si>
  <si>
    <t>Truss framing</t>
  </si>
  <si>
    <t>HSS4x4x1/4</t>
  </si>
  <si>
    <t>1" dia tension rod</t>
  </si>
  <si>
    <t>Price?</t>
  </si>
  <si>
    <t>Footing Excavation</t>
  </si>
  <si>
    <t>Concrete grade beam, incl. reinforcing and dowels</t>
  </si>
  <si>
    <t>Per</t>
  </si>
  <si>
    <t>Depth</t>
  </si>
  <si>
    <t>Sand base course</t>
  </si>
  <si>
    <t>Inc for stone veneer</t>
  </si>
  <si>
    <t>Blocking</t>
  </si>
  <si>
    <t>Signage, by others</t>
  </si>
  <si>
    <t>Monument sign</t>
  </si>
  <si>
    <t xml:space="preserve">Reduced grade beam and drilled pier qty </t>
  </si>
  <si>
    <t>Moved gravel lot demo to DIV 02, added site furnishings demo</t>
  </si>
  <si>
    <t>CD</t>
  </si>
  <si>
    <t xml:space="preserve">Reduced </t>
  </si>
  <si>
    <t>Flat roof</t>
  </si>
  <si>
    <t>Added per S210C</t>
  </si>
  <si>
    <t>-24 anchors and baseplates, Added flat roof reinf. steel</t>
  </si>
  <si>
    <t>Inc to incl parapet</t>
  </si>
  <si>
    <t>07.10.1000.0020</t>
  </si>
  <si>
    <t>06.00.0000.0125</t>
  </si>
  <si>
    <t>2" x 4" wood joist blocking</t>
  </si>
  <si>
    <t>06.00.3000.0020</t>
  </si>
  <si>
    <t>Filler insulation, existing roof</t>
  </si>
  <si>
    <t>Insulation, batt, 6"</t>
  </si>
  <si>
    <t>Insulation, batt, 6", parapet walls</t>
  </si>
  <si>
    <t>Sheathing, 5/8", parapet walls</t>
  </si>
  <si>
    <t>Rigid insulation, R-30</t>
  </si>
  <si>
    <t>Inc - parapet</t>
  </si>
  <si>
    <t>Steel reinforcing, 5PSF</t>
  </si>
  <si>
    <t>Metal studs 6", 16" o.c.</t>
  </si>
  <si>
    <t>05.30.0000.0015</t>
  </si>
  <si>
    <t>A6</t>
  </si>
  <si>
    <t>C6s</t>
  </si>
  <si>
    <t>J4</t>
  </si>
  <si>
    <t>F3</t>
  </si>
  <si>
    <t>Updated Q4 pricing, updated wall heights and types</t>
  </si>
  <si>
    <t>Signage, by owner</t>
  </si>
  <si>
    <t>Not called out</t>
  </si>
  <si>
    <t>Ornamental tree, balled, burlapped, prepared bed, up to 10'</t>
  </si>
  <si>
    <t>Large shrub, container in prepared bed, 15 gal</t>
  </si>
  <si>
    <t>Large shrub, container in prepared bed, 5 gal</t>
  </si>
  <si>
    <t>32.30.1000.0025</t>
  </si>
  <si>
    <t>Ornamental shrub, container in prepared bed, 3 gal</t>
  </si>
  <si>
    <t>Ornamental grass</t>
  </si>
  <si>
    <t>River rock over prepared sub base</t>
  </si>
  <si>
    <t>Boulder</t>
  </si>
  <si>
    <t>Sod, Bermuda</t>
  </si>
  <si>
    <t>Landscaping</t>
  </si>
  <si>
    <t>Brick pavers, grouted over concrete bed</t>
  </si>
  <si>
    <t>32.40.2000.0030</t>
  </si>
  <si>
    <t>Water meter, 1.5"</t>
  </si>
  <si>
    <t>Isolation valve, 1.5"</t>
  </si>
  <si>
    <t>Equipment and controls</t>
  </si>
  <si>
    <t>Electric remote control valve</t>
  </si>
  <si>
    <t>Irrigation connection, incl. master valve, control valve,</t>
  </si>
  <si>
    <t>backflow preventer, and irrigation controller</t>
  </si>
  <si>
    <t>Automatic controller, rain/freeze sensor</t>
  </si>
  <si>
    <t>PVC main line, 1 1/2", schedule 200, incl trenching</t>
  </si>
  <si>
    <t>PVC lateral line, 1/2", schedule 200, incl trenching</t>
  </si>
  <si>
    <t>4" sleeve pipe, incl trenching</t>
  </si>
  <si>
    <t>2" sleeve pipe, incl trenching</t>
  </si>
  <si>
    <t>Drip line 3/4" w/ cap, incl. trench and backfill</t>
  </si>
  <si>
    <t>Spray heads</t>
  </si>
  <si>
    <t>Pop up spray head, bubbler</t>
  </si>
  <si>
    <t>Pop up spray head, spray nozzle</t>
  </si>
  <si>
    <t>Valve box</t>
  </si>
  <si>
    <t>Irrigation piping</t>
  </si>
  <si>
    <t>Misc. connection, coupling and restraints</t>
  </si>
  <si>
    <t xml:space="preserve">Building </t>
  </si>
  <si>
    <t>Covered Sidewalk</t>
  </si>
  <si>
    <t>Parking</t>
  </si>
  <si>
    <t>Road</t>
  </si>
  <si>
    <t>Pped Paving</t>
  </si>
  <si>
    <t>0|0|0|0|0|0</t>
  </si>
  <si>
    <t>Building|Covered Sidewalk|Parking|Road|Pped Paving|Landscaping</t>
  </si>
  <si>
    <t>-26380|5492|52671|46462|8748|48548</t>
  </si>
  <si>
    <t>Shade tree, balled, burlapped, prepared bed, up to 14'</t>
  </si>
  <si>
    <t>32.30.0000.0045</t>
  </si>
  <si>
    <t>Why is this hard written?</t>
  </si>
  <si>
    <t>Keep 2-3 % design/construction contingency still have SF allowance for MEP demo and other Allowances</t>
  </si>
  <si>
    <t>missing scope, benches</t>
  </si>
  <si>
    <t>Missing void forms, typical with all grade beams</t>
  </si>
  <si>
    <t>missing scope concrete water proofing in basement</t>
  </si>
  <si>
    <t>does this include the soffits?</t>
  </si>
  <si>
    <t>Leak detection</t>
  </si>
  <si>
    <t>In div 09 - dryloc</t>
  </si>
  <si>
    <t>02.00.0000.0225</t>
  </si>
  <si>
    <t>Headwalls</t>
  </si>
  <si>
    <t>Removed aggergate stockpiling and added to demo</t>
  </si>
  <si>
    <t>12.20.1000.0045</t>
  </si>
  <si>
    <t>Bench seats</t>
  </si>
  <si>
    <t>Normal power</t>
  </si>
  <si>
    <t>Main switch gear, 600 amp, 277/480v, 3ph, MDP</t>
  </si>
  <si>
    <t xml:space="preserve">Panelboards 120/208v, 3ph, 400 amp w/ main </t>
  </si>
  <si>
    <t>circuit breaker</t>
  </si>
  <si>
    <t>Panelboards 277/480v, 3ph</t>
  </si>
  <si>
    <t>400 amp</t>
  </si>
  <si>
    <t>100 amp</t>
  </si>
  <si>
    <t>Conductor, copper wire, THW, THHN</t>
  </si>
  <si>
    <t># 10</t>
  </si>
  <si>
    <t># 6</t>
  </si>
  <si>
    <t># 3</t>
  </si>
  <si>
    <t># 1 / 0</t>
  </si>
  <si>
    <t># 2 / 0</t>
  </si>
  <si>
    <t>500 kcmil</t>
  </si>
  <si>
    <t>Concealed conduit, RGS</t>
  </si>
  <si>
    <t>3-1/2"</t>
  </si>
  <si>
    <t>Emergency power</t>
  </si>
  <si>
    <t>Emergency generator, diesel, 150 KW</t>
  </si>
  <si>
    <t>Panelboards 120/208v, 3ph</t>
  </si>
  <si>
    <t>60 amp</t>
  </si>
  <si>
    <t>100 amp w/ main circuit breaker</t>
  </si>
  <si>
    <t>Panelboards 277/480v, 3ph, 400 amp</t>
  </si>
  <si>
    <t>Transformers 480/120v, 3ph, 30 kVA, k-rated</t>
  </si>
  <si>
    <t>Inverter 3.8kVA</t>
  </si>
  <si>
    <t>Automatic transfer switches, 100 amp, 277/480v</t>
  </si>
  <si>
    <t># 2</t>
  </si>
  <si>
    <t># 12</t>
  </si>
  <si>
    <t>Concealed conduit, EMT</t>
  </si>
  <si>
    <t>Conduit for control wiring, wire by HVAC trade</t>
  </si>
  <si>
    <t>1' LED strip fixture, SP</t>
  </si>
  <si>
    <t>2” Down light LED fixture, SW</t>
  </si>
  <si>
    <t>2’ Linear LED fixture, U</t>
  </si>
  <si>
    <t>Wall pack LED, WP</t>
  </si>
  <si>
    <t>Duplex, GFCI, WP</t>
  </si>
  <si>
    <t>Floor box</t>
  </si>
  <si>
    <t>Junction box</t>
  </si>
  <si>
    <t>Fire alarm system, addressable type</t>
  </si>
  <si>
    <t>Pull station</t>
  </si>
  <si>
    <t>Smoke detector</t>
  </si>
  <si>
    <t>Strobe</t>
  </si>
  <si>
    <t>Horn/strobe</t>
  </si>
  <si>
    <t>Site lighting</t>
  </si>
  <si>
    <t>Lighting fixtures</t>
  </si>
  <si>
    <t>Type SA - 30 feet pole, 1 head</t>
  </si>
  <si>
    <t>Type SB - 30 feet pole, 2 heads</t>
  </si>
  <si>
    <t>Type SL - Flag light</t>
  </si>
  <si>
    <t>Site power</t>
  </si>
  <si>
    <t>Receptacle, GFI, WP</t>
  </si>
  <si>
    <t>Connect to existing service at OH pole</t>
  </si>
  <si>
    <t>Utility Transformer, Allowance</t>
  </si>
  <si>
    <t>Allowances removed and priced as per detail design</t>
  </si>
  <si>
    <t>Mis. Allowances removed, still no new information</t>
  </si>
  <si>
    <t>Removed natural gas allowance, service entry ductbank QTY increased</t>
  </si>
  <si>
    <t>CMU bar replacement</t>
  </si>
  <si>
    <t>Misc. wood blocking</t>
  </si>
  <si>
    <t>Door hardware, Allowance , per client</t>
  </si>
  <si>
    <t>24 December 2024</t>
  </si>
  <si>
    <t>Custom Escalation Calculation</t>
  </si>
  <si>
    <t>Estimate Date:</t>
  </si>
  <si>
    <t>Midpoint Date:</t>
  </si>
  <si>
    <t>Years to escalate:</t>
  </si>
  <si>
    <t>Esc per annum:</t>
  </si>
  <si>
    <t>Escalation to midpoint:</t>
  </si>
  <si>
    <t>linked to calc.</t>
  </si>
  <si>
    <t>Added LS &amp; IRIG detail, +'14K SF of concrete, Site lighting +85k add</t>
  </si>
  <si>
    <t>Inc. the cost of fire protection areas based on the new set of drawaings.</t>
  </si>
  <si>
    <t>Reduced design contingency to 3%</t>
  </si>
  <si>
    <t>KV: Per Schedule</t>
  </si>
  <si>
    <t>AK Original</t>
  </si>
  <si>
    <t>80 CFM per schedule</t>
  </si>
  <si>
    <t>Exhaust fan, restroom 80 CFM, GREENHECK</t>
  </si>
  <si>
    <t>Heat pump Split system</t>
  </si>
  <si>
    <t>KV: Boosted price. Was low.</t>
  </si>
  <si>
    <t>Price revised by KV to $1.1/SF</t>
  </si>
  <si>
    <t>2’ x 2’ LED recessed fixture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</si>
</sst>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quot;$&quot;#,##0.00"/>
    <numFmt numFmtId="166" formatCode="0.0000"/>
    <numFmt numFmtId="167" formatCode="0.0"/>
    <numFmt numFmtId="168" formatCode="_(* #,##0_);_(* \(#,##0\);_(* &quot;-&quot;??_);_(@_)"/>
    <numFmt numFmtId="169" formatCode="mm/yyyy"/>
    <numFmt numFmtId="170" formatCode="dd\ mmmm\ yyyy"/>
    <numFmt numFmtId="171" formatCode="&quot;$&quot;#,##0"/>
    <numFmt numFmtId="172" formatCode="0%;[Red]\-0%"/>
    <numFmt numFmtId="173" formatCode="_(* #,##0.0_);_(* \(#,##0.0\);_(* &quot;-&quot;??_);_(@_)"/>
    <numFmt numFmtId="174" formatCode="&quot;$&quot;#,##0\ "/>
    <numFmt numFmtId="175" formatCode="mmmm\ d\,\ yyyy"/>
    <numFmt numFmtId="176" formatCode="[$-409]d\-mmm\-yy;@"/>
    <numFmt numFmtId="177" formatCode="#,##0.0_);[Red]\(#,##0.0\)"/>
  </numFmts>
  <fonts count="1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color theme="0"/>
      <name val="Calibri"/>
      <family val="2"/>
      <scheme val="minor"/>
    </font>
    <font>
      <sz val="10"/>
      <name val="Calibri"/>
      <family val="2"/>
      <scheme val="minor"/>
    </font>
    <font>
      <b/>
      <sz val="10"/>
      <name val="Calibri"/>
      <family val="2"/>
      <scheme val="minor"/>
    </font>
    <font>
      <sz val="10"/>
      <color theme="0" tint="-0.34998626667073579"/>
      <name val="Calibri"/>
      <family val="2"/>
      <scheme val="minor"/>
    </font>
    <font>
      <b/>
      <sz val="12"/>
      <name val="Calibri"/>
      <family val="2"/>
      <scheme val="minor"/>
    </font>
    <font>
      <b/>
      <sz val="12"/>
      <color rgb="FF6CB33F"/>
      <name val="Calibri"/>
      <family val="2"/>
      <scheme val="minor"/>
    </font>
    <font>
      <b/>
      <sz val="12"/>
      <color rgb="FF808285"/>
      <name val="Calibri"/>
      <family val="2"/>
      <scheme val="minor"/>
    </font>
    <font>
      <i/>
      <sz val="10"/>
      <color rgb="FF808285"/>
      <name val="Calibri"/>
      <family val="2"/>
      <scheme val="minor"/>
    </font>
    <font>
      <sz val="10"/>
      <color rgb="FF808285"/>
      <name val="Calibri"/>
      <family val="2"/>
      <scheme val="minor"/>
    </font>
    <font>
      <b/>
      <sz val="14"/>
      <color rgb="FF5091CD"/>
      <name val="Calibri"/>
      <family val="2"/>
      <scheme val="minor"/>
    </font>
    <font>
      <b/>
      <sz val="10"/>
      <color rgb="FF00447C"/>
      <name val="Calibri"/>
      <family val="2"/>
      <scheme val="minor"/>
    </font>
    <font>
      <sz val="12"/>
      <name val="Calibri"/>
      <family val="2"/>
      <scheme val="minor"/>
    </font>
    <font>
      <b/>
      <sz val="11"/>
      <name val="Calibri"/>
      <family val="2"/>
      <scheme val="minor"/>
    </font>
    <font>
      <sz val="10"/>
      <color rgb="FF00B050"/>
      <name val="Calibri"/>
      <family val="2"/>
      <scheme val="minor"/>
    </font>
    <font>
      <sz val="10"/>
      <color theme="0"/>
      <name val="Calibri"/>
      <family val="2"/>
      <scheme val="minor"/>
    </font>
    <font>
      <sz val="10"/>
      <color rgb="FFCCFFCC"/>
      <name val="Calibri"/>
      <family val="2"/>
      <scheme val="minor"/>
    </font>
    <font>
      <sz val="10"/>
      <color rgb="FF92D050"/>
      <name val="Calibri"/>
      <family val="2"/>
      <scheme val="minor"/>
    </font>
    <font>
      <b/>
      <sz val="18"/>
      <color rgb="FF6CB33F"/>
      <name val="Calibri"/>
      <family val="2"/>
      <scheme val="minor"/>
    </font>
    <font>
      <sz val="11"/>
      <color rgb="FF000000"/>
      <name val="Calibri"/>
      <family val="2"/>
      <scheme val="minor"/>
    </font>
    <font>
      <sz val="11"/>
      <color rgb="FF000000"/>
      <name val="Calibri"/>
      <family val="2"/>
    </font>
    <font>
      <sz val="10"/>
      <color rgb="FF990000"/>
      <name val="Calibri"/>
      <family val="2"/>
      <scheme val="minor"/>
    </font>
    <font>
      <b/>
      <sz val="11"/>
      <color rgb="FF1F497D"/>
      <name val="Calibri"/>
      <family val="2"/>
      <scheme val="minor"/>
    </font>
    <font>
      <sz val="10"/>
      <color rgb="FF000000"/>
      <name val="Arial"/>
      <family val="2"/>
    </font>
    <font>
      <sz val="10"/>
      <name val="Arial"/>
      <family val="2"/>
    </font>
    <font>
      <sz val="10"/>
      <name val="Arial"/>
      <family val="2"/>
    </font>
    <font>
      <sz val="10"/>
      <name val="Arial"/>
      <family val="2"/>
    </font>
    <font>
      <sz val="10"/>
      <name val="Arial"/>
      <family val="2"/>
    </font>
    <font>
      <sz val="10"/>
      <color rgb="FFFFFFFF"/>
      <name val="Calibri"/>
      <family val="2"/>
      <scheme val="minor"/>
    </font>
    <font>
      <b/>
      <sz val="10"/>
      <color rgb="FFFFFFFF"/>
      <name val="Calibri"/>
      <family val="2"/>
      <scheme val="minor"/>
    </font>
    <font>
      <i/>
      <sz val="10"/>
      <color rgb="FF0070C0"/>
      <name val="Calibri"/>
      <family val="2"/>
      <scheme val="minor"/>
    </font>
    <font>
      <sz val="9"/>
      <color indexed="81"/>
      <name val="Tahoma"/>
      <family val="2"/>
    </font>
    <font>
      <b/>
      <sz val="9"/>
      <color indexed="81"/>
      <name val="Tahoma"/>
      <family val="2"/>
    </font>
    <font>
      <sz val="10"/>
      <name val="Arial"/>
      <family val="2"/>
    </font>
    <font>
      <sz val="10"/>
      <name val="Arial"/>
      <family val="2"/>
    </font>
    <font>
      <sz val="10"/>
      <name val="Arial"/>
      <family val="2"/>
    </font>
    <font>
      <sz val="24"/>
      <color rgb="FF6CB33F"/>
      <name val="Calibri"/>
      <family val="2"/>
    </font>
    <font>
      <sz val="11"/>
      <color rgb="FF808285"/>
      <name val="Calibri"/>
      <family val="2"/>
    </font>
    <font>
      <i/>
      <sz val="14"/>
      <color rgb="FF808285"/>
      <name val="Calibri"/>
      <family val="2"/>
    </font>
    <font>
      <sz val="10"/>
      <name val="Arial"/>
      <family val="2"/>
    </font>
    <font>
      <sz val="10"/>
      <color rgb="FF000000"/>
      <name val="Calibri"/>
      <family val="2"/>
      <scheme val="minor"/>
    </font>
    <font>
      <sz val="11"/>
      <name val="Calibri"/>
      <family val="2"/>
      <scheme val="minor"/>
    </font>
    <font>
      <sz val="11"/>
      <color rgb="FFC00000"/>
      <name val="Calibri"/>
      <family val="2"/>
      <scheme val="minor"/>
    </font>
    <font>
      <b/>
      <sz val="11"/>
      <color rgb="FF000000"/>
      <name val="Calibri"/>
      <family val="2"/>
      <scheme val="minor"/>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2"/>
      <color rgb="FFFFFF00"/>
      <name val="Calibri"/>
      <family val="2"/>
      <scheme val="minor"/>
    </font>
    <font>
      <sz val="10"/>
      <color rgb="FFFF0000"/>
      <name val="Calibri"/>
      <family val="2"/>
      <scheme val="minor"/>
    </font>
    <font>
      <i/>
      <sz val="10"/>
      <name val="Calibri"/>
      <family val="2"/>
      <scheme val="minor"/>
    </font>
    <font>
      <sz val="10"/>
      <color indexed="55"/>
      <name val="Calibri"/>
      <family val="2"/>
      <scheme val="minor"/>
    </font>
    <font>
      <sz val="10"/>
      <color theme="1" tint="0.34998626667073579"/>
      <name val="Calibri"/>
      <family val="2"/>
      <scheme val="minor"/>
    </font>
    <font>
      <i/>
      <sz val="10"/>
      <color theme="1" tint="0.34998626667073579"/>
      <name val="Calibri"/>
      <family val="2"/>
      <scheme val="minor"/>
    </font>
    <font>
      <b/>
      <sz val="9"/>
      <color theme="0"/>
      <name val="Calibri"/>
      <family val="2"/>
      <scheme val="minor"/>
    </font>
    <font>
      <b/>
      <sz val="9"/>
      <name val="Calibri"/>
      <family val="2"/>
      <scheme val="minor"/>
    </font>
    <font>
      <b/>
      <i/>
      <sz val="10"/>
      <color rgb="FF5091CD"/>
      <name val="Calibri"/>
      <family val="2"/>
      <scheme val="minor"/>
    </font>
    <font>
      <b/>
      <i/>
      <sz val="10"/>
      <name val="Calibri"/>
      <family val="2"/>
      <scheme val="minor"/>
    </font>
    <font>
      <b/>
      <sz val="10"/>
      <color theme="0"/>
      <name val="Calibri"/>
      <family val="2"/>
      <scheme val="minor"/>
    </font>
    <font>
      <sz val="10"/>
      <color indexed="10"/>
      <name val="Calibri"/>
      <family val="2"/>
      <scheme val="minor"/>
    </font>
    <font>
      <sz val="10"/>
      <color indexed="10"/>
      <name val="Calibri"/>
      <family val="2"/>
    </font>
    <font>
      <b/>
      <sz val="9"/>
      <color rgb="FF000000"/>
      <name val="Calibri"/>
      <family val="2"/>
      <scheme val="minor"/>
    </font>
    <font>
      <b/>
      <sz val="10"/>
      <color rgb="FF000000"/>
      <name val="Calibri"/>
      <family val="2"/>
      <scheme val="minor"/>
    </font>
    <font>
      <sz val="8"/>
      <color rgb="FF000000"/>
      <name val="Tahoma"/>
      <family val="2"/>
    </font>
    <font>
      <sz val="9"/>
      <color rgb="FF000000"/>
      <name val="Arial"/>
      <family val="2"/>
    </font>
    <font>
      <i/>
      <sz val="10"/>
      <color rgb="FF000000"/>
      <name val="Arial"/>
      <family val="2"/>
    </font>
    <font>
      <sz val="10"/>
      <color theme="6"/>
      <name val="Calibri"/>
      <family val="2"/>
      <scheme val="minor"/>
    </font>
    <font>
      <b/>
      <sz val="10"/>
      <color rgb="FF808285"/>
      <name val="Calibri"/>
      <family val="2"/>
    </font>
    <font>
      <sz val="10"/>
      <color theme="6"/>
      <name val="Calibri"/>
      <family val="2"/>
    </font>
    <font>
      <b/>
      <sz val="12"/>
      <color rgb="FF6CB33F"/>
      <name val="Calibri"/>
      <family val="2"/>
    </font>
    <font>
      <b/>
      <sz val="12"/>
      <color rgb="FF808285"/>
      <name val="Calibri"/>
      <family val="2"/>
    </font>
    <font>
      <b/>
      <sz val="14"/>
      <color rgb="FF5091CD"/>
      <name val="Calibri"/>
      <family val="2"/>
    </font>
    <font>
      <i/>
      <sz val="10"/>
      <color rgb="FF808285"/>
      <name val="Calibri"/>
      <family val="2"/>
    </font>
    <font>
      <sz val="10"/>
      <color rgb="FF808285"/>
      <name val="Calibri"/>
      <family val="2"/>
    </font>
    <font>
      <b/>
      <sz val="10"/>
      <color rgb="FF00447C"/>
      <name val="Calibri"/>
      <family val="2"/>
    </font>
    <font>
      <b/>
      <sz val="18"/>
      <color rgb="FF6CB33F"/>
      <name val="Calibri"/>
      <family val="2"/>
    </font>
    <font>
      <b/>
      <sz val="9"/>
      <color theme="5"/>
      <name val="Calibri"/>
      <family val="2"/>
      <scheme val="minor"/>
    </font>
    <font>
      <b/>
      <sz val="10"/>
      <color rgb="FF6CB33F"/>
      <name val="Calibri"/>
      <family val="2"/>
    </font>
    <font>
      <sz val="10"/>
      <name val="Calibri"/>
      <family val="2"/>
    </font>
    <font>
      <sz val="12"/>
      <color rgb="FF000000"/>
      <name val="Calibri"/>
      <family val="2"/>
    </font>
    <font>
      <sz val="10"/>
      <color rgb="FF000000"/>
      <name val="Calibri"/>
      <family val="2"/>
    </font>
    <font>
      <sz val="9"/>
      <name val="Calibri"/>
      <family val="2"/>
    </font>
    <font>
      <b/>
      <sz val="10"/>
      <color rgb="FF507DFF"/>
      <name val="Calibri"/>
      <family val="2"/>
    </font>
    <font>
      <sz val="10"/>
      <color theme="0"/>
      <name val="Calibri"/>
      <family val="2"/>
    </font>
    <font>
      <b/>
      <sz val="10"/>
      <color rgb="FF5091CD"/>
      <name val="Calibri"/>
      <family val="2"/>
    </font>
    <font>
      <b/>
      <sz val="11"/>
      <color rgb="FF00447C"/>
      <name val="Calibri"/>
      <family val="2"/>
    </font>
    <font>
      <b/>
      <sz val="9"/>
      <color theme="5"/>
      <name val="Calibri"/>
      <family val="2"/>
    </font>
    <font>
      <sz val="7.7"/>
      <color theme="6"/>
      <name val="Calibri"/>
      <family val="2"/>
      <scheme val="minor"/>
    </font>
    <font>
      <u/>
      <sz val="10"/>
      <color theme="10"/>
      <name val="Arial"/>
      <family val="2"/>
    </font>
    <font>
      <u/>
      <sz val="10"/>
      <color theme="0"/>
      <name val="Arial"/>
      <family val="2"/>
    </font>
    <font>
      <sz val="10"/>
      <color rgb="FFFFFF00"/>
      <name val="Calibri"/>
      <family val="2"/>
      <scheme val="minor"/>
    </font>
    <font>
      <b/>
      <sz val="10"/>
      <color rgb="FFFFFF00"/>
      <name val="Calibri"/>
      <family val="2"/>
      <scheme val="minor"/>
    </font>
    <font>
      <sz val="10"/>
      <color rgb="FFFFFF00"/>
      <name val="Calibri"/>
      <family val="2"/>
    </font>
    <font>
      <i/>
      <sz val="10"/>
      <color rgb="FFFFFF00"/>
      <name val="Calibri"/>
      <family val="2"/>
      <scheme val="minor"/>
    </font>
    <font>
      <b/>
      <sz val="10"/>
      <color rgb="FF6CB33F"/>
      <name val="Calibri"/>
      <family val="2"/>
      <scheme val="minor"/>
    </font>
    <font>
      <i/>
      <sz val="10"/>
      <color rgb="FF000000"/>
      <name val="Calibri"/>
      <family val="2"/>
      <scheme val="minor"/>
    </font>
    <font>
      <sz val="36"/>
      <color rgb="FFFFFF00"/>
      <name val="Calibri"/>
      <family val="2"/>
      <scheme val="minor"/>
    </font>
    <font>
      <u/>
      <sz val="10"/>
      <color rgb="FF000000"/>
      <name val="Calibri"/>
      <family val="2"/>
      <scheme val="minor"/>
    </font>
    <font>
      <sz val="11"/>
      <color rgb="FFFF0000"/>
      <name val="Calibri"/>
      <family val="2"/>
      <scheme val="minor"/>
    </font>
    <font>
      <sz val="11"/>
      <name val="Calibri"/>
      <family val="2"/>
    </font>
    <font>
      <sz val="9"/>
      <color theme="0"/>
      <name val="Calibri"/>
      <family val="2"/>
    </font>
    <font>
      <b/>
      <sz val="12"/>
      <color theme="3"/>
      <name val="Calibri"/>
      <family val="2"/>
      <scheme val="minor"/>
    </font>
    <font>
      <sz val="10"/>
      <color theme="1"/>
      <name val="Calibri"/>
      <family val="2"/>
      <scheme val="minor"/>
    </font>
    <font>
      <i/>
      <sz val="12"/>
      <color rgb="FF808285"/>
      <name val="Calibri"/>
      <family val="2"/>
      <scheme val="minor"/>
    </font>
    <font>
      <b/>
      <sz val="12"/>
      <color rgb="FF5091CD"/>
      <name val="Calibri"/>
      <family val="2"/>
      <scheme val="minor"/>
    </font>
    <font>
      <sz val="12"/>
      <color rgb="FF808285"/>
      <name val="Calibri"/>
      <family val="2"/>
      <scheme val="minor"/>
    </font>
    <font>
      <b/>
      <sz val="18"/>
      <color theme="0"/>
      <name val="Calibri"/>
      <family val="2"/>
      <scheme val="minor"/>
    </font>
    <font>
      <b/>
      <sz val="10"/>
      <color rgb="FF5091CD"/>
      <name val="Calibri"/>
      <family val="2"/>
      <scheme val="minor"/>
    </font>
    <font>
      <sz val="10"/>
      <color theme="1"/>
      <name val="Calibri"/>
      <family val="2"/>
    </font>
    <font>
      <sz val="11"/>
      <color theme="1"/>
      <name val="Calibri"/>
      <family val="2"/>
    </font>
    <font>
      <b/>
      <sz val="12"/>
      <name val="Calibri"/>
      <family val="2"/>
    </font>
    <font>
      <sz val="10"/>
      <color theme="1" tint="0.14999847407452621"/>
      <name val="Calibri"/>
      <family val="2"/>
    </font>
    <font>
      <sz val="10"/>
      <color rgb="FFFF0000"/>
      <name val="Calibri"/>
      <family val="2"/>
    </font>
    <font>
      <sz val="10"/>
      <color theme="1" tint="0.14999847407452621"/>
      <name val="Calibri"/>
      <family val="2"/>
      <scheme val="minor"/>
    </font>
    <font>
      <u/>
      <sz val="10"/>
      <name val="Calibri"/>
      <family val="2"/>
    </font>
    <font>
      <u/>
      <sz val="10"/>
      <color theme="1" tint="0.14999847407452621"/>
      <name val="Arial"/>
      <family val="2"/>
    </font>
    <font>
      <b/>
      <sz val="10"/>
      <color indexed="17"/>
      <name val="Calibri"/>
      <family val="2"/>
    </font>
    <font>
      <b/>
      <sz val="10"/>
      <color indexed="10"/>
      <name val="Calibri"/>
      <family val="2"/>
    </font>
    <font>
      <b/>
      <sz val="10"/>
      <color theme="0"/>
      <name val="Calibri"/>
      <family val="2"/>
    </font>
    <font>
      <b/>
      <sz val="8"/>
      <color rgb="FF5091CD"/>
      <name val="Calibri"/>
      <family val="2"/>
      <scheme val="minor"/>
    </font>
    <font>
      <sz val="8"/>
      <color theme="1"/>
      <name val="Calibri"/>
      <family val="2"/>
    </font>
    <font>
      <b/>
      <sz val="10"/>
      <name val="Calibri"/>
      <family val="2"/>
    </font>
    <font>
      <b/>
      <sz val="10"/>
      <color theme="3" tint="0.39997558519241921"/>
      <name val="Calibri"/>
      <family val="2"/>
      <scheme val="minor"/>
    </font>
    <font>
      <b/>
      <sz val="10"/>
      <color rgb="FFFF0000"/>
      <name val="Calibri"/>
      <family val="2"/>
      <scheme val="minor"/>
    </font>
    <font>
      <b/>
      <sz val="10"/>
      <color theme="1" tint="0.14999847407452621"/>
      <name val="Calibri"/>
      <family val="2"/>
      <scheme val="minor"/>
    </font>
    <font>
      <sz val="8"/>
      <color theme="1" tint="0.14999847407452621"/>
      <name val="Calibri"/>
      <family val="2"/>
    </font>
    <font>
      <b/>
      <sz val="8"/>
      <color theme="0"/>
      <name val="Calibri"/>
      <family val="2"/>
      <scheme val="minor"/>
    </font>
    <font>
      <sz val="8"/>
      <color theme="0"/>
      <name val="Arial"/>
      <family val="2"/>
    </font>
    <font>
      <sz val="8"/>
      <color theme="0"/>
      <name val="Calibri"/>
      <family val="2"/>
    </font>
    <font>
      <sz val="10"/>
      <color theme="0"/>
      <name val="Arial"/>
      <family val="2"/>
    </font>
    <font>
      <sz val="12"/>
      <color theme="1" tint="0.14999847407452621"/>
      <name val="Calibri"/>
      <family val="2"/>
    </font>
    <font>
      <sz val="11"/>
      <color theme="1" tint="0.14999847407452621"/>
      <name val="Calibri"/>
      <family val="2"/>
    </font>
    <font>
      <sz val="14"/>
      <color theme="0"/>
      <name val="Wingdings 3"/>
      <family val="1"/>
      <charset val="2"/>
    </font>
    <font>
      <sz val="11"/>
      <color theme="1" tint="0.14999847407452621"/>
      <name val="Calibri"/>
      <family val="2"/>
      <scheme val="minor"/>
    </font>
    <font>
      <b/>
      <sz val="9"/>
      <name val="Calibri"/>
      <family val="2"/>
    </font>
    <font>
      <sz val="12"/>
      <color theme="1" tint="0.14999847407452621"/>
      <name val="Calibri"/>
      <family val="2"/>
      <scheme val="minor"/>
    </font>
    <font>
      <sz val="12"/>
      <color rgb="FF92D050"/>
      <name val="Wingdings 3"/>
      <family val="1"/>
      <charset val="2"/>
    </font>
    <font>
      <sz val="9"/>
      <name val="Calibri"/>
      <family val="2"/>
      <scheme val="minor"/>
    </font>
    <font>
      <sz val="9"/>
      <color theme="1" tint="0.14999847407452621"/>
      <name val="Calibri"/>
      <family val="2"/>
    </font>
    <font>
      <sz val="10"/>
      <name val="Arial"/>
      <family val="2"/>
    </font>
    <font>
      <b/>
      <sz val="10"/>
      <color rgb="FFFFFF00"/>
      <name val="Calibri"/>
      <family val="2"/>
    </font>
  </fonts>
  <fills count="24">
    <fill>
      <patternFill patternType="none"/>
    </fill>
    <fill>
      <patternFill patternType="gray125"/>
    </fill>
    <fill>
      <patternFill patternType="solid">
        <fgColor indexed="22"/>
        <bgColor indexed="64"/>
      </patternFill>
    </fill>
    <fill>
      <patternFill patternType="solid">
        <fgColor indexed="44"/>
        <bgColor indexed="64"/>
      </patternFill>
    </fill>
    <fill>
      <patternFill patternType="solid">
        <fgColor indexed="42"/>
        <bgColor indexed="64"/>
      </patternFill>
    </fill>
    <fill>
      <patternFill patternType="solid">
        <fgColor indexed="11"/>
        <bgColor indexed="64"/>
      </patternFill>
    </fill>
    <fill>
      <patternFill patternType="solid">
        <fgColor indexed="57"/>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808285"/>
        <bgColor indexed="64"/>
      </patternFill>
    </fill>
    <fill>
      <patternFill patternType="solid">
        <fgColor rgb="FF92D050"/>
        <bgColor indexed="64"/>
      </patternFill>
    </fill>
    <fill>
      <patternFill patternType="solid">
        <fgColor rgb="FFCCFFCC"/>
        <bgColor indexed="64"/>
      </patternFill>
    </fill>
    <fill>
      <patternFill patternType="solid">
        <fgColor rgb="FF00B050"/>
        <bgColor indexed="64"/>
      </patternFill>
    </fill>
    <fill>
      <patternFill patternType="solid">
        <fgColor theme="0" tint="-4.9989318521683403E-2"/>
        <bgColor indexed="64"/>
      </patternFill>
    </fill>
    <fill>
      <patternFill patternType="solid">
        <fgColor rgb="FF339966"/>
        <bgColor indexed="64"/>
      </patternFill>
    </fill>
    <fill>
      <patternFill patternType="solid">
        <fgColor rgb="FF0070C0"/>
        <bgColor indexed="64"/>
      </patternFill>
    </fill>
    <fill>
      <patternFill patternType="solid">
        <fgColor rgb="FFB7DEE8"/>
        <bgColor indexed="64"/>
      </patternFill>
    </fill>
    <fill>
      <patternFill patternType="solid">
        <fgColor rgb="FF00447C"/>
        <bgColor indexed="64"/>
      </patternFill>
    </fill>
    <fill>
      <patternFill patternType="solid">
        <fgColor theme="6" tint="-0.24994659260841701"/>
        <bgColor indexed="64"/>
      </patternFill>
    </fill>
    <fill>
      <patternFill patternType="solid">
        <fgColor rgb="FF6CB33F"/>
        <bgColor indexed="64"/>
      </patternFill>
    </fill>
    <fill>
      <patternFill patternType="solid">
        <fgColor rgb="FFFFFF00"/>
        <bgColor indexed="64"/>
      </patternFill>
    </fill>
    <fill>
      <patternFill patternType="solid">
        <fgColor theme="0"/>
        <bgColor indexed="64"/>
      </patternFill>
    </fill>
    <fill>
      <patternFill patternType="solid">
        <fgColor theme="6" tint="0.59999389629810485"/>
        <bgColor indexed="64"/>
      </patternFill>
    </fill>
    <fill>
      <patternFill patternType="solid">
        <fgColor rgb="FFA6A6A6"/>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rgb="FF808285"/>
      </top>
      <bottom style="medium">
        <color rgb="FF808285"/>
      </bottom>
      <diagonal/>
    </border>
    <border>
      <left/>
      <right/>
      <top/>
      <bottom style="medium">
        <color indexed="64"/>
      </bottom>
      <diagonal/>
    </border>
    <border>
      <left style="thin">
        <color auto="1"/>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style="medium">
        <color rgb="FF808285"/>
      </top>
      <bottom style="medium">
        <color rgb="FF808285"/>
      </bottom>
      <diagonal/>
    </border>
    <border>
      <left/>
      <right style="thin">
        <color theme="4"/>
      </right>
      <top style="medium">
        <color rgb="FF808285"/>
      </top>
      <bottom style="medium">
        <color rgb="FF808285"/>
      </bottom>
      <diagonal/>
    </border>
    <border>
      <left style="thin">
        <color theme="4"/>
      </left>
      <right/>
      <top/>
      <bottom style="thin">
        <color theme="4"/>
      </bottom>
      <diagonal/>
    </border>
    <border>
      <left/>
      <right/>
      <top/>
      <bottom style="thin">
        <color theme="4"/>
      </bottom>
      <diagonal/>
    </border>
    <border>
      <left/>
      <right style="thin">
        <color theme="4"/>
      </right>
      <top/>
      <bottom style="thin">
        <color theme="4"/>
      </bottom>
      <diagonal/>
    </border>
    <border>
      <left/>
      <right/>
      <top/>
      <bottom style="dotted">
        <color theme="1" tint="0.499984740745262"/>
      </bottom>
      <diagonal/>
    </border>
  </borders>
  <cellStyleXfs count="88">
    <xf numFmtId="0" fontId="0" fillId="0" borderId="0"/>
    <xf numFmtId="43" fontId="6"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43" fontId="18" fillId="0" borderId="0" applyFont="0" applyFill="0" applyBorder="0" applyAlignment="0" applyProtection="0"/>
    <xf numFmtId="43" fontId="19" fillId="0" borderId="0" applyFont="0" applyFill="0" applyBorder="0" applyAlignment="0" applyProtection="0"/>
    <xf numFmtId="43" fontId="20" fillId="0" borderId="0" applyFont="0" applyFill="0" applyBorder="0" applyAlignment="0" applyProtection="0"/>
    <xf numFmtId="43" fontId="21" fillId="0" borderId="0" applyFont="0" applyFill="0" applyBorder="0" applyAlignment="0" applyProtection="0"/>
    <xf numFmtId="43" fontId="22" fillId="0" borderId="0" applyFont="0" applyFill="0" applyBorder="0" applyAlignment="0" applyProtection="0"/>
    <xf numFmtId="43" fontId="23" fillId="0" borderId="0" applyFont="0" applyFill="0" applyBorder="0" applyAlignment="0" applyProtection="0"/>
    <xf numFmtId="43" fontId="24"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10" fillId="0" borderId="0" applyFont="0" applyFill="0" applyBorder="0" applyAlignment="0" applyProtection="0"/>
    <xf numFmtId="43" fontId="7" fillId="0" borderId="0" applyFont="0" applyFill="0" applyBorder="0" applyAlignment="0" applyProtection="0"/>
    <xf numFmtId="43" fontId="11" fillId="0" borderId="0" applyFont="0" applyFill="0" applyBorder="0" applyAlignment="0" applyProtection="0"/>
    <xf numFmtId="43" fontId="12" fillId="0" borderId="0" applyFont="0" applyFill="0" applyBorder="0" applyAlignment="0" applyProtection="0"/>
    <xf numFmtId="43" fontId="13" fillId="0" borderId="0" applyFont="0" applyFill="0" applyBorder="0" applyAlignment="0" applyProtection="0"/>
    <xf numFmtId="43" fontId="14" fillId="0" borderId="0" applyFont="0" applyFill="0" applyBorder="0" applyAlignment="0" applyProtection="0"/>
    <xf numFmtId="43" fontId="15" fillId="0" borderId="0" applyFont="0" applyFill="0" applyBorder="0" applyAlignment="0" applyProtection="0"/>
    <xf numFmtId="0" fontId="7" fillId="0" borderId="0"/>
    <xf numFmtId="9" fontId="6" fillId="0" borderId="0" applyFont="0" applyFill="0" applyBorder="0" applyAlignment="0" applyProtection="0"/>
    <xf numFmtId="9" fontId="16" fillId="0" borderId="0" applyFont="0" applyFill="0" applyBorder="0" applyAlignment="0" applyProtection="0"/>
    <xf numFmtId="9" fontId="17" fillId="0" borderId="0" applyFont="0" applyFill="0" applyBorder="0" applyAlignment="0" applyProtection="0"/>
    <xf numFmtId="9" fontId="18" fillId="0" borderId="0" applyFont="0" applyFill="0" applyBorder="0" applyAlignment="0" applyProtection="0"/>
    <xf numFmtId="9" fontId="19" fillId="0" borderId="0" applyFont="0" applyFill="0" applyBorder="0" applyAlignment="0" applyProtection="0"/>
    <xf numFmtId="9" fontId="20" fillId="0" borderId="0" applyFont="0" applyFill="0" applyBorder="0" applyAlignment="0" applyProtection="0"/>
    <xf numFmtId="9" fontId="21" fillId="0" borderId="0" applyFont="0" applyFill="0" applyBorder="0" applyAlignment="0" applyProtection="0"/>
    <xf numFmtId="9" fontId="22" fillId="0" borderId="0" applyFont="0" applyFill="0" applyBorder="0" applyAlignment="0" applyProtection="0"/>
    <xf numFmtId="9" fontId="23" fillId="0" borderId="0" applyFont="0" applyFill="0" applyBorder="0" applyAlignment="0" applyProtection="0"/>
    <xf numFmtId="9" fontId="24" fillId="0" borderId="0" applyFont="0" applyFill="0" applyBorder="0" applyAlignment="0" applyProtection="0"/>
    <xf numFmtId="9" fontId="9" fillId="0" borderId="0" applyFont="0" applyFill="0" applyBorder="0" applyAlignment="0" applyProtection="0"/>
    <xf numFmtId="9" fontId="7" fillId="0" borderId="0" applyFont="0" applyFill="0" applyBorder="0" applyAlignment="0" applyProtection="0"/>
    <xf numFmtId="9" fontId="10" fillId="0" borderId="0" applyFont="0" applyFill="0" applyBorder="0" applyAlignment="0" applyProtection="0"/>
    <xf numFmtId="9" fontId="7" fillId="0" borderId="0" applyFont="0" applyFill="0" applyBorder="0" applyAlignment="0" applyProtection="0"/>
    <xf numFmtId="9" fontId="11" fillId="0" borderId="0" applyFont="0" applyFill="0" applyBorder="0" applyAlignment="0" applyProtection="0"/>
    <xf numFmtId="9" fontId="12"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5"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48" fillId="0" borderId="0" applyFont="0" applyFill="0" applyBorder="0" applyAlignment="0" applyProtection="0"/>
    <xf numFmtId="43" fontId="48" fillId="0" borderId="0" applyFont="0" applyFill="0" applyBorder="0" applyAlignment="0" applyProtection="0"/>
    <xf numFmtId="9" fontId="49" fillId="0" borderId="0" applyFont="0" applyFill="0" applyBorder="0" applyAlignment="0" applyProtection="0"/>
    <xf numFmtId="43" fontId="49" fillId="0" borderId="0" applyFont="0" applyFill="0" applyBorder="0" applyAlignment="0" applyProtection="0"/>
    <xf numFmtId="9" fontId="50" fillId="0" borderId="0" applyFont="0" applyFill="0" applyBorder="0" applyAlignment="0" applyProtection="0"/>
    <xf numFmtId="43" fontId="50" fillId="0" borderId="0" applyFont="0" applyFill="0" applyBorder="0" applyAlignment="0" applyProtection="0"/>
    <xf numFmtId="9" fontId="51" fillId="0" borderId="0" applyFont="0" applyFill="0" applyBorder="0" applyAlignment="0" applyProtection="0"/>
    <xf numFmtId="43" fontId="51" fillId="0" borderId="0" applyFont="0" applyFill="0" applyBorder="0" applyAlignment="0" applyProtection="0"/>
    <xf numFmtId="43" fontId="6" fillId="0" borderId="0" applyFont="0" applyFill="0" applyBorder="0" applyAlignment="0" applyProtection="0"/>
    <xf numFmtId="0" fontId="43" fillId="0" borderId="0"/>
    <xf numFmtId="9" fontId="57" fillId="0" borderId="0" applyFont="0" applyFill="0" applyBorder="0" applyAlignment="0" applyProtection="0"/>
    <xf numFmtId="43" fontId="57" fillId="0" borderId="0" applyFont="0" applyFill="0" applyBorder="0" applyAlignment="0" applyProtection="0"/>
    <xf numFmtId="9" fontId="58" fillId="0" borderId="0" applyFont="0" applyFill="0" applyBorder="0" applyAlignment="0" applyProtection="0"/>
    <xf numFmtId="43" fontId="58" fillId="0" borderId="0" applyFont="0" applyFill="0" applyBorder="0" applyAlignment="0" applyProtection="0"/>
    <xf numFmtId="9" fontId="59" fillId="0" borderId="0" applyFont="0" applyFill="0" applyBorder="0" applyAlignment="0" applyProtection="0"/>
    <xf numFmtId="43" fontId="59" fillId="0" borderId="0" applyFont="0" applyFill="0" applyBorder="0" applyAlignment="0" applyProtection="0"/>
    <xf numFmtId="0" fontId="5" fillId="0" borderId="0"/>
    <xf numFmtId="9" fontId="63" fillId="0" borderId="0" applyFont="0" applyFill="0" applyBorder="0" applyAlignment="0" applyProtection="0"/>
    <xf numFmtId="43" fontId="63" fillId="0" borderId="0" applyFont="0" applyFill="0" applyBorder="0" applyAlignment="0" applyProtection="0"/>
    <xf numFmtId="9" fontId="68" fillId="0" borderId="0" applyFont="0" applyFill="0" applyBorder="0" applyAlignment="0" applyProtection="0"/>
    <xf numFmtId="43" fontId="68" fillId="0" borderId="0" applyFont="0" applyFill="0" applyBorder="0" applyAlignment="0" applyProtection="0"/>
    <xf numFmtId="9" fontId="69" fillId="0" borderId="0" applyFont="0" applyFill="0" applyBorder="0" applyAlignment="0" applyProtection="0"/>
    <xf numFmtId="43" fontId="69" fillId="0" borderId="0" applyFont="0" applyFill="0" applyBorder="0" applyAlignment="0" applyProtection="0"/>
    <xf numFmtId="9" fontId="70" fillId="0" borderId="0" applyFont="0" applyFill="0" applyBorder="0" applyAlignment="0" applyProtection="0"/>
    <xf numFmtId="43" fontId="70" fillId="0" borderId="0" applyFont="0" applyFill="0" applyBorder="0" applyAlignment="0" applyProtection="0"/>
    <xf numFmtId="9" fontId="71" fillId="0" borderId="0" applyFont="0" applyFill="0" applyBorder="0" applyAlignment="0" applyProtection="0"/>
    <xf numFmtId="43" fontId="71" fillId="0" borderId="0" applyFont="0" applyFill="0" applyBorder="0" applyAlignment="0" applyProtection="0"/>
    <xf numFmtId="9" fontId="72" fillId="0" borderId="0" applyFont="0" applyFill="0" applyBorder="0" applyAlignment="0" applyProtection="0"/>
    <xf numFmtId="43" fontId="72" fillId="0" borderId="0" applyFont="0" applyFill="0" applyBorder="0" applyAlignment="0" applyProtection="0"/>
    <xf numFmtId="9" fontId="73" fillId="0" borderId="0" applyFont="0" applyFill="0" applyBorder="0" applyAlignment="0" applyProtection="0"/>
    <xf numFmtId="43" fontId="73" fillId="0" borderId="0" applyFont="0" applyFill="0" applyBorder="0" applyAlignment="0" applyProtection="0"/>
    <xf numFmtId="0" fontId="3" fillId="0" borderId="0"/>
    <xf numFmtId="0" fontId="25" fillId="18" borderId="0" applyNumberFormat="0" applyProtection="0">
      <alignment vertical="center"/>
    </xf>
    <xf numFmtId="0" fontId="92" fillId="0" borderId="0" applyFill="0" applyBorder="0" applyProtection="0">
      <alignment vertical="center"/>
    </xf>
    <xf numFmtId="0" fontId="102" fillId="0" borderId="0" applyNumberFormat="0" applyFill="0" applyProtection="0">
      <alignment vertical="center"/>
    </xf>
    <xf numFmtId="43" fontId="92" fillId="0" borderId="0" applyFont="0" applyFill="0" applyBorder="0" applyAlignment="0" applyProtection="0"/>
    <xf numFmtId="0" fontId="114" fillId="0" borderId="0" applyNumberFormat="0" applyFill="0" applyBorder="0" applyAlignment="0" applyProtection="0"/>
    <xf numFmtId="0" fontId="2" fillId="0" borderId="0"/>
    <xf numFmtId="9" fontId="6" fillId="0" borderId="0" applyFont="0" applyFill="0" applyBorder="0" applyAlignment="0" applyProtection="0"/>
    <xf numFmtId="0" fontId="1" fillId="0" borderId="0"/>
    <xf numFmtId="44" fontId="6"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4" fontId="165" fillId="0" borderId="0" applyFont="0" applyFill="0" applyBorder="0" applyAlignment="0" applyProtection="0"/>
  </cellStyleXfs>
  <cellXfs count="715">
    <xf numFmtId="0" fontId="0" fillId="0" borderId="0" xfId="0"/>
    <xf numFmtId="0" fontId="26" fillId="0" borderId="0" xfId="0" applyFont="1"/>
    <xf numFmtId="8" fontId="26" fillId="0" borderId="0" xfId="0" applyNumberFormat="1" applyFont="1"/>
    <xf numFmtId="0" fontId="27" fillId="2" borderId="0" xfId="0" applyFont="1" applyFill="1"/>
    <xf numFmtId="0" fontId="26" fillId="2" borderId="0" xfId="0" applyFont="1" applyFill="1"/>
    <xf numFmtId="49" fontId="26" fillId="2" borderId="0" xfId="0" applyNumberFormat="1" applyFont="1" applyFill="1"/>
    <xf numFmtId="164" fontId="26" fillId="2" borderId="0" xfId="0" applyNumberFormat="1" applyFont="1" applyFill="1"/>
    <xf numFmtId="164" fontId="26" fillId="0" borderId="0" xfId="0" applyNumberFormat="1" applyFont="1"/>
    <xf numFmtId="0" fontId="26" fillId="3" borderId="1" xfId="0" applyFont="1" applyFill="1" applyBorder="1"/>
    <xf numFmtId="49" fontId="26" fillId="3" borderId="1" xfId="0" applyNumberFormat="1" applyFont="1" applyFill="1" applyBorder="1" applyAlignment="1">
      <alignment horizontal="center"/>
    </xf>
    <xf numFmtId="164" fontId="26" fillId="3" borderId="1" xfId="0" applyNumberFormat="1" applyFont="1" applyFill="1" applyBorder="1" applyAlignment="1">
      <alignment horizontal="center"/>
    </xf>
    <xf numFmtId="49" fontId="27" fillId="3" borderId="1" xfId="0" applyNumberFormat="1" applyFont="1" applyFill="1" applyBorder="1" applyAlignment="1">
      <alignment horizontal="center"/>
    </xf>
    <xf numFmtId="164" fontId="27" fillId="3" borderId="1" xfId="0" applyNumberFormat="1" applyFont="1" applyFill="1" applyBorder="1" applyAlignment="1">
      <alignment horizontal="center"/>
    </xf>
    <xf numFmtId="164" fontId="26" fillId="4" borderId="1" xfId="0" applyNumberFormat="1" applyFont="1" applyFill="1" applyBorder="1" applyAlignment="1" applyProtection="1">
      <alignment horizontal="center"/>
      <protection locked="0"/>
    </xf>
    <xf numFmtId="167" fontId="26" fillId="4" borderId="1" xfId="0" applyNumberFormat="1" applyFont="1" applyFill="1" applyBorder="1" applyAlignment="1" applyProtection="1">
      <alignment horizontal="center"/>
      <protection locked="0"/>
    </xf>
    <xf numFmtId="0" fontId="27" fillId="0" borderId="0" xfId="0" applyFont="1"/>
    <xf numFmtId="0" fontId="26" fillId="5" borderId="1" xfId="0" applyFont="1" applyFill="1" applyBorder="1" applyProtection="1">
      <protection locked="0"/>
    </xf>
    <xf numFmtId="0" fontId="27" fillId="3" borderId="1" xfId="0" applyFont="1" applyFill="1" applyBorder="1" applyAlignment="1">
      <alignment horizontal="center"/>
    </xf>
    <xf numFmtId="0" fontId="27" fillId="8" borderId="2" xfId="0" applyFont="1" applyFill="1" applyBorder="1" applyAlignment="1">
      <alignment horizontal="center"/>
    </xf>
    <xf numFmtId="0" fontId="28" fillId="8" borderId="1" xfId="0" applyFont="1" applyFill="1" applyBorder="1" applyAlignment="1" applyProtection="1">
      <alignment horizontal="left"/>
      <protection locked="0"/>
    </xf>
    <xf numFmtId="0" fontId="27" fillId="8" borderId="3" xfId="0" applyFont="1" applyFill="1" applyBorder="1" applyAlignment="1">
      <alignment horizontal="center"/>
    </xf>
    <xf numFmtId="164" fontId="26" fillId="7" borderId="1" xfId="0" applyNumberFormat="1" applyFont="1" applyFill="1" applyBorder="1" applyAlignment="1">
      <alignment horizontal="center"/>
    </xf>
    <xf numFmtId="167" fontId="26" fillId="7" borderId="1" xfId="0" applyNumberFormat="1" applyFont="1" applyFill="1" applyBorder="1" applyAlignment="1">
      <alignment horizontal="center"/>
    </xf>
    <xf numFmtId="2" fontId="26" fillId="4" borderId="1" xfId="21" applyNumberFormat="1" applyFont="1" applyFill="1" applyBorder="1" applyAlignment="1" applyProtection="1">
      <alignment horizontal="center"/>
      <protection locked="0"/>
    </xf>
    <xf numFmtId="166" fontId="26" fillId="4" borderId="2" xfId="21" applyNumberFormat="1" applyFont="1" applyFill="1" applyBorder="1" applyAlignment="1" applyProtection="1">
      <alignment horizontal="center"/>
      <protection locked="0"/>
    </xf>
    <xf numFmtId="2" fontId="26" fillId="4" borderId="2" xfId="21" applyNumberFormat="1" applyFont="1" applyFill="1" applyBorder="1" applyAlignment="1" applyProtection="1">
      <alignment horizontal="center"/>
      <protection locked="0"/>
    </xf>
    <xf numFmtId="49" fontId="26" fillId="0" borderId="0" xfId="0" applyNumberFormat="1" applyFont="1"/>
    <xf numFmtId="2" fontId="27" fillId="6" borderId="1" xfId="21" applyNumberFormat="1" applyFont="1" applyFill="1" applyBorder="1" applyAlignment="1">
      <alignment horizontal="center"/>
    </xf>
    <xf numFmtId="0" fontId="26" fillId="0" borderId="0" xfId="0" applyFont="1" applyAlignment="1">
      <alignment horizontal="right"/>
    </xf>
    <xf numFmtId="0" fontId="29" fillId="0" borderId="0" xfId="0" applyFont="1"/>
    <xf numFmtId="6" fontId="26" fillId="0" borderId="0" xfId="0" applyNumberFormat="1" applyFont="1"/>
    <xf numFmtId="0" fontId="26" fillId="0" borderId="0" xfId="0" applyFont="1" applyAlignment="1">
      <alignment horizontal="left" indent="1"/>
    </xf>
    <xf numFmtId="165" fontId="26" fillId="0" borderId="0" xfId="0" applyNumberFormat="1" applyFont="1"/>
    <xf numFmtId="40" fontId="29" fillId="0" borderId="0" xfId="0" applyNumberFormat="1" applyFont="1"/>
    <xf numFmtId="40" fontId="27" fillId="0" borderId="0" xfId="0" applyNumberFormat="1" applyFont="1"/>
    <xf numFmtId="8" fontId="30" fillId="0" borderId="0" xfId="0" applyNumberFormat="1" applyFont="1" applyAlignment="1">
      <alignment horizontal="right"/>
    </xf>
    <xf numFmtId="8" fontId="31" fillId="0" borderId="0" xfId="0" applyNumberFormat="1" applyFont="1" applyAlignment="1">
      <alignment horizontal="right"/>
    </xf>
    <xf numFmtId="40" fontId="32" fillId="0" borderId="0" xfId="0" applyNumberFormat="1" applyFont="1" applyAlignment="1">
      <alignment horizontal="right"/>
    </xf>
    <xf numFmtId="40" fontId="33" fillId="0" borderId="0" xfId="0" applyNumberFormat="1" applyFont="1" applyAlignment="1">
      <alignment horizontal="right"/>
    </xf>
    <xf numFmtId="0" fontId="34" fillId="0" borderId="0" xfId="0" applyFont="1" applyAlignment="1">
      <alignment horizontal="left" vertical="center"/>
    </xf>
    <xf numFmtId="0" fontId="35" fillId="0" borderId="0" xfId="0" applyFont="1" applyAlignment="1">
      <alignment horizontal="left" indent="1"/>
    </xf>
    <xf numFmtId="0" fontId="35" fillId="0" borderId="0" xfId="0" applyFont="1"/>
    <xf numFmtId="0" fontId="35" fillId="0" borderId="0" xfId="0" applyFont="1" applyAlignment="1">
      <alignment horizontal="center"/>
    </xf>
    <xf numFmtId="8" fontId="35" fillId="0" borderId="0" xfId="0" applyNumberFormat="1" applyFont="1" applyAlignment="1">
      <alignment horizontal="right"/>
    </xf>
    <xf numFmtId="0" fontId="36" fillId="0" borderId="0" xfId="0" applyFont="1"/>
    <xf numFmtId="0" fontId="26" fillId="0" borderId="0" xfId="0" applyFont="1" applyAlignment="1">
      <alignment horizontal="center"/>
    </xf>
    <xf numFmtId="10" fontId="26" fillId="4" borderId="1" xfId="21" applyNumberFormat="1" applyFont="1" applyFill="1" applyBorder="1" applyAlignment="1" applyProtection="1">
      <alignment horizontal="center"/>
      <protection locked="0"/>
    </xf>
    <xf numFmtId="0" fontId="25" fillId="9" borderId="0" xfId="0" applyFont="1" applyFill="1" applyAlignment="1">
      <alignment horizontal="left" vertical="center" indent="1"/>
    </xf>
    <xf numFmtId="0" fontId="37" fillId="9" borderId="0" xfId="0" applyFont="1" applyFill="1" applyAlignment="1">
      <alignment horizontal="left" vertical="center" indent="1"/>
    </xf>
    <xf numFmtId="8" fontId="37" fillId="9" borderId="0" xfId="0" applyNumberFormat="1" applyFont="1" applyFill="1" applyAlignment="1">
      <alignment horizontal="left" vertical="center" indent="1"/>
    </xf>
    <xf numFmtId="0" fontId="35" fillId="0" borderId="0" xfId="0" applyFont="1" applyAlignment="1">
      <alignment horizontal="right" indent="1"/>
    </xf>
    <xf numFmtId="38" fontId="26" fillId="0" borderId="0" xfId="1" applyNumberFormat="1" applyFont="1"/>
    <xf numFmtId="0" fontId="26" fillId="4" borderId="5" xfId="0" applyFont="1" applyFill="1" applyBorder="1" applyAlignment="1" applyProtection="1">
      <alignment horizontal="left"/>
      <protection locked="0"/>
    </xf>
    <xf numFmtId="0" fontId="27" fillId="10" borderId="2" xfId="0" applyFont="1" applyFill="1" applyBorder="1" applyAlignment="1">
      <alignment horizontal="center"/>
    </xf>
    <xf numFmtId="0" fontId="26" fillId="10" borderId="4" xfId="0" applyFont="1" applyFill="1" applyBorder="1" applyAlignment="1" applyProtection="1">
      <alignment horizontal="left"/>
      <protection locked="0"/>
    </xf>
    <xf numFmtId="0" fontId="26" fillId="10" borderId="5" xfId="0" applyFont="1" applyFill="1" applyBorder="1" applyAlignment="1" applyProtection="1">
      <alignment horizontal="left"/>
      <protection locked="0"/>
    </xf>
    <xf numFmtId="10" fontId="26" fillId="10" borderId="1" xfId="21" applyNumberFormat="1" applyFont="1" applyFill="1" applyBorder="1" applyAlignment="1" applyProtection="1">
      <alignment horizontal="center"/>
      <protection locked="0"/>
    </xf>
    <xf numFmtId="0" fontId="27" fillId="10" borderId="6" xfId="0" applyFont="1" applyFill="1" applyBorder="1" applyAlignment="1">
      <alignment horizontal="center"/>
    </xf>
    <xf numFmtId="0" fontId="27" fillId="11" borderId="2" xfId="0" applyFont="1" applyFill="1" applyBorder="1" applyAlignment="1">
      <alignment horizontal="center"/>
    </xf>
    <xf numFmtId="0" fontId="27" fillId="11" borderId="6" xfId="0" applyFont="1" applyFill="1" applyBorder="1" applyAlignment="1">
      <alignment horizontal="center"/>
    </xf>
    <xf numFmtId="166" fontId="27" fillId="8" borderId="1" xfId="21" applyNumberFormat="1" applyFont="1" applyFill="1" applyBorder="1" applyAlignment="1">
      <alignment horizontal="center"/>
    </xf>
    <xf numFmtId="0" fontId="27" fillId="12" borderId="2" xfId="0" applyFont="1" applyFill="1" applyBorder="1" applyAlignment="1">
      <alignment horizontal="center"/>
    </xf>
    <xf numFmtId="0" fontId="38" fillId="12" borderId="1" xfId="0" applyFont="1" applyFill="1" applyBorder="1" applyAlignment="1" applyProtection="1">
      <alignment horizontal="left"/>
      <protection locked="0"/>
    </xf>
    <xf numFmtId="0" fontId="39" fillId="0" borderId="0" xfId="0" applyFont="1"/>
    <xf numFmtId="38" fontId="26" fillId="0" borderId="0" xfId="12" applyNumberFormat="1" applyFont="1" applyAlignment="1">
      <alignment horizontal="right"/>
    </xf>
    <xf numFmtId="37" fontId="25" fillId="9" borderId="0" xfId="12" applyNumberFormat="1" applyFont="1" applyFill="1" applyAlignment="1">
      <alignment horizontal="right" vertical="center"/>
    </xf>
    <xf numFmtId="7" fontId="25" fillId="9" borderId="0" xfId="12" applyNumberFormat="1" applyFont="1" applyFill="1" applyAlignment="1">
      <alignment horizontal="right" vertical="center"/>
    </xf>
    <xf numFmtId="168" fontId="26" fillId="0" borderId="0" xfId="12" applyNumberFormat="1" applyFont="1"/>
    <xf numFmtId="164" fontId="26" fillId="0" borderId="0" xfId="32" applyNumberFormat="1" applyFont="1"/>
    <xf numFmtId="0" fontId="27" fillId="13" borderId="2" xfId="0" applyFont="1" applyFill="1" applyBorder="1" applyAlignment="1">
      <alignment horizontal="center"/>
    </xf>
    <xf numFmtId="0" fontId="26" fillId="13" borderId="4" xfId="0" applyFont="1" applyFill="1" applyBorder="1" applyAlignment="1" applyProtection="1">
      <alignment horizontal="left"/>
      <protection locked="0"/>
    </xf>
    <xf numFmtId="0" fontId="40" fillId="13" borderId="7" xfId="0" applyFont="1" applyFill="1" applyBorder="1" applyAlignment="1">
      <alignment horizontal="left"/>
    </xf>
    <xf numFmtId="10" fontId="26" fillId="13" borderId="1" xfId="21" applyNumberFormat="1" applyFont="1" applyFill="1" applyBorder="1" applyAlignment="1" applyProtection="1">
      <alignment horizontal="center"/>
      <protection locked="0"/>
    </xf>
    <xf numFmtId="0" fontId="27" fillId="13" borderId="6" xfId="0" applyFont="1" applyFill="1" applyBorder="1" applyAlignment="1">
      <alignment horizontal="center"/>
    </xf>
    <xf numFmtId="37" fontId="26" fillId="0" borderId="0" xfId="32" applyNumberFormat="1" applyFont="1"/>
    <xf numFmtId="10" fontId="26" fillId="0" borderId="0" xfId="0" applyNumberFormat="1" applyFont="1"/>
    <xf numFmtId="0" fontId="26" fillId="13" borderId="5" xfId="0" applyFont="1" applyFill="1" applyBorder="1" applyAlignment="1">
      <alignment horizontal="left"/>
    </xf>
    <xf numFmtId="0" fontId="34" fillId="0" borderId="0" xfId="0" applyFont="1" applyAlignment="1">
      <alignment horizontal="right" vertical="center"/>
    </xf>
    <xf numFmtId="40" fontId="33" fillId="0" borderId="0" xfId="0" applyNumberFormat="1" applyFont="1" applyAlignment="1">
      <alignment horizontal="left"/>
    </xf>
    <xf numFmtId="10" fontId="26" fillId="11" borderId="1" xfId="21" applyNumberFormat="1" applyFont="1" applyFill="1" applyBorder="1" applyAlignment="1" applyProtection="1">
      <alignment horizontal="center"/>
      <protection locked="0"/>
    </xf>
    <xf numFmtId="0" fontId="27" fillId="2" borderId="0" xfId="0" applyFont="1" applyFill="1" applyAlignment="1">
      <alignment horizontal="left"/>
    </xf>
    <xf numFmtId="0" fontId="27" fillId="2" borderId="0" xfId="0" applyFont="1" applyFill="1" applyAlignment="1">
      <alignment horizontal="left" vertical="center"/>
    </xf>
    <xf numFmtId="0" fontId="0" fillId="0" borderId="0" xfId="0" applyAlignment="1">
      <alignment horizontal="left" vertical="center"/>
    </xf>
    <xf numFmtId="49" fontId="26" fillId="4" borderId="0" xfId="0" applyNumberFormat="1" applyFont="1" applyFill="1" applyAlignment="1" applyProtection="1">
      <alignment horizontal="left"/>
      <protection locked="0"/>
    </xf>
    <xf numFmtId="10" fontId="26" fillId="13" borderId="0" xfId="21" applyNumberFormat="1" applyFont="1" applyFill="1" applyAlignment="1" applyProtection="1">
      <alignment horizontal="center"/>
      <protection locked="0"/>
    </xf>
    <xf numFmtId="0" fontId="27" fillId="3" borderId="0" xfId="0" applyFont="1" applyFill="1" applyAlignment="1">
      <alignment horizontal="center"/>
    </xf>
    <xf numFmtId="2" fontId="26" fillId="4" borderId="0" xfId="21" applyNumberFormat="1" applyFont="1" applyFill="1" applyAlignment="1" applyProtection="1">
      <alignment horizontal="center"/>
      <protection locked="0"/>
    </xf>
    <xf numFmtId="166" fontId="26" fillId="4" borderId="0" xfId="21" applyNumberFormat="1" applyFont="1" applyFill="1" applyAlignment="1" applyProtection="1">
      <alignment horizontal="center"/>
      <protection locked="0"/>
    </xf>
    <xf numFmtId="2" fontId="27" fillId="6" borderId="0" xfId="21" applyNumberFormat="1" applyFont="1" applyFill="1" applyAlignment="1">
      <alignment horizontal="center"/>
    </xf>
    <xf numFmtId="169" fontId="26" fillId="7" borderId="0" xfId="0" applyNumberFormat="1" applyFont="1" applyFill="1" applyAlignment="1">
      <alignment horizontal="center"/>
    </xf>
    <xf numFmtId="169" fontId="26" fillId="11" borderId="0" xfId="0" applyNumberFormat="1" applyFont="1" applyFill="1" applyAlignment="1" applyProtection="1">
      <alignment horizontal="center"/>
      <protection locked="0"/>
    </xf>
    <xf numFmtId="0" fontId="26" fillId="11" borderId="0" xfId="0" applyFont="1" applyFill="1" applyAlignment="1" applyProtection="1">
      <alignment horizontal="center"/>
      <protection locked="0"/>
    </xf>
    <xf numFmtId="169" fontId="27" fillId="14" borderId="0" xfId="0" applyNumberFormat="1" applyFont="1" applyFill="1" applyAlignment="1">
      <alignment horizontal="center"/>
    </xf>
    <xf numFmtId="10" fontId="26" fillId="11" borderId="0" xfId="21" applyNumberFormat="1" applyFont="1" applyFill="1" applyAlignment="1" applyProtection="1">
      <alignment horizontal="center"/>
      <protection locked="0"/>
    </xf>
    <xf numFmtId="10" fontId="27" fillId="14" borderId="0" xfId="0" applyNumberFormat="1" applyFont="1" applyFill="1" applyAlignment="1">
      <alignment horizontal="center"/>
    </xf>
    <xf numFmtId="0" fontId="26" fillId="10" borderId="1" xfId="21" applyNumberFormat="1" applyFont="1" applyFill="1" applyBorder="1" applyAlignment="1" applyProtection="1">
      <alignment horizontal="center"/>
      <protection locked="0"/>
    </xf>
    <xf numFmtId="0" fontId="26" fillId="4" borderId="1" xfId="21" applyNumberFormat="1" applyFont="1" applyFill="1" applyBorder="1" applyAlignment="1" applyProtection="1">
      <alignment horizontal="center"/>
      <protection locked="0"/>
    </xf>
    <xf numFmtId="0" fontId="26" fillId="11" borderId="1" xfId="21" applyNumberFormat="1" applyFont="1" applyFill="1" applyBorder="1" applyAlignment="1" applyProtection="1">
      <alignment horizontal="center"/>
      <protection locked="0"/>
    </xf>
    <xf numFmtId="0" fontId="41" fillId="10" borderId="7" xfId="0" applyFont="1" applyFill="1" applyBorder="1" applyAlignment="1" applyProtection="1">
      <alignment horizontal="left"/>
      <protection locked="0"/>
    </xf>
    <xf numFmtId="0" fontId="40" fillId="4" borderId="7" xfId="0" applyFont="1" applyFill="1" applyBorder="1" applyAlignment="1" applyProtection="1">
      <alignment horizontal="left"/>
      <protection locked="0"/>
    </xf>
    <xf numFmtId="10" fontId="26" fillId="0" borderId="0" xfId="32" applyNumberFormat="1" applyFont="1"/>
    <xf numFmtId="0" fontId="45" fillId="0" borderId="0" xfId="0" applyFont="1" applyAlignment="1">
      <alignment horizontal="left" indent="1"/>
    </xf>
    <xf numFmtId="0" fontId="27" fillId="13" borderId="3" xfId="0" applyFont="1" applyFill="1" applyBorder="1" applyAlignment="1">
      <alignment horizontal="center"/>
    </xf>
    <xf numFmtId="0" fontId="35" fillId="0" borderId="0" xfId="0" applyFont="1" applyAlignment="1">
      <alignment horizontal="right" indent="2"/>
    </xf>
    <xf numFmtId="0" fontId="26" fillId="4" borderId="4" xfId="0" applyFont="1" applyFill="1" applyBorder="1" applyAlignment="1" applyProtection="1">
      <alignment horizontal="left"/>
      <protection locked="0"/>
    </xf>
    <xf numFmtId="37" fontId="26" fillId="13" borderId="0" xfId="21" applyNumberFormat="1" applyFont="1" applyFill="1" applyAlignment="1" applyProtection="1">
      <alignment horizontal="center"/>
      <protection locked="0"/>
    </xf>
    <xf numFmtId="0" fontId="54" fillId="0" borderId="0" xfId="0" applyFont="1"/>
    <xf numFmtId="0" fontId="26" fillId="0" borderId="0" xfId="0" applyFont="1" applyProtection="1">
      <protection locked="0"/>
    </xf>
    <xf numFmtId="0" fontId="26" fillId="0" borderId="0" xfId="0" quotePrefix="1" applyFont="1" applyProtection="1">
      <protection locked="0"/>
    </xf>
    <xf numFmtId="14" fontId="26" fillId="0" borderId="0" xfId="0" applyNumberFormat="1" applyFont="1" applyProtection="1">
      <protection locked="0"/>
    </xf>
    <xf numFmtId="49" fontId="26" fillId="4" borderId="0" xfId="0" quotePrefix="1" applyNumberFormat="1" applyFont="1" applyFill="1" applyAlignment="1" applyProtection="1">
      <alignment horizontal="left"/>
      <protection locked="0"/>
    </xf>
    <xf numFmtId="0" fontId="26" fillId="0" borderId="17" xfId="41" applyFont="1" applyBorder="1" applyProtection="1">
      <protection locked="0"/>
    </xf>
    <xf numFmtId="0" fontId="5" fillId="0" borderId="17" xfId="59" applyBorder="1"/>
    <xf numFmtId="0" fontId="5" fillId="0" borderId="0" xfId="59"/>
    <xf numFmtId="0" fontId="60" fillId="0" borderId="0" xfId="41" applyFont="1" applyAlignment="1">
      <alignment horizontal="left" vertical="top" wrapText="1"/>
    </xf>
    <xf numFmtId="0" fontId="61" fillId="0" borderId="0" xfId="41" applyFont="1" applyAlignment="1">
      <alignment horizontal="left" vertical="top" wrapText="1"/>
    </xf>
    <xf numFmtId="0" fontId="62" fillId="0" borderId="0" xfId="41" applyFont="1" applyAlignment="1">
      <alignment horizontal="left" vertical="top" wrapText="1"/>
    </xf>
    <xf numFmtId="15" fontId="61" fillId="0" borderId="0" xfId="41" quotePrefix="1" applyNumberFormat="1" applyFont="1" applyAlignment="1">
      <alignment horizontal="left" vertical="top" wrapText="1"/>
    </xf>
    <xf numFmtId="0" fontId="43" fillId="0" borderId="0" xfId="41" applyFont="1" applyProtection="1">
      <protection locked="0"/>
    </xf>
    <xf numFmtId="38" fontId="43" fillId="0" borderId="0" xfId="41" applyNumberFormat="1" applyFont="1" applyProtection="1">
      <protection locked="0"/>
    </xf>
    <xf numFmtId="0" fontId="26" fillId="0" borderId="0" xfId="41" applyFont="1" applyProtection="1">
      <protection locked="0"/>
    </xf>
    <xf numFmtId="0" fontId="26" fillId="0" borderId="17" xfId="0" applyFont="1" applyBorder="1"/>
    <xf numFmtId="0" fontId="26" fillId="0" borderId="17" xfId="0" applyFont="1" applyBorder="1" applyAlignment="1">
      <alignment horizontal="right"/>
    </xf>
    <xf numFmtId="0" fontId="4" fillId="0" borderId="0" xfId="59" applyFont="1"/>
    <xf numFmtId="0" fontId="43" fillId="0" borderId="0" xfId="41" applyFont="1" applyAlignment="1" applyProtection="1">
      <alignment vertical="top"/>
      <protection locked="0"/>
    </xf>
    <xf numFmtId="0" fontId="66" fillId="0" borderId="0" xfId="41" applyFont="1" applyProtection="1">
      <protection locked="0"/>
    </xf>
    <xf numFmtId="14" fontId="65" fillId="0" borderId="0" xfId="41" applyNumberFormat="1" applyFont="1" applyAlignment="1" applyProtection="1">
      <alignment horizontal="left" vertical="top"/>
      <protection locked="0"/>
    </xf>
    <xf numFmtId="0" fontId="67" fillId="0" borderId="0" xfId="41" applyFont="1" applyAlignment="1" applyProtection="1">
      <alignment horizontal="left"/>
      <protection locked="0"/>
    </xf>
    <xf numFmtId="0" fontId="37" fillId="0" borderId="0" xfId="41" applyFont="1" applyAlignment="1" applyProtection="1">
      <alignment horizontal="left"/>
      <protection locked="0"/>
    </xf>
    <xf numFmtId="0" fontId="27" fillId="7" borderId="1" xfId="0" applyFont="1" applyFill="1" applyBorder="1" applyAlignment="1">
      <alignment horizontal="center"/>
    </xf>
    <xf numFmtId="167" fontId="26" fillId="7" borderId="1" xfId="0" applyNumberFormat="1" applyFont="1" applyFill="1" applyBorder="1" applyAlignment="1" applyProtection="1">
      <alignment horizontal="center"/>
      <protection locked="0"/>
    </xf>
    <xf numFmtId="164" fontId="26" fillId="7" borderId="1" xfId="0" applyNumberFormat="1" applyFont="1" applyFill="1" applyBorder="1" applyAlignment="1" applyProtection="1">
      <alignment horizontal="center"/>
      <protection locked="0"/>
    </xf>
    <xf numFmtId="0" fontId="74" fillId="0" borderId="0" xfId="0" applyFont="1" applyAlignment="1">
      <alignment horizontal="center"/>
    </xf>
    <xf numFmtId="5" fontId="25" fillId="9" borderId="0" xfId="12" applyNumberFormat="1" applyFont="1" applyFill="1" applyAlignment="1">
      <alignment horizontal="right" vertical="center" shrinkToFit="1"/>
    </xf>
    <xf numFmtId="5" fontId="26" fillId="0" borderId="0" xfId="0" applyNumberFormat="1" applyFont="1" applyAlignment="1">
      <alignment shrinkToFit="1"/>
    </xf>
    <xf numFmtId="5" fontId="26" fillId="0" borderId="0" xfId="0" applyNumberFormat="1" applyFont="1" applyAlignment="1">
      <alignment horizontal="left" shrinkToFit="1"/>
    </xf>
    <xf numFmtId="5" fontId="26" fillId="0" borderId="17" xfId="0" applyNumberFormat="1" applyFont="1" applyBorder="1" applyAlignment="1">
      <alignment horizontal="left" shrinkToFit="1"/>
    </xf>
    <xf numFmtId="5" fontId="29" fillId="0" borderId="0" xfId="0" applyNumberFormat="1" applyFont="1" applyAlignment="1">
      <alignment shrinkToFit="1"/>
    </xf>
    <xf numFmtId="5" fontId="27" fillId="0" borderId="0" xfId="0" applyNumberFormat="1" applyFont="1" applyAlignment="1">
      <alignment shrinkToFit="1"/>
    </xf>
    <xf numFmtId="0" fontId="26" fillId="0" borderId="0" xfId="0" applyFont="1" applyAlignment="1">
      <alignment shrinkToFit="1"/>
    </xf>
    <xf numFmtId="6" fontId="35" fillId="0" borderId="0" xfId="0" applyNumberFormat="1" applyFont="1" applyAlignment="1">
      <alignment horizontal="right" shrinkToFit="1"/>
    </xf>
    <xf numFmtId="6" fontId="26" fillId="0" borderId="0" xfId="0" applyNumberFormat="1" applyFont="1" applyAlignment="1">
      <alignment shrinkToFit="1"/>
    </xf>
    <xf numFmtId="0" fontId="64" fillId="4" borderId="4" xfId="0" applyFont="1" applyFill="1" applyBorder="1" applyAlignment="1" applyProtection="1">
      <alignment horizontal="left"/>
      <protection locked="0"/>
    </xf>
    <xf numFmtId="0" fontId="26" fillId="0" borderId="0" xfId="40" applyFont="1" applyProtection="1">
      <protection locked="0"/>
    </xf>
    <xf numFmtId="1" fontId="26" fillId="0" borderId="0" xfId="40" applyNumberFormat="1" applyFont="1" applyProtection="1">
      <protection locked="0"/>
    </xf>
    <xf numFmtId="0" fontId="76" fillId="0" borderId="0" xfId="40" applyFont="1" applyProtection="1">
      <protection locked="0"/>
    </xf>
    <xf numFmtId="38" fontId="26" fillId="0" borderId="0" xfId="40" applyNumberFormat="1" applyFont="1" applyProtection="1">
      <protection locked="0"/>
    </xf>
    <xf numFmtId="0" fontId="26" fillId="0" borderId="0" xfId="40" applyFont="1" applyAlignment="1" applyProtection="1">
      <alignment horizontal="center"/>
      <protection locked="0"/>
    </xf>
    <xf numFmtId="4" fontId="26" fillId="0" borderId="0" xfId="40" applyNumberFormat="1" applyFont="1" applyAlignment="1" applyProtection="1">
      <alignment horizontal="center"/>
      <protection locked="0"/>
    </xf>
    <xf numFmtId="40" fontId="26" fillId="0" borderId="0" xfId="40" applyNumberFormat="1" applyFont="1" applyProtection="1">
      <protection locked="0"/>
    </xf>
    <xf numFmtId="9" fontId="26" fillId="0" borderId="0" xfId="21" applyFont="1" applyProtection="1">
      <protection locked="0"/>
    </xf>
    <xf numFmtId="0" fontId="26" fillId="0" borderId="0" xfId="40" applyFont="1" applyAlignment="1" applyProtection="1">
      <alignment horizontal="right"/>
      <protection locked="0"/>
    </xf>
    <xf numFmtId="3" fontId="26" fillId="0" borderId="0" xfId="40" applyNumberFormat="1" applyFont="1" applyAlignment="1" applyProtection="1">
      <alignment horizontal="left"/>
      <protection locked="0"/>
    </xf>
    <xf numFmtId="38" fontId="77" fillId="2" borderId="0" xfId="40" applyNumberFormat="1" applyFont="1" applyFill="1" applyAlignment="1" applyProtection="1">
      <alignment horizontal="left"/>
      <protection locked="0"/>
    </xf>
    <xf numFmtId="0" fontId="78" fillId="0" borderId="17" xfId="41" applyFont="1" applyBorder="1" applyProtection="1">
      <protection locked="0"/>
    </xf>
    <xf numFmtId="1" fontId="78" fillId="0" borderId="17" xfId="41" applyNumberFormat="1" applyFont="1" applyBorder="1" applyProtection="1">
      <protection locked="0"/>
    </xf>
    <xf numFmtId="0" fontId="79" fillId="0" borderId="17" xfId="41" applyFont="1" applyBorder="1" applyProtection="1">
      <protection locked="0"/>
    </xf>
    <xf numFmtId="38" fontId="78" fillId="0" borderId="17" xfId="41" applyNumberFormat="1" applyFont="1" applyBorder="1" applyProtection="1">
      <protection locked="0"/>
    </xf>
    <xf numFmtId="0" fontId="78" fillId="0" borderId="17" xfId="41" applyFont="1" applyBorder="1" applyAlignment="1" applyProtection="1">
      <alignment horizontal="center"/>
      <protection locked="0"/>
    </xf>
    <xf numFmtId="4" fontId="78" fillId="0" borderId="17" xfId="41" applyNumberFormat="1" applyFont="1" applyBorder="1" applyAlignment="1" applyProtection="1">
      <alignment horizontal="center"/>
      <protection locked="0"/>
    </xf>
    <xf numFmtId="40" fontId="78" fillId="0" borderId="17" xfId="41" applyNumberFormat="1" applyFont="1" applyBorder="1" applyProtection="1">
      <protection locked="0"/>
    </xf>
    <xf numFmtId="9" fontId="78" fillId="0" borderId="17" xfId="42" applyFont="1" applyBorder="1" applyProtection="1">
      <protection locked="0"/>
    </xf>
    <xf numFmtId="0" fontId="29" fillId="0" borderId="0" xfId="40" applyFont="1" applyAlignment="1">
      <alignment horizontal="left"/>
    </xf>
    <xf numFmtId="0" fontId="29" fillId="0" borderId="0" xfId="40" applyFont="1"/>
    <xf numFmtId="6" fontId="29" fillId="0" borderId="0" xfId="40" applyNumberFormat="1" applyFont="1"/>
    <xf numFmtId="8" fontId="30" fillId="0" borderId="0" xfId="40" applyNumberFormat="1" applyFont="1" applyAlignment="1">
      <alignment horizontal="right"/>
    </xf>
    <xf numFmtId="8" fontId="31" fillId="0" borderId="0" xfId="40" applyNumberFormat="1" applyFont="1" applyAlignment="1">
      <alignment horizontal="right"/>
    </xf>
    <xf numFmtId="0" fontId="27" fillId="0" borderId="0" xfId="40" applyFont="1" applyAlignment="1">
      <alignment horizontal="left"/>
    </xf>
    <xf numFmtId="0" fontId="27" fillId="0" borderId="0" xfId="40" applyFont="1"/>
    <xf numFmtId="40" fontId="27" fillId="0" borderId="0" xfId="40" applyNumberFormat="1" applyFont="1"/>
    <xf numFmtId="40" fontId="32" fillId="0" borderId="0" xfId="40" applyNumberFormat="1" applyFont="1" applyAlignment="1">
      <alignment horizontal="right"/>
    </xf>
    <xf numFmtId="40" fontId="27" fillId="0" borderId="0" xfId="40" applyNumberFormat="1" applyFont="1" applyAlignment="1">
      <alignment horizontal="right"/>
    </xf>
    <xf numFmtId="0" fontId="34" fillId="0" borderId="0" xfId="40" applyFont="1" applyAlignment="1">
      <alignment horizontal="left" vertical="center"/>
    </xf>
    <xf numFmtId="40" fontId="29" fillId="0" borderId="0" xfId="40" applyNumberFormat="1" applyFont="1"/>
    <xf numFmtId="40" fontId="33" fillId="0" borderId="0" xfId="40" applyNumberFormat="1" applyFont="1" applyAlignment="1">
      <alignment horizontal="right"/>
    </xf>
    <xf numFmtId="0" fontId="26" fillId="0" borderId="0" xfId="40" applyFont="1"/>
    <xf numFmtId="6" fontId="26" fillId="0" borderId="0" xfId="40" applyNumberFormat="1" applyFont="1"/>
    <xf numFmtId="8" fontId="26" fillId="0" borderId="0" xfId="40" applyNumberFormat="1" applyFont="1"/>
    <xf numFmtId="0" fontId="35" fillId="0" borderId="0" xfId="40" applyFont="1" applyAlignment="1">
      <alignment horizontal="left" indent="1"/>
    </xf>
    <xf numFmtId="0" fontId="35" fillId="0" borderId="0" xfId="40" applyFont="1"/>
    <xf numFmtId="6" fontId="35" fillId="0" borderId="0" xfId="40" applyNumberFormat="1" applyFont="1" applyAlignment="1">
      <alignment horizontal="right"/>
    </xf>
    <xf numFmtId="0" fontId="35" fillId="0" borderId="0" xfId="40" applyFont="1" applyAlignment="1">
      <alignment horizontal="center"/>
    </xf>
    <xf numFmtId="8" fontId="35" fillId="0" borderId="0" xfId="40" applyNumberFormat="1" applyFont="1" applyAlignment="1">
      <alignment horizontal="right"/>
    </xf>
    <xf numFmtId="0" fontId="26" fillId="0" borderId="0" xfId="40" applyFont="1" applyAlignment="1">
      <alignment horizontal="left" indent="1"/>
    </xf>
    <xf numFmtId="10" fontId="26" fillId="0" borderId="0" xfId="40" applyNumberFormat="1" applyFont="1"/>
    <xf numFmtId="6" fontId="26" fillId="0" borderId="9" xfId="40" applyNumberFormat="1" applyFont="1" applyBorder="1"/>
    <xf numFmtId="8" fontId="26" fillId="0" borderId="9" xfId="40" applyNumberFormat="1" applyFont="1" applyBorder="1"/>
    <xf numFmtId="0" fontId="26" fillId="0" borderId="0" xfId="40" applyFont="1" applyAlignment="1">
      <alignment horizontal="left" indent="2"/>
    </xf>
    <xf numFmtId="7" fontId="26" fillId="0" borderId="0" xfId="40" applyNumberFormat="1" applyFont="1"/>
    <xf numFmtId="7" fontId="26" fillId="0" borderId="9" xfId="40" applyNumberFormat="1" applyFont="1" applyBorder="1"/>
    <xf numFmtId="0" fontId="25" fillId="9" borderId="0" xfId="40" applyFont="1" applyFill="1" applyAlignment="1">
      <alignment horizontal="left" vertical="center" indent="1"/>
    </xf>
    <xf numFmtId="0" fontId="37" fillId="9" borderId="0" xfId="40" applyFont="1" applyFill="1" applyAlignment="1">
      <alignment horizontal="left" vertical="center" indent="1"/>
    </xf>
    <xf numFmtId="5" fontId="25" fillId="9" borderId="0" xfId="1" applyNumberFormat="1" applyFont="1" applyFill="1" applyAlignment="1">
      <alignment horizontal="right" vertical="center"/>
    </xf>
    <xf numFmtId="7" fontId="25" fillId="9" borderId="0" xfId="1" applyNumberFormat="1" applyFont="1" applyFill="1" applyAlignment="1">
      <alignment horizontal="right" vertical="center"/>
    </xf>
    <xf numFmtId="10" fontId="26" fillId="0" borderId="0" xfId="21" applyNumberFormat="1" applyFont="1"/>
    <xf numFmtId="6" fontId="26" fillId="0" borderId="14" xfId="40" applyNumberFormat="1" applyFont="1" applyBorder="1"/>
    <xf numFmtId="8" fontId="26" fillId="0" borderId="14" xfId="40" applyNumberFormat="1" applyFont="1" applyBorder="1"/>
    <xf numFmtId="171" fontId="26" fillId="0" borderId="0" xfId="40" applyNumberFormat="1" applyFont="1"/>
    <xf numFmtId="165" fontId="26" fillId="0" borderId="0" xfId="40" applyNumberFormat="1" applyFont="1"/>
    <xf numFmtId="0" fontId="26" fillId="0" borderId="0" xfId="40" applyFont="1" applyAlignment="1">
      <alignment horizontal="right"/>
    </xf>
    <xf numFmtId="3" fontId="26" fillId="0" borderId="0" xfId="40" applyNumberFormat="1" applyFont="1"/>
    <xf numFmtId="40" fontId="29" fillId="0" borderId="0" xfId="40" applyNumberFormat="1" applyFont="1" applyAlignment="1">
      <alignment horizontal="right"/>
    </xf>
    <xf numFmtId="0" fontId="76" fillId="0" borderId="0" xfId="40" applyFont="1" applyAlignment="1" applyProtection="1">
      <alignment horizontal="center"/>
      <protection locked="0"/>
    </xf>
    <xf numFmtId="0" fontId="80" fillId="17" borderId="0" xfId="40" applyFont="1" applyFill="1" applyAlignment="1">
      <alignment horizontal="left"/>
    </xf>
    <xf numFmtId="0" fontId="80" fillId="17" borderId="21" xfId="40" applyFont="1" applyFill="1" applyBorder="1" applyAlignment="1">
      <alignment horizontal="left"/>
    </xf>
    <xf numFmtId="38" fontId="80" fillId="17" borderId="21" xfId="40" applyNumberFormat="1" applyFont="1" applyFill="1" applyBorder="1" applyAlignment="1">
      <alignment horizontal="center"/>
    </xf>
    <xf numFmtId="0" fontId="80" fillId="17" borderId="0" xfId="40" applyFont="1" applyFill="1" applyAlignment="1">
      <alignment horizontal="center"/>
    </xf>
    <xf numFmtId="4" fontId="80" fillId="17" borderId="22" xfId="40" applyNumberFormat="1" applyFont="1" applyFill="1" applyBorder="1" applyAlignment="1">
      <alignment horizontal="center"/>
    </xf>
    <xf numFmtId="4" fontId="80" fillId="17" borderId="0" xfId="40" applyNumberFormat="1" applyFont="1" applyFill="1" applyAlignment="1">
      <alignment horizontal="center"/>
    </xf>
    <xf numFmtId="4" fontId="80" fillId="17" borderId="23" xfId="40" applyNumberFormat="1" applyFont="1" applyFill="1" applyBorder="1" applyAlignment="1">
      <alignment horizontal="center"/>
    </xf>
    <xf numFmtId="40" fontId="80" fillId="17" borderId="23" xfId="40" applyNumberFormat="1" applyFont="1" applyFill="1" applyBorder="1" applyAlignment="1">
      <alignment horizontal="center"/>
    </xf>
    <xf numFmtId="38" fontId="80" fillId="17" borderId="23" xfId="40" applyNumberFormat="1" applyFont="1" applyFill="1" applyBorder="1" applyAlignment="1">
      <alignment horizontal="center"/>
    </xf>
    <xf numFmtId="9" fontId="81" fillId="0" borderId="0" xfId="21" applyFont="1" applyAlignment="1" applyProtection="1">
      <alignment horizontal="center"/>
      <protection locked="0"/>
    </xf>
    <xf numFmtId="0" fontId="81" fillId="0" borderId="12" xfId="40" applyFont="1" applyBorder="1" applyAlignment="1" applyProtection="1">
      <alignment horizontal="center"/>
      <protection locked="0"/>
    </xf>
    <xf numFmtId="0" fontId="82" fillId="0" borderId="0" xfId="40" applyFont="1" applyProtection="1">
      <protection locked="0"/>
    </xf>
    <xf numFmtId="0" fontId="83" fillId="0" borderId="0" xfId="40" applyFont="1" applyProtection="1">
      <protection locked="0"/>
    </xf>
    <xf numFmtId="6" fontId="26" fillId="0" borderId="0" xfId="40" applyNumberFormat="1" applyFont="1" applyProtection="1">
      <protection locked="0"/>
    </xf>
    <xf numFmtId="0" fontId="84" fillId="9" borderId="0" xfId="40" applyFont="1" applyFill="1" applyAlignment="1" applyProtection="1">
      <alignment vertical="center"/>
      <protection locked="0"/>
    </xf>
    <xf numFmtId="38" fontId="39" fillId="9" borderId="0" xfId="40" applyNumberFormat="1" applyFont="1" applyFill="1" applyAlignment="1" applyProtection="1">
      <alignment vertical="center"/>
      <protection locked="0"/>
    </xf>
    <xf numFmtId="0" fontId="39" fillId="9" borderId="0" xfId="40" applyFont="1" applyFill="1" applyAlignment="1" applyProtection="1">
      <alignment horizontal="center" vertical="center"/>
      <protection locked="0"/>
    </xf>
    <xf numFmtId="40" fontId="26" fillId="9" borderId="0" xfId="40" applyNumberFormat="1" applyFont="1" applyFill="1" applyProtection="1">
      <protection locked="0"/>
    </xf>
    <xf numFmtId="40" fontId="39" fillId="9" borderId="0" xfId="40" applyNumberFormat="1" applyFont="1" applyFill="1" applyAlignment="1" applyProtection="1">
      <alignment vertical="center"/>
      <protection locked="0"/>
    </xf>
    <xf numFmtId="5" fontId="84" fillId="9" borderId="0" xfId="40" applyNumberFormat="1" applyFont="1" applyFill="1" applyAlignment="1" applyProtection="1">
      <alignment vertical="center"/>
      <protection locked="0"/>
    </xf>
    <xf numFmtId="9" fontId="26" fillId="0" borderId="0" xfId="21" applyFont="1" applyAlignment="1" applyProtection="1">
      <alignment horizontal="right"/>
      <protection locked="0"/>
    </xf>
    <xf numFmtId="8" fontId="35" fillId="0" borderId="0" xfId="40" applyNumberFormat="1" applyFont="1" applyAlignment="1" applyProtection="1">
      <alignment vertical="center"/>
      <protection locked="0"/>
    </xf>
    <xf numFmtId="0" fontId="35" fillId="0" borderId="0" xfId="40" applyFont="1" applyAlignment="1" applyProtection="1">
      <alignment vertical="center"/>
      <protection locked="0"/>
    </xf>
    <xf numFmtId="0" fontId="85" fillId="0" borderId="0" xfId="40" applyFont="1" applyProtection="1">
      <protection locked="0"/>
    </xf>
    <xf numFmtId="0" fontId="26" fillId="0" borderId="0" xfId="40" applyFont="1" applyAlignment="1" applyProtection="1">
      <alignment horizontal="left"/>
      <protection locked="0"/>
    </xf>
    <xf numFmtId="0" fontId="64" fillId="0" borderId="0" xfId="40" applyFont="1" applyProtection="1">
      <protection locked="0"/>
    </xf>
    <xf numFmtId="1" fontId="64" fillId="0" borderId="0" xfId="40" applyNumberFormat="1" applyFont="1" applyProtection="1">
      <protection locked="0"/>
    </xf>
    <xf numFmtId="38" fontId="64" fillId="0" borderId="0" xfId="40" applyNumberFormat="1" applyFont="1" applyProtection="1">
      <protection locked="0"/>
    </xf>
    <xf numFmtId="0" fontId="64" fillId="0" borderId="0" xfId="40" applyFont="1" applyAlignment="1" applyProtection="1">
      <alignment horizontal="center"/>
      <protection locked="0"/>
    </xf>
    <xf numFmtId="40" fontId="64" fillId="0" borderId="0" xfId="40" applyNumberFormat="1" applyFont="1" applyProtection="1">
      <protection locked="0"/>
    </xf>
    <xf numFmtId="6" fontId="64" fillId="0" borderId="0" xfId="40" applyNumberFormat="1" applyFont="1" applyProtection="1">
      <protection locked="0"/>
    </xf>
    <xf numFmtId="9" fontId="64" fillId="0" borderId="0" xfId="21" applyFont="1" applyProtection="1">
      <protection locked="0"/>
    </xf>
    <xf numFmtId="0" fontId="64" fillId="0" borderId="0" xfId="40" applyFont="1" applyAlignment="1" applyProtection="1">
      <alignment horizontal="left"/>
      <protection locked="0"/>
    </xf>
    <xf numFmtId="0" fontId="75" fillId="0" borderId="0" xfId="40" applyFont="1" applyProtection="1">
      <protection locked="0"/>
    </xf>
    <xf numFmtId="1" fontId="27" fillId="0" borderId="0" xfId="40" applyNumberFormat="1" applyFont="1" applyProtection="1">
      <protection locked="0"/>
    </xf>
    <xf numFmtId="40" fontId="26" fillId="0" borderId="0" xfId="40" applyNumberFormat="1" applyFont="1" applyAlignment="1" applyProtection="1">
      <alignment horizontal="center"/>
      <protection locked="0"/>
    </xf>
    <xf numFmtId="0" fontId="87" fillId="0" borderId="0" xfId="40" applyFont="1" applyProtection="1">
      <protection locked="0"/>
    </xf>
    <xf numFmtId="0" fontId="88" fillId="0" borderId="0" xfId="40" applyFont="1" applyProtection="1">
      <protection locked="0"/>
    </xf>
    <xf numFmtId="0" fontId="64" fillId="0" borderId="17" xfId="41" applyFont="1" applyBorder="1" applyProtection="1">
      <protection locked="0"/>
    </xf>
    <xf numFmtId="0" fontId="26" fillId="0" borderId="0" xfId="0" applyFont="1" applyAlignment="1">
      <alignment horizontal="left" indent="2"/>
    </xf>
    <xf numFmtId="0" fontId="25" fillId="19" borderId="0" xfId="75" applyFill="1">
      <alignment vertical="center"/>
    </xf>
    <xf numFmtId="0" fontId="92" fillId="0" borderId="0" xfId="76">
      <alignment vertical="center"/>
    </xf>
    <xf numFmtId="0" fontId="92" fillId="0" borderId="0" xfId="76" applyBorder="1">
      <alignment vertical="center"/>
    </xf>
    <xf numFmtId="49" fontId="93" fillId="0" borderId="0" xfId="76" applyNumberFormat="1" applyFont="1" applyAlignment="1">
      <alignment horizontal="left" vertical="center"/>
    </xf>
    <xf numFmtId="0" fontId="93" fillId="0" borderId="0" xfId="76" applyFont="1" applyAlignment="1">
      <alignment horizontal="left" vertical="center"/>
    </xf>
    <xf numFmtId="0" fontId="94" fillId="0" borderId="0" xfId="76" applyFont="1" applyBorder="1">
      <alignment vertical="center"/>
    </xf>
    <xf numFmtId="0" fontId="94" fillId="0" borderId="0" xfId="76" applyFont="1" applyBorder="1" applyAlignment="1">
      <alignment horizontal="center" vertical="center"/>
    </xf>
    <xf numFmtId="49" fontId="95" fillId="0" borderId="0" xfId="76" applyNumberFormat="1" applyFont="1" applyBorder="1" applyAlignment="1">
      <alignment horizontal="right" vertical="center"/>
    </xf>
    <xf numFmtId="8" fontId="96" fillId="0" borderId="0" xfId="76" applyNumberFormat="1" applyFont="1" applyBorder="1" applyAlignment="1">
      <alignment horizontal="right"/>
    </xf>
    <xf numFmtId="49" fontId="97" fillId="0" borderId="0" xfId="76" applyNumberFormat="1" applyFont="1" applyBorder="1" applyAlignment="1">
      <alignment horizontal="left" vertical="center"/>
    </xf>
    <xf numFmtId="40" fontId="98" fillId="0" borderId="0" xfId="76" applyNumberFormat="1" applyFont="1" applyBorder="1" applyAlignment="1">
      <alignment horizontal="right"/>
    </xf>
    <xf numFmtId="40" fontId="99" fillId="0" borderId="0" xfId="76" applyNumberFormat="1" applyFont="1" applyBorder="1" applyAlignment="1">
      <alignment horizontal="right"/>
    </xf>
    <xf numFmtId="0" fontId="100" fillId="0" borderId="0" xfId="76" applyFont="1" applyAlignment="1">
      <alignment horizontal="left" vertical="center"/>
    </xf>
    <xf numFmtId="0" fontId="92" fillId="0" borderId="0" xfId="76" applyAlignment="1">
      <alignment horizontal="right" vertical="center"/>
    </xf>
    <xf numFmtId="0" fontId="100" fillId="0" borderId="0" xfId="77" applyFont="1" applyAlignment="1">
      <alignment horizontal="left" vertical="center" indent="1"/>
    </xf>
    <xf numFmtId="0" fontId="94" fillId="0" borderId="0" xfId="76" applyFont="1" applyBorder="1" applyAlignment="1">
      <alignment horizontal="right" vertical="center"/>
    </xf>
    <xf numFmtId="0" fontId="100" fillId="0" borderId="0" xfId="77" applyFont="1" applyAlignment="1">
      <alignment horizontal="center" vertical="center"/>
    </xf>
    <xf numFmtId="0" fontId="92" fillId="0" borderId="0" xfId="76" applyAlignment="1">
      <alignment horizontal="center" vertical="center"/>
    </xf>
    <xf numFmtId="0" fontId="103" fillId="0" borderId="0" xfId="76" applyFont="1" applyBorder="1" applyAlignment="1">
      <alignment horizontal="left" vertical="center" indent="1"/>
    </xf>
    <xf numFmtId="171" fontId="104" fillId="0" borderId="0" xfId="76" applyNumberFormat="1" applyFont="1" applyBorder="1">
      <alignment vertical="center"/>
    </xf>
    <xf numFmtId="6" fontId="105" fillId="0" borderId="0" xfId="76" applyNumberFormat="1" applyFont="1" applyFill="1" applyBorder="1" applyAlignment="1"/>
    <xf numFmtId="172" fontId="106" fillId="0" borderId="0" xfId="76" applyNumberFormat="1" applyFont="1" applyFill="1" applyBorder="1" applyAlignment="1">
      <alignment horizontal="right" vertical="center"/>
    </xf>
    <xf numFmtId="0" fontId="92" fillId="0" borderId="0" xfId="76" applyBorder="1" applyAlignment="1">
      <alignment horizontal="left" vertical="center" indent="1"/>
    </xf>
    <xf numFmtId="0" fontId="100" fillId="0" borderId="9" xfId="76" applyFont="1" applyBorder="1" applyAlignment="1">
      <alignment horizontal="left" vertical="center" indent="1"/>
    </xf>
    <xf numFmtId="171" fontId="100" fillId="0" borderId="9" xfId="76" applyNumberFormat="1" applyFont="1" applyBorder="1">
      <alignment vertical="center"/>
    </xf>
    <xf numFmtId="6" fontId="105" fillId="0" borderId="9" xfId="76" applyNumberFormat="1" applyFont="1" applyFill="1" applyBorder="1" applyAlignment="1"/>
    <xf numFmtId="6" fontId="100" fillId="0" borderId="9" xfId="76" applyNumberFormat="1" applyFont="1" applyBorder="1" applyAlignment="1">
      <alignment horizontal="right" vertical="center"/>
    </xf>
    <xf numFmtId="172" fontId="100" fillId="0" borderId="9" xfId="76" applyNumberFormat="1" applyFont="1" applyFill="1" applyBorder="1" applyAlignment="1">
      <alignment horizontal="right" vertical="center"/>
    </xf>
    <xf numFmtId="6" fontId="104" fillId="0" borderId="0" xfId="76" applyNumberFormat="1" applyFont="1" applyBorder="1" applyAlignment="1">
      <alignment horizontal="right" vertical="center"/>
    </xf>
    <xf numFmtId="171" fontId="99" fillId="0" borderId="0" xfId="76" applyNumberFormat="1" applyFont="1" applyBorder="1">
      <alignment vertical="center"/>
    </xf>
    <xf numFmtId="172" fontId="99" fillId="0" borderId="0" xfId="76" applyNumberFormat="1" applyFont="1" applyFill="1" applyBorder="1" applyAlignment="1">
      <alignment horizontal="right" vertical="center"/>
    </xf>
    <xf numFmtId="6" fontId="99" fillId="0" borderId="0" xfId="76" applyNumberFormat="1" applyFont="1" applyBorder="1" applyAlignment="1">
      <alignment horizontal="right" vertical="center"/>
    </xf>
    <xf numFmtId="0" fontId="108" fillId="0" borderId="0" xfId="76" applyFont="1" applyBorder="1" applyAlignment="1">
      <alignment horizontal="left" vertical="center" indent="1"/>
    </xf>
    <xf numFmtId="171" fontId="108" fillId="0" borderId="0" xfId="76" applyNumberFormat="1" applyFont="1" applyBorder="1">
      <alignment vertical="center"/>
    </xf>
    <xf numFmtId="172" fontId="108" fillId="0" borderId="0" xfId="76" applyNumberFormat="1" applyFont="1" applyFill="1" applyBorder="1" applyAlignment="1">
      <alignment horizontal="right" vertical="center"/>
    </xf>
    <xf numFmtId="0" fontId="109" fillId="0" borderId="0" xfId="76" applyFont="1" applyBorder="1">
      <alignment vertical="center"/>
    </xf>
    <xf numFmtId="38" fontId="108" fillId="0" borderId="0" xfId="78" applyNumberFormat="1" applyFont="1" applyBorder="1" applyAlignment="1">
      <alignment horizontal="right" vertical="center"/>
    </xf>
    <xf numFmtId="0" fontId="110" fillId="0" borderId="0" xfId="76" applyFont="1" applyBorder="1" applyAlignment="1">
      <alignment horizontal="right" vertical="center"/>
    </xf>
    <xf numFmtId="0" fontId="110" fillId="0" borderId="0" xfId="76" applyFont="1" applyBorder="1" applyAlignment="1">
      <alignment horizontal="left" vertical="center" indent="3"/>
    </xf>
    <xf numFmtId="0" fontId="110" fillId="0" borderId="0" xfId="76" applyFont="1" applyBorder="1">
      <alignment vertical="center"/>
    </xf>
    <xf numFmtId="0" fontId="111" fillId="0" borderId="0" xfId="76" applyFont="1" applyBorder="1" applyAlignment="1">
      <alignment horizontal="left" vertical="center"/>
    </xf>
    <xf numFmtId="0" fontId="112" fillId="0" borderId="0" xfId="77" applyFont="1">
      <alignment vertical="center"/>
    </xf>
    <xf numFmtId="0" fontId="113" fillId="0" borderId="0" xfId="76" applyFont="1" applyAlignment="1">
      <alignment horizontal="left" vertical="center" indent="2"/>
    </xf>
    <xf numFmtId="8" fontId="115" fillId="0" borderId="0" xfId="79" applyNumberFormat="1" applyFont="1" applyAlignment="1">
      <alignment horizontal="right"/>
    </xf>
    <xf numFmtId="1" fontId="26" fillId="0" borderId="0" xfId="40" applyNumberFormat="1" applyFont="1" applyAlignment="1" applyProtection="1">
      <alignment horizontal="center"/>
      <protection locked="0"/>
    </xf>
    <xf numFmtId="168" fontId="26" fillId="0" borderId="0" xfId="1" applyNumberFormat="1" applyFont="1" applyProtection="1">
      <protection locked="0"/>
    </xf>
    <xf numFmtId="173" fontId="26" fillId="0" borderId="0" xfId="40" applyNumberFormat="1" applyFont="1" applyAlignment="1" applyProtection="1">
      <alignment horizontal="right"/>
      <protection locked="0"/>
    </xf>
    <xf numFmtId="168" fontId="116" fillId="0" borderId="0" xfId="1" applyNumberFormat="1" applyFont="1" applyAlignment="1" applyProtection="1">
      <alignment horizontal="right"/>
      <protection locked="0"/>
    </xf>
    <xf numFmtId="9" fontId="26" fillId="0" borderId="0" xfId="21" applyFont="1" applyAlignment="1" applyProtection="1">
      <alignment horizontal="left"/>
      <protection locked="0"/>
    </xf>
    <xf numFmtId="9" fontId="78" fillId="0" borderId="17" xfId="42" applyFont="1" applyBorder="1" applyAlignment="1" applyProtection="1">
      <alignment horizontal="left"/>
      <protection locked="0"/>
    </xf>
    <xf numFmtId="9" fontId="81" fillId="0" borderId="0" xfId="21" applyFont="1" applyAlignment="1" applyProtection="1">
      <alignment horizontal="left"/>
      <protection locked="0"/>
    </xf>
    <xf numFmtId="8" fontId="35" fillId="0" borderId="0" xfId="40" applyNumberFormat="1" applyFont="1" applyAlignment="1" applyProtection="1">
      <alignment horizontal="left" vertical="center"/>
      <protection locked="0"/>
    </xf>
    <xf numFmtId="38" fontId="64" fillId="0" borderId="0" xfId="40" applyNumberFormat="1" applyFont="1" applyAlignment="1" applyProtection="1">
      <alignment horizontal="right"/>
      <protection locked="0"/>
    </xf>
    <xf numFmtId="4" fontId="26" fillId="0" borderId="0" xfId="40" applyNumberFormat="1" applyFont="1" applyProtection="1">
      <protection locked="0"/>
    </xf>
    <xf numFmtId="9" fontId="26" fillId="0" borderId="0" xfId="21" applyFont="1" applyFill="1" applyProtection="1">
      <protection locked="0"/>
    </xf>
    <xf numFmtId="9" fontId="26" fillId="0" borderId="0" xfId="21" applyFont="1" applyFill="1" applyAlignment="1" applyProtection="1">
      <alignment horizontal="left"/>
      <protection locked="0"/>
    </xf>
    <xf numFmtId="0" fontId="104" fillId="0" borderId="0" xfId="0" applyFont="1"/>
    <xf numFmtId="0" fontId="104" fillId="0" borderId="0" xfId="0" applyFont="1" applyAlignment="1">
      <alignment horizontal="center"/>
    </xf>
    <xf numFmtId="38" fontId="104" fillId="0" borderId="0" xfId="0" applyNumberFormat="1" applyFont="1"/>
    <xf numFmtId="40" fontId="104" fillId="0" borderId="0" xfId="0" applyNumberFormat="1" applyFont="1"/>
    <xf numFmtId="0" fontId="106" fillId="0" borderId="0" xfId="0" applyFont="1"/>
    <xf numFmtId="38" fontId="106" fillId="0" borderId="0" xfId="0" applyNumberFormat="1" applyFont="1"/>
    <xf numFmtId="0" fontId="106" fillId="0" borderId="0" xfId="0" applyFont="1" applyAlignment="1">
      <alignment horizontal="center"/>
    </xf>
    <xf numFmtId="40" fontId="106" fillId="0" borderId="0" xfId="0" applyNumberFormat="1" applyFont="1"/>
    <xf numFmtId="4" fontId="64" fillId="0" borderId="0" xfId="40" applyNumberFormat="1" applyFont="1" applyProtection="1">
      <protection locked="0"/>
    </xf>
    <xf numFmtId="6" fontId="26" fillId="0" borderId="0" xfId="21" applyNumberFormat="1" applyFont="1" applyFill="1" applyProtection="1">
      <protection locked="0"/>
    </xf>
    <xf numFmtId="38" fontId="64" fillId="0" borderId="0" xfId="40" applyNumberFormat="1" applyFont="1" applyAlignment="1" applyProtection="1">
      <alignment horizontal="center"/>
      <protection locked="0"/>
    </xf>
    <xf numFmtId="38" fontId="26" fillId="0" borderId="0" xfId="40" applyNumberFormat="1" applyFont="1" applyAlignment="1" applyProtection="1">
      <alignment horizontal="right"/>
      <protection locked="0"/>
    </xf>
    <xf numFmtId="0" fontId="116" fillId="0" borderId="0" xfId="40" applyFont="1" applyProtection="1">
      <protection locked="0"/>
    </xf>
    <xf numFmtId="0" fontId="64" fillId="0" borderId="0" xfId="40" applyFont="1" applyAlignment="1" applyProtection="1">
      <alignment horizontal="right"/>
      <protection locked="0"/>
    </xf>
    <xf numFmtId="0" fontId="116" fillId="0" borderId="17" xfId="41" applyFont="1" applyBorder="1" applyProtection="1">
      <protection locked="0"/>
    </xf>
    <xf numFmtId="8" fontId="117" fillId="0" borderId="0" xfId="40" applyNumberFormat="1" applyFont="1" applyAlignment="1" applyProtection="1">
      <alignment vertical="center"/>
      <protection locked="0"/>
    </xf>
    <xf numFmtId="0" fontId="117" fillId="0" borderId="0" xfId="40" applyFont="1" applyAlignment="1" applyProtection="1">
      <alignment vertical="center"/>
      <protection locked="0"/>
    </xf>
    <xf numFmtId="0" fontId="116" fillId="0" borderId="0" xfId="40" applyFont="1" applyAlignment="1" applyProtection="1">
      <alignment horizontal="left"/>
      <protection locked="0"/>
    </xf>
    <xf numFmtId="1" fontId="117" fillId="0" borderId="0" xfId="40" applyNumberFormat="1" applyFont="1" applyAlignment="1" applyProtection="1">
      <alignment horizontal="right"/>
      <protection locked="0"/>
    </xf>
    <xf numFmtId="0" fontId="117" fillId="0" borderId="0" xfId="40" applyFont="1" applyAlignment="1" applyProtection="1">
      <alignment horizontal="right"/>
      <protection locked="0"/>
    </xf>
    <xf numFmtId="43" fontId="116" fillId="0" borderId="0" xfId="1" applyFont="1" applyAlignment="1" applyProtection="1">
      <alignment horizontal="right"/>
      <protection locked="0"/>
    </xf>
    <xf numFmtId="167" fontId="116" fillId="0" borderId="0" xfId="40" applyNumberFormat="1" applyFont="1" applyAlignment="1" applyProtection="1">
      <alignment horizontal="left"/>
      <protection locked="0"/>
    </xf>
    <xf numFmtId="0" fontId="118" fillId="0" borderId="0" xfId="0" applyFont="1"/>
    <xf numFmtId="6" fontId="116" fillId="0" borderId="0" xfId="40" applyNumberFormat="1" applyFont="1" applyProtection="1">
      <protection locked="0"/>
    </xf>
    <xf numFmtId="1" fontId="116" fillId="0" borderId="0" xfId="40" applyNumberFormat="1" applyFont="1" applyAlignment="1" applyProtection="1">
      <alignment horizontal="left"/>
      <protection locked="0"/>
    </xf>
    <xf numFmtId="0" fontId="119" fillId="0" borderId="0" xfId="40" applyFont="1" applyAlignment="1" applyProtection="1">
      <alignment horizontal="left"/>
      <protection locked="0"/>
    </xf>
    <xf numFmtId="1" fontId="26" fillId="0" borderId="0" xfId="0" applyNumberFormat="1" applyFont="1" applyAlignment="1" applyProtection="1">
      <alignment horizontal="center"/>
      <protection locked="0"/>
    </xf>
    <xf numFmtId="0" fontId="76" fillId="0" borderId="0" xfId="0" applyFont="1" applyProtection="1">
      <protection locked="0"/>
    </xf>
    <xf numFmtId="0" fontId="64" fillId="0" borderId="0" xfId="0" applyFont="1" applyProtection="1">
      <protection locked="0"/>
    </xf>
    <xf numFmtId="38" fontId="64" fillId="0" borderId="0" xfId="0" applyNumberFormat="1" applyFont="1" applyProtection="1">
      <protection locked="0"/>
    </xf>
    <xf numFmtId="0" fontId="64" fillId="0" borderId="0" xfId="0" applyFont="1" applyAlignment="1" applyProtection="1">
      <alignment horizontal="center"/>
      <protection locked="0"/>
    </xf>
    <xf numFmtId="40" fontId="64" fillId="0" borderId="0" xfId="0" applyNumberFormat="1" applyFont="1" applyProtection="1">
      <protection locked="0"/>
    </xf>
    <xf numFmtId="9" fontId="26" fillId="0" borderId="0" xfId="81" applyFont="1" applyProtection="1">
      <protection locked="0"/>
    </xf>
    <xf numFmtId="0" fontId="116" fillId="0" borderId="0" xfId="0" applyFont="1" applyAlignment="1" applyProtection="1">
      <alignment horizontal="left"/>
      <protection locked="0"/>
    </xf>
    <xf numFmtId="8" fontId="116" fillId="0" borderId="0" xfId="40" applyNumberFormat="1" applyFont="1" applyProtection="1">
      <protection locked="0"/>
    </xf>
    <xf numFmtId="168" fontId="116" fillId="0" borderId="0" xfId="1" applyNumberFormat="1" applyFont="1" applyAlignment="1" applyProtection="1">
      <alignment horizontal="left"/>
      <protection locked="0"/>
    </xf>
    <xf numFmtId="0" fontId="116" fillId="0" borderId="0" xfId="40" applyFont="1" applyAlignment="1" applyProtection="1">
      <alignment horizontal="right"/>
      <protection locked="0"/>
    </xf>
    <xf numFmtId="1" fontId="64" fillId="0" borderId="0" xfId="40" applyNumberFormat="1" applyFont="1" applyAlignment="1" applyProtection="1">
      <alignment horizontal="center"/>
      <protection locked="0"/>
    </xf>
    <xf numFmtId="9" fontId="64" fillId="0" borderId="0" xfId="21" applyFont="1" applyFill="1" applyAlignment="1" applyProtection="1">
      <alignment horizontal="left"/>
      <protection locked="0"/>
    </xf>
    <xf numFmtId="0" fontId="75" fillId="0" borderId="0" xfId="40" applyFont="1" applyAlignment="1" applyProtection="1">
      <alignment horizontal="left"/>
      <protection locked="0"/>
    </xf>
    <xf numFmtId="9" fontId="64" fillId="0" borderId="0" xfId="21" applyFont="1" applyAlignment="1" applyProtection="1">
      <alignment horizontal="left"/>
      <protection locked="0"/>
    </xf>
    <xf numFmtId="0" fontId="121" fillId="0" borderId="0" xfId="40" applyFont="1" applyProtection="1">
      <protection locked="0"/>
    </xf>
    <xf numFmtId="0" fontId="5" fillId="0" borderId="0" xfId="59" applyAlignment="1">
      <alignment wrapText="1"/>
    </xf>
    <xf numFmtId="0" fontId="123" fillId="0" borderId="0" xfId="40" applyFont="1" applyProtection="1">
      <protection locked="0"/>
    </xf>
    <xf numFmtId="0" fontId="124" fillId="0" borderId="0" xfId="59" applyFont="1"/>
    <xf numFmtId="9" fontId="117" fillId="0" borderId="0" xfId="21" applyFont="1" applyAlignment="1" applyProtection="1">
      <alignment vertical="center"/>
      <protection locked="0"/>
    </xf>
    <xf numFmtId="0" fontId="120" fillId="0" borderId="0" xfId="40" applyFont="1" applyProtection="1">
      <protection locked="0"/>
    </xf>
    <xf numFmtId="0" fontId="127" fillId="0" borderId="24" xfId="40" applyFont="1" applyBorder="1" applyAlignment="1">
      <alignment horizontal="left" vertical="center"/>
    </xf>
    <xf numFmtId="0" fontId="29" fillId="0" borderId="25" xfId="40" applyFont="1" applyBorder="1" applyAlignment="1">
      <alignment horizontal="left" vertical="center" indent="2"/>
    </xf>
    <xf numFmtId="0" fontId="29" fillId="0" borderId="25" xfId="40" applyFont="1" applyBorder="1" applyAlignment="1">
      <alignment vertical="center"/>
    </xf>
    <xf numFmtId="6" fontId="29" fillId="0" borderId="25" xfId="40" applyNumberFormat="1" applyFont="1" applyBorder="1" applyAlignment="1">
      <alignment horizontal="left" vertical="center" indent="1"/>
    </xf>
    <xf numFmtId="8" fontId="30" fillId="0" borderId="25" xfId="40" applyNumberFormat="1" applyFont="1" applyBorder="1" applyAlignment="1">
      <alignment horizontal="right" vertical="center"/>
    </xf>
    <xf numFmtId="0" fontId="26" fillId="0" borderId="25" xfId="40" applyFont="1" applyBorder="1" applyAlignment="1" applyProtection="1">
      <alignment vertical="center"/>
      <protection locked="0"/>
    </xf>
    <xf numFmtId="0" fontId="27" fillId="0" borderId="25" xfId="40" applyFont="1" applyBorder="1" applyAlignment="1">
      <alignment vertical="center"/>
    </xf>
    <xf numFmtId="8" fontId="30" fillId="0" borderId="26" xfId="40" applyNumberFormat="1" applyFont="1" applyBorder="1" applyAlignment="1">
      <alignment horizontal="right"/>
    </xf>
    <xf numFmtId="0" fontId="6" fillId="0" borderId="0" xfId="40"/>
    <xf numFmtId="0" fontId="127" fillId="0" borderId="27" xfId="40" applyFont="1" applyBorder="1" applyAlignment="1">
      <alignment horizontal="left"/>
    </xf>
    <xf numFmtId="0" fontId="29" fillId="0" borderId="0" xfId="40" applyFont="1" applyAlignment="1">
      <alignment horizontal="left" indent="2"/>
    </xf>
    <xf numFmtId="6" fontId="29" fillId="0" borderId="0" xfId="40" applyNumberFormat="1" applyFont="1" applyAlignment="1">
      <alignment horizontal="left" indent="1"/>
    </xf>
    <xf numFmtId="40" fontId="129" fillId="0" borderId="0" xfId="40" applyNumberFormat="1" applyFont="1" applyAlignment="1">
      <alignment horizontal="right" vertical="center"/>
    </xf>
    <xf numFmtId="8" fontId="31" fillId="0" borderId="28" xfId="40" applyNumberFormat="1" applyFont="1" applyBorder="1" applyAlignment="1">
      <alignment horizontal="right"/>
    </xf>
    <xf numFmtId="0" fontId="130" fillId="0" borderId="27" xfId="40" applyFont="1" applyBorder="1" applyAlignment="1">
      <alignment horizontal="left" vertical="center"/>
    </xf>
    <xf numFmtId="40" fontId="29" fillId="0" borderId="0" xfId="40" applyNumberFormat="1" applyFont="1" applyAlignment="1">
      <alignment horizontal="left" indent="1"/>
    </xf>
    <xf numFmtId="40" fontId="131" fillId="0" borderId="0" xfId="40" applyNumberFormat="1" applyFont="1" applyAlignment="1">
      <alignment horizontal="right" vertical="center"/>
    </xf>
    <xf numFmtId="40" fontId="32" fillId="0" borderId="28" xfId="40" applyNumberFormat="1" applyFont="1" applyBorder="1" applyAlignment="1">
      <alignment horizontal="right"/>
    </xf>
    <xf numFmtId="0" fontId="6" fillId="0" borderId="0" xfId="40" applyAlignment="1">
      <alignment horizontal="left"/>
    </xf>
    <xf numFmtId="0" fontId="34" fillId="0" borderId="28" xfId="40" applyFont="1" applyBorder="1" applyAlignment="1">
      <alignment horizontal="right" vertical="center"/>
    </xf>
    <xf numFmtId="0" fontId="34" fillId="0" borderId="27" xfId="40" applyFont="1" applyBorder="1" applyAlignment="1">
      <alignment horizontal="left" vertical="center"/>
    </xf>
    <xf numFmtId="40" fontId="33" fillId="0" borderId="28" xfId="40" applyNumberFormat="1" applyFont="1" applyBorder="1" applyAlignment="1">
      <alignment horizontal="right"/>
    </xf>
    <xf numFmtId="0" fontId="97" fillId="0" borderId="27" xfId="76" applyFont="1" applyBorder="1" applyAlignment="1">
      <alignment horizontal="left" vertical="center"/>
    </xf>
    <xf numFmtId="0" fontId="133" fillId="0" borderId="0" xfId="40" applyFont="1" applyAlignment="1">
      <alignment horizontal="center" vertical="center"/>
    </xf>
    <xf numFmtId="0" fontId="133" fillId="0" borderId="27" xfId="40" applyFont="1" applyBorder="1" applyAlignment="1">
      <alignment horizontal="right" vertical="center"/>
    </xf>
    <xf numFmtId="0" fontId="133" fillId="0" borderId="0" xfId="40" applyFont="1" applyAlignment="1">
      <alignment horizontal="right" vertical="center"/>
    </xf>
    <xf numFmtId="0" fontId="139" fillId="0" borderId="0" xfId="40" applyFont="1" applyAlignment="1">
      <alignment horizontal="center"/>
    </xf>
    <xf numFmtId="0" fontId="133" fillId="0" borderId="27" xfId="40" applyFont="1" applyBorder="1" applyAlignment="1">
      <alignment horizontal="right"/>
    </xf>
    <xf numFmtId="0" fontId="114" fillId="0" borderId="0" xfId="79"/>
    <xf numFmtId="0" fontId="141" fillId="0" borderId="0" xfId="79" applyFont="1" applyFill="1" applyBorder="1" applyAlignment="1">
      <alignment vertical="top" wrapText="1"/>
    </xf>
    <xf numFmtId="0" fontId="133" fillId="0" borderId="0" xfId="40" applyFont="1" applyAlignment="1">
      <alignment horizontal="right"/>
    </xf>
    <xf numFmtId="0" fontId="145" fillId="0" borderId="27" xfId="40" applyFont="1" applyBorder="1" applyAlignment="1">
      <alignment horizontal="right" vertical="center"/>
    </xf>
    <xf numFmtId="0" fontId="145" fillId="0" borderId="0" xfId="40" applyFont="1" applyAlignment="1">
      <alignment horizontal="right" vertical="center"/>
    </xf>
    <xf numFmtId="0" fontId="133" fillId="0" borderId="27" xfId="40" applyFont="1" applyBorder="1" applyAlignment="1">
      <alignment horizontal="left" indent="3"/>
    </xf>
    <xf numFmtId="0" fontId="148" fillId="0" borderId="0" xfId="40" applyFont="1" applyAlignment="1">
      <alignment horizontal="left" indent="2"/>
    </xf>
    <xf numFmtId="0" fontId="133" fillId="0" borderId="0" xfId="40" applyFont="1" applyAlignment="1">
      <alignment horizontal="center"/>
    </xf>
    <xf numFmtId="0" fontId="149" fillId="0" borderId="0" xfId="40" applyFont="1" applyAlignment="1">
      <alignment horizontal="center"/>
    </xf>
    <xf numFmtId="0" fontId="149" fillId="0" borderId="0" xfId="40" applyFont="1" applyAlignment="1">
      <alignment horizontal="left" indent="4"/>
    </xf>
    <xf numFmtId="0" fontId="150" fillId="0" borderId="27" xfId="40" applyFont="1" applyBorder="1" applyAlignment="1">
      <alignment horizontal="center" vertical="center"/>
    </xf>
    <xf numFmtId="0" fontId="150" fillId="0" borderId="0" xfId="40" applyFont="1" applyAlignment="1">
      <alignment horizontal="center" vertical="center"/>
    </xf>
    <xf numFmtId="0" fontId="150" fillId="0" borderId="0" xfId="40" applyFont="1" applyAlignment="1">
      <alignment vertical="center"/>
    </xf>
    <xf numFmtId="167" fontId="150" fillId="0" borderId="0" xfId="40" applyNumberFormat="1" applyFont="1" applyAlignment="1">
      <alignment horizontal="center" vertical="center"/>
    </xf>
    <xf numFmtId="9" fontId="150" fillId="0" borderId="0" xfId="21" applyFont="1" applyBorder="1" applyAlignment="1">
      <alignment horizontal="center" vertical="center"/>
    </xf>
    <xf numFmtId="0" fontId="149" fillId="0" borderId="28" xfId="40" applyFont="1" applyBorder="1" applyAlignment="1">
      <alignment horizontal="center" vertical="center"/>
    </xf>
    <xf numFmtId="0" fontId="139" fillId="0" borderId="27" xfId="40" applyFont="1" applyBorder="1"/>
    <xf numFmtId="0" fontId="139" fillId="0" borderId="0" xfId="40" applyFont="1"/>
    <xf numFmtId="0" fontId="75" fillId="0" borderId="0" xfId="40" applyFont="1"/>
    <xf numFmtId="0" fontId="75" fillId="0" borderId="28" xfId="40" applyFont="1" applyBorder="1"/>
    <xf numFmtId="0" fontId="139" fillId="0" borderId="28" xfId="40" applyFont="1" applyBorder="1"/>
    <xf numFmtId="0" fontId="6" fillId="0" borderId="27" xfId="40" applyBorder="1"/>
    <xf numFmtId="0" fontId="152" fillId="0" borderId="27" xfId="40" applyFont="1" applyBorder="1" applyAlignment="1">
      <alignment horizontal="center"/>
    </xf>
    <xf numFmtId="0" fontId="152" fillId="0" borderId="0" xfId="40" applyFont="1" applyAlignment="1">
      <alignment horizontal="center"/>
    </xf>
    <xf numFmtId="0" fontId="39" fillId="0" borderId="0" xfId="40" applyFont="1"/>
    <xf numFmtId="0" fontId="153" fillId="0" borderId="27" xfId="40" applyFont="1" applyBorder="1" applyAlignment="1">
      <alignment horizontal="center"/>
    </xf>
    <xf numFmtId="0" fontId="153" fillId="0" borderId="0" xfId="40" applyFont="1" applyAlignment="1">
      <alignment horizontal="center"/>
    </xf>
    <xf numFmtId="0" fontId="155" fillId="0" borderId="27" xfId="40" applyFont="1" applyBorder="1"/>
    <xf numFmtId="0" fontId="155" fillId="0" borderId="0" xfId="40" applyFont="1"/>
    <xf numFmtId="0" fontId="139" fillId="0" borderId="27" xfId="40" applyFont="1" applyBorder="1" applyAlignment="1">
      <alignment horizontal="left"/>
    </xf>
    <xf numFmtId="0" fontId="139" fillId="0" borderId="0" xfId="40" applyFont="1" applyAlignment="1">
      <alignment horizontal="left"/>
    </xf>
    <xf numFmtId="0" fontId="133" fillId="0" borderId="27" xfId="40" applyFont="1" applyBorder="1" applyAlignment="1">
      <alignment horizontal="left" vertical="center" indent="1"/>
    </xf>
    <xf numFmtId="0" fontId="133" fillId="0" borderId="0" xfId="40" applyFont="1" applyAlignment="1">
      <alignment horizontal="left" vertical="center"/>
    </xf>
    <xf numFmtId="0" fontId="139" fillId="0" borderId="27" xfId="40" applyFont="1" applyBorder="1" applyAlignment="1">
      <alignment horizontal="left" indent="3"/>
    </xf>
    <xf numFmtId="0" fontId="139" fillId="0" borderId="0" xfId="40" applyFont="1" applyAlignment="1">
      <alignment horizontal="left" indent="1"/>
    </xf>
    <xf numFmtId="0" fontId="139" fillId="0" borderId="0" xfId="40" applyFont="1" applyAlignment="1">
      <alignment horizontal="left" indent="2"/>
    </xf>
    <xf numFmtId="0" fontId="6" fillId="0" borderId="0" xfId="40" applyAlignment="1">
      <alignment horizontal="center"/>
    </xf>
    <xf numFmtId="0" fontId="139" fillId="0" borderId="27" xfId="40" applyFont="1" applyBorder="1" applyAlignment="1">
      <alignment horizontal="left" indent="2"/>
    </xf>
    <xf numFmtId="1" fontId="139" fillId="0" borderId="0" xfId="40" applyNumberFormat="1" applyFont="1" applyAlignment="1">
      <alignment horizontal="center"/>
    </xf>
    <xf numFmtId="0" fontId="158" fillId="0" borderId="34" xfId="79" applyFont="1" applyBorder="1" applyAlignment="1">
      <alignment horizontal="center" vertical="center"/>
    </xf>
    <xf numFmtId="0" fontId="26" fillId="0" borderId="27" xfId="40" applyFont="1" applyBorder="1"/>
    <xf numFmtId="0" fontId="158" fillId="0" borderId="0" xfId="79" applyFont="1" applyBorder="1" applyAlignment="1">
      <alignment horizontal="center" vertical="center"/>
    </xf>
    <xf numFmtId="0" fontId="26" fillId="0" borderId="28" xfId="40" applyFont="1" applyBorder="1"/>
    <xf numFmtId="0" fontId="26" fillId="0" borderId="0" xfId="40" applyFont="1" applyAlignment="1">
      <alignment horizontal="left"/>
    </xf>
    <xf numFmtId="0" fontId="133" fillId="0" borderId="0" xfId="40" applyFont="1"/>
    <xf numFmtId="0" fontId="133" fillId="0" borderId="0" xfId="40" applyFont="1" applyAlignment="1">
      <alignment horizontal="center" wrapText="1"/>
    </xf>
    <xf numFmtId="0" fontId="133" fillId="0" borderId="0" xfId="40" applyFont="1" applyAlignment="1">
      <alignment horizontal="left"/>
    </xf>
    <xf numFmtId="0" fontId="6" fillId="0" borderId="32" xfId="40" applyBorder="1" applyAlignment="1">
      <alignment horizontal="center"/>
    </xf>
    <xf numFmtId="0" fontId="125" fillId="0" borderId="0" xfId="85" applyFont="1" applyAlignment="1">
      <alignment horizontal="left"/>
    </xf>
    <xf numFmtId="0" fontId="107" fillId="0" borderId="0" xfId="85" applyFont="1" applyAlignment="1">
      <alignment horizontal="center" vertical="top"/>
    </xf>
    <xf numFmtId="0" fontId="126" fillId="0" borderId="0" xfId="85" applyFont="1" applyAlignment="1">
      <alignment horizontal="center" vertical="top"/>
    </xf>
    <xf numFmtId="0" fontId="26" fillId="0" borderId="0" xfId="85" applyFont="1" applyAlignment="1">
      <alignment horizontal="left" vertical="center"/>
    </xf>
    <xf numFmtId="0" fontId="28" fillId="0" borderId="25" xfId="85" applyFont="1" applyBorder="1" applyAlignment="1">
      <alignment horizontal="left" vertical="center"/>
    </xf>
    <xf numFmtId="0" fontId="128" fillId="0" borderId="25" xfId="85" applyFont="1" applyBorder="1" applyAlignment="1">
      <alignment vertical="center"/>
    </xf>
    <xf numFmtId="0" fontId="128" fillId="0" borderId="0" xfId="85" applyFont="1" applyAlignment="1">
      <alignment vertical="center"/>
    </xf>
    <xf numFmtId="0" fontId="26" fillId="0" borderId="0" xfId="85" applyFont="1" applyAlignment="1">
      <alignment horizontal="left"/>
    </xf>
    <xf numFmtId="0" fontId="28" fillId="0" borderId="0" xfId="85" applyFont="1" applyAlignment="1">
      <alignment horizontal="left" vertical="center"/>
    </xf>
    <xf numFmtId="0" fontId="128" fillId="0" borderId="0" xfId="85" applyFont="1"/>
    <xf numFmtId="0" fontId="128" fillId="0" borderId="28" xfId="85" applyFont="1" applyBorder="1"/>
    <xf numFmtId="0" fontId="134" fillId="21" borderId="27" xfId="85" applyFont="1" applyFill="1" applyBorder="1" applyAlignment="1">
      <alignment horizontal="right"/>
    </xf>
    <xf numFmtId="0" fontId="134" fillId="21" borderId="0" xfId="85" applyFont="1" applyFill="1"/>
    <xf numFmtId="0" fontId="134" fillId="0" borderId="0" xfId="85" applyFont="1"/>
    <xf numFmtId="174" fontId="135" fillId="0" borderId="28" xfId="85" applyNumberFormat="1" applyFont="1" applyBorder="1"/>
    <xf numFmtId="0" fontId="136" fillId="0" borderId="0" xfId="85" quotePrefix="1" applyFont="1" applyAlignment="1">
      <alignment horizontal="center"/>
    </xf>
    <xf numFmtId="0" fontId="137" fillId="0" borderId="0" xfId="85" applyFont="1" applyAlignment="1">
      <alignment horizontal="left"/>
    </xf>
    <xf numFmtId="175" fontId="138" fillId="21" borderId="0" xfId="85" applyNumberFormat="1" applyFont="1" applyFill="1" applyAlignment="1">
      <alignment horizontal="left" indent="1"/>
    </xf>
    <xf numFmtId="0" fontId="137" fillId="21" borderId="0" xfId="85" applyFont="1" applyFill="1" applyAlignment="1">
      <alignment horizontal="left" vertical="top" wrapText="1"/>
    </xf>
    <xf numFmtId="0" fontId="138" fillId="21" borderId="0" xfId="85" applyFont="1" applyFill="1" applyAlignment="1">
      <alignment horizontal="left" indent="1"/>
    </xf>
    <xf numFmtId="0" fontId="137" fillId="21" borderId="0" xfId="85" applyFont="1" applyFill="1"/>
    <xf numFmtId="170" fontId="137" fillId="21" borderId="0" xfId="85" applyNumberFormat="1" applyFont="1" applyFill="1" applyAlignment="1">
      <alignment horizontal="left"/>
    </xf>
    <xf numFmtId="0" fontId="140" fillId="21" borderId="0" xfId="85" applyFont="1" applyFill="1"/>
    <xf numFmtId="0" fontId="135" fillId="0" borderId="0" xfId="85" applyFont="1"/>
    <xf numFmtId="176" fontId="137" fillId="21" borderId="0" xfId="85" applyNumberFormat="1" applyFont="1" applyFill="1" applyAlignment="1">
      <alignment horizontal="left" shrinkToFit="1"/>
    </xf>
    <xf numFmtId="171" fontId="138" fillId="21" borderId="0" xfId="85" applyNumberFormat="1" applyFont="1" applyFill="1" applyAlignment="1">
      <alignment horizontal="left"/>
    </xf>
    <xf numFmtId="0" fontId="138" fillId="21" borderId="0" xfId="85" applyFont="1" applyFill="1" applyAlignment="1">
      <alignment horizontal="left"/>
    </xf>
    <xf numFmtId="0" fontId="136" fillId="0" borderId="0" xfId="85" applyFont="1"/>
    <xf numFmtId="0" fontId="134" fillId="0" borderId="27" xfId="85" applyFont="1" applyBorder="1" applyAlignment="1">
      <alignment horizontal="right"/>
    </xf>
    <xf numFmtId="0" fontId="134" fillId="0" borderId="0" xfId="85" applyFont="1" applyAlignment="1">
      <alignment horizontal="left"/>
    </xf>
    <xf numFmtId="49" fontId="118" fillId="0" borderId="0" xfId="86" applyNumberFormat="1" applyFont="1" applyBorder="1" applyAlignment="1">
      <alignment vertical="top" wrapText="1"/>
    </xf>
    <xf numFmtId="0" fontId="137" fillId="21" borderId="0" xfId="85" applyFont="1" applyFill="1" applyAlignment="1">
      <alignment horizontal="left"/>
    </xf>
    <xf numFmtId="0" fontId="142" fillId="21" borderId="0" xfId="85" applyFont="1" applyFill="1"/>
    <xf numFmtId="1" fontId="137" fillId="21" borderId="0" xfId="85" applyNumberFormat="1" applyFont="1" applyFill="1" applyAlignment="1">
      <alignment horizontal="left"/>
    </xf>
    <xf numFmtId="0" fontId="143" fillId="21" borderId="0" xfId="85" applyFont="1" applyFill="1"/>
    <xf numFmtId="0" fontId="138" fillId="21" borderId="0" xfId="85" applyFont="1" applyFill="1" applyAlignment="1">
      <alignment horizontal="center"/>
    </xf>
    <xf numFmtId="168" fontId="104" fillId="0" borderId="0" xfId="86" applyNumberFormat="1" applyFont="1" applyAlignment="1">
      <alignment vertical="top" wrapText="1"/>
    </xf>
    <xf numFmtId="0" fontId="134" fillId="21" borderId="0" xfId="85" applyFont="1" applyFill="1" applyAlignment="1">
      <alignment horizontal="left"/>
      <extLst>
        <ext xmlns:xfpb="http://schemas.microsoft.com/office/spreadsheetml/2022/featurepropertybag" uri="{C7286773-470A-42A8-94C5-96B5CB345126}">
          <xfpb:xfComplement i="0"/>
        </ext>
      </extLst>
    </xf>
    <xf numFmtId="0" fontId="144" fillId="21" borderId="0" xfId="85" applyFont="1" applyFill="1"/>
    <xf numFmtId="0" fontId="134" fillId="0" borderId="27" xfId="85" applyFont="1" applyBorder="1"/>
    <xf numFmtId="0" fontId="135" fillId="0" borderId="27" xfId="85" applyFont="1" applyBorder="1"/>
    <xf numFmtId="0" fontId="135" fillId="21" borderId="0" xfId="85" applyFont="1" applyFill="1"/>
    <xf numFmtId="171" fontId="146" fillId="0" borderId="27" xfId="85" applyNumberFormat="1" applyFont="1" applyBorder="1"/>
    <xf numFmtId="171" fontId="146" fillId="0" borderId="0" xfId="85" applyNumberFormat="1" applyFont="1"/>
    <xf numFmtId="0" fontId="136" fillId="0" borderId="27" xfId="85" applyFont="1" applyBorder="1"/>
    <xf numFmtId="0" fontId="135" fillId="0" borderId="31" xfId="85" applyFont="1" applyBorder="1"/>
    <xf numFmtId="0" fontId="135" fillId="0" borderId="32" xfId="85" applyFont="1" applyBorder="1"/>
    <xf numFmtId="0" fontId="135" fillId="21" borderId="32" xfId="85" applyFont="1" applyFill="1" applyBorder="1"/>
    <xf numFmtId="0" fontId="140" fillId="21" borderId="32" xfId="85" applyFont="1" applyFill="1" applyBorder="1"/>
    <xf numFmtId="0" fontId="142" fillId="21" borderId="32" xfId="85" applyFont="1" applyFill="1" applyBorder="1"/>
    <xf numFmtId="174" fontId="135" fillId="0" borderId="33" xfId="85" applyNumberFormat="1" applyFont="1" applyBorder="1"/>
    <xf numFmtId="0" fontId="147" fillId="0" borderId="0" xfId="85" applyFont="1"/>
    <xf numFmtId="174" fontId="134" fillId="0" borderId="28" xfId="85" applyNumberFormat="1" applyFont="1" applyBorder="1"/>
    <xf numFmtId="0" fontId="134" fillId="0" borderId="0" xfId="85" applyFont="1" applyAlignment="1">
      <alignment horizontal="center"/>
    </xf>
    <xf numFmtId="0" fontId="138" fillId="0" borderId="0" xfId="85" applyFont="1" applyAlignment="1">
      <alignment horizontal="center"/>
    </xf>
    <xf numFmtId="0" fontId="138" fillId="0" borderId="0" xfId="85" applyFont="1"/>
    <xf numFmtId="174" fontId="138" fillId="0" borderId="28" xfId="85" applyNumberFormat="1" applyFont="1" applyBorder="1"/>
    <xf numFmtId="0" fontId="137" fillId="0" borderId="27" xfId="85" applyFont="1" applyBorder="1" applyAlignment="1">
      <alignment horizontal="left" indent="3"/>
    </xf>
    <xf numFmtId="0" fontId="137" fillId="0" borderId="0" xfId="85" applyFont="1" applyAlignment="1">
      <alignment horizontal="left" indent="2"/>
    </xf>
    <xf numFmtId="0" fontId="147" fillId="0" borderId="0" xfId="85" applyFont="1" applyAlignment="1">
      <alignment horizontal="right"/>
      <extLst>
        <ext xmlns:xfpb="http://schemas.microsoft.com/office/spreadsheetml/2022/featurepropertybag" uri="{C7286773-470A-42A8-94C5-96B5CB345126}">
          <xfpb:xfComplement i="0"/>
        </ext>
      </extLst>
    </xf>
    <xf numFmtId="14" fontId="137" fillId="21" borderId="0" xfId="85" applyNumberFormat="1" applyFont="1" applyFill="1" applyAlignment="1">
      <alignment horizontal="center" shrinkToFit="1"/>
    </xf>
    <xf numFmtId="0" fontId="147" fillId="0" borderId="0" xfId="85" applyFont="1" applyAlignment="1">
      <alignment horizontal="center"/>
    </xf>
    <xf numFmtId="167" fontId="137" fillId="21" borderId="0" xfId="85" applyNumberFormat="1" applyFont="1" applyFill="1" applyAlignment="1">
      <alignment horizontal="center" vertical="center"/>
    </xf>
    <xf numFmtId="176" fontId="137" fillId="21" borderId="0" xfId="85" applyNumberFormat="1" applyFont="1" applyFill="1" applyAlignment="1">
      <alignment horizontal="center" shrinkToFit="1"/>
    </xf>
    <xf numFmtId="9" fontId="137" fillId="21" borderId="0" xfId="85" applyNumberFormat="1" applyFont="1" applyFill="1" applyAlignment="1">
      <alignment horizontal="center" vertical="center"/>
    </xf>
    <xf numFmtId="0" fontId="26" fillId="0" borderId="34" xfId="85" applyFont="1" applyBorder="1" applyAlignment="1">
      <alignment horizontal="left" vertical="center"/>
    </xf>
    <xf numFmtId="10" fontId="138" fillId="21" borderId="28" xfId="85" applyNumberFormat="1" applyFont="1" applyFill="1" applyBorder="1" applyAlignment="1">
      <alignment horizontal="center" vertical="center"/>
    </xf>
    <xf numFmtId="0" fontId="104" fillId="0" borderId="0" xfId="85" applyFont="1"/>
    <xf numFmtId="0" fontId="107" fillId="0" borderId="0" xfId="85" applyFont="1"/>
    <xf numFmtId="0" fontId="138" fillId="0" borderId="0" xfId="85" applyFont="1" applyAlignment="1">
      <alignment horizontal="center" vertical="center"/>
    </xf>
    <xf numFmtId="168" fontId="136" fillId="0" borderId="0" xfId="86" applyNumberFormat="1" applyFont="1"/>
    <xf numFmtId="168" fontId="135" fillId="0" borderId="0" xfId="86" applyNumberFormat="1" applyFont="1"/>
    <xf numFmtId="168" fontId="135" fillId="0" borderId="27" xfId="86" applyNumberFormat="1" applyFont="1" applyBorder="1"/>
    <xf numFmtId="168" fontId="135" fillId="0" borderId="0" xfId="86" applyNumberFormat="1" applyFont="1" applyBorder="1"/>
    <xf numFmtId="9" fontId="151" fillId="21" borderId="0" xfId="85" applyNumberFormat="1" applyFont="1" applyFill="1" applyAlignment="1">
      <alignment horizontal="center" vertical="center"/>
    </xf>
    <xf numFmtId="168" fontId="128" fillId="0" borderId="27" xfId="86" applyNumberFormat="1" applyFont="1" applyBorder="1"/>
    <xf numFmtId="168" fontId="128" fillId="0" borderId="0" xfId="86" applyNumberFormat="1" applyFont="1" applyBorder="1"/>
    <xf numFmtId="168" fontId="128" fillId="0" borderId="0" xfId="86" applyNumberFormat="1" applyFont="1"/>
    <xf numFmtId="0" fontId="128" fillId="0" borderId="27" xfId="85" applyFont="1" applyBorder="1"/>
    <xf numFmtId="9" fontId="154" fillId="21" borderId="0" xfId="85" applyNumberFormat="1" applyFont="1" applyFill="1" applyAlignment="1">
      <alignment horizontal="center" vertical="center"/>
    </xf>
    <xf numFmtId="0" fontId="156" fillId="0" borderId="0" xfId="85" applyFont="1" applyAlignment="1">
      <alignment horizontal="left"/>
    </xf>
    <xf numFmtId="174" fontId="157" fillId="0" borderId="28" xfId="85" applyNumberFormat="1" applyFont="1" applyBorder="1" applyAlignment="1">
      <alignment horizontal="left"/>
    </xf>
    <xf numFmtId="0" fontId="139" fillId="0" borderId="34" xfId="85" applyFont="1" applyBorder="1" applyAlignment="1">
      <alignment horizontal="left" vertical="center"/>
    </xf>
    <xf numFmtId="0" fontId="1" fillId="0" borderId="0" xfId="85"/>
    <xf numFmtId="0" fontId="160" fillId="0" borderId="0" xfId="85" applyFont="1"/>
    <xf numFmtId="174" fontId="159" fillId="0" borderId="28" xfId="85" applyNumberFormat="1" applyFont="1" applyBorder="1" applyAlignment="1">
      <alignment horizontal="left"/>
    </xf>
    <xf numFmtId="10" fontId="26" fillId="0" borderId="34" xfId="85" applyNumberFormat="1" applyFont="1" applyBorder="1" applyAlignment="1">
      <alignment horizontal="left" vertical="center"/>
    </xf>
    <xf numFmtId="0" fontId="29" fillId="0" borderId="0" xfId="85" applyFont="1"/>
    <xf numFmtId="0" fontId="138" fillId="0" borderId="0" xfId="85" applyFont="1" applyAlignment="1">
      <alignment vertical="center"/>
    </xf>
    <xf numFmtId="0" fontId="139" fillId="0" borderId="27" xfId="40" applyFont="1" applyBorder="1" applyAlignment="1">
      <alignment horizontal="center"/>
    </xf>
    <xf numFmtId="0" fontId="135" fillId="0" borderId="0" xfId="85" applyFont="1" applyAlignment="1">
      <alignment vertical="center"/>
    </xf>
    <xf numFmtId="0" fontId="147" fillId="0" borderId="0" xfId="85" applyFont="1" applyAlignment="1">
      <alignment vertical="center"/>
    </xf>
    <xf numFmtId="0" fontId="161" fillId="0" borderId="0" xfId="85" applyFont="1" applyAlignment="1">
      <alignment horizontal="left"/>
    </xf>
    <xf numFmtId="174" fontId="139" fillId="0" borderId="33" xfId="85" applyNumberFormat="1" applyFont="1" applyBorder="1"/>
    <xf numFmtId="0" fontId="157" fillId="0" borderId="27" xfId="85" applyFont="1" applyBorder="1"/>
    <xf numFmtId="0" fontId="157" fillId="0" borderId="0" xfId="85" applyFont="1"/>
    <xf numFmtId="174" fontId="107" fillId="0" borderId="28" xfId="85" applyNumberFormat="1" applyFont="1" applyBorder="1"/>
    <xf numFmtId="0" fontId="137" fillId="0" borderId="27" xfId="85" applyFont="1" applyBorder="1" applyAlignment="1">
      <alignment horizontal="left" indent="4"/>
    </xf>
    <xf numFmtId="0" fontId="26" fillId="0" borderId="34" xfId="85" applyFont="1" applyBorder="1" applyAlignment="1">
      <alignment vertical="center"/>
    </xf>
    <xf numFmtId="0" fontId="137" fillId="0" borderId="0" xfId="85" applyFont="1" applyAlignment="1">
      <alignment horizontal="center"/>
      <extLst>
        <ext xmlns:xfpb="http://schemas.microsoft.com/office/spreadsheetml/2022/featurepropertybag" uri="{C7286773-470A-42A8-94C5-96B5CB345126}">
          <xfpb:xfComplement i="0"/>
        </ext>
      </extLst>
    </xf>
    <xf numFmtId="0" fontId="137" fillId="0" borderId="0" xfId="85" applyFont="1" applyAlignment="1">
      <alignment horizontal="center"/>
    </xf>
    <xf numFmtId="168" fontId="135" fillId="0" borderId="0" xfId="86" applyNumberFormat="1" applyFont="1" applyBorder="1" applyAlignment="1">
      <alignment horizontal="center"/>
    </xf>
    <xf numFmtId="1" fontId="134" fillId="0" borderId="0" xfId="85" applyNumberFormat="1" applyFont="1" applyAlignment="1">
      <alignment horizontal="left" indent="3"/>
    </xf>
    <xf numFmtId="0" fontId="26" fillId="0" borderId="0" xfId="85" applyFont="1" applyAlignment="1">
      <alignment vertical="center"/>
    </xf>
    <xf numFmtId="0" fontId="162" fillId="0" borderId="0" xfId="85" applyFont="1" applyAlignment="1">
      <alignment horizontal="center" vertical="center"/>
    </xf>
    <xf numFmtId="0" fontId="163" fillId="0" borderId="34" xfId="85" applyFont="1" applyBorder="1" applyAlignment="1">
      <alignment vertical="center"/>
    </xf>
    <xf numFmtId="0" fontId="139" fillId="0" borderId="0" xfId="85" applyFont="1"/>
    <xf numFmtId="0" fontId="137" fillId="0" borderId="0" xfId="85" applyFont="1"/>
    <xf numFmtId="174" fontId="139" fillId="0" borderId="28" xfId="85" applyNumberFormat="1" applyFont="1" applyBorder="1"/>
    <xf numFmtId="0" fontId="137" fillId="0" borderId="31" xfId="85" applyFont="1" applyBorder="1" applyAlignment="1">
      <alignment horizontal="left" indent="3"/>
    </xf>
    <xf numFmtId="1" fontId="134" fillId="0" borderId="32" xfId="85" applyNumberFormat="1" applyFont="1" applyBorder="1" applyAlignment="1">
      <alignment horizontal="left" indent="3"/>
    </xf>
    <xf numFmtId="0" fontId="139" fillId="0" borderId="32" xfId="85" applyFont="1" applyBorder="1"/>
    <xf numFmtId="168" fontId="135" fillId="0" borderId="32" xfId="86" applyNumberFormat="1" applyFont="1" applyBorder="1"/>
    <xf numFmtId="0" fontId="137" fillId="0" borderId="32" xfId="85" applyFont="1" applyBorder="1" applyAlignment="1">
      <alignment horizontal="center"/>
    </xf>
    <xf numFmtId="168" fontId="135" fillId="0" borderId="32" xfId="86" applyNumberFormat="1" applyFont="1" applyBorder="1" applyAlignment="1">
      <alignment horizontal="center"/>
    </xf>
    <xf numFmtId="0" fontId="137" fillId="0" borderId="32" xfId="85" applyFont="1" applyBorder="1"/>
    <xf numFmtId="0" fontId="6" fillId="0" borderId="0" xfId="85" applyFont="1" applyAlignment="1">
      <alignment horizontal="left"/>
    </xf>
    <xf numFmtId="0" fontId="139" fillId="0" borderId="25" xfId="85" applyFont="1" applyBorder="1"/>
    <xf numFmtId="0" fontId="137" fillId="0" borderId="25" xfId="85" applyFont="1" applyBorder="1" applyAlignment="1">
      <alignment horizontal="center"/>
    </xf>
    <xf numFmtId="174" fontId="139" fillId="0" borderId="25" xfId="85" applyNumberFormat="1" applyFont="1" applyBorder="1"/>
    <xf numFmtId="0" fontId="139" fillId="0" borderId="0" xfId="85" applyFont="1" applyAlignment="1">
      <alignment horizontal="center"/>
    </xf>
    <xf numFmtId="174" fontId="139" fillId="0" borderId="0" xfId="85" applyNumberFormat="1" applyFont="1"/>
    <xf numFmtId="174" fontId="135" fillId="0" borderId="0" xfId="85" applyNumberFormat="1" applyFont="1"/>
    <xf numFmtId="49" fontId="137" fillId="21" borderId="0" xfId="85" applyNumberFormat="1" applyFont="1" applyFill="1" applyAlignment="1">
      <alignment horizontal="left"/>
    </xf>
    <xf numFmtId="6" fontId="108" fillId="0" borderId="0" xfId="76" applyNumberFormat="1" applyFont="1" applyBorder="1" applyAlignment="1">
      <alignment horizontal="right" vertical="center"/>
    </xf>
    <xf numFmtId="0" fontId="108" fillId="0" borderId="9" xfId="76" applyFont="1" applyBorder="1" applyAlignment="1">
      <alignment horizontal="left" vertical="center" indent="1"/>
    </xf>
    <xf numFmtId="171" fontId="108" fillId="0" borderId="9" xfId="76" applyNumberFormat="1" applyFont="1" applyBorder="1">
      <alignment vertical="center"/>
    </xf>
    <xf numFmtId="6" fontId="108" fillId="0" borderId="9" xfId="76" applyNumberFormat="1" applyFont="1" applyBorder="1" applyAlignment="1">
      <alignment horizontal="right" vertical="center"/>
    </xf>
    <xf numFmtId="172" fontId="108" fillId="0" borderId="9" xfId="76" applyNumberFormat="1" applyFont="1" applyFill="1" applyBorder="1" applyAlignment="1">
      <alignment horizontal="right" vertical="center"/>
    </xf>
    <xf numFmtId="0" fontId="137" fillId="0" borderId="0" xfId="76" applyFont="1" applyBorder="1" applyAlignment="1">
      <alignment horizontal="right" vertical="center"/>
    </xf>
    <xf numFmtId="171" fontId="137" fillId="0" borderId="0" xfId="76" applyNumberFormat="1" applyFont="1" applyBorder="1">
      <alignment vertical="center"/>
    </xf>
    <xf numFmtId="6" fontId="156" fillId="0" borderId="0" xfId="76" applyNumberFormat="1" applyFont="1" applyFill="1" applyBorder="1" applyAlignment="1"/>
    <xf numFmtId="172" fontId="137" fillId="0" borderId="0" xfId="76" applyNumberFormat="1" applyFont="1" applyFill="1" applyBorder="1" applyAlignment="1">
      <alignment horizontal="right" vertical="center"/>
    </xf>
    <xf numFmtId="0" fontId="107" fillId="22" borderId="0" xfId="85" applyFont="1" applyFill="1" applyAlignment="1">
      <alignment vertical="top" wrapText="1"/>
    </xf>
    <xf numFmtId="0" fontId="107" fillId="0" borderId="0" xfId="85" applyFont="1" applyAlignment="1">
      <alignment vertical="top" wrapText="1"/>
    </xf>
    <xf numFmtId="49" fontId="107" fillId="0" borderId="0" xfId="85" applyNumberFormat="1" applyFont="1" applyAlignment="1">
      <alignment vertical="top" wrapText="1"/>
    </xf>
    <xf numFmtId="14" fontId="107" fillId="0" borderId="0" xfId="85" applyNumberFormat="1" applyFont="1" applyAlignment="1">
      <alignment vertical="top" wrapText="1"/>
    </xf>
    <xf numFmtId="165" fontId="107" fillId="0" borderId="0" xfId="83" applyNumberFormat="1" applyFont="1" applyAlignment="1">
      <alignment vertical="top" wrapText="1"/>
    </xf>
    <xf numFmtId="168" fontId="107" fillId="0" borderId="0" xfId="86" applyNumberFormat="1" applyFont="1" applyAlignment="1">
      <alignment vertical="top" wrapText="1"/>
    </xf>
    <xf numFmtId="0" fontId="164" fillId="0" borderId="0" xfId="85" applyFont="1" applyAlignment="1">
      <alignment vertical="top"/>
    </xf>
    <xf numFmtId="1" fontId="134" fillId="0" borderId="0" xfId="85" applyNumberFormat="1" applyFont="1" applyAlignment="1">
      <alignment horizontal="left"/>
    </xf>
    <xf numFmtId="0" fontId="93" fillId="0" borderId="0" xfId="76" applyFont="1" applyBorder="1" applyAlignment="1">
      <alignment horizontal="left" vertical="center" indent="1"/>
    </xf>
    <xf numFmtId="0" fontId="100" fillId="0" borderId="0" xfId="77" applyFont="1" applyAlignment="1">
      <alignment horizontal="right" vertical="center" wrapText="1"/>
    </xf>
    <xf numFmtId="0" fontId="137" fillId="0" borderId="0" xfId="77" applyFont="1" applyAlignment="1">
      <alignment horizontal="right" vertical="center" wrapText="1"/>
    </xf>
    <xf numFmtId="0" fontId="137" fillId="0" borderId="0" xfId="77" applyFont="1" applyAlignment="1">
      <alignment horizontal="right" vertical="center"/>
    </xf>
    <xf numFmtId="6" fontId="137" fillId="0" borderId="0" xfId="76" applyNumberFormat="1" applyFont="1" applyBorder="1" applyAlignment="1">
      <alignment horizontal="right" vertical="center"/>
    </xf>
    <xf numFmtId="0" fontId="164" fillId="0" borderId="0" xfId="77" applyFont="1" applyAlignment="1">
      <alignment horizontal="left" vertical="center" indent="1"/>
    </xf>
    <xf numFmtId="0" fontId="92" fillId="0" borderId="0" xfId="76" applyBorder="1" applyAlignment="1">
      <alignment horizontal="right" vertical="center"/>
    </xf>
    <xf numFmtId="49" fontId="93" fillId="0" borderId="0" xfId="76" applyNumberFormat="1" applyFont="1" applyBorder="1" applyAlignment="1">
      <alignment horizontal="left" vertical="center"/>
    </xf>
    <xf numFmtId="0" fontId="100" fillId="0" borderId="0" xfId="76" applyFont="1" applyBorder="1" applyAlignment="1">
      <alignment horizontal="left" vertical="center"/>
    </xf>
    <xf numFmtId="0" fontId="93" fillId="0" borderId="0" xfId="76" applyFont="1" applyBorder="1" applyAlignment="1">
      <alignment horizontal="left" vertical="center"/>
    </xf>
    <xf numFmtId="0" fontId="116" fillId="0" borderId="0" xfId="40" applyFont="1" applyAlignment="1" applyProtection="1">
      <alignment horizontal="center"/>
      <protection locked="0"/>
    </xf>
    <xf numFmtId="0" fontId="116" fillId="20" borderId="0" xfId="40" applyFont="1" applyFill="1" applyAlignment="1" applyProtection="1">
      <alignment horizontal="center"/>
      <protection locked="0"/>
    </xf>
    <xf numFmtId="6" fontId="116" fillId="0" borderId="0" xfId="40" applyNumberFormat="1" applyFont="1" applyAlignment="1" applyProtection="1">
      <alignment horizontal="left"/>
      <protection locked="0"/>
    </xf>
    <xf numFmtId="0" fontId="117" fillId="0" borderId="0" xfId="40" applyFont="1" applyAlignment="1" applyProtection="1">
      <alignment horizontal="center"/>
      <protection locked="0"/>
    </xf>
    <xf numFmtId="2" fontId="116" fillId="0" borderId="0" xfId="40" applyNumberFormat="1" applyFont="1" applyAlignment="1" applyProtection="1">
      <alignment horizontal="left"/>
      <protection locked="0"/>
    </xf>
    <xf numFmtId="177" fontId="64" fillId="0" borderId="0" xfId="40" applyNumberFormat="1" applyFont="1" applyProtection="1">
      <protection locked="0"/>
    </xf>
    <xf numFmtId="0" fontId="28" fillId="0" borderId="0" xfId="40" applyFont="1" applyAlignment="1" applyProtection="1">
      <alignment horizontal="center"/>
      <protection locked="0"/>
    </xf>
    <xf numFmtId="40" fontId="64" fillId="0" borderId="0" xfId="40" applyNumberFormat="1" applyFont="1" applyAlignment="1" applyProtection="1">
      <alignment horizontal="right"/>
      <protection locked="0"/>
    </xf>
    <xf numFmtId="40" fontId="26" fillId="0" borderId="0" xfId="40" applyNumberFormat="1" applyFont="1" applyAlignment="1" applyProtection="1">
      <alignment horizontal="right"/>
      <protection locked="0"/>
    </xf>
    <xf numFmtId="0" fontId="64" fillId="0" borderId="0" xfId="0" applyFont="1"/>
    <xf numFmtId="4" fontId="26" fillId="0" borderId="0" xfId="40" applyNumberFormat="1" applyFont="1" applyAlignment="1" applyProtection="1">
      <alignment horizontal="right"/>
      <protection locked="0"/>
    </xf>
    <xf numFmtId="0" fontId="104" fillId="23" borderId="0" xfId="0" applyFont="1" applyFill="1"/>
    <xf numFmtId="0" fontId="104" fillId="0" borderId="0" xfId="0" applyFont="1" applyAlignment="1">
      <alignment horizontal="left"/>
    </xf>
    <xf numFmtId="8" fontId="75" fillId="0" borderId="0" xfId="40" applyNumberFormat="1" applyFont="1" applyProtection="1">
      <protection locked="0"/>
    </xf>
    <xf numFmtId="0" fontId="75" fillId="0" borderId="0" xfId="0" applyFont="1" applyProtection="1">
      <protection locked="0"/>
    </xf>
    <xf numFmtId="10" fontId="64" fillId="0" borderId="0" xfId="21" applyNumberFormat="1" applyFont="1" applyAlignment="1" applyProtection="1">
      <alignment horizontal="center"/>
      <protection locked="0"/>
    </xf>
    <xf numFmtId="0" fontId="117" fillId="0" borderId="0" xfId="40" applyFont="1" applyAlignment="1" applyProtection="1">
      <alignment horizontal="left" vertical="center"/>
      <protection locked="0"/>
    </xf>
    <xf numFmtId="8" fontId="116" fillId="0" borderId="0" xfId="40" applyNumberFormat="1" applyFont="1" applyAlignment="1" applyProtection="1">
      <alignment horizontal="left"/>
      <protection locked="0"/>
    </xf>
    <xf numFmtId="0" fontId="117" fillId="0" borderId="0" xfId="40" applyFont="1" applyAlignment="1" applyProtection="1">
      <alignment horizontal="left"/>
      <protection locked="0"/>
    </xf>
    <xf numFmtId="0" fontId="116" fillId="20" borderId="0" xfId="40" applyFont="1" applyFill="1" applyAlignment="1" applyProtection="1">
      <alignment horizontal="left"/>
      <protection locked="0"/>
    </xf>
    <xf numFmtId="0" fontId="75" fillId="0" borderId="0" xfId="0" applyFont="1"/>
    <xf numFmtId="0" fontId="107" fillId="0" borderId="0" xfId="77" applyFont="1" applyFill="1" applyAlignment="1">
      <alignment horizontal="left" vertical="center" indent="1"/>
    </xf>
    <xf numFmtId="10" fontId="26" fillId="0" borderId="0" xfId="32" applyNumberFormat="1" applyFont="1" applyFill="1"/>
    <xf numFmtId="5" fontId="26" fillId="0" borderId="0" xfId="0" applyNumberFormat="1" applyFont="1"/>
    <xf numFmtId="5" fontId="26" fillId="0" borderId="0" xfId="40" applyNumberFormat="1" applyFont="1" applyProtection="1">
      <protection locked="0"/>
    </xf>
    <xf numFmtId="171" fontId="26" fillId="0" borderId="0" xfId="40" applyNumberFormat="1" applyFont="1" applyProtection="1">
      <protection locked="0"/>
    </xf>
    <xf numFmtId="10" fontId="26" fillId="20" borderId="1" xfId="21" applyNumberFormat="1" applyFont="1" applyFill="1" applyBorder="1" applyAlignment="1" applyProtection="1">
      <alignment horizontal="center"/>
      <protection locked="0"/>
    </xf>
    <xf numFmtId="0" fontId="26" fillId="20" borderId="1" xfId="21" applyNumberFormat="1" applyFont="1" applyFill="1" applyBorder="1" applyAlignment="1" applyProtection="1">
      <alignment horizontal="center"/>
      <protection locked="0"/>
    </xf>
    <xf numFmtId="0" fontId="26" fillId="20" borderId="0" xfId="0" applyFont="1" applyFill="1"/>
    <xf numFmtId="0" fontId="117" fillId="0" borderId="0" xfId="40" applyFont="1" applyProtection="1">
      <protection locked="0"/>
    </xf>
    <xf numFmtId="0" fontId="117" fillId="0" borderId="17" xfId="41" applyFont="1" applyBorder="1" applyProtection="1">
      <protection locked="0"/>
    </xf>
    <xf numFmtId="0" fontId="117" fillId="0" borderId="3" xfId="40" applyFont="1" applyBorder="1" applyProtection="1">
      <protection locked="0"/>
    </xf>
    <xf numFmtId="0" fontId="117" fillId="0" borderId="3" xfId="40" applyFont="1" applyBorder="1" applyAlignment="1" applyProtection="1">
      <alignment horizontal="left"/>
      <protection locked="0"/>
    </xf>
    <xf numFmtId="43" fontId="117" fillId="0" borderId="3" xfId="40" applyNumberFormat="1" applyFont="1" applyBorder="1" applyProtection="1">
      <protection locked="0"/>
    </xf>
    <xf numFmtId="0" fontId="117" fillId="0" borderId="3" xfId="40" quotePrefix="1" applyFont="1" applyBorder="1" applyProtection="1">
      <protection locked="0"/>
    </xf>
    <xf numFmtId="2" fontId="26" fillId="0" borderId="0" xfId="40" applyNumberFormat="1" applyFont="1" applyAlignment="1" applyProtection="1">
      <alignment horizontal="left"/>
      <protection locked="0"/>
    </xf>
    <xf numFmtId="38" fontId="117" fillId="0" borderId="0" xfId="40" applyNumberFormat="1" applyFont="1" applyProtection="1">
      <protection locked="0"/>
    </xf>
    <xf numFmtId="1" fontId="117" fillId="0" borderId="0" xfId="40" applyNumberFormat="1" applyFont="1" applyAlignment="1" applyProtection="1">
      <alignment horizontal="left"/>
      <protection locked="0"/>
    </xf>
    <xf numFmtId="10" fontId="26" fillId="0" borderId="0" xfId="21" applyNumberFormat="1" applyFont="1" applyAlignment="1" applyProtection="1">
      <alignment horizontal="center"/>
      <protection locked="0"/>
    </xf>
    <xf numFmtId="0" fontId="26" fillId="20" borderId="0" xfId="40" applyFont="1" applyFill="1" applyProtection="1">
      <protection locked="0"/>
    </xf>
    <xf numFmtId="38" fontId="116" fillId="0" borderId="0" xfId="40" applyNumberFormat="1" applyFont="1" applyProtection="1">
      <protection locked="0"/>
    </xf>
    <xf numFmtId="0" fontId="118" fillId="23" borderId="0" xfId="0" applyFont="1" applyFill="1"/>
    <xf numFmtId="1" fontId="26" fillId="20" borderId="0" xfId="40" applyNumberFormat="1" applyFont="1" applyFill="1" applyProtection="1">
      <protection locked="0"/>
    </xf>
    <xf numFmtId="0" fontId="76" fillId="20" borderId="0" xfId="40" applyFont="1" applyFill="1" applyProtection="1">
      <protection locked="0"/>
    </xf>
    <xf numFmtId="9" fontId="26" fillId="20" borderId="0" xfId="21" applyFont="1" applyFill="1" applyProtection="1">
      <protection locked="0"/>
    </xf>
    <xf numFmtId="38" fontId="116" fillId="0" borderId="0" xfId="40" applyNumberFormat="1" applyFont="1" applyAlignment="1" applyProtection="1">
      <alignment horizontal="left"/>
      <protection locked="0"/>
    </xf>
    <xf numFmtId="177" fontId="116" fillId="0" borderId="0" xfId="40" applyNumberFormat="1" applyFont="1" applyProtection="1">
      <protection locked="0"/>
    </xf>
    <xf numFmtId="40" fontId="116" fillId="0" borderId="0" xfId="40" applyNumberFormat="1" applyFont="1" applyProtection="1">
      <protection locked="0"/>
    </xf>
    <xf numFmtId="0" fontId="107" fillId="0" borderId="0" xfId="77" quotePrefix="1" applyFont="1" applyFill="1" applyAlignment="1">
      <alignment horizontal="left" vertical="center" indent="1"/>
    </xf>
    <xf numFmtId="38" fontId="116" fillId="0" borderId="0" xfId="40" applyNumberFormat="1" applyFont="1" applyAlignment="1" applyProtection="1">
      <alignment horizontal="center"/>
      <protection locked="0"/>
    </xf>
    <xf numFmtId="44" fontId="116" fillId="0" borderId="0" xfId="87" applyFont="1" applyProtection="1">
      <protection locked="0"/>
    </xf>
    <xf numFmtId="0" fontId="116" fillId="0" borderId="0" xfId="0" applyFont="1" applyAlignment="1" applyProtection="1">
      <alignment horizontal="center"/>
      <protection locked="0"/>
    </xf>
    <xf numFmtId="9" fontId="164" fillId="0" borderId="0" xfId="21" applyFont="1" applyAlignment="1">
      <alignment horizontal="left" vertical="center" indent="1"/>
    </xf>
    <xf numFmtId="44" fontId="164" fillId="0" borderId="0" xfId="87" applyFont="1" applyAlignment="1">
      <alignment horizontal="left" vertical="center" indent="1"/>
    </xf>
    <xf numFmtId="0" fontId="76" fillId="0" borderId="0" xfId="40" applyFont="1" applyAlignment="1" applyProtection="1">
      <alignment horizontal="right"/>
      <protection locked="0"/>
    </xf>
    <xf numFmtId="8" fontId="64" fillId="0" borderId="0" xfId="40" applyNumberFormat="1" applyFont="1" applyProtection="1">
      <protection locked="0"/>
    </xf>
    <xf numFmtId="4" fontId="104" fillId="0" borderId="0" xfId="0" applyNumberFormat="1" applyFont="1"/>
    <xf numFmtId="3" fontId="104" fillId="0" borderId="0" xfId="0" applyNumberFormat="1" applyFont="1"/>
    <xf numFmtId="0" fontId="104" fillId="0" borderId="0" xfId="0" applyFont="1" applyAlignment="1">
      <alignment horizontal="left" indent="1"/>
    </xf>
    <xf numFmtId="4" fontId="106" fillId="0" borderId="0" xfId="0" applyNumberFormat="1" applyFont="1"/>
    <xf numFmtId="14" fontId="26" fillId="0" borderId="0" xfId="0" applyNumberFormat="1" applyFont="1"/>
    <xf numFmtId="2" fontId="26" fillId="0" borderId="0" xfId="0" applyNumberFormat="1" applyFont="1"/>
    <xf numFmtId="0" fontId="116" fillId="20" borderId="1" xfId="0" applyFont="1" applyFill="1" applyBorder="1" applyAlignment="1" applyProtection="1">
      <alignment horizontal="left"/>
      <protection locked="0"/>
    </xf>
    <xf numFmtId="10" fontId="27" fillId="20" borderId="0" xfId="0" applyNumberFormat="1" applyFont="1" applyFill="1"/>
    <xf numFmtId="6" fontId="64" fillId="0" borderId="0" xfId="0" applyNumberFormat="1" applyFont="1" applyProtection="1">
      <protection locked="0"/>
    </xf>
    <xf numFmtId="8" fontId="166" fillId="23" borderId="0" xfId="0" applyNumberFormat="1" applyFont="1" applyFill="1"/>
    <xf numFmtId="0" fontId="166" fillId="23" borderId="0" xfId="0" applyFont="1" applyFill="1"/>
    <xf numFmtId="0" fontId="138" fillId="23" borderId="0" xfId="0" applyFont="1" applyFill="1"/>
    <xf numFmtId="0" fontId="104" fillId="20" borderId="0" xfId="0" applyFont="1" applyFill="1"/>
    <xf numFmtId="38" fontId="106" fillId="20" borderId="0" xfId="0" applyNumberFormat="1" applyFont="1" applyFill="1"/>
    <xf numFmtId="165" fontId="107" fillId="0" borderId="0" xfId="77" applyNumberFormat="1" applyFont="1" applyFill="1" applyAlignment="1">
      <alignment horizontal="left" vertical="center" indent="1"/>
    </xf>
    <xf numFmtId="0" fontId="42" fillId="0" borderId="16" xfId="40" applyFont="1" applyBorder="1" applyAlignment="1">
      <alignment horizontal="center" vertical="center"/>
    </xf>
    <xf numFmtId="0" fontId="139" fillId="0" borderId="0" xfId="40" applyFont="1" applyAlignment="1">
      <alignment horizontal="left" indent="1"/>
    </xf>
    <xf numFmtId="0" fontId="42" fillId="0" borderId="29" xfId="40" applyFont="1" applyBorder="1" applyAlignment="1">
      <alignment horizontal="center" vertical="center"/>
    </xf>
    <xf numFmtId="0" fontId="42" fillId="0" borderId="30" xfId="40" applyFont="1" applyBorder="1" applyAlignment="1">
      <alignment horizontal="center" vertical="center"/>
    </xf>
    <xf numFmtId="0" fontId="137" fillId="0" borderId="0" xfId="85" applyFont="1" applyAlignment="1">
      <alignment horizontal="left"/>
    </xf>
    <xf numFmtId="0" fontId="114" fillId="0" borderId="0" xfId="79" applyAlignment="1">
      <alignment horizontal="left"/>
    </xf>
    <xf numFmtId="0" fontId="6" fillId="0" borderId="0" xfId="40" applyAlignment="1">
      <alignment horizontal="left"/>
    </xf>
    <xf numFmtId="171" fontId="137" fillId="21" borderId="0" xfId="1" applyNumberFormat="1" applyFont="1" applyFill="1" applyBorder="1" applyAlignment="1">
      <alignment horizontal="left"/>
    </xf>
    <xf numFmtId="176" fontId="137" fillId="21" borderId="0" xfId="85" applyNumberFormat="1" applyFont="1" applyFill="1" applyAlignment="1">
      <alignment horizontal="left"/>
    </xf>
    <xf numFmtId="1" fontId="134" fillId="0" borderId="0" xfId="85" applyNumberFormat="1" applyFont="1" applyAlignment="1">
      <alignment horizontal="left" indent="3"/>
    </xf>
    <xf numFmtId="0" fontId="133" fillId="0" borderId="0" xfId="40" applyFont="1" applyAlignment="1">
      <alignment horizontal="left" vertical="top" wrapText="1"/>
    </xf>
    <xf numFmtId="1" fontId="134" fillId="0" borderId="25" xfId="85" applyNumberFormat="1" applyFont="1" applyBorder="1" applyAlignment="1">
      <alignment horizontal="left" indent="3"/>
    </xf>
    <xf numFmtId="169" fontId="26" fillId="7" borderId="1" xfId="0" applyNumberFormat="1" applyFont="1" applyFill="1" applyBorder="1" applyAlignment="1">
      <alignment horizontal="center"/>
    </xf>
    <xf numFmtId="0" fontId="26" fillId="14" borderId="1" xfId="0" applyFont="1" applyFill="1" applyBorder="1" applyAlignment="1">
      <alignment horizontal="right"/>
    </xf>
    <xf numFmtId="49" fontId="64" fillId="4" borderId="18" xfId="0" applyNumberFormat="1" applyFont="1" applyFill="1" applyBorder="1" applyAlignment="1" applyProtection="1">
      <alignment horizontal="left"/>
      <protection locked="0"/>
    </xf>
    <xf numFmtId="49" fontId="26" fillId="4" borderId="18" xfId="0" applyNumberFormat="1" applyFont="1" applyFill="1" applyBorder="1" applyAlignment="1" applyProtection="1">
      <alignment horizontal="left"/>
      <protection locked="0"/>
    </xf>
    <xf numFmtId="0" fontId="27" fillId="3" borderId="4" xfId="0" applyFont="1" applyFill="1" applyBorder="1" applyAlignment="1">
      <alignment horizontal="left"/>
    </xf>
    <xf numFmtId="0" fontId="27" fillId="3" borderId="5" xfId="0" applyFont="1" applyFill="1" applyBorder="1" applyAlignment="1">
      <alignment horizontal="left"/>
    </xf>
    <xf numFmtId="0" fontId="27" fillId="3" borderId="7" xfId="0" applyFont="1" applyFill="1" applyBorder="1" applyAlignment="1">
      <alignment horizontal="left"/>
    </xf>
    <xf numFmtId="0" fontId="27" fillId="2" borderId="11" xfId="0" applyFont="1" applyFill="1" applyBorder="1" applyAlignment="1">
      <alignment horizontal="left"/>
    </xf>
    <xf numFmtId="0" fontId="27" fillId="2" borderId="0" xfId="0" applyFont="1" applyFill="1" applyAlignment="1">
      <alignment horizontal="left"/>
    </xf>
    <xf numFmtId="0" fontId="27" fillId="2" borderId="11" xfId="0" applyFont="1" applyFill="1" applyBorder="1" applyAlignment="1">
      <alignment horizontal="left" vertical="center"/>
    </xf>
    <xf numFmtId="0" fontId="27" fillId="2" borderId="0" xfId="0" applyFont="1" applyFill="1" applyAlignment="1">
      <alignment horizontal="left" vertical="center"/>
    </xf>
    <xf numFmtId="0" fontId="0" fillId="0" borderId="11" xfId="0" applyBorder="1" applyAlignment="1">
      <alignment horizontal="left" vertical="center"/>
    </xf>
    <xf numFmtId="0" fontId="0" fillId="0" borderId="0" xfId="0" applyAlignment="1">
      <alignment horizontal="left" vertical="center"/>
    </xf>
    <xf numFmtId="0" fontId="27" fillId="6" borderId="4" xfId="0" applyFont="1" applyFill="1" applyBorder="1" applyAlignment="1">
      <alignment horizontal="right"/>
    </xf>
    <xf numFmtId="0" fontId="27" fillId="6" borderId="5" xfId="0" applyFont="1" applyFill="1" applyBorder="1" applyAlignment="1">
      <alignment horizontal="right"/>
    </xf>
    <xf numFmtId="0" fontId="27" fillId="6" borderId="7" xfId="0" applyFont="1" applyFill="1" applyBorder="1" applyAlignment="1">
      <alignment horizontal="right"/>
    </xf>
    <xf numFmtId="0" fontId="26" fillId="4" borderId="4" xfId="0" applyFont="1" applyFill="1" applyBorder="1" applyAlignment="1" applyProtection="1">
      <alignment horizontal="right"/>
      <protection locked="0"/>
    </xf>
    <xf numFmtId="0" fontId="26" fillId="4" borderId="5" xfId="0" applyFont="1" applyFill="1" applyBorder="1" applyAlignment="1" applyProtection="1">
      <alignment horizontal="right"/>
      <protection locked="0"/>
    </xf>
    <xf numFmtId="0" fontId="26" fillId="4" borderId="7" xfId="0" applyFont="1" applyFill="1" applyBorder="1" applyAlignment="1" applyProtection="1">
      <alignment horizontal="right"/>
      <protection locked="0"/>
    </xf>
    <xf numFmtId="0" fontId="27" fillId="3" borderId="4" xfId="0" applyFont="1" applyFill="1" applyBorder="1" applyAlignment="1">
      <alignment horizontal="center"/>
    </xf>
    <xf numFmtId="0" fontId="27" fillId="3" borderId="7" xfId="0" applyFont="1" applyFill="1" applyBorder="1" applyAlignment="1">
      <alignment horizontal="center"/>
    </xf>
    <xf numFmtId="0" fontId="27" fillId="14" borderId="4" xfId="0" applyFont="1" applyFill="1" applyBorder="1" applyAlignment="1">
      <alignment horizontal="right"/>
    </xf>
    <xf numFmtId="0" fontId="27" fillId="14" borderId="5" xfId="0" applyFont="1" applyFill="1" applyBorder="1" applyAlignment="1">
      <alignment horizontal="right"/>
    </xf>
    <xf numFmtId="10" fontId="27" fillId="14" borderId="20" xfId="0" applyNumberFormat="1" applyFont="1" applyFill="1" applyBorder="1" applyAlignment="1">
      <alignment horizontal="center"/>
    </xf>
    <xf numFmtId="169" fontId="26" fillId="11" borderId="18" xfId="0" applyNumberFormat="1" applyFont="1" applyFill="1" applyBorder="1" applyAlignment="1" applyProtection="1">
      <alignment horizontal="center"/>
      <protection locked="0"/>
    </xf>
    <xf numFmtId="0" fontId="26" fillId="11" borderId="18" xfId="0" applyFont="1" applyFill="1" applyBorder="1" applyAlignment="1" applyProtection="1">
      <alignment horizontal="center"/>
      <protection locked="0"/>
    </xf>
    <xf numFmtId="10" fontId="26" fillId="11" borderId="1" xfId="21" applyNumberFormat="1" applyFont="1" applyFill="1" applyBorder="1" applyAlignment="1" applyProtection="1">
      <alignment horizontal="center"/>
      <protection locked="0"/>
    </xf>
    <xf numFmtId="169" fontId="27" fillId="14" borderId="1" xfId="0" applyNumberFormat="1" applyFont="1" applyFill="1" applyBorder="1" applyAlignment="1">
      <alignment horizontal="center"/>
    </xf>
    <xf numFmtId="0" fontId="26" fillId="8" borderId="8" xfId="0" applyFont="1" applyFill="1" applyBorder="1" applyAlignment="1">
      <alignment horizontal="left" vertical="top" wrapText="1"/>
    </xf>
    <xf numFmtId="0" fontId="26" fillId="8" borderId="9" xfId="0" applyFont="1" applyFill="1" applyBorder="1" applyAlignment="1">
      <alignment horizontal="left" vertical="top" wrapText="1"/>
    </xf>
    <xf numFmtId="0" fontId="26" fillId="8" borderId="10" xfId="0" applyFont="1" applyFill="1" applyBorder="1" applyAlignment="1">
      <alignment horizontal="left" vertical="top" wrapText="1"/>
    </xf>
    <xf numFmtId="0" fontId="26" fillId="8" borderId="11" xfId="0" applyFont="1" applyFill="1" applyBorder="1" applyAlignment="1">
      <alignment horizontal="left" vertical="top" wrapText="1"/>
    </xf>
    <xf numFmtId="0" fontId="26" fillId="8" borderId="0" xfId="0" applyFont="1" applyFill="1" applyAlignment="1">
      <alignment horizontal="left" vertical="top" wrapText="1"/>
    </xf>
    <xf numFmtId="0" fontId="26" fillId="8" borderId="12" xfId="0" applyFont="1" applyFill="1" applyBorder="1" applyAlignment="1">
      <alignment horizontal="left" vertical="top" wrapText="1"/>
    </xf>
    <xf numFmtId="0" fontId="26" fillId="8" borderId="13" xfId="0" applyFont="1" applyFill="1" applyBorder="1" applyAlignment="1">
      <alignment horizontal="left" vertical="top" wrapText="1"/>
    </xf>
    <xf numFmtId="0" fontId="26" fillId="8" borderId="14" xfId="0" applyFont="1" applyFill="1" applyBorder="1" applyAlignment="1">
      <alignment horizontal="left" vertical="top" wrapText="1"/>
    </xf>
    <xf numFmtId="0" fontId="26" fillId="8" borderId="15" xfId="0" applyFont="1" applyFill="1" applyBorder="1" applyAlignment="1">
      <alignment horizontal="left" vertical="top" wrapText="1"/>
    </xf>
    <xf numFmtId="0" fontId="27" fillId="7" borderId="1" xfId="0" applyFont="1" applyFill="1" applyBorder="1" applyAlignment="1">
      <alignment horizontal="center"/>
    </xf>
    <xf numFmtId="0" fontId="52" fillId="15" borderId="19" xfId="0" applyFont="1" applyFill="1" applyBorder="1" applyAlignment="1">
      <alignment horizontal="right"/>
    </xf>
    <xf numFmtId="0" fontId="53" fillId="15" borderId="19" xfId="0" applyFont="1" applyFill="1" applyBorder="1" applyAlignment="1">
      <alignment horizontal="right"/>
    </xf>
    <xf numFmtId="170" fontId="26" fillId="16" borderId="20" xfId="0" applyNumberFormat="1" applyFont="1" applyFill="1" applyBorder="1" applyAlignment="1" applyProtection="1">
      <alignment horizontal="center"/>
      <protection locked="0"/>
    </xf>
    <xf numFmtId="10" fontId="26" fillId="16" borderId="20" xfId="0" applyNumberFormat="1" applyFont="1" applyFill="1" applyBorder="1" applyAlignment="1" applyProtection="1">
      <alignment horizontal="center"/>
      <protection locked="0"/>
    </xf>
    <xf numFmtId="37" fontId="53" fillId="15" borderId="20" xfId="0" applyNumberFormat="1" applyFont="1" applyFill="1" applyBorder="1" applyAlignment="1">
      <alignment horizontal="center"/>
    </xf>
    <xf numFmtId="39" fontId="53" fillId="15" borderId="20" xfId="0" applyNumberFormat="1" applyFont="1" applyFill="1" applyBorder="1" applyAlignment="1">
      <alignment horizontal="center"/>
    </xf>
    <xf numFmtId="10" fontId="53" fillId="15" borderId="20" xfId="0" applyNumberFormat="1" applyFont="1" applyFill="1" applyBorder="1" applyAlignment="1">
      <alignment horizontal="center"/>
    </xf>
    <xf numFmtId="0" fontId="43" fillId="0" borderId="0" xfId="41" applyFont="1" applyAlignment="1" applyProtection="1">
      <alignment horizontal="left" vertical="top" wrapText="1"/>
      <protection locked="0"/>
    </xf>
    <xf numFmtId="0" fontId="0" fillId="0" borderId="0" xfId="0" applyAlignment="1">
      <alignment horizontal="left" vertical="top" wrapText="1"/>
    </xf>
    <xf numFmtId="0" fontId="43" fillId="0" borderId="0" xfId="41" applyFont="1" applyAlignment="1" applyProtection="1">
      <alignment vertical="top" wrapText="1"/>
      <protection locked="0"/>
    </xf>
    <xf numFmtId="0" fontId="0" fillId="0" borderId="0" xfId="0" applyAlignment="1">
      <alignment vertical="top" wrapText="1"/>
    </xf>
    <xf numFmtId="0" fontId="122" fillId="0" borderId="0" xfId="59" applyFont="1" applyAlignment="1">
      <alignment horizontal="left" vertical="center" wrapText="1"/>
    </xf>
    <xf numFmtId="0" fontId="37" fillId="0" borderId="0" xfId="41" applyFont="1" applyAlignment="1" applyProtection="1">
      <alignment vertical="top" wrapText="1"/>
      <protection locked="0"/>
    </xf>
    <xf numFmtId="0" fontId="42" fillId="0" borderId="16" xfId="41" applyFont="1" applyBorder="1" applyAlignment="1">
      <alignment horizontal="center" vertical="center"/>
    </xf>
    <xf numFmtId="0" fontId="5" fillId="0" borderId="16" xfId="59" applyBorder="1" applyAlignment="1">
      <alignment horizontal="center"/>
    </xf>
    <xf numFmtId="0" fontId="46" fillId="0" borderId="0" xfId="41" applyFont="1" applyAlignment="1" applyProtection="1">
      <alignment vertical="top" wrapText="1"/>
      <protection locked="0"/>
    </xf>
    <xf numFmtId="0" fontId="42" fillId="0" borderId="16" xfId="0" applyFont="1" applyBorder="1" applyAlignment="1">
      <alignment horizontal="center" vertical="center"/>
    </xf>
    <xf numFmtId="0" fontId="101" fillId="0" borderId="16" xfId="76" applyFont="1" applyBorder="1" applyAlignment="1">
      <alignment horizontal="center" vertical="center"/>
    </xf>
    <xf numFmtId="0" fontId="100" fillId="0" borderId="0" xfId="77" applyFont="1" applyAlignment="1">
      <alignment horizontal="center" vertical="center"/>
    </xf>
    <xf numFmtId="0" fontId="164" fillId="0" borderId="0" xfId="77" applyFont="1" applyAlignment="1">
      <alignment horizontal="left" vertical="center" indent="1"/>
    </xf>
    <xf numFmtId="0" fontId="100" fillId="0" borderId="0" xfId="77" applyFont="1" applyAlignment="1">
      <alignment horizontal="right" vertical="center"/>
    </xf>
  </cellXfs>
  <cellStyles count="88">
    <cellStyle name="Comma" xfId="1" builtinId="3"/>
    <cellStyle name="Comma 10" xfId="2" xr:uid="{00000000-0005-0000-0000-000001000000}"/>
    <cellStyle name="Comma 11" xfId="3" xr:uid="{00000000-0005-0000-0000-000002000000}"/>
    <cellStyle name="Comma 12" xfId="4" xr:uid="{00000000-0005-0000-0000-000003000000}"/>
    <cellStyle name="Comma 13" xfId="5" xr:uid="{00000000-0005-0000-0000-000004000000}"/>
    <cellStyle name="Comma 14" xfId="6" xr:uid="{00000000-0005-0000-0000-000005000000}"/>
    <cellStyle name="Comma 15" xfId="7" xr:uid="{00000000-0005-0000-0000-000006000000}"/>
    <cellStyle name="Comma 16" xfId="8" xr:uid="{00000000-0005-0000-0000-000007000000}"/>
    <cellStyle name="Comma 17" xfId="9" xr:uid="{00000000-0005-0000-0000-000008000000}"/>
    <cellStyle name="Comma 18" xfId="10" xr:uid="{00000000-0005-0000-0000-000009000000}"/>
    <cellStyle name="Comma 19" xfId="44" xr:uid="{1DAC14E2-9517-4B41-852F-801830F3CB54}"/>
    <cellStyle name="Comma 2" xfId="11" xr:uid="{00000000-0005-0000-0000-00000A000000}"/>
    <cellStyle name="Comma 2 2" xfId="12" xr:uid="{00000000-0005-0000-0000-00000B000000}"/>
    <cellStyle name="Comma 2 3" xfId="51" xr:uid="{FAC70380-4CE8-4575-8045-70441D26C8ED}"/>
    <cellStyle name="Comma 20" xfId="46" xr:uid="{950AF40D-C924-4DA0-BB4E-8888489FF19C}"/>
    <cellStyle name="Comma 21" xfId="48" xr:uid="{E1897708-9FCB-49E1-ADF1-8EA9BBC527C3}"/>
    <cellStyle name="Comma 22" xfId="50" xr:uid="{723D5741-3616-4ED1-B66D-C7ABD0A5D4E3}"/>
    <cellStyle name="Comma 23" xfId="54" xr:uid="{FAF517B3-6B17-4C11-9A21-FB63281E16FF}"/>
    <cellStyle name="Comma 24" xfId="56" xr:uid="{29971923-3C70-4CB8-83B6-FFF3F3354CE4}"/>
    <cellStyle name="Comma 25" xfId="58" xr:uid="{4EEB3FEF-5B82-4A65-A0BC-E4800D92552F}"/>
    <cellStyle name="Comma 26" xfId="61" xr:uid="{1B17AC01-27DA-4391-9D30-4AFAAA159969}"/>
    <cellStyle name="Comma 27" xfId="63" xr:uid="{A3553FA1-9A13-4C60-B6CF-DAA16B78CC29}"/>
    <cellStyle name="Comma 28" xfId="65" xr:uid="{928D96B4-BF09-4A6A-AD09-D1F7B85E133C}"/>
    <cellStyle name="Comma 29" xfId="67" xr:uid="{B383579D-E5DA-4AAA-944A-818E9598F142}"/>
    <cellStyle name="Comma 3" xfId="13" xr:uid="{00000000-0005-0000-0000-00000C000000}"/>
    <cellStyle name="Comma 30" xfId="69" xr:uid="{4A4F8DA5-8046-4502-AEBA-0045504824AD}"/>
    <cellStyle name="Comma 31" xfId="71" xr:uid="{0928EBB8-111F-4933-9F67-972A11F14A56}"/>
    <cellStyle name="Comma 32" xfId="73" xr:uid="{5E59FA20-67E1-4955-BD61-3242511D4127}"/>
    <cellStyle name="Comma 33" xfId="78" xr:uid="{1B54D448-CE8A-4AE8-99DD-9FB99D888F40}"/>
    <cellStyle name="Comma 34 2" xfId="84" xr:uid="{1187F71F-12D4-4021-9D85-6BFA133A0A8C}"/>
    <cellStyle name="Comma 34 2 2" xfId="86" xr:uid="{87E0183E-6674-43E4-80E3-CA66789F2C80}"/>
    <cellStyle name="Comma 4" xfId="14" xr:uid="{00000000-0005-0000-0000-00000D000000}"/>
    <cellStyle name="Comma 5" xfId="15" xr:uid="{00000000-0005-0000-0000-00000E000000}"/>
    <cellStyle name="Comma 6" xfId="16" xr:uid="{00000000-0005-0000-0000-00000F000000}"/>
    <cellStyle name="Comma 7" xfId="17" xr:uid="{00000000-0005-0000-0000-000010000000}"/>
    <cellStyle name="Comma 8" xfId="18" xr:uid="{00000000-0005-0000-0000-000011000000}"/>
    <cellStyle name="Comma 9" xfId="19" xr:uid="{00000000-0005-0000-0000-000012000000}"/>
    <cellStyle name="Currency" xfId="87" builtinId="4"/>
    <cellStyle name="Currency 2" xfId="83" xr:uid="{A33668CF-9A16-4531-9C08-1A7CF9107CDE}"/>
    <cellStyle name="Heading 1 2" xfId="75" xr:uid="{9CE60D54-2CA5-4BBB-9227-304312ED50EA}"/>
    <cellStyle name="Heading 3 2" xfId="77" xr:uid="{68F21125-3AA1-4ABA-87F1-68059B8EC280}"/>
    <cellStyle name="Hyperlink" xfId="79" builtinId="8"/>
    <cellStyle name="Normal" xfId="0" builtinId="0"/>
    <cellStyle name="Normal 2" xfId="40" xr:uid="{515ED585-DA2B-46E0-91C3-9D68BE2C5510}"/>
    <cellStyle name="Normal 3" xfId="52" xr:uid="{B9B980D1-F113-4F6D-AE3E-D0F98080BD46}"/>
    <cellStyle name="Normal 4" xfId="59" xr:uid="{AA1C8A0A-2D64-4E54-992F-1A0FFADB7E84}"/>
    <cellStyle name="Normal 4 4" xfId="20" xr:uid="{00000000-0005-0000-0000-000014000000}"/>
    <cellStyle name="Normal 4 4 2" xfId="41" xr:uid="{F45325ED-7BD8-4F38-B8FA-863F174D99C8}"/>
    <cellStyle name="Normal 5" xfId="74" xr:uid="{075D32EF-2169-4C11-9AEF-21043F6B8F2F}"/>
    <cellStyle name="Normal 6" xfId="76" xr:uid="{C45B984E-090B-47D5-AE94-C605ACF052D3}"/>
    <cellStyle name="Normal 7" xfId="80" xr:uid="{46469C8E-ECF8-4E38-BF8A-7471B5ADB188}"/>
    <cellStyle name="Normal 7 2" xfId="82" xr:uid="{ADEA599D-C336-4306-AC8E-9339A326C17D}"/>
    <cellStyle name="Normal 7 2 2" xfId="85" xr:uid="{1CD0FD5F-367C-4879-B2BE-C4E0B82C7E35}"/>
    <cellStyle name="Percent" xfId="21" builtinId="5"/>
    <cellStyle name="Percent 10" xfId="22" xr:uid="{00000000-0005-0000-0000-000016000000}"/>
    <cellStyle name="Percent 11" xfId="23" xr:uid="{00000000-0005-0000-0000-000017000000}"/>
    <cellStyle name="Percent 12" xfId="24" xr:uid="{00000000-0005-0000-0000-000018000000}"/>
    <cellStyle name="Percent 13" xfId="25" xr:uid="{00000000-0005-0000-0000-000019000000}"/>
    <cellStyle name="Percent 14" xfId="26" xr:uid="{00000000-0005-0000-0000-00001A000000}"/>
    <cellStyle name="Percent 15" xfId="27" xr:uid="{00000000-0005-0000-0000-00001B000000}"/>
    <cellStyle name="Percent 16" xfId="28" xr:uid="{00000000-0005-0000-0000-00001C000000}"/>
    <cellStyle name="Percent 17" xfId="29" xr:uid="{00000000-0005-0000-0000-00001D000000}"/>
    <cellStyle name="Percent 18" xfId="30" xr:uid="{00000000-0005-0000-0000-00001E000000}"/>
    <cellStyle name="Percent 19" xfId="43" xr:uid="{B48A2CEF-CB3D-4365-A0BD-C4FD7326D1AE}"/>
    <cellStyle name="Percent 2" xfId="31" xr:uid="{00000000-0005-0000-0000-00001F000000}"/>
    <cellStyle name="Percent 2 2" xfId="32" xr:uid="{00000000-0005-0000-0000-000020000000}"/>
    <cellStyle name="Percent 2 2 2" xfId="42" xr:uid="{62BB6F9E-3756-4641-BB70-44B9674635C7}"/>
    <cellStyle name="Percent 20" xfId="45" xr:uid="{E151A4FD-1994-44E5-86BB-CC36AE4B1A9B}"/>
    <cellStyle name="Percent 21" xfId="47" xr:uid="{059091C7-998E-4EA5-A439-BA0D33803C29}"/>
    <cellStyle name="Percent 22" xfId="49" xr:uid="{26B71B7F-A0F1-4676-BD00-E70D4EE10E00}"/>
    <cellStyle name="Percent 23" xfId="53" xr:uid="{F181CFC5-AF9A-45D1-AD03-022513EBC86A}"/>
    <cellStyle name="Percent 24" xfId="55" xr:uid="{7F768A98-B6A8-4BAF-B7A4-CA62865D9308}"/>
    <cellStyle name="Percent 25" xfId="57" xr:uid="{D4947C7C-A50D-4632-A211-195D1B6284C9}"/>
    <cellStyle name="Percent 26" xfId="60" xr:uid="{3A72BDEF-A89F-4B84-A703-C034BF334F6A}"/>
    <cellStyle name="Percent 27" xfId="62" xr:uid="{B5AF5AFF-7AE3-4A53-9BCA-15A8FD16C4B7}"/>
    <cellStyle name="Percent 28" xfId="64" xr:uid="{2BC5119A-7340-447F-AABA-0FA36FBF989F}"/>
    <cellStyle name="Percent 29" xfId="66" xr:uid="{C8597AD8-DE85-4F4B-A648-655A3687BAF5}"/>
    <cellStyle name="Percent 3" xfId="33" xr:uid="{00000000-0005-0000-0000-000021000000}"/>
    <cellStyle name="Percent 30" xfId="68" xr:uid="{999F0E0F-EE7C-4B0E-AAF8-2C6111339DDF}"/>
    <cellStyle name="Percent 31" xfId="70" xr:uid="{68B6914A-0C07-4F8A-AF5F-E967317B6213}"/>
    <cellStyle name="Percent 32" xfId="72" xr:uid="{1F78094C-14BD-4042-88F4-934ABA24FAFE}"/>
    <cellStyle name="Percent 33" xfId="81" xr:uid="{2EB4AEE1-927E-49E1-81F7-1D467775C1CC}"/>
    <cellStyle name="Percent 4" xfId="34" xr:uid="{00000000-0005-0000-0000-000022000000}"/>
    <cellStyle name="Percent 5" xfId="35" xr:uid="{00000000-0005-0000-0000-000023000000}"/>
    <cellStyle name="Percent 6" xfId="36" xr:uid="{00000000-0005-0000-0000-000024000000}"/>
    <cellStyle name="Percent 7" xfId="37" xr:uid="{00000000-0005-0000-0000-000025000000}"/>
    <cellStyle name="Percent 8" xfId="38" xr:uid="{00000000-0005-0000-0000-000026000000}"/>
    <cellStyle name="Percent 9" xfId="39" xr:uid="{00000000-0005-0000-0000-000027000000}"/>
  </cellStyles>
  <dxfs count="9">
    <dxf>
      <font>
        <b val="0"/>
        <i val="0"/>
        <strike val="0"/>
        <condense val="0"/>
        <extend val="0"/>
        <outline val="0"/>
        <shadow val="0"/>
        <u val="none"/>
        <vertAlign val="baseline"/>
        <sz val="10"/>
        <color theme="0"/>
        <name val="Arial"/>
        <family val="2"/>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family val="2"/>
        <scheme val="none"/>
      </font>
      <fill>
        <patternFill patternType="none">
          <fgColor theme="4" tint="0.59999389629810485"/>
          <bgColor auto="1"/>
        </patternFill>
      </fill>
      <alignment horizontal="left" vertical="bottom" textRotation="0" wrapText="0" indent="0" justifyLastLine="0" shrinkToFit="0" readingOrder="0"/>
    </dxf>
    <dxf>
      <font>
        <strike val="0"/>
        <outline val="0"/>
        <shadow val="0"/>
        <u val="none"/>
        <vertAlign val="baseline"/>
        <color auto="1"/>
        <family val="2"/>
      </font>
    </dxf>
    <dxf>
      <border outline="0">
        <top style="thick">
          <color theme="0"/>
        </top>
        <bottom style="thick">
          <color theme="0"/>
        </bottom>
      </border>
    </dxf>
    <dxf>
      <font>
        <b val="0"/>
        <i val="0"/>
        <strike val="0"/>
        <condense val="0"/>
        <extend val="0"/>
        <outline val="0"/>
        <shadow val="0"/>
        <u val="none"/>
        <vertAlign val="baseline"/>
        <sz val="10"/>
        <color auto="1"/>
        <name val="Arial"/>
        <family val="2"/>
        <scheme val="none"/>
      </font>
      <fill>
        <patternFill patternType="none">
          <fgColor theme="4" tint="0.59999389629810485"/>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theme="4" tint="0.59999389629810485"/>
          <bgColor auto="1"/>
        </patternFill>
      </fill>
      <alignment horizontal="left" vertical="bottom" textRotation="0" wrapText="0" indent="0" justifyLastLine="0" shrinkToFit="0" readingOrder="0"/>
    </dxf>
    <dxf>
      <font>
        <color rgb="FF92D050"/>
      </font>
    </dxf>
    <dxf>
      <font>
        <color rgb="FF92D050"/>
      </font>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00"/>
      <rgbColor rgb="00FFFF00"/>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5" Type="http://schemas.microsoft.com/office/2006/relationships/vbaProject" Target="vbaProject.bin"/><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microsoft.com/office/2023/09/relationships/Python" Target="python.xml"/><Relationship Id="rId5" Type="http://schemas.openxmlformats.org/officeDocument/2006/relationships/worksheet" Target="worksheets/sheet5.xml"/><Relationship Id="rId15" Type="http://schemas.microsoft.com/office/2022/10/relationships/richValueRel" Target="richData/richValueRel.xml"/><Relationship Id="rId23" Type="http://schemas.openxmlformats.org/officeDocument/2006/relationships/customXml" Target="../customXml/item3.xml"/><Relationship Id="rId10" Type="http://schemas.microsoft.com/office/2007/relationships/slicerCache" Target="slicerCaches/slicerCache1.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50" normalizeH="0" baseline="0">
                <a:solidFill>
                  <a:schemeClr val="tx1">
                    <a:lumMod val="65000"/>
                    <a:lumOff val="35000"/>
                  </a:schemeClr>
                </a:solidFill>
                <a:latin typeface="+mj-lt"/>
                <a:ea typeface="+mj-ea"/>
                <a:cs typeface="+mj-cs"/>
              </a:defRPr>
            </a:pPr>
            <a:r>
              <a:rPr lang="en-US" sz="1400">
                <a:latin typeface="+mn-lt"/>
              </a:rPr>
              <a:t>Budget</a:t>
            </a:r>
            <a:r>
              <a:rPr lang="en-US" sz="1400" baseline="0">
                <a:latin typeface="+mn-lt"/>
              </a:rPr>
              <a:t> v Estimate</a:t>
            </a:r>
            <a:endParaRPr lang="en-US" sz="1400">
              <a:latin typeface="+mn-lt"/>
            </a:endParaRPr>
          </a:p>
        </c:rich>
      </c:tx>
      <c:layout>
        <c:manualLayout>
          <c:xMode val="edge"/>
          <c:yMode val="edge"/>
          <c:x val="0.10639456353391046"/>
          <c:y val="5.1077709506587313E-2"/>
        </c:manualLayout>
      </c:layout>
      <c:overlay val="0"/>
      <c:spPr>
        <a:noFill/>
        <a:ln>
          <a:noFill/>
        </a:ln>
        <a:effectLst/>
      </c:spPr>
    </c:title>
    <c:autoTitleDeleted val="0"/>
    <c:plotArea>
      <c:layout>
        <c:manualLayout>
          <c:layoutTarget val="inner"/>
          <c:xMode val="edge"/>
          <c:yMode val="edge"/>
          <c:x val="4.7183764174560022E-2"/>
          <c:y val="0.21765488963494523"/>
          <c:w val="0.91015625736907346"/>
          <c:h val="0.692959118728527"/>
        </c:manualLayout>
      </c:layout>
      <c:barChart>
        <c:barDir val="col"/>
        <c:grouping val="clustered"/>
        <c:varyColors val="0"/>
        <c:ser>
          <c:idx val="0"/>
          <c:order val="0"/>
          <c:tx>
            <c:strRef>
              <c:f>'Project Info'!$D$32</c:f>
              <c:strCache>
                <c:ptCount val="1"/>
                <c:pt idx="0">
                  <c:v>Project Budget:</c:v>
                </c:pt>
              </c:strCache>
            </c:strRef>
          </c:tx>
          <c:spPr>
            <a:solidFill>
              <a:srgbClr val="4F81BD">
                <a:alpha val="70196"/>
              </a:srgbClr>
            </a:solidFill>
            <a:ln>
              <a:noFill/>
            </a:ln>
            <a:effectLst/>
          </c:spPr>
          <c:invertIfNegative val="1"/>
          <c:dLbls>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val>
            <c:numRef>
              <c:f>'Project Info'!$D$33:$D$34</c:f>
              <c:numCache>
                <c:formatCode>General</c:formatCode>
                <c:ptCount val="2"/>
                <c:pt idx="0" formatCode="&quot;$&quot;#,##0">
                  <c:v>9000000</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21A1-452C-AECC-2DA67DCEAEDB}"/>
            </c:ext>
          </c:extLst>
        </c:ser>
        <c:ser>
          <c:idx val="1"/>
          <c:order val="1"/>
          <c:tx>
            <c:strRef>
              <c:f>'Project Info'!$E$32</c:f>
              <c:strCache>
                <c:ptCount val="1"/>
                <c:pt idx="0">
                  <c:v>Project Estimate</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1">
                          <a:lumMod val="35000"/>
                          <a:lumOff val="65000"/>
                        </a:schemeClr>
                      </a:solidFill>
                    </a:ln>
                    <a:effectLst/>
                  </c:spPr>
                </c15:leaderLines>
              </c:ext>
            </c:extLst>
          </c:dLbls>
          <c:val>
            <c:numRef>
              <c:f>'Project Info'!$E$33:$E$34</c:f>
              <c:numCache>
                <c:formatCode>General</c:formatCode>
                <c:ptCount val="2"/>
                <c:pt idx="0" formatCode="&quot;$&quot;#,##0">
                  <c:v>13001496.722816197</c:v>
                </c:pt>
              </c:numCache>
            </c:numRef>
          </c:val>
          <c:extLst>
            <c:ext xmlns:c16="http://schemas.microsoft.com/office/drawing/2014/chart" uri="{C3380CC4-5D6E-409C-BE32-E72D297353CC}">
              <c16:uniqueId val="{00000001-21A1-452C-AECC-2DA67DCEAEDB}"/>
            </c:ext>
          </c:extLst>
        </c:ser>
        <c:dLbls>
          <c:showLegendKey val="0"/>
          <c:showVal val="0"/>
          <c:showCatName val="0"/>
          <c:showSerName val="0"/>
          <c:showPercent val="0"/>
          <c:showBubbleSize val="0"/>
        </c:dLbls>
        <c:gapWidth val="100"/>
        <c:overlap val="60"/>
        <c:axId val="881321792"/>
        <c:axId val="881322872"/>
      </c:barChart>
      <c:catAx>
        <c:axId val="881321792"/>
        <c:scaling>
          <c:orientation val="minMax"/>
        </c:scaling>
        <c:delete val="1"/>
        <c:axPos val="b"/>
        <c:numFmt formatCode="General" sourceLinked="1"/>
        <c:majorTickMark val="none"/>
        <c:minorTickMark val="none"/>
        <c:tickLblPos val="nextTo"/>
        <c:crossAx val="881322872"/>
        <c:crosses val="autoZero"/>
        <c:auto val="1"/>
        <c:lblAlgn val="ctr"/>
        <c:lblOffset val="100"/>
        <c:noMultiLvlLbl val="0"/>
      </c:catAx>
      <c:valAx>
        <c:axId val="881322872"/>
        <c:scaling>
          <c:orientation val="minMax"/>
        </c:scaling>
        <c:delete val="1"/>
        <c:axPos val="l"/>
        <c:numFmt formatCode="&quot;$&quot;#,##0" sourceLinked="1"/>
        <c:majorTickMark val="none"/>
        <c:minorTickMark val="none"/>
        <c:tickLblPos val="nextTo"/>
        <c:crossAx val="881321792"/>
        <c:crosses val="autoZero"/>
        <c:crossBetween val="between"/>
      </c:valAx>
    </c:plotArea>
    <c:plotVisOnly val="1"/>
    <c:dispBlanksAs val="gap"/>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5.5498320774419331E-2"/>
          <c:y val="6.4690008647973155E-2"/>
          <c:w val="0.3358424067959247"/>
          <c:h val="0.84186886774939895"/>
        </c:manualLayout>
      </c:layout>
      <c:doughnutChart>
        <c:varyColors val="1"/>
        <c:ser>
          <c:idx val="0"/>
          <c:order val="0"/>
          <c:spPr>
            <a:solidFill>
              <a:srgbClr val="5091CD"/>
            </a:solidFill>
          </c:spPr>
          <c:dPt>
            <c:idx val="1"/>
            <c:bubble3D val="0"/>
            <c:spPr>
              <a:solidFill>
                <a:srgbClr val="3983C7"/>
              </a:solidFill>
            </c:spPr>
            <c:extLst>
              <c:ext xmlns:c16="http://schemas.microsoft.com/office/drawing/2014/chart" uri="{C3380CC4-5D6E-409C-BE32-E72D297353CC}">
                <c16:uniqueId val="{00000001-C5A7-4D0F-98DB-A3DF2448B0D0}"/>
              </c:ext>
            </c:extLst>
          </c:dPt>
          <c:dPt>
            <c:idx val="2"/>
            <c:bubble3D val="0"/>
            <c:spPr>
              <a:solidFill>
                <a:srgbClr val="9AC0E2"/>
              </a:solidFill>
            </c:spPr>
            <c:extLst>
              <c:ext xmlns:c16="http://schemas.microsoft.com/office/drawing/2014/chart" uri="{C3380CC4-5D6E-409C-BE32-E72D297353CC}">
                <c16:uniqueId val="{00000003-C5A7-4D0F-98DB-A3DF2448B0D0}"/>
              </c:ext>
            </c:extLst>
          </c:dPt>
          <c:dPt>
            <c:idx val="3"/>
            <c:bubble3D val="0"/>
            <c:spPr>
              <a:solidFill>
                <a:srgbClr val="81B0DB"/>
              </a:solidFill>
            </c:spPr>
            <c:extLst>
              <c:ext xmlns:c16="http://schemas.microsoft.com/office/drawing/2014/chart" uri="{C3380CC4-5D6E-409C-BE32-E72D297353CC}">
                <c16:uniqueId val="{00000005-C5A7-4D0F-98DB-A3DF2448B0D0}"/>
              </c:ext>
            </c:extLst>
          </c:dPt>
          <c:dPt>
            <c:idx val="4"/>
            <c:bubble3D val="0"/>
            <c:spPr>
              <a:solidFill>
                <a:srgbClr val="70A5D6"/>
              </a:solidFill>
            </c:spPr>
            <c:extLst>
              <c:ext xmlns:c16="http://schemas.microsoft.com/office/drawing/2014/chart" uri="{C3380CC4-5D6E-409C-BE32-E72D297353CC}">
                <c16:uniqueId val="{00000007-C5A7-4D0F-98DB-A3DF2448B0D0}"/>
              </c:ext>
            </c:extLst>
          </c:dPt>
          <c:val>
            <c:numRef>
              <c:f>'Project Comparison'!#REF!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'Project Comparison'!#REF!</c15:sqref>
                        </c15:formulaRef>
                      </c:ext>
                    </c:extLst>
                  </c:multiLvlStrRef>
                </c15:cat>
              </c15:filteredCategoryTitle>
            </c:ext>
            <c:ext xmlns:c16="http://schemas.microsoft.com/office/drawing/2014/chart" uri="{C3380CC4-5D6E-409C-BE32-E72D297353CC}">
              <c16:uniqueId val="{00000008-C5A7-4D0F-98DB-A3DF2448B0D0}"/>
            </c:ext>
          </c:extLst>
        </c:ser>
        <c:dLbls>
          <c:showLegendKey val="0"/>
          <c:showVal val="0"/>
          <c:showCatName val="0"/>
          <c:showSerName val="0"/>
          <c:showPercent val="0"/>
          <c:showBubbleSize val="0"/>
          <c:showLeaderLines val="1"/>
        </c:dLbls>
        <c:firstSliceAng val="0"/>
        <c:holeSize val="42"/>
      </c:doughnutChart>
    </c:plotArea>
    <c:legend>
      <c:legendPos val="r"/>
      <c:layout>
        <c:manualLayout>
          <c:xMode val="edge"/>
          <c:yMode val="edge"/>
          <c:x val="0.4439716648322185"/>
          <c:y val="6.7771132069491674E-2"/>
          <c:w val="0.43273084412835489"/>
          <c:h val="0.86445773586101671"/>
        </c:manualLayout>
      </c:layout>
      <c:overlay val="0"/>
      <c:txPr>
        <a:bodyPr/>
        <a:lstStyle/>
        <a:p>
          <a:pPr>
            <a:defRPr sz="800">
              <a:solidFill>
                <a:schemeClr val="accent3"/>
              </a:solidFill>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List" dx="22" multiSel="6, 5" noThreeD="1" sel="5" seltype="multi" val="0">
  <itemLst>
    <item val="Benchmarking"/>
    <item val="Market Studies"/>
    <item val="Cost Modeling"/>
    <item val="Value Engineering"/>
    <item val="Cost Estimating"/>
    <item val="Variance Report"/>
    <item val="Dashboarding"/>
    <item val="Bid Analysis"/>
    <item val="Change Order Analysis"/>
  </itemLst>
</formControlPr>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png"/><Relationship Id="rId18" Type="http://schemas.openxmlformats.org/officeDocument/2006/relationships/image" Target="../media/image24.png"/><Relationship Id="rId26" Type="http://schemas.openxmlformats.org/officeDocument/2006/relationships/image" Target="../media/image32.svg"/><Relationship Id="rId3" Type="http://schemas.openxmlformats.org/officeDocument/2006/relationships/image" Target="../media/image9.png"/><Relationship Id="rId21" Type="http://schemas.openxmlformats.org/officeDocument/2006/relationships/image" Target="../media/image27.png"/><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image" Target="../media/image23.png"/><Relationship Id="rId25" Type="http://schemas.openxmlformats.org/officeDocument/2006/relationships/image" Target="../media/image31.png"/><Relationship Id="rId2" Type="http://schemas.openxmlformats.org/officeDocument/2006/relationships/image" Target="../media/image8.png"/><Relationship Id="rId16" Type="http://schemas.openxmlformats.org/officeDocument/2006/relationships/image" Target="../media/image22.png"/><Relationship Id="rId20" Type="http://schemas.openxmlformats.org/officeDocument/2006/relationships/image" Target="../media/image26.png"/><Relationship Id="rId1" Type="http://schemas.openxmlformats.org/officeDocument/2006/relationships/image" Target="../media/image7.jpeg"/><Relationship Id="rId6" Type="http://schemas.openxmlformats.org/officeDocument/2006/relationships/image" Target="../media/image12.png"/><Relationship Id="rId11" Type="http://schemas.openxmlformats.org/officeDocument/2006/relationships/image" Target="../media/image17.png"/><Relationship Id="rId24" Type="http://schemas.openxmlformats.org/officeDocument/2006/relationships/image" Target="../media/image30.png"/><Relationship Id="rId5" Type="http://schemas.openxmlformats.org/officeDocument/2006/relationships/image" Target="../media/image11.png"/><Relationship Id="rId15" Type="http://schemas.openxmlformats.org/officeDocument/2006/relationships/image" Target="../media/image21.png"/><Relationship Id="rId23" Type="http://schemas.openxmlformats.org/officeDocument/2006/relationships/image" Target="../media/image29.png"/><Relationship Id="rId10" Type="http://schemas.openxmlformats.org/officeDocument/2006/relationships/image" Target="../media/image16.png"/><Relationship Id="rId19" Type="http://schemas.openxmlformats.org/officeDocument/2006/relationships/image" Target="../media/image25.png"/><Relationship Id="rId4" Type="http://schemas.openxmlformats.org/officeDocument/2006/relationships/image" Target="../media/image10.jpeg"/><Relationship Id="rId9" Type="http://schemas.openxmlformats.org/officeDocument/2006/relationships/image" Target="../media/image15.png"/><Relationship Id="rId14" Type="http://schemas.openxmlformats.org/officeDocument/2006/relationships/image" Target="../media/image20.jpeg"/><Relationship Id="rId22" Type="http://schemas.openxmlformats.org/officeDocument/2006/relationships/image" Target="../media/image28.png"/></Relationships>
</file>

<file path=xl/drawings/_rels/drawing8.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33.png"/><Relationship Id="rId1" Type="http://schemas.openxmlformats.org/officeDocument/2006/relationships/chart" Target="../charts/chart2.xml"/><Relationship Id="rId5" Type="http://schemas.openxmlformats.org/officeDocument/2006/relationships/image" Target="../media/image32.svg"/><Relationship Id="rId4" Type="http://schemas.openxmlformats.org/officeDocument/2006/relationships/image" Target="../media/image3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57150</xdr:colOff>
          <xdr:row>6</xdr:row>
          <xdr:rowOff>76200</xdr:rowOff>
        </xdr:from>
        <xdr:to>
          <xdr:col>32</xdr:col>
          <xdr:colOff>1238250</xdr:colOff>
          <xdr:row>8</xdr:row>
          <xdr:rowOff>66675</xdr:rowOff>
        </xdr:to>
        <xdr:sp macro="" textlink="">
          <xdr:nvSpPr>
            <xdr:cNvPr id="1098753" name="Button 1" hidden="1">
              <a:extLst>
                <a:ext uri="{63B3BB69-23CF-44E3-9099-C40C66FF867C}">
                  <a14:compatExt spid="_x0000_s1098753"/>
                </a:ext>
                <a:ext uri="{FF2B5EF4-FFF2-40B4-BE49-F238E27FC236}">
                  <a16:creationId xmlns:a16="http://schemas.microsoft.com/office/drawing/2014/main" id="{00000000-0008-0000-0000-000001C4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Show/Hide SF</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37</xdr:col>
          <xdr:colOff>28575</xdr:colOff>
          <xdr:row>11</xdr:row>
          <xdr:rowOff>133350</xdr:rowOff>
        </xdr:from>
        <xdr:to>
          <xdr:col>37</xdr:col>
          <xdr:colOff>838200</xdr:colOff>
          <xdr:row>13</xdr:row>
          <xdr:rowOff>38100</xdr:rowOff>
        </xdr:to>
        <xdr:sp macro="" textlink="">
          <xdr:nvSpPr>
            <xdr:cNvPr id="1098754" name="Button 2" hidden="1">
              <a:extLst>
                <a:ext uri="{63B3BB69-23CF-44E3-9099-C40C66FF867C}">
                  <a14:compatExt spid="_x0000_s1098754"/>
                </a:ext>
                <a:ext uri="{FF2B5EF4-FFF2-40B4-BE49-F238E27FC236}">
                  <a16:creationId xmlns:a16="http://schemas.microsoft.com/office/drawing/2014/main" id="{00000000-0008-0000-0000-000002C4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238125</xdr:colOff>
          <xdr:row>736</xdr:row>
          <xdr:rowOff>95250</xdr:rowOff>
        </xdr:from>
        <xdr:to>
          <xdr:col>15</xdr:col>
          <xdr:colOff>1066800</xdr:colOff>
          <xdr:row>738</xdr:row>
          <xdr:rowOff>0</xdr:rowOff>
        </xdr:to>
        <xdr:sp macro="" textlink="">
          <xdr:nvSpPr>
            <xdr:cNvPr id="1098755" name="Button 3" hidden="1">
              <a:extLst>
                <a:ext uri="{63B3BB69-23CF-44E3-9099-C40C66FF867C}">
                  <a14:compatExt spid="_x0000_s1098755"/>
                </a:ext>
                <a:ext uri="{FF2B5EF4-FFF2-40B4-BE49-F238E27FC236}">
                  <a16:creationId xmlns:a16="http://schemas.microsoft.com/office/drawing/2014/main" id="{00000000-0008-0000-0000-000003C4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Summary</a:t>
              </a:r>
            </a:p>
          </xdr:txBody>
        </xdr:sp>
        <xdr:clientData fPrintsWithSheet="0"/>
      </xdr:twoCellAnchor>
    </mc:Choice>
    <mc:Fallback/>
  </mc:AlternateContent>
  <xdr:twoCellAnchor>
    <xdr:from>
      <xdr:col>1</xdr:col>
      <xdr:colOff>38100</xdr:colOff>
      <xdr:row>9</xdr:row>
      <xdr:rowOff>76200</xdr:rowOff>
    </xdr:from>
    <xdr:to>
      <xdr:col>1</xdr:col>
      <xdr:colOff>219075</xdr:colOff>
      <xdr:row>9</xdr:row>
      <xdr:rowOff>200025</xdr:rowOff>
    </xdr:to>
    <xdr:sp macro="Module12.arrowClick" textlink="">
      <xdr:nvSpPr>
        <xdr:cNvPr id="2" name="TopArrow">
          <a:extLst>
            <a:ext uri="{FF2B5EF4-FFF2-40B4-BE49-F238E27FC236}">
              <a16:creationId xmlns:a16="http://schemas.microsoft.com/office/drawing/2014/main" id="{00000000-0008-0000-0000-000002000000}"/>
            </a:ext>
          </a:extLst>
        </xdr:cNvPr>
        <xdr:cNvSpPr>
          <a:spLocks noChangeArrowheads="1"/>
        </xdr:cNvSpPr>
      </xdr:nvSpPr>
      <xdr:spPr bwMode="auto">
        <a:xfrm>
          <a:off x="38100" y="1476375"/>
          <a:ext cx="180975" cy="123825"/>
        </a:xfrm>
        <a:prstGeom prst="upArrow">
          <a:avLst>
            <a:gd name="adj1" fmla="val 50000"/>
            <a:gd name="adj2" fmla="val 50000"/>
          </a:avLst>
        </a:prstGeom>
        <a:solidFill>
          <a:srgbClr val="D9D9D9"/>
        </a:solidFill>
        <a:ln w="9525" algn="ctr">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6</xdr:col>
          <xdr:colOff>133350</xdr:colOff>
          <xdr:row>6</xdr:row>
          <xdr:rowOff>133350</xdr:rowOff>
        </xdr:from>
        <xdr:to>
          <xdr:col>7</xdr:col>
          <xdr:colOff>190500</xdr:colOff>
          <xdr:row>8</xdr:row>
          <xdr:rowOff>19050</xdr:rowOff>
        </xdr:to>
        <xdr:sp macro="" textlink="">
          <xdr:nvSpPr>
            <xdr:cNvPr id="1098756" name="SiteCheck" hidden="1">
              <a:extLst>
                <a:ext uri="{63B3BB69-23CF-44E3-9099-C40C66FF867C}">
                  <a14:compatExt spid="_x0000_s1098756"/>
                </a:ext>
                <a:ext uri="{FF2B5EF4-FFF2-40B4-BE49-F238E27FC236}">
                  <a16:creationId xmlns:a16="http://schemas.microsoft.com/office/drawing/2014/main" id="{00000000-0008-0000-0000-000004C4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1914525</xdr:colOff>
          <xdr:row>2</xdr:row>
          <xdr:rowOff>0</xdr:rowOff>
        </xdr:from>
        <xdr:to>
          <xdr:col>7</xdr:col>
          <xdr:colOff>2733675</xdr:colOff>
          <xdr:row>3</xdr:row>
          <xdr:rowOff>57150</xdr:rowOff>
        </xdr:to>
        <xdr:sp macro="" textlink="">
          <xdr:nvSpPr>
            <xdr:cNvPr id="1098757" name="Button 5" hidden="1">
              <a:extLst>
                <a:ext uri="{63B3BB69-23CF-44E3-9099-C40C66FF867C}">
                  <a14:compatExt spid="_x0000_s1098757"/>
                </a:ext>
                <a:ext uri="{FF2B5EF4-FFF2-40B4-BE49-F238E27FC236}">
                  <a16:creationId xmlns:a16="http://schemas.microsoft.com/office/drawing/2014/main" id="{00000000-0008-0000-0000-000005C4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Portrait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1914525</xdr:colOff>
          <xdr:row>3</xdr:row>
          <xdr:rowOff>114300</xdr:rowOff>
        </xdr:from>
        <xdr:to>
          <xdr:col>7</xdr:col>
          <xdr:colOff>2733675</xdr:colOff>
          <xdr:row>5</xdr:row>
          <xdr:rowOff>19050</xdr:rowOff>
        </xdr:to>
        <xdr:sp macro="" textlink="">
          <xdr:nvSpPr>
            <xdr:cNvPr id="1098758" name="Button 6" hidden="1">
              <a:extLst>
                <a:ext uri="{63B3BB69-23CF-44E3-9099-C40C66FF867C}">
                  <a14:compatExt spid="_x0000_s1098758"/>
                </a:ext>
                <a:ext uri="{FF2B5EF4-FFF2-40B4-BE49-F238E27FC236}">
                  <a16:creationId xmlns:a16="http://schemas.microsoft.com/office/drawing/2014/main" id="{00000000-0008-0000-0000-000006C4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Landscape</a:t>
              </a:r>
            </a:p>
          </xdr:txBody>
        </xdr:sp>
        <xdr:clientData fLocksWithSheet="0"/>
      </xdr:twoCellAnchor>
    </mc:Choice>
    <mc:Fallback/>
  </mc:AlternateContent>
  <xdr:twoCellAnchor>
    <xdr:from>
      <xdr:col>7</xdr:col>
      <xdr:colOff>1927860</xdr:colOff>
      <xdr:row>0</xdr:row>
      <xdr:rowOff>85726</xdr:rowOff>
    </xdr:from>
    <xdr:to>
      <xdr:col>7</xdr:col>
      <xdr:colOff>2204624</xdr:colOff>
      <xdr:row>2</xdr:row>
      <xdr:rowOff>1886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223260" y="85726"/>
          <a:ext cx="276764" cy="240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Page Layout</a:t>
          </a:r>
        </a:p>
      </xdr:txBody>
    </xdr:sp>
    <xdr:clientData/>
  </xdr:twoCellAnchor>
  <mc:AlternateContent xmlns:mc="http://schemas.openxmlformats.org/markup-compatibility/2006">
    <mc:Choice xmlns:a14="http://schemas.microsoft.com/office/drawing/2010/main" Requires="a14">
      <xdr:twoCellAnchor>
        <xdr:from>
          <xdr:col>8</xdr:col>
          <xdr:colOff>180975</xdr:colOff>
          <xdr:row>1</xdr:row>
          <xdr:rowOff>133350</xdr:rowOff>
        </xdr:from>
        <xdr:to>
          <xdr:col>9</xdr:col>
          <xdr:colOff>323850</xdr:colOff>
          <xdr:row>3</xdr:row>
          <xdr:rowOff>38100</xdr:rowOff>
        </xdr:to>
        <xdr:sp macro="" textlink="">
          <xdr:nvSpPr>
            <xdr:cNvPr id="1098759" name="MaterialCheck" hidden="1">
              <a:extLst>
                <a:ext uri="{63B3BB69-23CF-44E3-9099-C40C66FF867C}">
                  <a14:compatExt spid="_x0000_s1098759"/>
                </a:ext>
                <a:ext uri="{FF2B5EF4-FFF2-40B4-BE49-F238E27FC236}">
                  <a16:creationId xmlns:a16="http://schemas.microsoft.com/office/drawing/2014/main" id="{00000000-0008-0000-0000-000007C4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Material</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180975</xdr:colOff>
          <xdr:row>3</xdr:row>
          <xdr:rowOff>9525</xdr:rowOff>
        </xdr:from>
        <xdr:to>
          <xdr:col>9</xdr:col>
          <xdr:colOff>323850</xdr:colOff>
          <xdr:row>4</xdr:row>
          <xdr:rowOff>76200</xdr:rowOff>
        </xdr:to>
        <xdr:sp macro="" textlink="">
          <xdr:nvSpPr>
            <xdr:cNvPr id="1098760" name="LaborCheck" hidden="1">
              <a:extLst>
                <a:ext uri="{63B3BB69-23CF-44E3-9099-C40C66FF867C}">
                  <a14:compatExt spid="_x0000_s1098760"/>
                </a:ext>
                <a:ext uri="{FF2B5EF4-FFF2-40B4-BE49-F238E27FC236}">
                  <a16:creationId xmlns:a16="http://schemas.microsoft.com/office/drawing/2014/main" id="{00000000-0008-0000-0000-000008C4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Labor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180975</xdr:colOff>
          <xdr:row>4</xdr:row>
          <xdr:rowOff>57150</xdr:rowOff>
        </xdr:from>
        <xdr:to>
          <xdr:col>9</xdr:col>
          <xdr:colOff>323850</xdr:colOff>
          <xdr:row>5</xdr:row>
          <xdr:rowOff>123825</xdr:rowOff>
        </xdr:to>
        <xdr:sp macro="" textlink="">
          <xdr:nvSpPr>
            <xdr:cNvPr id="1098761" name="EquipmentCheck" hidden="1">
              <a:extLst>
                <a:ext uri="{63B3BB69-23CF-44E3-9099-C40C66FF867C}">
                  <a14:compatExt spid="_x0000_s1098761"/>
                </a:ext>
                <a:ext uri="{FF2B5EF4-FFF2-40B4-BE49-F238E27FC236}">
                  <a16:creationId xmlns:a16="http://schemas.microsoft.com/office/drawing/2014/main" id="{00000000-0008-0000-0000-000009C4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Equipment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180975</xdr:colOff>
          <xdr:row>5</xdr:row>
          <xdr:rowOff>95250</xdr:rowOff>
        </xdr:from>
        <xdr:to>
          <xdr:col>9</xdr:col>
          <xdr:colOff>323850</xdr:colOff>
          <xdr:row>7</xdr:row>
          <xdr:rowOff>0</xdr:rowOff>
        </xdr:to>
        <xdr:sp macro="" textlink="">
          <xdr:nvSpPr>
            <xdr:cNvPr id="1098762" name="OtherCheck" hidden="1">
              <a:extLst>
                <a:ext uri="{63B3BB69-23CF-44E3-9099-C40C66FF867C}">
                  <a14:compatExt spid="_x0000_s1098762"/>
                </a:ext>
                <a:ext uri="{FF2B5EF4-FFF2-40B4-BE49-F238E27FC236}">
                  <a16:creationId xmlns:a16="http://schemas.microsoft.com/office/drawing/2014/main" id="{00000000-0008-0000-0000-00000AC4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Other</a:t>
              </a:r>
            </a:p>
          </xdr:txBody>
        </xdr:sp>
        <xdr:clientData/>
      </xdr:twoCellAnchor>
    </mc:Choice>
    <mc:Fallback/>
  </mc:AlternateContent>
  <xdr:twoCellAnchor>
    <xdr:from>
      <xdr:col>8</xdr:col>
      <xdr:colOff>236220</xdr:colOff>
      <xdr:row>0</xdr:row>
      <xdr:rowOff>123824</xdr:rowOff>
    </xdr:from>
    <xdr:to>
      <xdr:col>9</xdr:col>
      <xdr:colOff>312358</xdr:colOff>
      <xdr:row>2</xdr:row>
      <xdr:rowOff>2528</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284345" y="123824"/>
          <a:ext cx="752413" cy="202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Show/Hide </a:t>
          </a:r>
        </a:p>
      </xdr:txBody>
    </xdr:sp>
    <xdr:clientData/>
  </xdr:twoCellAnchor>
  <mc:AlternateContent xmlns:mc="http://schemas.openxmlformats.org/markup-compatibility/2006">
    <mc:Choice xmlns:a14="http://schemas.microsoft.com/office/drawing/2010/main" Requires="a14">
      <xdr:twoCellAnchor>
        <xdr:from>
          <xdr:col>14</xdr:col>
          <xdr:colOff>95250</xdr:colOff>
          <xdr:row>1</xdr:row>
          <xdr:rowOff>161925</xdr:rowOff>
        </xdr:from>
        <xdr:to>
          <xdr:col>15</xdr:col>
          <xdr:colOff>19050</xdr:colOff>
          <xdr:row>3</xdr:row>
          <xdr:rowOff>57150</xdr:rowOff>
        </xdr:to>
        <xdr:sp macro="" textlink="">
          <xdr:nvSpPr>
            <xdr:cNvPr id="1098763" name="Button 11" hidden="1">
              <a:extLst>
                <a:ext uri="{63B3BB69-23CF-44E3-9099-C40C66FF867C}">
                  <a14:compatExt spid="_x0000_s1098763"/>
                </a:ext>
                <a:ext uri="{FF2B5EF4-FFF2-40B4-BE49-F238E27FC236}">
                  <a16:creationId xmlns:a16="http://schemas.microsoft.com/office/drawing/2014/main" id="{00000000-0008-0000-0000-00000BC4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3</xdr:row>
          <xdr:rowOff>104775</xdr:rowOff>
        </xdr:from>
        <xdr:to>
          <xdr:col>15</xdr:col>
          <xdr:colOff>19050</xdr:colOff>
          <xdr:row>5</xdr:row>
          <xdr:rowOff>9525</xdr:rowOff>
        </xdr:to>
        <xdr:sp macro="" textlink="">
          <xdr:nvSpPr>
            <xdr:cNvPr id="1098764" name="Button 12" hidden="1">
              <a:extLst>
                <a:ext uri="{63B3BB69-23CF-44E3-9099-C40C66FF867C}">
                  <a14:compatExt spid="_x0000_s1098764"/>
                </a:ext>
                <a:ext uri="{FF2B5EF4-FFF2-40B4-BE49-F238E27FC236}">
                  <a16:creationId xmlns:a16="http://schemas.microsoft.com/office/drawing/2014/main" id="{00000000-0008-0000-0000-00000CC4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Detail</a:t>
              </a:r>
            </a:p>
          </xdr:txBody>
        </xdr:sp>
        <xdr:clientData fPrintsWithSheet="0"/>
      </xdr:twoCellAnchor>
    </mc:Choice>
    <mc:Fallback/>
  </mc:AlternateContent>
  <xdr:twoCellAnchor>
    <xdr:from>
      <xdr:col>14</xdr:col>
      <xdr:colOff>91440</xdr:colOff>
      <xdr:row>0</xdr:row>
      <xdr:rowOff>85725</xdr:rowOff>
    </xdr:from>
    <xdr:to>
      <xdr:col>15</xdr:col>
      <xdr:colOff>32718</xdr:colOff>
      <xdr:row>2</xdr:row>
      <xdr:rowOff>2976</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5234940" y="85725"/>
          <a:ext cx="760428" cy="241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Jump</a:t>
          </a:r>
          <a:r>
            <a:rPr lang="en-US" sz="1000" b="0" baseline="0"/>
            <a:t> To</a:t>
          </a:r>
          <a:endParaRPr lang="en-US" sz="1000" b="0"/>
        </a:p>
      </xdr:txBody>
    </xdr:sp>
    <xdr:clientData/>
  </xdr:twoCellAnchor>
  <mc:AlternateContent xmlns:mc="http://schemas.openxmlformats.org/markup-compatibility/2006">
    <mc:Choice xmlns:a14="http://schemas.microsoft.com/office/drawing/2010/main" Requires="a14">
      <xdr:twoCellAnchor>
        <xdr:from>
          <xdr:col>7</xdr:col>
          <xdr:colOff>1914525</xdr:colOff>
          <xdr:row>6</xdr:row>
          <xdr:rowOff>114300</xdr:rowOff>
        </xdr:from>
        <xdr:to>
          <xdr:col>7</xdr:col>
          <xdr:colOff>2266950</xdr:colOff>
          <xdr:row>8</xdr:row>
          <xdr:rowOff>19050</xdr:rowOff>
        </xdr:to>
        <xdr:sp macro="" textlink="">
          <xdr:nvSpPr>
            <xdr:cNvPr id="1098765" name="Button 13" hidden="1">
              <a:extLst>
                <a:ext uri="{63B3BB69-23CF-44E3-9099-C40C66FF867C}">
                  <a14:compatExt spid="_x0000_s1098765"/>
                </a:ext>
                <a:ext uri="{FF2B5EF4-FFF2-40B4-BE49-F238E27FC236}">
                  <a16:creationId xmlns:a16="http://schemas.microsoft.com/office/drawing/2014/main" id="{00000000-0008-0000-0000-00000DC4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Run</a:t>
              </a:r>
            </a:p>
          </xdr:txBody>
        </xdr:sp>
        <xdr:clientData fLocksWithSheet="0"/>
      </xdr:twoCellAnchor>
    </mc:Choice>
    <mc:Fallback/>
  </mc:AlternateContent>
  <xdr:twoCellAnchor>
    <xdr:from>
      <xdr:col>7</xdr:col>
      <xdr:colOff>1885950</xdr:colOff>
      <xdr:row>5</xdr:row>
      <xdr:rowOff>34290</xdr:rowOff>
    </xdr:from>
    <xdr:to>
      <xdr:col>8</xdr:col>
      <xdr:colOff>386</xdr:colOff>
      <xdr:row>6</xdr:row>
      <xdr:rowOff>115388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3181350" y="843915"/>
          <a:ext cx="867161" cy="243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QC</a:t>
          </a:r>
          <a:r>
            <a:rPr lang="en-US" sz="1000" b="0" baseline="0"/>
            <a:t>/QA</a:t>
          </a:r>
          <a:endParaRPr lang="en-US" sz="1000" b="0"/>
        </a:p>
      </xdr:txBody>
    </xdr:sp>
    <xdr:clientData/>
  </xdr:twoCellAnchor>
  <mc:AlternateContent xmlns:mc="http://schemas.openxmlformats.org/markup-compatibility/2006">
    <mc:Choice xmlns:a14="http://schemas.microsoft.com/office/drawing/2010/main" Requires="a14">
      <xdr:twoCellAnchor>
        <xdr:from>
          <xdr:col>7</xdr:col>
          <xdr:colOff>2352675</xdr:colOff>
          <xdr:row>6</xdr:row>
          <xdr:rowOff>114300</xdr:rowOff>
        </xdr:from>
        <xdr:to>
          <xdr:col>7</xdr:col>
          <xdr:colOff>2714625</xdr:colOff>
          <xdr:row>8</xdr:row>
          <xdr:rowOff>19050</xdr:rowOff>
        </xdr:to>
        <xdr:sp macro="" textlink="">
          <xdr:nvSpPr>
            <xdr:cNvPr id="1098766" name="Button 14" hidden="1">
              <a:extLst>
                <a:ext uri="{63B3BB69-23CF-44E3-9099-C40C66FF867C}">
                  <a14:compatExt spid="_x0000_s1098766"/>
                </a:ext>
                <a:ext uri="{FF2B5EF4-FFF2-40B4-BE49-F238E27FC236}">
                  <a16:creationId xmlns:a16="http://schemas.microsoft.com/office/drawing/2014/main" id="{00000000-0008-0000-0000-00000EC4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Undo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15</xdr:col>
          <xdr:colOff>295275</xdr:colOff>
          <xdr:row>1</xdr:row>
          <xdr:rowOff>57150</xdr:rowOff>
        </xdr:from>
        <xdr:to>
          <xdr:col>16</xdr:col>
          <xdr:colOff>400050</xdr:colOff>
          <xdr:row>4</xdr:row>
          <xdr:rowOff>9525</xdr:rowOff>
        </xdr:to>
        <xdr:sp macro="" textlink="">
          <xdr:nvSpPr>
            <xdr:cNvPr id="1098767" name="Button 15" hidden="1">
              <a:extLst>
                <a:ext uri="{63B3BB69-23CF-44E3-9099-C40C66FF867C}">
                  <a14:compatExt spid="_x0000_s1098767"/>
                </a:ext>
                <a:ext uri="{FF2B5EF4-FFF2-40B4-BE49-F238E27FC236}">
                  <a16:creationId xmlns:a16="http://schemas.microsoft.com/office/drawing/2014/main" id="{00000000-0008-0000-0000-00000FC4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Control Quantities</a:t>
              </a:r>
            </a:p>
            <a:p>
              <a:pPr algn="ctr" rtl="0">
                <a:defRPr sz="1000"/>
              </a:pPr>
              <a:r>
                <a:rPr lang="en-US" sz="1000" b="0" i="1" u="none" strike="noStrike" baseline="0">
                  <a:solidFill>
                    <a:srgbClr val="000000"/>
                  </a:solidFill>
                  <a:latin typeface="Arial"/>
                  <a:cs typeface="Arial"/>
                </a:rPr>
                <a:t>ctrl - 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304800</xdr:colOff>
          <xdr:row>4</xdr:row>
          <xdr:rowOff>114300</xdr:rowOff>
        </xdr:from>
        <xdr:to>
          <xdr:col>16</xdr:col>
          <xdr:colOff>409575</xdr:colOff>
          <xdr:row>7</xdr:row>
          <xdr:rowOff>57150</xdr:rowOff>
        </xdr:to>
        <xdr:sp macro="" textlink="">
          <xdr:nvSpPr>
            <xdr:cNvPr id="1098768" name="Button 16" hidden="1">
              <a:extLst>
                <a:ext uri="{63B3BB69-23CF-44E3-9099-C40C66FF867C}">
                  <a14:compatExt spid="_x0000_s1098768"/>
                </a:ext>
                <a:ext uri="{FF2B5EF4-FFF2-40B4-BE49-F238E27FC236}">
                  <a16:creationId xmlns:a16="http://schemas.microsoft.com/office/drawing/2014/main" id="{00000000-0008-0000-0000-000010C4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Item Selector</a:t>
              </a:r>
            </a:p>
            <a:p>
              <a:pPr algn="ctr" rtl="0">
                <a:defRPr sz="1000"/>
              </a:pPr>
              <a:r>
                <a:rPr lang="en-US" sz="1000" b="0" i="1" u="none" strike="noStrike" baseline="0">
                  <a:solidFill>
                    <a:srgbClr val="000000"/>
                  </a:solidFill>
                  <a:latin typeface="Arial"/>
                  <a:cs typeface="Arial"/>
                </a:rPr>
                <a:t>ctrl - 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2</xdr:row>
          <xdr:rowOff>38100</xdr:rowOff>
        </xdr:from>
        <xdr:to>
          <xdr:col>32</xdr:col>
          <xdr:colOff>1504950</xdr:colOff>
          <xdr:row>3</xdr:row>
          <xdr:rowOff>123825</xdr:rowOff>
        </xdr:to>
        <xdr:sp macro="" textlink="">
          <xdr:nvSpPr>
            <xdr:cNvPr id="1098769" name="Button 17" hidden="1">
              <a:extLst>
                <a:ext uri="{63B3BB69-23CF-44E3-9099-C40C66FF867C}">
                  <a14:compatExt spid="_x0000_s1098769"/>
                </a:ext>
                <a:ext uri="{FF2B5EF4-FFF2-40B4-BE49-F238E27FC236}">
                  <a16:creationId xmlns:a16="http://schemas.microsoft.com/office/drawing/2014/main" id="{00000000-0008-0000-0000-000011C4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Hide unused sections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4</xdr:row>
          <xdr:rowOff>19050</xdr:rowOff>
        </xdr:from>
        <xdr:to>
          <xdr:col>32</xdr:col>
          <xdr:colOff>1504950</xdr:colOff>
          <xdr:row>5</xdr:row>
          <xdr:rowOff>114300</xdr:rowOff>
        </xdr:to>
        <xdr:sp macro="" textlink="">
          <xdr:nvSpPr>
            <xdr:cNvPr id="1098770" name="Button 18" hidden="1">
              <a:extLst>
                <a:ext uri="{63B3BB69-23CF-44E3-9099-C40C66FF867C}">
                  <a14:compatExt spid="_x0000_s1098770"/>
                </a:ext>
                <a:ext uri="{FF2B5EF4-FFF2-40B4-BE49-F238E27FC236}">
                  <a16:creationId xmlns:a16="http://schemas.microsoft.com/office/drawing/2014/main" id="{00000000-0008-0000-0000-000012C4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sections</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25304</xdr:colOff>
      <xdr:row>2</xdr:row>
      <xdr:rowOff>14043</xdr:rowOff>
    </xdr:from>
    <xdr:ext cx="530321" cy="460081"/>
    <xdr:pic>
      <xdr:nvPicPr>
        <xdr:cNvPr id="2" name="OCMI Logo">
          <a:extLst>
            <a:ext uri="{FF2B5EF4-FFF2-40B4-BE49-F238E27FC236}">
              <a16:creationId xmlns:a16="http://schemas.microsoft.com/office/drawing/2014/main" id="{0AB17428-6C20-4329-AFA6-8E0EA1CCF5AC}"/>
            </a:ext>
          </a:extLst>
        </xdr:cNvPr>
        <xdr:cNvPicPr>
          <a:picLocks noChangeAspect="1"/>
        </xdr:cNvPicPr>
      </xdr:nvPicPr>
      <xdr:blipFill>
        <a:blip xmlns:r="http://schemas.openxmlformats.org/officeDocument/2006/relationships" r:embed="rId1"/>
        <a:stretch>
          <a:fillRect/>
        </a:stretch>
      </xdr:blipFill>
      <xdr:spPr>
        <a:xfrm>
          <a:off x="2654204" y="699843"/>
          <a:ext cx="530321" cy="460081"/>
        </a:xfrm>
        <a:prstGeom prst="rect">
          <a:avLst/>
        </a:prstGeom>
      </xdr:spPr>
    </xdr:pic>
    <xdr:clientData/>
  </xdr:oneCellAnchor>
  <xdr:twoCellAnchor>
    <xdr:from>
      <xdr:col>12</xdr:col>
      <xdr:colOff>25803</xdr:colOff>
      <xdr:row>9</xdr:row>
      <xdr:rowOff>173935</xdr:rowOff>
    </xdr:from>
    <xdr:to>
      <xdr:col>20</xdr:col>
      <xdr:colOff>570863</xdr:colOff>
      <xdr:row>25</xdr:row>
      <xdr:rowOff>124239</xdr:rowOff>
    </xdr:to>
    <xdr:sp macro="" textlink="">
      <xdr:nvSpPr>
        <xdr:cNvPr id="3" name="Project Scope">
          <a:extLst>
            <a:ext uri="{FF2B5EF4-FFF2-40B4-BE49-F238E27FC236}">
              <a16:creationId xmlns:a16="http://schemas.microsoft.com/office/drawing/2014/main" id="{4703F5A5-9A09-426A-9761-5EF9DD91D285}"/>
            </a:ext>
          </a:extLst>
        </xdr:cNvPr>
        <xdr:cNvSpPr txBox="1"/>
      </xdr:nvSpPr>
      <xdr:spPr>
        <a:xfrm>
          <a:off x="10731903" y="1897960"/>
          <a:ext cx="6945860" cy="29983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171450" indent="-171450">
            <a:buFont typeface="Wingdings" panose="05000000000000000000" pitchFamily="2" charset="2"/>
            <a:buChar char="ü"/>
          </a:pPr>
          <a:r>
            <a:rPr lang="en-US" sz="1000">
              <a:latin typeface="+mn-lt"/>
            </a:rPr>
            <a:t>Demolition and replacement of the entire building envelope</a:t>
          </a:r>
          <a:endParaRPr lang="en-US" sz="1000">
            <a:effectLst/>
            <a:latin typeface="+mn-lt"/>
          </a:endParaRPr>
        </a:p>
        <a:p>
          <a:pPr marL="171450" indent="-171450">
            <a:buFont typeface="Wingdings" panose="05000000000000000000" pitchFamily="2" charset="2"/>
            <a:buChar char="ü"/>
          </a:pPr>
          <a:r>
            <a:rPr lang="en-US" sz="1000">
              <a:solidFill>
                <a:schemeClr val="dk1"/>
              </a:solidFill>
              <a:effectLst/>
              <a:latin typeface="+mn-lt"/>
              <a:ea typeface="+mn-ea"/>
              <a:cs typeface="+mn-cs"/>
            </a:rPr>
            <a:t>Structural steel framing to remain intact</a:t>
          </a:r>
          <a:endParaRPr lang="en-US" sz="1000" baseline="0">
            <a:solidFill>
              <a:schemeClr val="dk1"/>
            </a:solidFill>
            <a:effectLst/>
            <a:latin typeface="+mn-lt"/>
            <a:ea typeface="+mn-ea"/>
            <a:cs typeface="+mn-cs"/>
          </a:endParaRPr>
        </a:p>
        <a:p>
          <a:pPr marL="171450" indent="-171450">
            <a:buFont typeface="Wingdings" panose="05000000000000000000" pitchFamily="2" charset="2"/>
            <a:buChar char="ü"/>
          </a:pPr>
          <a:r>
            <a:rPr lang="en-US" sz="1000">
              <a:solidFill>
                <a:schemeClr val="dk1"/>
              </a:solidFill>
              <a:effectLst/>
              <a:latin typeface="+mn-lt"/>
              <a:ea typeface="+mn-ea"/>
              <a:cs typeface="+mn-cs"/>
            </a:rPr>
            <a:t>Renovation and partial finish-out of approximately 26,000 SF of municipal office space</a:t>
          </a:r>
        </a:p>
        <a:p>
          <a:pPr marL="171450" indent="-171450">
            <a:buFont typeface="Wingdings" panose="05000000000000000000" pitchFamily="2" charset="2"/>
            <a:buChar char="ü"/>
          </a:pPr>
          <a:r>
            <a:rPr lang="en-US" sz="1000">
              <a:solidFill>
                <a:schemeClr val="dk1"/>
              </a:solidFill>
              <a:effectLst/>
              <a:latin typeface="+mn-lt"/>
              <a:ea typeface="+mn-ea"/>
              <a:cs typeface="+mn-cs"/>
            </a:rPr>
            <a:t>Minimal MEP scope in basement (look at GFA QTY's)</a:t>
          </a:r>
        </a:p>
        <a:p>
          <a:pPr marL="628650" lvl="1" indent="-171450">
            <a:buFont typeface="Arial" panose="020B0604020202020204" pitchFamily="34" charset="0"/>
            <a:buChar char="•"/>
          </a:pPr>
          <a:r>
            <a:rPr lang="en-US" sz="1000">
              <a:solidFill>
                <a:schemeClr val="dk1"/>
              </a:solidFill>
              <a:effectLst/>
              <a:latin typeface="+mn-lt"/>
              <a:ea typeface="+mn-ea"/>
              <a:cs typeface="+mn-cs"/>
            </a:rPr>
            <a:t>Lighting,</a:t>
          </a:r>
          <a:r>
            <a:rPr lang="en-US" sz="1000" baseline="0">
              <a:solidFill>
                <a:schemeClr val="dk1"/>
              </a:solidFill>
              <a:effectLst/>
              <a:latin typeface="+mn-lt"/>
              <a:ea typeface="+mn-ea"/>
              <a:cs typeface="+mn-cs"/>
            </a:rPr>
            <a:t> floor drains</a:t>
          </a:r>
          <a:endParaRPr lang="en-US" sz="1000">
            <a:solidFill>
              <a:schemeClr val="dk1"/>
            </a:solidFill>
            <a:effectLst/>
            <a:latin typeface="+mn-lt"/>
            <a:ea typeface="+mn-ea"/>
            <a:cs typeface="+mn-cs"/>
          </a:endParaRPr>
        </a:p>
        <a:p>
          <a:pPr marL="171450" indent="-171450">
            <a:buFont typeface="Wingdings" panose="05000000000000000000" pitchFamily="2" charset="2"/>
            <a:buChar char="ü"/>
          </a:pPr>
          <a:endParaRPr lang="en-US" sz="1000">
            <a:effectLst/>
            <a:latin typeface="+mn-lt"/>
          </a:endParaRPr>
        </a:p>
        <a:p>
          <a:pPr marL="171450" indent="-171450">
            <a:buFont typeface="Wingdings" panose="05000000000000000000" pitchFamily="2" charset="2"/>
            <a:buChar char="ü"/>
          </a:pPr>
          <a:endParaRPr lang="en-US" sz="1000">
            <a:solidFill>
              <a:schemeClr val="tx1">
                <a:lumMod val="85000"/>
                <a:lumOff val="15000"/>
              </a:schemeClr>
            </a:solidFill>
          </a:endParaRPr>
        </a:p>
        <a:p>
          <a:endParaRPr lang="en-US" sz="1000">
            <a:solidFill>
              <a:schemeClr val="tx1">
                <a:lumMod val="85000"/>
                <a:lumOff val="15000"/>
              </a:schemeClr>
            </a:solidFill>
          </a:endParaRPr>
        </a:p>
      </xdr:txBody>
    </xdr:sp>
    <xdr:clientData/>
  </xdr:twoCellAnchor>
  <xdr:twoCellAnchor>
    <xdr:from>
      <xdr:col>3</xdr:col>
      <xdr:colOff>265044</xdr:colOff>
      <xdr:row>27</xdr:row>
      <xdr:rowOff>85241</xdr:rowOff>
    </xdr:from>
    <xdr:to>
      <xdr:col>7</xdr:col>
      <xdr:colOff>422414</xdr:colOff>
      <xdr:row>37</xdr:row>
      <xdr:rowOff>169367</xdr:rowOff>
    </xdr:to>
    <xdr:graphicFrame macro="">
      <xdr:nvGraphicFramePr>
        <xdr:cNvPr id="4" name="Budget v Estimate Chart">
          <a:extLst>
            <a:ext uri="{FF2B5EF4-FFF2-40B4-BE49-F238E27FC236}">
              <a16:creationId xmlns:a16="http://schemas.microsoft.com/office/drawing/2014/main" id="{2B4AB8C5-745A-427A-AFE0-51E40983F2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xdr:from>
      <xdr:col>3</xdr:col>
      <xdr:colOff>413</xdr:colOff>
      <xdr:row>0</xdr:row>
      <xdr:rowOff>34786</xdr:rowOff>
    </xdr:from>
    <xdr:to>
      <xdr:col>21</xdr:col>
      <xdr:colOff>8282</xdr:colOff>
      <xdr:row>2</xdr:row>
      <xdr:rowOff>0</xdr:rowOff>
    </xdr:to>
    <mc:AlternateContent xmlns:mc="http://schemas.openxmlformats.org/markup-compatibility/2006" xmlns:sle15="http://schemas.microsoft.com/office/drawing/2012/slicer">
      <mc:Choice Requires="sle15">
        <xdr:graphicFrame macro="">
          <xdr:nvGraphicFramePr>
            <xdr:cNvPr id="6" name="Filter">
              <a:extLst>
                <a:ext uri="{FF2B5EF4-FFF2-40B4-BE49-F238E27FC236}">
                  <a16:creationId xmlns:a16="http://schemas.microsoft.com/office/drawing/2014/main" id="{6228D4B3-BBB8-B322-DC4F-DEB7FF93920F}"/>
                </a:ext>
              </a:extLst>
            </xdr:cNvPr>
            <xdr:cNvGraphicFramePr/>
          </xdr:nvGraphicFramePr>
          <xdr:xfrm>
            <a:off x="0" y="0"/>
            <a:ext cx="0" cy="0"/>
          </xdr:xfrm>
          <a:graphic>
            <a:graphicData uri="http://schemas.microsoft.com/office/drawing/2010/slicer">
              <sle:slicer xmlns:sle="http://schemas.microsoft.com/office/drawing/2010/slicer" name="Filter"/>
            </a:graphicData>
          </a:graphic>
        </xdr:graphicFrame>
      </mc:Choice>
      <mc:Fallback xmlns="">
        <xdr:sp macro="" textlink="">
          <xdr:nvSpPr>
            <xdr:cNvPr id="0" name=""/>
            <xdr:cNvSpPr>
              <a:spLocks noTextEdit="1"/>
            </xdr:cNvSpPr>
          </xdr:nvSpPr>
          <xdr:spPr>
            <a:xfrm>
              <a:off x="2634283" y="34786"/>
              <a:ext cx="15338977" cy="65267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12</xdr:col>
      <xdr:colOff>85013</xdr:colOff>
      <xdr:row>22</xdr:row>
      <xdr:rowOff>115957</xdr:rowOff>
    </xdr:from>
    <xdr:to>
      <xdr:col>19</xdr:col>
      <xdr:colOff>762000</xdr:colOff>
      <xdr:row>37</xdr:row>
      <xdr:rowOff>148032</xdr:rowOff>
    </xdr:to>
    <xdr:pic>
      <xdr:nvPicPr>
        <xdr:cNvPr id="7" name="Picture 6">
          <a:extLst>
            <a:ext uri="{FF2B5EF4-FFF2-40B4-BE49-F238E27FC236}">
              <a16:creationId xmlns:a16="http://schemas.microsoft.com/office/drawing/2014/main" id="{5C6F0914-5E38-39B4-B541-BC1DA8A179D0}"/>
            </a:ext>
          </a:extLst>
        </xdr:cNvPr>
        <xdr:cNvPicPr>
          <a:picLocks noChangeAspect="1"/>
        </xdr:cNvPicPr>
      </xdr:nvPicPr>
      <xdr:blipFill>
        <a:blip xmlns:r="http://schemas.openxmlformats.org/officeDocument/2006/relationships" r:embed="rId3"/>
        <a:stretch>
          <a:fillRect/>
        </a:stretch>
      </xdr:blipFill>
      <xdr:spPr>
        <a:xfrm>
          <a:off x="10819274" y="4323522"/>
          <a:ext cx="6300878" cy="2889575"/>
        </a:xfrm>
        <a:prstGeom prst="rect">
          <a:avLst/>
        </a:prstGeom>
      </xdr:spPr>
    </xdr:pic>
    <xdr:clientData fLocksWithSheet="0"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16</xdr:row>
          <xdr:rowOff>19050</xdr:rowOff>
        </xdr:from>
        <xdr:to>
          <xdr:col>7</xdr:col>
          <xdr:colOff>485775</xdr:colOff>
          <xdr:row>16</xdr:row>
          <xdr:rowOff>133350</xdr:rowOff>
        </xdr:to>
        <xdr:sp macro="" textlink="">
          <xdr:nvSpPr>
            <xdr:cNvPr id="2122" name="markupClick1" hidden="1">
              <a:extLst>
                <a:ext uri="{63B3BB69-23CF-44E3-9099-C40C66FF867C}">
                  <a14:compatExt spid="_x0000_s2122"/>
                </a:ext>
                <a:ext uri="{FF2B5EF4-FFF2-40B4-BE49-F238E27FC236}">
                  <a16:creationId xmlns:a16="http://schemas.microsoft.com/office/drawing/2014/main" id="{00000000-0008-0000-0200-00004A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7</xdr:col>
          <xdr:colOff>485775</xdr:colOff>
          <xdr:row>21</xdr:row>
          <xdr:rowOff>133350</xdr:rowOff>
        </xdr:to>
        <xdr:sp macro="" textlink="">
          <xdr:nvSpPr>
            <xdr:cNvPr id="2123" name="markupClick6" hidden="1">
              <a:extLst>
                <a:ext uri="{63B3BB69-23CF-44E3-9099-C40C66FF867C}">
                  <a14:compatExt spid="_x0000_s2123"/>
                </a:ext>
                <a:ext uri="{FF2B5EF4-FFF2-40B4-BE49-F238E27FC236}">
                  <a16:creationId xmlns:a16="http://schemas.microsoft.com/office/drawing/2014/main" id="{00000000-0008-0000-0200-00004B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22</xdr:row>
          <xdr:rowOff>19050</xdr:rowOff>
        </xdr:from>
        <xdr:to>
          <xdr:col>7</xdr:col>
          <xdr:colOff>485775</xdr:colOff>
          <xdr:row>22</xdr:row>
          <xdr:rowOff>133350</xdr:rowOff>
        </xdr:to>
        <xdr:sp macro="" textlink="">
          <xdr:nvSpPr>
            <xdr:cNvPr id="2124" name="markupClick7" hidden="1">
              <a:extLst>
                <a:ext uri="{63B3BB69-23CF-44E3-9099-C40C66FF867C}">
                  <a14:compatExt spid="_x0000_s2124"/>
                </a:ext>
                <a:ext uri="{FF2B5EF4-FFF2-40B4-BE49-F238E27FC236}">
                  <a16:creationId xmlns:a16="http://schemas.microsoft.com/office/drawing/2014/main" id="{00000000-0008-0000-0200-00004C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19050</xdr:rowOff>
        </xdr:from>
        <xdr:to>
          <xdr:col>7</xdr:col>
          <xdr:colOff>485775</xdr:colOff>
          <xdr:row>23</xdr:row>
          <xdr:rowOff>133350</xdr:rowOff>
        </xdr:to>
        <xdr:sp macro="" textlink="">
          <xdr:nvSpPr>
            <xdr:cNvPr id="2125" name="markupClick8" hidden="1">
              <a:extLst>
                <a:ext uri="{63B3BB69-23CF-44E3-9099-C40C66FF867C}">
                  <a14:compatExt spid="_x0000_s2125"/>
                </a:ext>
                <a:ext uri="{FF2B5EF4-FFF2-40B4-BE49-F238E27FC236}">
                  <a16:creationId xmlns:a16="http://schemas.microsoft.com/office/drawing/2014/main" id="{00000000-0008-0000-0200-00004D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24</xdr:row>
          <xdr:rowOff>19050</xdr:rowOff>
        </xdr:from>
        <xdr:to>
          <xdr:col>7</xdr:col>
          <xdr:colOff>485775</xdr:colOff>
          <xdr:row>24</xdr:row>
          <xdr:rowOff>133350</xdr:rowOff>
        </xdr:to>
        <xdr:sp macro="" textlink="">
          <xdr:nvSpPr>
            <xdr:cNvPr id="2126" name="markupClick9" hidden="1">
              <a:extLst>
                <a:ext uri="{63B3BB69-23CF-44E3-9099-C40C66FF867C}">
                  <a14:compatExt spid="_x0000_s2126"/>
                </a:ext>
                <a:ext uri="{FF2B5EF4-FFF2-40B4-BE49-F238E27FC236}">
                  <a16:creationId xmlns:a16="http://schemas.microsoft.com/office/drawing/2014/main" id="{00000000-0008-0000-0200-00004E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25</xdr:row>
          <xdr:rowOff>19050</xdr:rowOff>
        </xdr:from>
        <xdr:to>
          <xdr:col>7</xdr:col>
          <xdr:colOff>485775</xdr:colOff>
          <xdr:row>25</xdr:row>
          <xdr:rowOff>133350</xdr:rowOff>
        </xdr:to>
        <xdr:sp macro="" textlink="">
          <xdr:nvSpPr>
            <xdr:cNvPr id="2127" name="markupClick10" hidden="1">
              <a:extLst>
                <a:ext uri="{63B3BB69-23CF-44E3-9099-C40C66FF867C}">
                  <a14:compatExt spid="_x0000_s2127"/>
                </a:ext>
                <a:ext uri="{FF2B5EF4-FFF2-40B4-BE49-F238E27FC236}">
                  <a16:creationId xmlns:a16="http://schemas.microsoft.com/office/drawing/2014/main" id="{00000000-0008-0000-0200-00004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26</xdr:row>
          <xdr:rowOff>19050</xdr:rowOff>
        </xdr:from>
        <xdr:to>
          <xdr:col>7</xdr:col>
          <xdr:colOff>485775</xdr:colOff>
          <xdr:row>26</xdr:row>
          <xdr:rowOff>133350</xdr:rowOff>
        </xdr:to>
        <xdr:sp macro="" textlink="">
          <xdr:nvSpPr>
            <xdr:cNvPr id="2128" name="markupClick11" hidden="1">
              <a:extLst>
                <a:ext uri="{63B3BB69-23CF-44E3-9099-C40C66FF867C}">
                  <a14:compatExt spid="_x0000_s2128"/>
                </a:ext>
                <a:ext uri="{FF2B5EF4-FFF2-40B4-BE49-F238E27FC236}">
                  <a16:creationId xmlns:a16="http://schemas.microsoft.com/office/drawing/2014/main" id="{00000000-0008-0000-0200-000050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27</xdr:row>
          <xdr:rowOff>19050</xdr:rowOff>
        </xdr:from>
        <xdr:to>
          <xdr:col>7</xdr:col>
          <xdr:colOff>485775</xdr:colOff>
          <xdr:row>27</xdr:row>
          <xdr:rowOff>133350</xdr:rowOff>
        </xdr:to>
        <xdr:sp macro="" textlink="">
          <xdr:nvSpPr>
            <xdr:cNvPr id="2140" name="markupClick12" hidden="1">
              <a:extLst>
                <a:ext uri="{63B3BB69-23CF-44E3-9099-C40C66FF867C}">
                  <a14:compatExt spid="_x0000_s2140"/>
                </a:ext>
                <a:ext uri="{FF2B5EF4-FFF2-40B4-BE49-F238E27FC236}">
                  <a16:creationId xmlns:a16="http://schemas.microsoft.com/office/drawing/2014/main" id="{00000000-0008-0000-0200-00005C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28</xdr:row>
          <xdr:rowOff>19050</xdr:rowOff>
        </xdr:from>
        <xdr:to>
          <xdr:col>7</xdr:col>
          <xdr:colOff>485775</xdr:colOff>
          <xdr:row>28</xdr:row>
          <xdr:rowOff>133350</xdr:rowOff>
        </xdr:to>
        <xdr:sp macro="" textlink="">
          <xdr:nvSpPr>
            <xdr:cNvPr id="2141" name="markupClick13" hidden="1">
              <a:extLst>
                <a:ext uri="{63B3BB69-23CF-44E3-9099-C40C66FF867C}">
                  <a14:compatExt spid="_x0000_s2141"/>
                </a:ext>
                <a:ext uri="{FF2B5EF4-FFF2-40B4-BE49-F238E27FC236}">
                  <a16:creationId xmlns:a16="http://schemas.microsoft.com/office/drawing/2014/main" id="{00000000-0008-0000-0200-00005D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17</xdr:row>
          <xdr:rowOff>28575</xdr:rowOff>
        </xdr:from>
        <xdr:to>
          <xdr:col>7</xdr:col>
          <xdr:colOff>485775</xdr:colOff>
          <xdr:row>17</xdr:row>
          <xdr:rowOff>133350</xdr:rowOff>
        </xdr:to>
        <xdr:sp macro="" textlink="">
          <xdr:nvSpPr>
            <xdr:cNvPr id="2160" name="markupClick2" hidden="1">
              <a:extLst>
                <a:ext uri="{63B3BB69-23CF-44E3-9099-C40C66FF867C}">
                  <a14:compatExt spid="_x0000_s2160"/>
                </a:ext>
                <a:ext uri="{FF2B5EF4-FFF2-40B4-BE49-F238E27FC236}">
                  <a16:creationId xmlns:a16="http://schemas.microsoft.com/office/drawing/2014/main" id="{00000000-0008-0000-0200-000070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18</xdr:row>
          <xdr:rowOff>28575</xdr:rowOff>
        </xdr:from>
        <xdr:to>
          <xdr:col>7</xdr:col>
          <xdr:colOff>485775</xdr:colOff>
          <xdr:row>18</xdr:row>
          <xdr:rowOff>133350</xdr:rowOff>
        </xdr:to>
        <xdr:sp macro="" textlink="">
          <xdr:nvSpPr>
            <xdr:cNvPr id="2161" name="markupClick3" hidden="1">
              <a:extLst>
                <a:ext uri="{63B3BB69-23CF-44E3-9099-C40C66FF867C}">
                  <a14:compatExt spid="_x0000_s2161"/>
                </a:ext>
                <a:ext uri="{FF2B5EF4-FFF2-40B4-BE49-F238E27FC236}">
                  <a16:creationId xmlns:a16="http://schemas.microsoft.com/office/drawing/2014/main" id="{00000000-0008-0000-0200-000071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19</xdr:row>
          <xdr:rowOff>28575</xdr:rowOff>
        </xdr:from>
        <xdr:to>
          <xdr:col>7</xdr:col>
          <xdr:colOff>485775</xdr:colOff>
          <xdr:row>19</xdr:row>
          <xdr:rowOff>133350</xdr:rowOff>
        </xdr:to>
        <xdr:sp macro="" textlink="">
          <xdr:nvSpPr>
            <xdr:cNvPr id="2162" name="markupClick4" hidden="1">
              <a:extLst>
                <a:ext uri="{63B3BB69-23CF-44E3-9099-C40C66FF867C}">
                  <a14:compatExt spid="_x0000_s2162"/>
                </a:ext>
                <a:ext uri="{FF2B5EF4-FFF2-40B4-BE49-F238E27FC236}">
                  <a16:creationId xmlns:a16="http://schemas.microsoft.com/office/drawing/2014/main" id="{00000000-0008-0000-0200-000072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20</xdr:row>
          <xdr:rowOff>28575</xdr:rowOff>
        </xdr:from>
        <xdr:to>
          <xdr:col>7</xdr:col>
          <xdr:colOff>485775</xdr:colOff>
          <xdr:row>20</xdr:row>
          <xdr:rowOff>133350</xdr:rowOff>
        </xdr:to>
        <xdr:sp macro="" textlink="">
          <xdr:nvSpPr>
            <xdr:cNvPr id="2163" name="markupClick5" hidden="1">
              <a:extLst>
                <a:ext uri="{63B3BB69-23CF-44E3-9099-C40C66FF867C}">
                  <a14:compatExt spid="_x0000_s2163"/>
                </a:ext>
                <a:ext uri="{FF2B5EF4-FFF2-40B4-BE49-F238E27FC236}">
                  <a16:creationId xmlns:a16="http://schemas.microsoft.com/office/drawing/2014/main" id="{00000000-0008-0000-0200-000073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14</xdr:row>
          <xdr:rowOff>19050</xdr:rowOff>
        </xdr:from>
        <xdr:to>
          <xdr:col>7</xdr:col>
          <xdr:colOff>485775</xdr:colOff>
          <xdr:row>14</xdr:row>
          <xdr:rowOff>133350</xdr:rowOff>
        </xdr:to>
        <xdr:sp macro="" textlink="">
          <xdr:nvSpPr>
            <xdr:cNvPr id="2164" name="CompoundingCheck" hidden="1">
              <a:extLst>
                <a:ext uri="{63B3BB69-23CF-44E3-9099-C40C66FF867C}">
                  <a14:compatExt spid="_x0000_s2164"/>
                </a:ext>
                <a:ext uri="{FF2B5EF4-FFF2-40B4-BE49-F238E27FC236}">
                  <a16:creationId xmlns:a16="http://schemas.microsoft.com/office/drawing/2014/main" id="{00000000-0008-0000-0200-000074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133350</xdr:colOff>
          <xdr:row>8</xdr:row>
          <xdr:rowOff>104775</xdr:rowOff>
        </xdr:from>
        <xdr:to>
          <xdr:col>4</xdr:col>
          <xdr:colOff>609600</xdr:colOff>
          <xdr:row>10</xdr:row>
          <xdr:rowOff>19050</xdr:rowOff>
        </xdr:to>
        <xdr:sp macro="" textlink="">
          <xdr:nvSpPr>
            <xdr:cNvPr id="2169" name="Button 121" hidden="1">
              <a:extLst>
                <a:ext uri="{63B3BB69-23CF-44E3-9099-C40C66FF867C}">
                  <a14:compatExt spid="_x0000_s2169"/>
                </a:ext>
                <a:ext uri="{FF2B5EF4-FFF2-40B4-BE49-F238E27FC236}">
                  <a16:creationId xmlns:a16="http://schemas.microsoft.com/office/drawing/2014/main" id="{00000000-0008-0000-0200-0000790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57150</xdr:colOff>
          <xdr:row>10</xdr:row>
          <xdr:rowOff>95250</xdr:rowOff>
        </xdr:from>
        <xdr:to>
          <xdr:col>8</xdr:col>
          <xdr:colOff>333375</xdr:colOff>
          <xdr:row>12</xdr:row>
          <xdr:rowOff>9525</xdr:rowOff>
        </xdr:to>
        <xdr:sp macro="" textlink="">
          <xdr:nvSpPr>
            <xdr:cNvPr id="2171" name="ResetButton" hidden="1">
              <a:extLst>
                <a:ext uri="{63B3BB69-23CF-44E3-9099-C40C66FF867C}">
                  <a14:compatExt spid="_x0000_s2171"/>
                </a:ext>
                <a:ext uri="{FF2B5EF4-FFF2-40B4-BE49-F238E27FC236}">
                  <a16:creationId xmlns:a16="http://schemas.microsoft.com/office/drawing/2014/main" id="{00000000-0008-0000-0200-00007B0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Developer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57150</xdr:colOff>
          <xdr:row>8</xdr:row>
          <xdr:rowOff>95250</xdr:rowOff>
        </xdr:from>
        <xdr:to>
          <xdr:col>8</xdr:col>
          <xdr:colOff>323850</xdr:colOff>
          <xdr:row>10</xdr:row>
          <xdr:rowOff>9525</xdr:rowOff>
        </xdr:to>
        <xdr:sp macro="" textlink="">
          <xdr:nvSpPr>
            <xdr:cNvPr id="2195" name="Button 147" hidden="1">
              <a:extLst>
                <a:ext uri="{63B3BB69-23CF-44E3-9099-C40C66FF867C}">
                  <a14:compatExt spid="_x0000_s2195"/>
                </a:ext>
                <a:ext uri="{FF2B5EF4-FFF2-40B4-BE49-F238E27FC236}">
                  <a16:creationId xmlns:a16="http://schemas.microsoft.com/office/drawing/2014/main" id="{00000000-0008-0000-0200-0000930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133350</xdr:colOff>
          <xdr:row>10</xdr:row>
          <xdr:rowOff>95250</xdr:rowOff>
        </xdr:from>
        <xdr:to>
          <xdr:col>4</xdr:col>
          <xdr:colOff>600075</xdr:colOff>
          <xdr:row>12</xdr:row>
          <xdr:rowOff>9525</xdr:rowOff>
        </xdr:to>
        <xdr:sp macro="" textlink="">
          <xdr:nvSpPr>
            <xdr:cNvPr id="2201" name="copyExisting" descr="Line Shading" hidden="1">
              <a:extLst>
                <a:ext uri="{63B3BB69-23CF-44E3-9099-C40C66FF867C}">
                  <a14:compatExt spid="_x0000_s2201"/>
                </a:ext>
                <a:ext uri="{FF2B5EF4-FFF2-40B4-BE49-F238E27FC236}">
                  <a16:creationId xmlns:a16="http://schemas.microsoft.com/office/drawing/2014/main" id="{00000000-0008-0000-0200-0000990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Line Shading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13</xdr:col>
      <xdr:colOff>3708400</xdr:colOff>
      <xdr:row>3</xdr:row>
      <xdr:rowOff>50800</xdr:rowOff>
    </xdr:from>
    <xdr:to>
      <xdr:col>13</xdr:col>
      <xdr:colOff>6351905</xdr:colOff>
      <xdr:row>3</xdr:row>
      <xdr:rowOff>1809115</xdr:rowOff>
    </xdr:to>
    <xdr:pic>
      <xdr:nvPicPr>
        <xdr:cNvPr id="2" name="OCWaterPortrait" descr="O'CInsight_Cover-0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64217" t="2087" r="2699" b="82431"/>
        <a:stretch>
          <a:fillRect/>
        </a:stretch>
      </xdr:blipFill>
      <xdr:spPr bwMode="auto">
        <a:xfrm>
          <a:off x="12357100" y="1056640"/>
          <a:ext cx="2753360" cy="1760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12700</xdr:colOff>
      <xdr:row>3</xdr:row>
      <xdr:rowOff>76200</xdr:rowOff>
    </xdr:from>
    <xdr:to>
      <xdr:col>19</xdr:col>
      <xdr:colOff>306705</xdr:colOff>
      <xdr:row>3</xdr:row>
      <xdr:rowOff>1845945</xdr:rowOff>
    </xdr:to>
    <xdr:pic>
      <xdr:nvPicPr>
        <xdr:cNvPr id="3" name="OCWaterLandscape" descr="O'CInsight_Cover-01" hidden="1">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64217" t="2087" r="2699" b="82431"/>
        <a:stretch>
          <a:fillRect/>
        </a:stretch>
      </xdr:blipFill>
      <xdr:spPr bwMode="auto">
        <a:xfrm>
          <a:off x="15186660" y="1082040"/>
          <a:ext cx="2750820" cy="1760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25400</xdr:colOff>
      <xdr:row>25</xdr:row>
      <xdr:rowOff>391160</xdr:rowOff>
    </xdr:from>
    <xdr:to>
      <xdr:col>7</xdr:col>
      <xdr:colOff>1196975</xdr:colOff>
      <xdr:row>26</xdr:row>
      <xdr:rowOff>29210</xdr:rowOff>
    </xdr:to>
    <xdr:pic>
      <xdr:nvPicPr>
        <xdr:cNvPr id="4" name="OCInsightLogo">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86460" y="9405620"/>
          <a:ext cx="1744980" cy="297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1538288</xdr:colOff>
      <xdr:row>31</xdr:row>
      <xdr:rowOff>62868</xdr:rowOff>
    </xdr:from>
    <xdr:to>
      <xdr:col>7</xdr:col>
      <xdr:colOff>1769139</xdr:colOff>
      <xdr:row>31</xdr:row>
      <xdr:rowOff>290438</xdr:rowOff>
    </xdr:to>
    <xdr:pic>
      <xdr:nvPicPr>
        <xdr:cNvPr id="5" name="CostEstimateLogo">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5263" t="7693" r="6580" b="8974"/>
        <a:stretch>
          <a:fillRect/>
        </a:stretch>
      </xdr:blipFill>
      <xdr:spPr bwMode="auto">
        <a:xfrm>
          <a:off x="3138488" y="12921618"/>
          <a:ext cx="230851" cy="2275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2447925</xdr:colOff>
          <xdr:row>23</xdr:row>
          <xdr:rowOff>142875</xdr:rowOff>
        </xdr:from>
        <xdr:to>
          <xdr:col>11</xdr:col>
          <xdr:colOff>95250</xdr:colOff>
          <xdr:row>23</xdr:row>
          <xdr:rowOff>1304925</xdr:rowOff>
        </xdr:to>
        <xdr:sp macro="" textlink="">
          <xdr:nvSpPr>
            <xdr:cNvPr id="1096706" name="LogoOptions" descr="Use this box to select which services are included." hidden="1">
              <a:extLst>
                <a:ext uri="{63B3BB69-23CF-44E3-9099-C40C66FF867C}">
                  <a14:compatExt spid="_x0000_s1096706"/>
                </a:ext>
                <a:ext uri="{FF2B5EF4-FFF2-40B4-BE49-F238E27FC236}">
                  <a16:creationId xmlns:a16="http://schemas.microsoft.com/office/drawing/2014/main" id="{00000000-0008-0000-0300-000002BC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0</xdr:row>
          <xdr:rowOff>95250</xdr:rowOff>
        </xdr:from>
        <xdr:to>
          <xdr:col>7</xdr:col>
          <xdr:colOff>561975</xdr:colOff>
          <xdr:row>0</xdr:row>
          <xdr:rowOff>495300</xdr:rowOff>
        </xdr:to>
        <xdr:sp macro="" textlink="">
          <xdr:nvSpPr>
            <xdr:cNvPr id="1096705" name="Button 1" hidden="1">
              <a:extLst>
                <a:ext uri="{63B3BB69-23CF-44E3-9099-C40C66FF867C}">
                  <a14:compatExt spid="_x0000_s1096705"/>
                </a:ext>
                <a:ext uri="{FF2B5EF4-FFF2-40B4-BE49-F238E27FC236}">
                  <a16:creationId xmlns:a16="http://schemas.microsoft.com/office/drawing/2014/main" id="{00000000-0008-0000-0300-000001BC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Switch Orientation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676275</xdr:colOff>
          <xdr:row>0</xdr:row>
          <xdr:rowOff>95250</xdr:rowOff>
        </xdr:from>
        <xdr:to>
          <xdr:col>7</xdr:col>
          <xdr:colOff>2000250</xdr:colOff>
          <xdr:row>0</xdr:row>
          <xdr:rowOff>514350</xdr:rowOff>
        </xdr:to>
        <xdr:sp macro="" textlink="">
          <xdr:nvSpPr>
            <xdr:cNvPr id="1096710" name="Button 6" hidden="1">
              <a:extLst>
                <a:ext uri="{63B3BB69-23CF-44E3-9099-C40C66FF867C}">
                  <a14:compatExt spid="_x0000_s1096710"/>
                </a:ext>
                <a:ext uri="{FF2B5EF4-FFF2-40B4-BE49-F238E27FC236}">
                  <a16:creationId xmlns:a16="http://schemas.microsoft.com/office/drawing/2014/main" id="{00000000-0008-0000-0300-000006BC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Spellcheck</a:t>
              </a:r>
            </a:p>
          </xdr:txBody>
        </xdr:sp>
        <xdr:clientData fPrintsWithSheet="0"/>
      </xdr:twoCellAnchor>
    </mc:Choice>
    <mc:Fallback/>
  </mc:AlternateContent>
  <xdr:twoCellAnchor editAs="oneCell">
    <xdr:from>
      <xdr:col>12</xdr:col>
      <xdr:colOff>30</xdr:colOff>
      <xdr:row>20</xdr:row>
      <xdr:rowOff>387036</xdr:rowOff>
    </xdr:from>
    <xdr:to>
      <xdr:col>15</xdr:col>
      <xdr:colOff>9527</xdr:colOff>
      <xdr:row>23</xdr:row>
      <xdr:rowOff>1308100</xdr:rowOff>
    </xdr:to>
    <xdr:grpSp>
      <xdr:nvGrpSpPr>
        <xdr:cNvPr id="19" name="PortraitGroup">
          <a:extLst>
            <a:ext uri="{FF2B5EF4-FFF2-40B4-BE49-F238E27FC236}">
              <a16:creationId xmlns:a16="http://schemas.microsoft.com/office/drawing/2014/main" id="{00000000-0008-0000-0200-000013000000}"/>
            </a:ext>
          </a:extLst>
        </xdr:cNvPr>
        <xdr:cNvGrpSpPr>
          <a:grpSpLocks noChangeAspect="1"/>
        </xdr:cNvGrpSpPr>
      </xdr:nvGrpSpPr>
      <xdr:grpSpPr>
        <a:xfrm>
          <a:off x="7905780" y="7597461"/>
          <a:ext cx="6896072" cy="3435664"/>
          <a:chOff x="8077230" y="11574797"/>
          <a:chExt cx="7087359" cy="3555678"/>
        </a:xfrm>
      </xdr:grpSpPr>
      <xdr:pic>
        <xdr:nvPicPr>
          <xdr:cNvPr id="39" name="OCMIPortrait" descr="O'CInsight_Cover-01">
            <a:extLst>
              <a:ext uri="{FF2B5EF4-FFF2-40B4-BE49-F238E27FC236}">
                <a16:creationId xmlns:a16="http://schemas.microsoft.com/office/drawing/2014/main" id="{00000000-0008-0000-0200-000027000000}"/>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5452" t="63916" r="5551" b="1575"/>
          <a:stretch/>
        </xdr:blipFill>
        <xdr:spPr bwMode="auto">
          <a:xfrm>
            <a:off x="8077230" y="11574797"/>
            <a:ext cx="7087359" cy="3555678"/>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1096709" name="Group 1096708">
            <a:extLst>
              <a:ext uri="{FF2B5EF4-FFF2-40B4-BE49-F238E27FC236}">
                <a16:creationId xmlns:a16="http://schemas.microsoft.com/office/drawing/2014/main" id="{00000000-0008-0000-0200-000005BC1000}"/>
              </a:ext>
            </a:extLst>
          </xdr:cNvPr>
          <xdr:cNvGrpSpPr>
            <a:grpSpLocks noChangeAspect="1"/>
          </xdr:cNvGrpSpPr>
        </xdr:nvGrpSpPr>
        <xdr:grpSpPr>
          <a:xfrm>
            <a:off x="11865294" y="14352920"/>
            <a:ext cx="3104004" cy="408287"/>
            <a:chOff x="11817121" y="10714488"/>
            <a:chExt cx="3105125" cy="437232"/>
          </a:xfrm>
        </xdr:grpSpPr>
        <xdr:pic>
          <xdr:nvPicPr>
            <xdr:cNvPr id="10" name="Benchmarking" hidden="1">
              <a:extLst>
                <a:ext uri="{FF2B5EF4-FFF2-40B4-BE49-F238E27FC236}">
                  <a16:creationId xmlns:a16="http://schemas.microsoft.com/office/drawing/2014/main" id="{00000000-0008-0000-0200-00000A000000}"/>
                </a:ext>
              </a:extLst>
            </xdr:cNvPr>
            <xdr:cNvPicPr preferRelativeResize="0">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1817121" y="10722307"/>
              <a:ext cx="384507" cy="4230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 name="MarketStudies" hidden="1">
              <a:extLst>
                <a:ext uri="{FF2B5EF4-FFF2-40B4-BE49-F238E27FC236}">
                  <a16:creationId xmlns:a16="http://schemas.microsoft.com/office/drawing/2014/main" id="{00000000-0008-0000-0200-00000B000000}"/>
                </a:ext>
              </a:extLst>
            </xdr:cNvPr>
            <xdr:cNvPicPr preferRelativeResize="0">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2155926" y="10723697"/>
              <a:ext cx="386626" cy="4202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2" name="CostModeling" hidden="1">
              <a:extLst>
                <a:ext uri="{FF2B5EF4-FFF2-40B4-BE49-F238E27FC236}">
                  <a16:creationId xmlns:a16="http://schemas.microsoft.com/office/drawing/2014/main" id="{00000000-0008-0000-0200-00000C000000}"/>
                </a:ext>
              </a:extLst>
            </xdr:cNvPr>
            <xdr:cNvPicPr preferRelativeResize="0">
              <a:picLocks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2496849" y="10724038"/>
              <a:ext cx="385213" cy="4195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 name="ValueEngineering" hidden="1">
              <a:extLst>
                <a:ext uri="{FF2B5EF4-FFF2-40B4-BE49-F238E27FC236}">
                  <a16:creationId xmlns:a16="http://schemas.microsoft.com/office/drawing/2014/main" id="{00000000-0008-0000-0200-00000D000000}"/>
                </a:ext>
              </a:extLst>
            </xdr:cNvPr>
            <xdr:cNvPicPr preferRelativeResize="0">
              <a:picLocks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836362" y="10714488"/>
              <a:ext cx="384507" cy="4223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ChangeOrderAnalysis" descr="C:\Users\esimon\AppData\Local\Microsoft\Windows\INetCache\Content.Word\Icons-25.png" hidden="1">
              <a:extLst>
                <a:ext uri="{FF2B5EF4-FFF2-40B4-BE49-F238E27FC236}">
                  <a16:creationId xmlns:a16="http://schemas.microsoft.com/office/drawing/2014/main" id="{00000000-0008-0000-0200-00000E000000}"/>
                </a:ext>
              </a:extLst>
            </xdr:cNvPr>
            <xdr:cNvPicPr preferRelativeResize="0">
              <a:picLocks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4537740" y="10723697"/>
              <a:ext cx="384506" cy="4202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 name="CostEstimating">
              <a:extLst>
                <a:ext uri="{FF2B5EF4-FFF2-40B4-BE49-F238E27FC236}">
                  <a16:creationId xmlns:a16="http://schemas.microsoft.com/office/drawing/2014/main" id="{00000000-0008-0000-0200-00000F000000}"/>
                </a:ext>
              </a:extLst>
            </xdr:cNvPr>
            <xdr:cNvPicPr preferRelativeResize="0">
              <a:picLocks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3182790" y="10726068"/>
              <a:ext cx="385213" cy="4237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 name="VarianceReport">
              <a:extLst>
                <a:ext uri="{FF2B5EF4-FFF2-40B4-BE49-F238E27FC236}">
                  <a16:creationId xmlns:a16="http://schemas.microsoft.com/office/drawing/2014/main" id="{00000000-0008-0000-0200-000010000000}"/>
                </a:ext>
              </a:extLst>
            </xdr:cNvPr>
            <xdr:cNvPicPr preferRelativeResize="0">
              <a:picLocks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3518490" y="10718934"/>
              <a:ext cx="395392" cy="4327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Dashboarding" hidden="1">
              <a:extLst>
                <a:ext uri="{FF2B5EF4-FFF2-40B4-BE49-F238E27FC236}">
                  <a16:creationId xmlns:a16="http://schemas.microsoft.com/office/drawing/2014/main" id="{00000000-0008-0000-0200-000011000000}"/>
                </a:ext>
              </a:extLst>
            </xdr:cNvPr>
            <xdr:cNvPicPr preferRelativeResize="0">
              <a:picLocks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3858003" y="10719616"/>
              <a:ext cx="385213" cy="4202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 name="BidAnalysis" hidden="1">
              <a:extLst>
                <a:ext uri="{FF2B5EF4-FFF2-40B4-BE49-F238E27FC236}">
                  <a16:creationId xmlns:a16="http://schemas.microsoft.com/office/drawing/2014/main" id="{00000000-0008-0000-0200-000012000000}"/>
                </a:ext>
              </a:extLst>
            </xdr:cNvPr>
            <xdr:cNvPicPr preferRelativeResize="0">
              <a:picLocks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4197515" y="10723014"/>
              <a:ext cx="385921" cy="4216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grpSp>
    <xdr:clientData/>
  </xdr:twoCellAnchor>
  <xdr:twoCellAnchor editAs="oneCell">
    <xdr:from>
      <xdr:col>12</xdr:col>
      <xdr:colOff>54609</xdr:colOff>
      <xdr:row>17</xdr:row>
      <xdr:rowOff>132576</xdr:rowOff>
    </xdr:from>
    <xdr:to>
      <xdr:col>18</xdr:col>
      <xdr:colOff>373098</xdr:colOff>
      <xdr:row>22</xdr:row>
      <xdr:rowOff>781050</xdr:rowOff>
    </xdr:to>
    <xdr:grpSp>
      <xdr:nvGrpSpPr>
        <xdr:cNvPr id="8" name="LandscapeGroup" hidden="1">
          <a:extLst>
            <a:ext uri="{FF2B5EF4-FFF2-40B4-BE49-F238E27FC236}">
              <a16:creationId xmlns:a16="http://schemas.microsoft.com/office/drawing/2014/main" id="{00000000-0008-0000-0200-000008000000}"/>
            </a:ext>
          </a:extLst>
        </xdr:cNvPr>
        <xdr:cNvGrpSpPr>
          <a:grpSpLocks noChangeAspect="1"/>
        </xdr:cNvGrpSpPr>
      </xdr:nvGrpSpPr>
      <xdr:grpSpPr>
        <a:xfrm>
          <a:off x="7960359" y="6123801"/>
          <a:ext cx="8976714" cy="3544074"/>
          <a:chOff x="10342879" y="9083040"/>
          <a:chExt cx="9229444" cy="3538994"/>
        </a:xfrm>
      </xdr:grpSpPr>
      <xdr:grpSp>
        <xdr:nvGrpSpPr>
          <xdr:cNvPr id="6" name="OCMILandscape" hidden="1">
            <a:extLst>
              <a:ext uri="{FF2B5EF4-FFF2-40B4-BE49-F238E27FC236}">
                <a16:creationId xmlns:a16="http://schemas.microsoft.com/office/drawing/2014/main" id="{00000000-0008-0000-0200-000006000000}"/>
              </a:ext>
            </a:extLst>
          </xdr:cNvPr>
          <xdr:cNvGrpSpPr>
            <a:grpSpLocks noChangeAspect="1"/>
          </xdr:cNvGrpSpPr>
        </xdr:nvGrpSpPr>
        <xdr:grpSpPr>
          <a:xfrm>
            <a:off x="10342879" y="9083040"/>
            <a:ext cx="9229444" cy="3538994"/>
            <a:chOff x="10292080" y="9083040"/>
            <a:chExt cx="9138063" cy="3503954"/>
          </a:xfrm>
        </xdr:grpSpPr>
        <xdr:grpSp>
          <xdr:nvGrpSpPr>
            <xdr:cNvPr id="35" name="Group 34" hidden="1">
              <a:extLst>
                <a:ext uri="{FF2B5EF4-FFF2-40B4-BE49-F238E27FC236}">
                  <a16:creationId xmlns:a16="http://schemas.microsoft.com/office/drawing/2014/main" id="{00000000-0008-0000-0200-000023000000}"/>
                </a:ext>
              </a:extLst>
            </xdr:cNvPr>
            <xdr:cNvGrpSpPr/>
          </xdr:nvGrpSpPr>
          <xdr:grpSpPr>
            <a:xfrm>
              <a:off x="10292080" y="10024332"/>
              <a:ext cx="9138063" cy="2562662"/>
              <a:chOff x="427290" y="3590488"/>
              <a:chExt cx="9138063" cy="2562662"/>
            </a:xfrm>
          </xdr:grpSpPr>
          <xdr:pic>
            <xdr:nvPicPr>
              <xdr:cNvPr id="40" name="WordPictureWatermark946580" descr="Cover background-01" hidden="1">
                <a:extLst>
                  <a:ext uri="{FF2B5EF4-FFF2-40B4-BE49-F238E27FC236}">
                    <a16:creationId xmlns:a16="http://schemas.microsoft.com/office/drawing/2014/main" id="{00000000-0008-0000-0200-000028000000}"/>
                  </a:ext>
                </a:extLst>
              </xdr:cNvPr>
              <xdr:cNvPicPr>
                <a:picLocks noChangeAspect="1" noChangeArrowheads="1"/>
              </xdr:cNvPicPr>
            </xdr:nvPicPr>
            <xdr:blipFill rotWithShape="1">
              <a:blip xmlns:r="http://schemas.openxmlformats.org/officeDocument/2006/relationships" r:embed="rId14">
                <a:extLst>
                  <a:ext uri="{28A0092B-C50C-407E-A947-70E740481C1C}">
                    <a14:useLocalDpi xmlns:a14="http://schemas.microsoft.com/office/drawing/2010/main" val="0"/>
                  </a:ext>
                </a:extLst>
              </a:blip>
              <a:srcRect l="4585" t="63810" r="4563" b="3219"/>
              <a:stretch/>
            </xdr:blipFill>
            <xdr:spPr bwMode="auto">
              <a:xfrm>
                <a:off x="427290" y="3590488"/>
                <a:ext cx="9138063" cy="256266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41" name="WordPictureWatermark259150046" descr="O'CInsight_Cover-01" hidden="1">
                <a:extLst>
                  <a:ext uri="{FF2B5EF4-FFF2-40B4-BE49-F238E27FC236}">
                    <a16:creationId xmlns:a16="http://schemas.microsoft.com/office/drawing/2014/main" id="{00000000-0008-0000-0200-000029000000}"/>
                  </a:ext>
                </a:extLst>
              </xdr:cNvPr>
              <xdr:cNvPicPr>
                <a:picLocks noChangeArrowheads="1"/>
              </xdr:cNvPicPr>
            </xdr:nvPicPr>
            <xdr:blipFill rotWithShape="1">
              <a:blip xmlns:r="http://schemas.openxmlformats.org/officeDocument/2006/relationships" r:embed="rId15">
                <a:extLst>
                  <a:ext uri="{28A0092B-C50C-407E-A947-70E740481C1C}">
                    <a14:useLocalDpi xmlns:a14="http://schemas.microsoft.com/office/drawing/2010/main" val="0"/>
                  </a:ext>
                </a:extLst>
              </a:blip>
              <a:srcRect l="57479" t="90753" r="38234" b="5242"/>
              <a:stretch/>
            </xdr:blipFill>
            <xdr:spPr bwMode="auto">
              <a:xfrm>
                <a:off x="6710452" y="5403747"/>
                <a:ext cx="353137" cy="41909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pic>
          <xdr:nvPicPr>
            <xdr:cNvPr id="38" name="WordPictureWatermark946580" descr="Cover background-01" hidden="1">
              <a:extLst>
                <a:ext uri="{FF2B5EF4-FFF2-40B4-BE49-F238E27FC236}">
                  <a16:creationId xmlns:a16="http://schemas.microsoft.com/office/drawing/2014/main" id="{00000000-0008-0000-0200-000026000000}"/>
                </a:ext>
              </a:extLst>
            </xdr:cNvPr>
            <xdr:cNvPicPr>
              <a:picLocks noChangeAspect="1" noChangeArrowheads="1"/>
            </xdr:cNvPicPr>
          </xdr:nvPicPr>
          <xdr:blipFill rotWithShape="1">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l="4585" t="51699" r="4563" b="36190"/>
            <a:stretch/>
          </xdr:blipFill>
          <xdr:spPr bwMode="auto">
            <a:xfrm>
              <a:off x="10292080" y="9083040"/>
              <a:ext cx="9138063" cy="941292"/>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7" name="Group 6" hidden="1">
            <a:extLst>
              <a:ext uri="{FF2B5EF4-FFF2-40B4-BE49-F238E27FC236}">
                <a16:creationId xmlns:a16="http://schemas.microsoft.com/office/drawing/2014/main" id="{00000000-0008-0000-0200-000007000000}"/>
              </a:ext>
            </a:extLst>
          </xdr:cNvPr>
          <xdr:cNvGrpSpPr>
            <a:grpSpLocks noChangeAspect="1"/>
          </xdr:cNvGrpSpPr>
        </xdr:nvGrpSpPr>
        <xdr:grpSpPr>
          <a:xfrm>
            <a:off x="16336188" y="11887819"/>
            <a:ext cx="3077600" cy="415772"/>
            <a:chOff x="16352185" y="8665471"/>
            <a:chExt cx="3021510" cy="406036"/>
          </a:xfrm>
        </xdr:grpSpPr>
        <xdr:pic>
          <xdr:nvPicPr>
            <xdr:cNvPr id="22" name="Benchmarking2" hidden="1">
              <a:extLst>
                <a:ext uri="{FF2B5EF4-FFF2-40B4-BE49-F238E27FC236}">
                  <a16:creationId xmlns:a16="http://schemas.microsoft.com/office/drawing/2014/main" id="{00000000-0008-0000-0200-000016000000}"/>
                </a:ext>
              </a:extLst>
            </xdr:cNvPr>
            <xdr:cNvPicPr preferRelativeResize="0">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6352185" y="8669348"/>
              <a:ext cx="374863" cy="3903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3" name="MarketStudies2" hidden="1">
              <a:extLst>
                <a:ext uri="{FF2B5EF4-FFF2-40B4-BE49-F238E27FC236}">
                  <a16:creationId xmlns:a16="http://schemas.microsoft.com/office/drawing/2014/main" id="{00000000-0008-0000-0200-000017000000}"/>
                </a:ext>
              </a:extLst>
            </xdr:cNvPr>
            <xdr:cNvPicPr preferRelativeResize="0">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6686383" y="8665471"/>
              <a:ext cx="380697" cy="3915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4" name="CostModeling2" hidden="1">
              <a:extLst>
                <a:ext uri="{FF2B5EF4-FFF2-40B4-BE49-F238E27FC236}">
                  <a16:creationId xmlns:a16="http://schemas.microsoft.com/office/drawing/2014/main" id="{00000000-0008-0000-0200-000018000000}"/>
                </a:ext>
              </a:extLst>
            </xdr:cNvPr>
            <xdr:cNvPicPr preferRelativeResize="0">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7026598" y="8676836"/>
              <a:ext cx="375550" cy="3870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5" name="ValueEngineering2" hidden="1">
              <a:extLst>
                <a:ext uri="{FF2B5EF4-FFF2-40B4-BE49-F238E27FC236}">
                  <a16:creationId xmlns:a16="http://schemas.microsoft.com/office/drawing/2014/main" id="{00000000-0008-0000-0200-000019000000}"/>
                </a:ext>
              </a:extLst>
            </xdr:cNvPr>
            <xdr:cNvPicPr preferRelativeResize="0">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17354137" y="8665472"/>
              <a:ext cx="374863" cy="3896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6" name="ChangeOrderAnalysis2" descr="C:\Users\esimon\AppData\Local\Microsoft\Windows\INetCache\Content.Word\Icons-25.png" hidden="1">
              <a:extLst>
                <a:ext uri="{FF2B5EF4-FFF2-40B4-BE49-F238E27FC236}">
                  <a16:creationId xmlns:a16="http://schemas.microsoft.com/office/drawing/2014/main" id="{00000000-0008-0000-0200-00001A000000}"/>
                </a:ext>
              </a:extLst>
            </xdr:cNvPr>
            <xdr:cNvPicPr preferRelativeResize="0">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18998833" y="8669405"/>
              <a:ext cx="374862" cy="3877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7" name="CostEstimating2" hidden="1">
              <a:extLst>
                <a:ext uri="{FF2B5EF4-FFF2-40B4-BE49-F238E27FC236}">
                  <a16:creationId xmlns:a16="http://schemas.microsoft.com/office/drawing/2014/main" id="{00000000-0008-0000-0200-00001B000000}"/>
                </a:ext>
              </a:extLst>
            </xdr:cNvPr>
            <xdr:cNvPicPr preferRelativeResize="0">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17684874" y="8680579"/>
              <a:ext cx="375550" cy="390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8" name="VarianceReport2" hidden="1">
              <a:extLst>
                <a:ext uri="{FF2B5EF4-FFF2-40B4-BE49-F238E27FC236}">
                  <a16:creationId xmlns:a16="http://schemas.microsoft.com/office/drawing/2014/main" id="{00000000-0008-0000-0200-00001C000000}"/>
                </a:ext>
              </a:extLst>
            </xdr:cNvPr>
            <xdr:cNvPicPr preferRelativeResize="0">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18016308" y="8680579"/>
              <a:ext cx="375550" cy="3889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9" name="Dashboarding2" hidden="1">
              <a:extLst>
                <a:ext uri="{FF2B5EF4-FFF2-40B4-BE49-F238E27FC236}">
                  <a16:creationId xmlns:a16="http://schemas.microsoft.com/office/drawing/2014/main" id="{00000000-0008-0000-0200-00001D000000}"/>
                </a:ext>
              </a:extLst>
            </xdr:cNvPr>
            <xdr:cNvPicPr preferRelativeResize="0">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18347225" y="8665594"/>
              <a:ext cx="375550" cy="3877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0" name="BidAnalysis2" hidden="1">
              <a:extLst>
                <a:ext uri="{FF2B5EF4-FFF2-40B4-BE49-F238E27FC236}">
                  <a16:creationId xmlns:a16="http://schemas.microsoft.com/office/drawing/2014/main" id="{00000000-0008-0000-0200-00001E000000}"/>
                </a:ext>
              </a:extLst>
            </xdr:cNvPr>
            <xdr:cNvPicPr preferRelativeResize="0">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8674699" y="8669405"/>
              <a:ext cx="376240" cy="3889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grpSp>
    <xdr:clientData/>
  </xdr:twoCellAnchor>
  <xdr:twoCellAnchor>
    <xdr:from>
      <xdr:col>13</xdr:col>
      <xdr:colOff>152400</xdr:colOff>
      <xdr:row>35</xdr:row>
      <xdr:rowOff>183710</xdr:rowOff>
    </xdr:from>
    <xdr:to>
      <xdr:col>13</xdr:col>
      <xdr:colOff>2133554</xdr:colOff>
      <xdr:row>46</xdr:row>
      <xdr:rowOff>33079</xdr:rowOff>
    </xdr:to>
    <xdr:grpSp>
      <xdr:nvGrpSpPr>
        <xdr:cNvPr id="9" name="Group 8">
          <a:extLst>
            <a:ext uri="{FF2B5EF4-FFF2-40B4-BE49-F238E27FC236}">
              <a16:creationId xmlns:a16="http://schemas.microsoft.com/office/drawing/2014/main" id="{449293A5-9BF2-459A-B063-BF87FDB89A40}"/>
            </a:ext>
          </a:extLst>
        </xdr:cNvPr>
        <xdr:cNvGrpSpPr/>
      </xdr:nvGrpSpPr>
      <xdr:grpSpPr>
        <a:xfrm>
          <a:off x="8591550" y="13937810"/>
          <a:ext cx="1981154" cy="2002019"/>
          <a:chOff x="604345" y="331278"/>
          <a:chExt cx="1981154" cy="2002019"/>
        </a:xfrm>
      </xdr:grpSpPr>
      <xdr:pic>
        <xdr:nvPicPr>
          <xdr:cNvPr id="20" name="Graphic 19" descr="Sunglasses face outline outline">
            <a:extLst>
              <a:ext uri="{FF2B5EF4-FFF2-40B4-BE49-F238E27FC236}">
                <a16:creationId xmlns:a16="http://schemas.microsoft.com/office/drawing/2014/main" id="{F1FD57EA-CB3B-7E47-7B5F-F1FE4FFEFE2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04345" y="1418897"/>
            <a:ext cx="914400" cy="914400"/>
          </a:xfrm>
          <a:prstGeom prst="rect">
            <a:avLst/>
          </a:prstGeom>
        </xdr:spPr>
      </xdr:pic>
      <xdr:sp macro="" textlink="">
        <xdr:nvSpPr>
          <xdr:cNvPr id="21" name="Speech Bubble: Oval 20">
            <a:extLst>
              <a:ext uri="{FF2B5EF4-FFF2-40B4-BE49-F238E27FC236}">
                <a16:creationId xmlns:a16="http://schemas.microsoft.com/office/drawing/2014/main" id="{F8C280F5-5E7A-00CE-F65B-666BA73296A0}"/>
              </a:ext>
            </a:extLst>
          </xdr:cNvPr>
          <xdr:cNvSpPr/>
        </xdr:nvSpPr>
        <xdr:spPr bwMode="auto">
          <a:xfrm>
            <a:off x="1463937" y="331278"/>
            <a:ext cx="1121562" cy="1210916"/>
          </a:xfrm>
          <a:prstGeom prst="wedgeEllipseCallout">
            <a:avLst>
              <a:gd name="adj1" fmla="val -46311"/>
              <a:gd name="adj2" fmla="val 70366"/>
            </a:avLst>
          </a:prstGeom>
          <a:solidFill>
            <a:srgbClr val="FFFFE1"/>
          </a:solidFill>
          <a:ln w="9525" cap="flat" cmpd="sng" algn="ctr">
            <a:noFill/>
            <a:prstDash val="solid"/>
            <a:round/>
            <a:headEnd type="none" w="med" len="med"/>
            <a:tailEnd type="none" w="med" len="med"/>
          </a:ln>
          <a:effectLst>
            <a:outerShdw dist="35921" dir="2700000" algn="ctr" rotWithShape="0">
              <a:srgbClr val="000000"/>
            </a:outerShdw>
          </a:effectLst>
        </xdr:spPr>
        <xdr:txBody>
          <a:bodyPr wrap="none" lIns="18288" tIns="0" rIns="0" bIns="0" rtlCol="0" anchor="ctr" upright="1">
            <a:spAutoFit/>
          </a:bodyPr>
          <a:lstStyle/>
          <a:p>
            <a:pPr algn="ctr"/>
            <a:endParaRPr lang="en-US" sz="1100">
              <a:effectLst/>
              <a:latin typeface="+mn-lt"/>
              <a:ea typeface="+mn-ea"/>
              <a:cs typeface="+mn-cs"/>
            </a:endParaRPr>
          </a:p>
          <a:p>
            <a:pPr algn="ctr"/>
            <a:endParaRPr lang="en-US" sz="1100">
              <a:effectLst/>
              <a:latin typeface="+mn-lt"/>
              <a:ea typeface="+mn-ea"/>
              <a:cs typeface="+mn-cs"/>
            </a:endParaRPr>
          </a:p>
          <a:p>
            <a:pPr algn="ctr"/>
            <a:r>
              <a:rPr lang="en-US" sz="1100">
                <a:effectLst/>
                <a:latin typeface="+mn-lt"/>
                <a:ea typeface="+mn-ea"/>
                <a:cs typeface="+mn-cs"/>
              </a:rPr>
              <a:t>THANK YOU!!</a:t>
            </a:r>
          </a:p>
          <a:p>
            <a:pPr algn="ctr"/>
            <a:endParaRPr lang="en-US" sz="1100" kern="1200">
              <a:effectLst/>
              <a:latin typeface="+mn-lt"/>
              <a:ea typeface="+mn-ea"/>
              <a:cs typeface="+mn-cs"/>
            </a:endParaRPr>
          </a:p>
          <a:p>
            <a:pPr algn="ctr"/>
            <a:endParaRPr lang="en-US" sz="1100" kern="1200"/>
          </a:p>
        </xdr:txBody>
      </xdr: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238125</xdr:colOff>
          <xdr:row>0</xdr:row>
          <xdr:rowOff>38100</xdr:rowOff>
        </xdr:from>
        <xdr:to>
          <xdr:col>2</xdr:col>
          <xdr:colOff>1590675</xdr:colOff>
          <xdr:row>1</xdr:row>
          <xdr:rowOff>142875</xdr:rowOff>
        </xdr:to>
        <xdr:sp macro="" textlink="">
          <xdr:nvSpPr>
            <xdr:cNvPr id="33804" name="Button 12" hidden="1">
              <a:extLst>
                <a:ext uri="{63B3BB69-23CF-44E3-9099-C40C66FF867C}">
                  <a14:compatExt spid="_x0000_s33804"/>
                </a:ext>
                <a:ext uri="{FF2B5EF4-FFF2-40B4-BE49-F238E27FC236}">
                  <a16:creationId xmlns:a16="http://schemas.microsoft.com/office/drawing/2014/main" id="{00000000-0008-0000-0400-00000C84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Portrait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xdr:row>
          <xdr:rowOff>95250</xdr:rowOff>
        </xdr:from>
        <xdr:to>
          <xdr:col>2</xdr:col>
          <xdr:colOff>1590675</xdr:colOff>
          <xdr:row>4</xdr:row>
          <xdr:rowOff>66675</xdr:rowOff>
        </xdr:to>
        <xdr:sp macro="" textlink="">
          <xdr:nvSpPr>
            <xdr:cNvPr id="33805" name="Button 13" hidden="1">
              <a:extLst>
                <a:ext uri="{63B3BB69-23CF-44E3-9099-C40C66FF867C}">
                  <a14:compatExt spid="_x0000_s33805"/>
                </a:ext>
                <a:ext uri="{FF2B5EF4-FFF2-40B4-BE49-F238E27FC236}">
                  <a16:creationId xmlns:a16="http://schemas.microsoft.com/office/drawing/2014/main" id="{00000000-0008-0000-0400-00000D84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Landscape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561975</xdr:colOff>
          <xdr:row>0</xdr:row>
          <xdr:rowOff>57150</xdr:rowOff>
        </xdr:from>
        <xdr:to>
          <xdr:col>8</xdr:col>
          <xdr:colOff>0</xdr:colOff>
          <xdr:row>2</xdr:row>
          <xdr:rowOff>19050</xdr:rowOff>
        </xdr:to>
        <xdr:sp macro="" textlink="">
          <xdr:nvSpPr>
            <xdr:cNvPr id="33806" name="Button 14" hidden="1">
              <a:extLst>
                <a:ext uri="{63B3BB69-23CF-44E3-9099-C40C66FF867C}">
                  <a14:compatExt spid="_x0000_s33806"/>
                </a:ext>
                <a:ext uri="{FF2B5EF4-FFF2-40B4-BE49-F238E27FC236}">
                  <a16:creationId xmlns:a16="http://schemas.microsoft.com/office/drawing/2014/main" id="{00000000-0008-0000-0400-00000E84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Rebuild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552450</xdr:colOff>
          <xdr:row>2</xdr:row>
          <xdr:rowOff>104775</xdr:rowOff>
        </xdr:from>
        <xdr:to>
          <xdr:col>8</xdr:col>
          <xdr:colOff>0</xdr:colOff>
          <xdr:row>4</xdr:row>
          <xdr:rowOff>57150</xdr:rowOff>
        </xdr:to>
        <xdr:sp macro="" textlink="">
          <xdr:nvSpPr>
            <xdr:cNvPr id="33808" name="Button 16" hidden="1">
              <a:extLst>
                <a:ext uri="{63B3BB69-23CF-44E3-9099-C40C66FF867C}">
                  <a14:compatExt spid="_x0000_s33808"/>
                </a:ext>
                <a:ext uri="{FF2B5EF4-FFF2-40B4-BE49-F238E27FC236}">
                  <a16:creationId xmlns:a16="http://schemas.microsoft.com/office/drawing/2014/main" id="{00000000-0008-0000-0400-00001084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Show/Hide SF</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0</xdr:row>
          <xdr:rowOff>76200</xdr:rowOff>
        </xdr:from>
        <xdr:to>
          <xdr:col>11</xdr:col>
          <xdr:colOff>257175</xdr:colOff>
          <xdr:row>2</xdr:row>
          <xdr:rowOff>28575</xdr:rowOff>
        </xdr:to>
        <xdr:sp macro="" textlink="">
          <xdr:nvSpPr>
            <xdr:cNvPr id="33809" name="Button 17" hidden="1">
              <a:extLst>
                <a:ext uri="{63B3BB69-23CF-44E3-9099-C40C66FF867C}">
                  <a14:compatExt spid="_x0000_s33809"/>
                </a:ext>
                <a:ext uri="{FF2B5EF4-FFF2-40B4-BE49-F238E27FC236}">
                  <a16:creationId xmlns:a16="http://schemas.microsoft.com/office/drawing/2014/main" id="{00000000-0008-0000-0400-00001184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Spellcheck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57150</xdr:colOff>
          <xdr:row>6</xdr:row>
          <xdr:rowOff>76200</xdr:rowOff>
        </xdr:from>
        <xdr:to>
          <xdr:col>32</xdr:col>
          <xdr:colOff>1238250</xdr:colOff>
          <xdr:row>8</xdr:row>
          <xdr:rowOff>66675</xdr:rowOff>
        </xdr:to>
        <xdr:sp macro="" textlink="">
          <xdr:nvSpPr>
            <xdr:cNvPr id="1099777" name="Button 1" hidden="1">
              <a:extLst>
                <a:ext uri="{63B3BB69-23CF-44E3-9099-C40C66FF867C}">
                  <a14:compatExt spid="_x0000_s1099777"/>
                </a:ext>
                <a:ext uri="{FF2B5EF4-FFF2-40B4-BE49-F238E27FC236}">
                  <a16:creationId xmlns:a16="http://schemas.microsoft.com/office/drawing/2014/main" id="{00000000-0008-0000-0500-000001C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Show/Hide SF</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37</xdr:col>
          <xdr:colOff>28575</xdr:colOff>
          <xdr:row>11</xdr:row>
          <xdr:rowOff>133350</xdr:rowOff>
        </xdr:from>
        <xdr:to>
          <xdr:col>37</xdr:col>
          <xdr:colOff>838200</xdr:colOff>
          <xdr:row>13</xdr:row>
          <xdr:rowOff>38100</xdr:rowOff>
        </xdr:to>
        <xdr:sp macro="" textlink="">
          <xdr:nvSpPr>
            <xdr:cNvPr id="1099778" name="Button 2" hidden="1">
              <a:extLst>
                <a:ext uri="{63B3BB69-23CF-44E3-9099-C40C66FF867C}">
                  <a14:compatExt spid="_x0000_s1099778"/>
                </a:ext>
                <a:ext uri="{FF2B5EF4-FFF2-40B4-BE49-F238E27FC236}">
                  <a16:creationId xmlns:a16="http://schemas.microsoft.com/office/drawing/2014/main" id="{00000000-0008-0000-0500-000002C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238125</xdr:colOff>
          <xdr:row>783</xdr:row>
          <xdr:rowOff>95250</xdr:rowOff>
        </xdr:from>
        <xdr:to>
          <xdr:col>15</xdr:col>
          <xdr:colOff>1066800</xdr:colOff>
          <xdr:row>785</xdr:row>
          <xdr:rowOff>0</xdr:rowOff>
        </xdr:to>
        <xdr:sp macro="" textlink="">
          <xdr:nvSpPr>
            <xdr:cNvPr id="1099779" name="Button 3" hidden="1">
              <a:extLst>
                <a:ext uri="{63B3BB69-23CF-44E3-9099-C40C66FF867C}">
                  <a14:compatExt spid="_x0000_s1099779"/>
                </a:ext>
                <a:ext uri="{FF2B5EF4-FFF2-40B4-BE49-F238E27FC236}">
                  <a16:creationId xmlns:a16="http://schemas.microsoft.com/office/drawing/2014/main" id="{00000000-0008-0000-0500-000003C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Summary</a:t>
              </a:r>
            </a:p>
          </xdr:txBody>
        </xdr:sp>
        <xdr:clientData fPrintsWithSheet="0"/>
      </xdr:twoCellAnchor>
    </mc:Choice>
    <mc:Fallback/>
  </mc:AlternateContent>
  <xdr:twoCellAnchor>
    <xdr:from>
      <xdr:col>1</xdr:col>
      <xdr:colOff>38100</xdr:colOff>
      <xdr:row>9</xdr:row>
      <xdr:rowOff>76200</xdr:rowOff>
    </xdr:from>
    <xdr:to>
      <xdr:col>1</xdr:col>
      <xdr:colOff>211455</xdr:colOff>
      <xdr:row>10</xdr:row>
      <xdr:rowOff>0</xdr:rowOff>
    </xdr:to>
    <xdr:sp macro="Module12.arrowClick" textlink="">
      <xdr:nvSpPr>
        <xdr:cNvPr id="2" name="TopArrow">
          <a:extLst>
            <a:ext uri="{FF2B5EF4-FFF2-40B4-BE49-F238E27FC236}">
              <a16:creationId xmlns:a16="http://schemas.microsoft.com/office/drawing/2014/main" id="{00000000-0008-0000-0400-000002000000}"/>
            </a:ext>
          </a:extLst>
        </xdr:cNvPr>
        <xdr:cNvSpPr>
          <a:spLocks noChangeArrowheads="1"/>
        </xdr:cNvSpPr>
      </xdr:nvSpPr>
      <xdr:spPr bwMode="auto">
        <a:xfrm>
          <a:off x="38100" y="1619250"/>
          <a:ext cx="173355" cy="95250"/>
        </a:xfrm>
        <a:prstGeom prst="upArrow">
          <a:avLst>
            <a:gd name="adj1" fmla="val 50000"/>
            <a:gd name="adj2" fmla="val 50000"/>
          </a:avLst>
        </a:prstGeom>
        <a:solidFill>
          <a:srgbClr val="D9D9D9"/>
        </a:solidFill>
        <a:ln w="9525" algn="ctr">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6</xdr:col>
          <xdr:colOff>133350</xdr:colOff>
          <xdr:row>6</xdr:row>
          <xdr:rowOff>133350</xdr:rowOff>
        </xdr:from>
        <xdr:to>
          <xdr:col>7</xdr:col>
          <xdr:colOff>190500</xdr:colOff>
          <xdr:row>8</xdr:row>
          <xdr:rowOff>19050</xdr:rowOff>
        </xdr:to>
        <xdr:sp macro="" textlink="">
          <xdr:nvSpPr>
            <xdr:cNvPr id="1099780" name="SiteCheck" hidden="1">
              <a:extLst>
                <a:ext uri="{63B3BB69-23CF-44E3-9099-C40C66FF867C}">
                  <a14:compatExt spid="_x0000_s1099780"/>
                </a:ext>
                <a:ext uri="{FF2B5EF4-FFF2-40B4-BE49-F238E27FC236}">
                  <a16:creationId xmlns:a16="http://schemas.microsoft.com/office/drawing/2014/main" id="{00000000-0008-0000-0500-000004C8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1914525</xdr:colOff>
          <xdr:row>2</xdr:row>
          <xdr:rowOff>0</xdr:rowOff>
        </xdr:from>
        <xdr:to>
          <xdr:col>7</xdr:col>
          <xdr:colOff>2733675</xdr:colOff>
          <xdr:row>3</xdr:row>
          <xdr:rowOff>57150</xdr:rowOff>
        </xdr:to>
        <xdr:sp macro="" textlink="">
          <xdr:nvSpPr>
            <xdr:cNvPr id="1099781" name="Button 5" hidden="1">
              <a:extLst>
                <a:ext uri="{63B3BB69-23CF-44E3-9099-C40C66FF867C}">
                  <a14:compatExt spid="_x0000_s1099781"/>
                </a:ext>
                <a:ext uri="{FF2B5EF4-FFF2-40B4-BE49-F238E27FC236}">
                  <a16:creationId xmlns:a16="http://schemas.microsoft.com/office/drawing/2014/main" id="{00000000-0008-0000-0500-000005C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Portrait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1914525</xdr:colOff>
          <xdr:row>3</xdr:row>
          <xdr:rowOff>114300</xdr:rowOff>
        </xdr:from>
        <xdr:to>
          <xdr:col>7</xdr:col>
          <xdr:colOff>2733675</xdr:colOff>
          <xdr:row>5</xdr:row>
          <xdr:rowOff>19050</xdr:rowOff>
        </xdr:to>
        <xdr:sp macro="" textlink="">
          <xdr:nvSpPr>
            <xdr:cNvPr id="1099782" name="Button 6" hidden="1">
              <a:extLst>
                <a:ext uri="{63B3BB69-23CF-44E3-9099-C40C66FF867C}">
                  <a14:compatExt spid="_x0000_s1099782"/>
                </a:ext>
                <a:ext uri="{FF2B5EF4-FFF2-40B4-BE49-F238E27FC236}">
                  <a16:creationId xmlns:a16="http://schemas.microsoft.com/office/drawing/2014/main" id="{00000000-0008-0000-0500-000006C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Landscape</a:t>
              </a:r>
            </a:p>
          </xdr:txBody>
        </xdr:sp>
        <xdr:clientData fLocksWithSheet="0"/>
      </xdr:twoCellAnchor>
    </mc:Choice>
    <mc:Fallback/>
  </mc:AlternateContent>
  <xdr:twoCellAnchor>
    <xdr:from>
      <xdr:col>7</xdr:col>
      <xdr:colOff>1927860</xdr:colOff>
      <xdr:row>0</xdr:row>
      <xdr:rowOff>85726</xdr:rowOff>
    </xdr:from>
    <xdr:to>
      <xdr:col>7</xdr:col>
      <xdr:colOff>2204624</xdr:colOff>
      <xdr:row>2</xdr:row>
      <xdr:rowOff>1886</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3223260" y="85726"/>
          <a:ext cx="276764" cy="240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Page Layout</a:t>
          </a:r>
        </a:p>
      </xdr:txBody>
    </xdr:sp>
    <xdr:clientData/>
  </xdr:twoCellAnchor>
  <mc:AlternateContent xmlns:mc="http://schemas.openxmlformats.org/markup-compatibility/2006">
    <mc:Choice xmlns:a14="http://schemas.microsoft.com/office/drawing/2010/main" Requires="a14">
      <xdr:twoCellAnchor>
        <xdr:from>
          <xdr:col>8</xdr:col>
          <xdr:colOff>180975</xdr:colOff>
          <xdr:row>1</xdr:row>
          <xdr:rowOff>133350</xdr:rowOff>
        </xdr:from>
        <xdr:to>
          <xdr:col>9</xdr:col>
          <xdr:colOff>323850</xdr:colOff>
          <xdr:row>3</xdr:row>
          <xdr:rowOff>38100</xdr:rowOff>
        </xdr:to>
        <xdr:sp macro="" textlink="">
          <xdr:nvSpPr>
            <xdr:cNvPr id="1099783" name="MaterialCheck" hidden="1">
              <a:extLst>
                <a:ext uri="{63B3BB69-23CF-44E3-9099-C40C66FF867C}">
                  <a14:compatExt spid="_x0000_s1099783"/>
                </a:ext>
                <a:ext uri="{FF2B5EF4-FFF2-40B4-BE49-F238E27FC236}">
                  <a16:creationId xmlns:a16="http://schemas.microsoft.com/office/drawing/2014/main" id="{00000000-0008-0000-0500-000007C8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Material</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180975</xdr:colOff>
          <xdr:row>3</xdr:row>
          <xdr:rowOff>9525</xdr:rowOff>
        </xdr:from>
        <xdr:to>
          <xdr:col>9</xdr:col>
          <xdr:colOff>323850</xdr:colOff>
          <xdr:row>4</xdr:row>
          <xdr:rowOff>76200</xdr:rowOff>
        </xdr:to>
        <xdr:sp macro="" textlink="">
          <xdr:nvSpPr>
            <xdr:cNvPr id="1099784" name="LaborCheck" hidden="1">
              <a:extLst>
                <a:ext uri="{63B3BB69-23CF-44E3-9099-C40C66FF867C}">
                  <a14:compatExt spid="_x0000_s1099784"/>
                </a:ext>
                <a:ext uri="{FF2B5EF4-FFF2-40B4-BE49-F238E27FC236}">
                  <a16:creationId xmlns:a16="http://schemas.microsoft.com/office/drawing/2014/main" id="{00000000-0008-0000-0500-000008C8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Labor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180975</xdr:colOff>
          <xdr:row>4</xdr:row>
          <xdr:rowOff>57150</xdr:rowOff>
        </xdr:from>
        <xdr:to>
          <xdr:col>9</xdr:col>
          <xdr:colOff>323850</xdr:colOff>
          <xdr:row>5</xdr:row>
          <xdr:rowOff>123825</xdr:rowOff>
        </xdr:to>
        <xdr:sp macro="" textlink="">
          <xdr:nvSpPr>
            <xdr:cNvPr id="1099785" name="EquipmentCheck" hidden="1">
              <a:extLst>
                <a:ext uri="{63B3BB69-23CF-44E3-9099-C40C66FF867C}">
                  <a14:compatExt spid="_x0000_s1099785"/>
                </a:ext>
                <a:ext uri="{FF2B5EF4-FFF2-40B4-BE49-F238E27FC236}">
                  <a16:creationId xmlns:a16="http://schemas.microsoft.com/office/drawing/2014/main" id="{00000000-0008-0000-0500-000009C8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Equipment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180975</xdr:colOff>
          <xdr:row>5</xdr:row>
          <xdr:rowOff>95250</xdr:rowOff>
        </xdr:from>
        <xdr:to>
          <xdr:col>9</xdr:col>
          <xdr:colOff>323850</xdr:colOff>
          <xdr:row>7</xdr:row>
          <xdr:rowOff>0</xdr:rowOff>
        </xdr:to>
        <xdr:sp macro="" textlink="">
          <xdr:nvSpPr>
            <xdr:cNvPr id="1099786" name="OtherCheck" hidden="1">
              <a:extLst>
                <a:ext uri="{63B3BB69-23CF-44E3-9099-C40C66FF867C}">
                  <a14:compatExt spid="_x0000_s1099786"/>
                </a:ext>
                <a:ext uri="{FF2B5EF4-FFF2-40B4-BE49-F238E27FC236}">
                  <a16:creationId xmlns:a16="http://schemas.microsoft.com/office/drawing/2014/main" id="{00000000-0008-0000-0500-00000AC8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Other</a:t>
              </a:r>
            </a:p>
          </xdr:txBody>
        </xdr:sp>
        <xdr:clientData/>
      </xdr:twoCellAnchor>
    </mc:Choice>
    <mc:Fallback/>
  </mc:AlternateContent>
  <xdr:twoCellAnchor>
    <xdr:from>
      <xdr:col>8</xdr:col>
      <xdr:colOff>236220</xdr:colOff>
      <xdr:row>0</xdr:row>
      <xdr:rowOff>123824</xdr:rowOff>
    </xdr:from>
    <xdr:to>
      <xdr:col>9</xdr:col>
      <xdr:colOff>312358</xdr:colOff>
      <xdr:row>2</xdr:row>
      <xdr:rowOff>2528</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4284345" y="123824"/>
          <a:ext cx="752413" cy="202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Show/Hide </a:t>
          </a:r>
        </a:p>
      </xdr:txBody>
    </xdr:sp>
    <xdr:clientData/>
  </xdr:twoCellAnchor>
  <mc:AlternateContent xmlns:mc="http://schemas.openxmlformats.org/markup-compatibility/2006">
    <mc:Choice xmlns:a14="http://schemas.microsoft.com/office/drawing/2010/main" Requires="a14">
      <xdr:twoCellAnchor>
        <xdr:from>
          <xdr:col>14</xdr:col>
          <xdr:colOff>95250</xdr:colOff>
          <xdr:row>1</xdr:row>
          <xdr:rowOff>161925</xdr:rowOff>
        </xdr:from>
        <xdr:to>
          <xdr:col>15</xdr:col>
          <xdr:colOff>19050</xdr:colOff>
          <xdr:row>3</xdr:row>
          <xdr:rowOff>57150</xdr:rowOff>
        </xdr:to>
        <xdr:sp macro="" textlink="">
          <xdr:nvSpPr>
            <xdr:cNvPr id="1099787" name="Button 11" hidden="1">
              <a:extLst>
                <a:ext uri="{63B3BB69-23CF-44E3-9099-C40C66FF867C}">
                  <a14:compatExt spid="_x0000_s1099787"/>
                </a:ext>
                <a:ext uri="{FF2B5EF4-FFF2-40B4-BE49-F238E27FC236}">
                  <a16:creationId xmlns:a16="http://schemas.microsoft.com/office/drawing/2014/main" id="{00000000-0008-0000-0500-00000BC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3</xdr:row>
          <xdr:rowOff>104775</xdr:rowOff>
        </xdr:from>
        <xdr:to>
          <xdr:col>15</xdr:col>
          <xdr:colOff>19050</xdr:colOff>
          <xdr:row>5</xdr:row>
          <xdr:rowOff>9525</xdr:rowOff>
        </xdr:to>
        <xdr:sp macro="" textlink="">
          <xdr:nvSpPr>
            <xdr:cNvPr id="1099788" name="Button 12" hidden="1">
              <a:extLst>
                <a:ext uri="{63B3BB69-23CF-44E3-9099-C40C66FF867C}">
                  <a14:compatExt spid="_x0000_s1099788"/>
                </a:ext>
                <a:ext uri="{FF2B5EF4-FFF2-40B4-BE49-F238E27FC236}">
                  <a16:creationId xmlns:a16="http://schemas.microsoft.com/office/drawing/2014/main" id="{00000000-0008-0000-0500-00000CC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Detail</a:t>
              </a:r>
            </a:p>
          </xdr:txBody>
        </xdr:sp>
        <xdr:clientData fPrintsWithSheet="0"/>
      </xdr:twoCellAnchor>
    </mc:Choice>
    <mc:Fallback/>
  </mc:AlternateContent>
  <xdr:twoCellAnchor>
    <xdr:from>
      <xdr:col>14</xdr:col>
      <xdr:colOff>91440</xdr:colOff>
      <xdr:row>0</xdr:row>
      <xdr:rowOff>85725</xdr:rowOff>
    </xdr:from>
    <xdr:to>
      <xdr:col>15</xdr:col>
      <xdr:colOff>32718</xdr:colOff>
      <xdr:row>2</xdr:row>
      <xdr:rowOff>2976</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234940" y="85725"/>
          <a:ext cx="760428" cy="241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Jump</a:t>
          </a:r>
          <a:r>
            <a:rPr lang="en-US" sz="1000" b="0" baseline="0"/>
            <a:t> To</a:t>
          </a:r>
          <a:endParaRPr lang="en-US" sz="1000" b="0"/>
        </a:p>
      </xdr:txBody>
    </xdr:sp>
    <xdr:clientData/>
  </xdr:twoCellAnchor>
  <mc:AlternateContent xmlns:mc="http://schemas.openxmlformats.org/markup-compatibility/2006">
    <mc:Choice xmlns:a14="http://schemas.microsoft.com/office/drawing/2010/main" Requires="a14">
      <xdr:twoCellAnchor>
        <xdr:from>
          <xdr:col>7</xdr:col>
          <xdr:colOff>1914525</xdr:colOff>
          <xdr:row>6</xdr:row>
          <xdr:rowOff>114300</xdr:rowOff>
        </xdr:from>
        <xdr:to>
          <xdr:col>7</xdr:col>
          <xdr:colOff>2266950</xdr:colOff>
          <xdr:row>8</xdr:row>
          <xdr:rowOff>19050</xdr:rowOff>
        </xdr:to>
        <xdr:sp macro="" textlink="">
          <xdr:nvSpPr>
            <xdr:cNvPr id="1099789" name="Button 13" hidden="1">
              <a:extLst>
                <a:ext uri="{63B3BB69-23CF-44E3-9099-C40C66FF867C}">
                  <a14:compatExt spid="_x0000_s1099789"/>
                </a:ext>
                <a:ext uri="{FF2B5EF4-FFF2-40B4-BE49-F238E27FC236}">
                  <a16:creationId xmlns:a16="http://schemas.microsoft.com/office/drawing/2014/main" id="{00000000-0008-0000-0500-00000DC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Run</a:t>
              </a:r>
            </a:p>
          </xdr:txBody>
        </xdr:sp>
        <xdr:clientData fLocksWithSheet="0"/>
      </xdr:twoCellAnchor>
    </mc:Choice>
    <mc:Fallback/>
  </mc:AlternateContent>
  <xdr:twoCellAnchor>
    <xdr:from>
      <xdr:col>7</xdr:col>
      <xdr:colOff>1885950</xdr:colOff>
      <xdr:row>5</xdr:row>
      <xdr:rowOff>34290</xdr:rowOff>
    </xdr:from>
    <xdr:to>
      <xdr:col>8</xdr:col>
      <xdr:colOff>386</xdr:colOff>
      <xdr:row>6</xdr:row>
      <xdr:rowOff>115388</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3181350" y="843915"/>
          <a:ext cx="867161" cy="243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QC</a:t>
          </a:r>
          <a:r>
            <a:rPr lang="en-US" sz="1000" b="0" baseline="0"/>
            <a:t>/QA</a:t>
          </a:r>
          <a:endParaRPr lang="en-US" sz="1000" b="0"/>
        </a:p>
      </xdr:txBody>
    </xdr:sp>
    <xdr:clientData/>
  </xdr:twoCellAnchor>
  <mc:AlternateContent xmlns:mc="http://schemas.openxmlformats.org/markup-compatibility/2006">
    <mc:Choice xmlns:a14="http://schemas.microsoft.com/office/drawing/2010/main" Requires="a14">
      <xdr:twoCellAnchor>
        <xdr:from>
          <xdr:col>7</xdr:col>
          <xdr:colOff>2352675</xdr:colOff>
          <xdr:row>6</xdr:row>
          <xdr:rowOff>114300</xdr:rowOff>
        </xdr:from>
        <xdr:to>
          <xdr:col>7</xdr:col>
          <xdr:colOff>2714625</xdr:colOff>
          <xdr:row>8</xdr:row>
          <xdr:rowOff>19050</xdr:rowOff>
        </xdr:to>
        <xdr:sp macro="" textlink="">
          <xdr:nvSpPr>
            <xdr:cNvPr id="1099790" name="Button 14" hidden="1">
              <a:extLst>
                <a:ext uri="{63B3BB69-23CF-44E3-9099-C40C66FF867C}">
                  <a14:compatExt spid="_x0000_s1099790"/>
                </a:ext>
                <a:ext uri="{FF2B5EF4-FFF2-40B4-BE49-F238E27FC236}">
                  <a16:creationId xmlns:a16="http://schemas.microsoft.com/office/drawing/2014/main" id="{00000000-0008-0000-0500-00000EC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Undo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15</xdr:col>
          <xdr:colOff>295275</xdr:colOff>
          <xdr:row>1</xdr:row>
          <xdr:rowOff>57150</xdr:rowOff>
        </xdr:from>
        <xdr:to>
          <xdr:col>16</xdr:col>
          <xdr:colOff>400050</xdr:colOff>
          <xdr:row>4</xdr:row>
          <xdr:rowOff>9525</xdr:rowOff>
        </xdr:to>
        <xdr:sp macro="" textlink="">
          <xdr:nvSpPr>
            <xdr:cNvPr id="1099791" name="Button 15" hidden="1">
              <a:extLst>
                <a:ext uri="{63B3BB69-23CF-44E3-9099-C40C66FF867C}">
                  <a14:compatExt spid="_x0000_s1099791"/>
                </a:ext>
                <a:ext uri="{FF2B5EF4-FFF2-40B4-BE49-F238E27FC236}">
                  <a16:creationId xmlns:a16="http://schemas.microsoft.com/office/drawing/2014/main" id="{00000000-0008-0000-0500-00000FC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Control Quantities</a:t>
              </a:r>
            </a:p>
            <a:p>
              <a:pPr algn="ctr" rtl="0">
                <a:defRPr sz="1000"/>
              </a:pPr>
              <a:r>
                <a:rPr lang="en-US" sz="1000" b="0" i="1" u="none" strike="noStrike" baseline="0">
                  <a:solidFill>
                    <a:srgbClr val="000000"/>
                  </a:solidFill>
                  <a:latin typeface="Arial"/>
                  <a:cs typeface="Arial"/>
                </a:rPr>
                <a:t>ctrl - 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304800</xdr:colOff>
          <xdr:row>4</xdr:row>
          <xdr:rowOff>114300</xdr:rowOff>
        </xdr:from>
        <xdr:to>
          <xdr:col>16</xdr:col>
          <xdr:colOff>409575</xdr:colOff>
          <xdr:row>7</xdr:row>
          <xdr:rowOff>57150</xdr:rowOff>
        </xdr:to>
        <xdr:sp macro="" textlink="">
          <xdr:nvSpPr>
            <xdr:cNvPr id="1099792" name="Button 16" hidden="1">
              <a:extLst>
                <a:ext uri="{63B3BB69-23CF-44E3-9099-C40C66FF867C}">
                  <a14:compatExt spid="_x0000_s1099792"/>
                </a:ext>
                <a:ext uri="{FF2B5EF4-FFF2-40B4-BE49-F238E27FC236}">
                  <a16:creationId xmlns:a16="http://schemas.microsoft.com/office/drawing/2014/main" id="{00000000-0008-0000-0500-000010C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Item Selector</a:t>
              </a:r>
            </a:p>
            <a:p>
              <a:pPr algn="ctr" rtl="0">
                <a:defRPr sz="1000"/>
              </a:pPr>
              <a:r>
                <a:rPr lang="en-US" sz="1000" b="0" i="1" u="none" strike="noStrike" baseline="0">
                  <a:solidFill>
                    <a:srgbClr val="000000"/>
                  </a:solidFill>
                  <a:latin typeface="Arial"/>
                  <a:cs typeface="Arial"/>
                </a:rPr>
                <a:t>ctrl - 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2</xdr:row>
          <xdr:rowOff>38100</xdr:rowOff>
        </xdr:from>
        <xdr:to>
          <xdr:col>32</xdr:col>
          <xdr:colOff>1504950</xdr:colOff>
          <xdr:row>3</xdr:row>
          <xdr:rowOff>123825</xdr:rowOff>
        </xdr:to>
        <xdr:sp macro="" textlink="">
          <xdr:nvSpPr>
            <xdr:cNvPr id="1099793" name="Button 17" hidden="1">
              <a:extLst>
                <a:ext uri="{63B3BB69-23CF-44E3-9099-C40C66FF867C}">
                  <a14:compatExt spid="_x0000_s1099793"/>
                </a:ext>
                <a:ext uri="{FF2B5EF4-FFF2-40B4-BE49-F238E27FC236}">
                  <a16:creationId xmlns:a16="http://schemas.microsoft.com/office/drawing/2014/main" id="{00000000-0008-0000-0500-000011C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Hide unused sections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4</xdr:row>
          <xdr:rowOff>19050</xdr:rowOff>
        </xdr:from>
        <xdr:to>
          <xdr:col>32</xdr:col>
          <xdr:colOff>1504950</xdr:colOff>
          <xdr:row>5</xdr:row>
          <xdr:rowOff>114300</xdr:rowOff>
        </xdr:to>
        <xdr:sp macro="" textlink="">
          <xdr:nvSpPr>
            <xdr:cNvPr id="1099794" name="Button 18" hidden="1">
              <a:extLst>
                <a:ext uri="{63B3BB69-23CF-44E3-9099-C40C66FF867C}">
                  <a14:compatExt spid="_x0000_s1099794"/>
                </a:ext>
                <a:ext uri="{FF2B5EF4-FFF2-40B4-BE49-F238E27FC236}">
                  <a16:creationId xmlns:a16="http://schemas.microsoft.com/office/drawing/2014/main" id="{00000000-0008-0000-0500-000012C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sections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104775</xdr:rowOff>
        </xdr:from>
        <xdr:to>
          <xdr:col>15</xdr:col>
          <xdr:colOff>19050</xdr:colOff>
          <xdr:row>7</xdr:row>
          <xdr:rowOff>9525</xdr:rowOff>
        </xdr:to>
        <xdr:sp macro="" textlink="">
          <xdr:nvSpPr>
            <xdr:cNvPr id="1099795" name="Button 19" hidden="1">
              <a:extLst>
                <a:ext uri="{63B3BB69-23CF-44E3-9099-C40C66FF867C}">
                  <a14:compatExt spid="_x0000_s1099795"/>
                </a:ext>
                <a:ext uri="{FF2B5EF4-FFF2-40B4-BE49-F238E27FC236}">
                  <a16:creationId xmlns:a16="http://schemas.microsoft.com/office/drawing/2014/main" id="{00000000-0008-0000-0500-000013C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MOVE</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57150</xdr:colOff>
          <xdr:row>6</xdr:row>
          <xdr:rowOff>76200</xdr:rowOff>
        </xdr:from>
        <xdr:to>
          <xdr:col>32</xdr:col>
          <xdr:colOff>1238250</xdr:colOff>
          <xdr:row>8</xdr:row>
          <xdr:rowOff>66675</xdr:rowOff>
        </xdr:to>
        <xdr:sp macro="" textlink="">
          <xdr:nvSpPr>
            <xdr:cNvPr id="1107969" name="Button 1" hidden="1">
              <a:extLst>
                <a:ext uri="{63B3BB69-23CF-44E3-9099-C40C66FF867C}">
                  <a14:compatExt spid="_x0000_s1107969"/>
                </a:ext>
                <a:ext uri="{FF2B5EF4-FFF2-40B4-BE49-F238E27FC236}">
                  <a16:creationId xmlns:a16="http://schemas.microsoft.com/office/drawing/2014/main" id="{00000000-0008-0000-0600-000001E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Show/Hide SF</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37</xdr:col>
          <xdr:colOff>28575</xdr:colOff>
          <xdr:row>11</xdr:row>
          <xdr:rowOff>133350</xdr:rowOff>
        </xdr:from>
        <xdr:to>
          <xdr:col>37</xdr:col>
          <xdr:colOff>838200</xdr:colOff>
          <xdr:row>13</xdr:row>
          <xdr:rowOff>38100</xdr:rowOff>
        </xdr:to>
        <xdr:sp macro="" textlink="">
          <xdr:nvSpPr>
            <xdr:cNvPr id="1107970" name="Button 2" hidden="1">
              <a:extLst>
                <a:ext uri="{63B3BB69-23CF-44E3-9099-C40C66FF867C}">
                  <a14:compatExt spid="_x0000_s1107970"/>
                </a:ext>
                <a:ext uri="{FF2B5EF4-FFF2-40B4-BE49-F238E27FC236}">
                  <a16:creationId xmlns:a16="http://schemas.microsoft.com/office/drawing/2014/main" id="{00000000-0008-0000-0600-000002E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238125</xdr:colOff>
          <xdr:row>460</xdr:row>
          <xdr:rowOff>95250</xdr:rowOff>
        </xdr:from>
        <xdr:to>
          <xdr:col>15</xdr:col>
          <xdr:colOff>1066800</xdr:colOff>
          <xdr:row>462</xdr:row>
          <xdr:rowOff>0</xdr:rowOff>
        </xdr:to>
        <xdr:sp macro="" textlink="">
          <xdr:nvSpPr>
            <xdr:cNvPr id="1107971" name="Button 3" hidden="1">
              <a:extLst>
                <a:ext uri="{63B3BB69-23CF-44E3-9099-C40C66FF867C}">
                  <a14:compatExt spid="_x0000_s1107971"/>
                </a:ext>
                <a:ext uri="{FF2B5EF4-FFF2-40B4-BE49-F238E27FC236}">
                  <a16:creationId xmlns:a16="http://schemas.microsoft.com/office/drawing/2014/main" id="{00000000-0008-0000-0600-000003E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Summary</a:t>
              </a:r>
            </a:p>
          </xdr:txBody>
        </xdr:sp>
        <xdr:clientData fPrintsWithSheet="0"/>
      </xdr:twoCellAnchor>
    </mc:Choice>
    <mc:Fallback/>
  </mc:AlternateContent>
  <xdr:twoCellAnchor>
    <xdr:from>
      <xdr:col>1</xdr:col>
      <xdr:colOff>38100</xdr:colOff>
      <xdr:row>9</xdr:row>
      <xdr:rowOff>76200</xdr:rowOff>
    </xdr:from>
    <xdr:to>
      <xdr:col>1</xdr:col>
      <xdr:colOff>219075</xdr:colOff>
      <xdr:row>9</xdr:row>
      <xdr:rowOff>200025</xdr:rowOff>
    </xdr:to>
    <xdr:sp macro="Module12.arrowClick" textlink="">
      <xdr:nvSpPr>
        <xdr:cNvPr id="2" name="TopArrow">
          <a:extLst>
            <a:ext uri="{FF2B5EF4-FFF2-40B4-BE49-F238E27FC236}">
              <a16:creationId xmlns:a16="http://schemas.microsoft.com/office/drawing/2014/main" id="{00000000-0008-0000-0500-000002000000}"/>
            </a:ext>
          </a:extLst>
        </xdr:cNvPr>
        <xdr:cNvSpPr>
          <a:spLocks noChangeArrowheads="1"/>
        </xdr:cNvSpPr>
      </xdr:nvSpPr>
      <xdr:spPr bwMode="auto">
        <a:xfrm>
          <a:off x="38100" y="1543050"/>
          <a:ext cx="180975" cy="95250"/>
        </a:xfrm>
        <a:prstGeom prst="upArrow">
          <a:avLst>
            <a:gd name="adj1" fmla="val 50000"/>
            <a:gd name="adj2" fmla="val 50000"/>
          </a:avLst>
        </a:prstGeom>
        <a:solidFill>
          <a:srgbClr val="D9D9D9"/>
        </a:solidFill>
        <a:ln w="9525" algn="ctr">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6</xdr:col>
          <xdr:colOff>133350</xdr:colOff>
          <xdr:row>6</xdr:row>
          <xdr:rowOff>133350</xdr:rowOff>
        </xdr:from>
        <xdr:to>
          <xdr:col>7</xdr:col>
          <xdr:colOff>190500</xdr:colOff>
          <xdr:row>8</xdr:row>
          <xdr:rowOff>19050</xdr:rowOff>
        </xdr:to>
        <xdr:sp macro="" textlink="">
          <xdr:nvSpPr>
            <xdr:cNvPr id="1107972" name="SiteCheck" hidden="1">
              <a:extLst>
                <a:ext uri="{63B3BB69-23CF-44E3-9099-C40C66FF867C}">
                  <a14:compatExt spid="_x0000_s1107972"/>
                </a:ext>
                <a:ext uri="{FF2B5EF4-FFF2-40B4-BE49-F238E27FC236}">
                  <a16:creationId xmlns:a16="http://schemas.microsoft.com/office/drawing/2014/main" id="{00000000-0008-0000-0600-000004E8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1914525</xdr:colOff>
          <xdr:row>2</xdr:row>
          <xdr:rowOff>0</xdr:rowOff>
        </xdr:from>
        <xdr:to>
          <xdr:col>7</xdr:col>
          <xdr:colOff>2733675</xdr:colOff>
          <xdr:row>3</xdr:row>
          <xdr:rowOff>57150</xdr:rowOff>
        </xdr:to>
        <xdr:sp macro="" textlink="">
          <xdr:nvSpPr>
            <xdr:cNvPr id="1107973" name="Button 5" hidden="1">
              <a:extLst>
                <a:ext uri="{63B3BB69-23CF-44E3-9099-C40C66FF867C}">
                  <a14:compatExt spid="_x0000_s1107973"/>
                </a:ext>
                <a:ext uri="{FF2B5EF4-FFF2-40B4-BE49-F238E27FC236}">
                  <a16:creationId xmlns:a16="http://schemas.microsoft.com/office/drawing/2014/main" id="{00000000-0008-0000-0600-000005E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Portrait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1914525</xdr:colOff>
          <xdr:row>3</xdr:row>
          <xdr:rowOff>114300</xdr:rowOff>
        </xdr:from>
        <xdr:to>
          <xdr:col>7</xdr:col>
          <xdr:colOff>2733675</xdr:colOff>
          <xdr:row>5</xdr:row>
          <xdr:rowOff>19050</xdr:rowOff>
        </xdr:to>
        <xdr:sp macro="" textlink="">
          <xdr:nvSpPr>
            <xdr:cNvPr id="1107974" name="Button 6" hidden="1">
              <a:extLst>
                <a:ext uri="{63B3BB69-23CF-44E3-9099-C40C66FF867C}">
                  <a14:compatExt spid="_x0000_s1107974"/>
                </a:ext>
                <a:ext uri="{FF2B5EF4-FFF2-40B4-BE49-F238E27FC236}">
                  <a16:creationId xmlns:a16="http://schemas.microsoft.com/office/drawing/2014/main" id="{00000000-0008-0000-0600-000006E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Landscape</a:t>
              </a:r>
            </a:p>
          </xdr:txBody>
        </xdr:sp>
        <xdr:clientData fLocksWithSheet="0"/>
      </xdr:twoCellAnchor>
    </mc:Choice>
    <mc:Fallback/>
  </mc:AlternateContent>
  <xdr:twoCellAnchor>
    <xdr:from>
      <xdr:col>7</xdr:col>
      <xdr:colOff>1927860</xdr:colOff>
      <xdr:row>0</xdr:row>
      <xdr:rowOff>85726</xdr:rowOff>
    </xdr:from>
    <xdr:to>
      <xdr:col>7</xdr:col>
      <xdr:colOff>2204624</xdr:colOff>
      <xdr:row>2</xdr:row>
      <xdr:rowOff>1886</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3223260" y="85726"/>
          <a:ext cx="276764" cy="240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Page Layout</a:t>
          </a:r>
        </a:p>
      </xdr:txBody>
    </xdr:sp>
    <xdr:clientData/>
  </xdr:twoCellAnchor>
  <mc:AlternateContent xmlns:mc="http://schemas.openxmlformats.org/markup-compatibility/2006">
    <mc:Choice xmlns:a14="http://schemas.microsoft.com/office/drawing/2010/main" Requires="a14">
      <xdr:twoCellAnchor>
        <xdr:from>
          <xdr:col>8</xdr:col>
          <xdr:colOff>180975</xdr:colOff>
          <xdr:row>1</xdr:row>
          <xdr:rowOff>133350</xdr:rowOff>
        </xdr:from>
        <xdr:to>
          <xdr:col>9</xdr:col>
          <xdr:colOff>323850</xdr:colOff>
          <xdr:row>3</xdr:row>
          <xdr:rowOff>38100</xdr:rowOff>
        </xdr:to>
        <xdr:sp macro="" textlink="">
          <xdr:nvSpPr>
            <xdr:cNvPr id="1107975" name="MaterialCheck" hidden="1">
              <a:extLst>
                <a:ext uri="{63B3BB69-23CF-44E3-9099-C40C66FF867C}">
                  <a14:compatExt spid="_x0000_s1107975"/>
                </a:ext>
                <a:ext uri="{FF2B5EF4-FFF2-40B4-BE49-F238E27FC236}">
                  <a16:creationId xmlns:a16="http://schemas.microsoft.com/office/drawing/2014/main" id="{00000000-0008-0000-0600-000007E8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Material</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180975</xdr:colOff>
          <xdr:row>3</xdr:row>
          <xdr:rowOff>9525</xdr:rowOff>
        </xdr:from>
        <xdr:to>
          <xdr:col>9</xdr:col>
          <xdr:colOff>323850</xdr:colOff>
          <xdr:row>4</xdr:row>
          <xdr:rowOff>76200</xdr:rowOff>
        </xdr:to>
        <xdr:sp macro="" textlink="">
          <xdr:nvSpPr>
            <xdr:cNvPr id="1107976" name="LaborCheck" hidden="1">
              <a:extLst>
                <a:ext uri="{63B3BB69-23CF-44E3-9099-C40C66FF867C}">
                  <a14:compatExt spid="_x0000_s1107976"/>
                </a:ext>
                <a:ext uri="{FF2B5EF4-FFF2-40B4-BE49-F238E27FC236}">
                  <a16:creationId xmlns:a16="http://schemas.microsoft.com/office/drawing/2014/main" id="{00000000-0008-0000-0600-000008E8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Labor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180975</xdr:colOff>
          <xdr:row>4</xdr:row>
          <xdr:rowOff>57150</xdr:rowOff>
        </xdr:from>
        <xdr:to>
          <xdr:col>9</xdr:col>
          <xdr:colOff>323850</xdr:colOff>
          <xdr:row>5</xdr:row>
          <xdr:rowOff>123825</xdr:rowOff>
        </xdr:to>
        <xdr:sp macro="" textlink="">
          <xdr:nvSpPr>
            <xdr:cNvPr id="1107977" name="EquipmentCheck" hidden="1">
              <a:extLst>
                <a:ext uri="{63B3BB69-23CF-44E3-9099-C40C66FF867C}">
                  <a14:compatExt spid="_x0000_s1107977"/>
                </a:ext>
                <a:ext uri="{FF2B5EF4-FFF2-40B4-BE49-F238E27FC236}">
                  <a16:creationId xmlns:a16="http://schemas.microsoft.com/office/drawing/2014/main" id="{00000000-0008-0000-0600-000009E8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Equipment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180975</xdr:colOff>
          <xdr:row>5</xdr:row>
          <xdr:rowOff>95250</xdr:rowOff>
        </xdr:from>
        <xdr:to>
          <xdr:col>9</xdr:col>
          <xdr:colOff>323850</xdr:colOff>
          <xdr:row>7</xdr:row>
          <xdr:rowOff>0</xdr:rowOff>
        </xdr:to>
        <xdr:sp macro="" textlink="">
          <xdr:nvSpPr>
            <xdr:cNvPr id="1107978" name="OtherCheck" hidden="1">
              <a:extLst>
                <a:ext uri="{63B3BB69-23CF-44E3-9099-C40C66FF867C}">
                  <a14:compatExt spid="_x0000_s1107978"/>
                </a:ext>
                <a:ext uri="{FF2B5EF4-FFF2-40B4-BE49-F238E27FC236}">
                  <a16:creationId xmlns:a16="http://schemas.microsoft.com/office/drawing/2014/main" id="{00000000-0008-0000-0600-00000AE81000}"/>
                </a:ext>
              </a:extLst>
            </xdr:cNvPr>
            <xdr:cNvSpPr/>
          </xdr:nvSpPr>
          <xdr:spPr bwMode="auto">
            <a:xfrm>
              <a:off x="0" y="0"/>
              <a:ext cx="0" cy="0"/>
            </a:xfrm>
            <a:prstGeom prst="rect">
              <a:avLst/>
            </a:prstGeom>
            <a:noFill/>
            <a:ln>
              <a:noFill/>
            </a:ln>
            <a:effectLst/>
            <a:extLst>
              <a:ext uri="{909E8E84-426E-40DD-AFC4-6F175D3DCCD1}">
                <a14:hiddenFill>
                  <a:solidFill>
                    <a:srgbClr val="FFFFE1" mc:Ignorable="a14" a14:legacySpreadsheetColorIndex="80"/>
                  </a:solidFill>
                </a14:hiddenFill>
              </a:ext>
              <a:ext uri="{91240B29-F687-4F45-9708-019B960494DF}">
                <a14:hiddenLine w="9525">
                  <a:solidFill>
                    <a:srgbClr val="000000"/>
                  </a:solidFill>
                  <a:miter lim="800000"/>
                  <a:headEnd/>
                  <a:tailEnd/>
                </a14:hiddenLine>
              </a:ext>
              <a:ext uri="{53640926-AAD7-44D8-BBD7-CCE9431645EC}">
                <a14:shadowObscured val="1"/>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Other</a:t>
              </a:r>
            </a:p>
          </xdr:txBody>
        </xdr:sp>
        <xdr:clientData/>
      </xdr:twoCellAnchor>
    </mc:Choice>
    <mc:Fallback/>
  </mc:AlternateContent>
  <xdr:twoCellAnchor>
    <xdr:from>
      <xdr:col>8</xdr:col>
      <xdr:colOff>236220</xdr:colOff>
      <xdr:row>0</xdr:row>
      <xdr:rowOff>123824</xdr:rowOff>
    </xdr:from>
    <xdr:to>
      <xdr:col>9</xdr:col>
      <xdr:colOff>312358</xdr:colOff>
      <xdr:row>2</xdr:row>
      <xdr:rowOff>2528</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4331970" y="123824"/>
          <a:ext cx="742888" cy="202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Show/Hide </a:t>
          </a:r>
        </a:p>
      </xdr:txBody>
    </xdr:sp>
    <xdr:clientData/>
  </xdr:twoCellAnchor>
  <mc:AlternateContent xmlns:mc="http://schemas.openxmlformats.org/markup-compatibility/2006">
    <mc:Choice xmlns:a14="http://schemas.microsoft.com/office/drawing/2010/main" Requires="a14">
      <xdr:twoCellAnchor>
        <xdr:from>
          <xdr:col>14</xdr:col>
          <xdr:colOff>95250</xdr:colOff>
          <xdr:row>1</xdr:row>
          <xdr:rowOff>161925</xdr:rowOff>
        </xdr:from>
        <xdr:to>
          <xdr:col>15</xdr:col>
          <xdr:colOff>19050</xdr:colOff>
          <xdr:row>3</xdr:row>
          <xdr:rowOff>57150</xdr:rowOff>
        </xdr:to>
        <xdr:sp macro="" textlink="">
          <xdr:nvSpPr>
            <xdr:cNvPr id="1107979" name="Button 11" hidden="1">
              <a:extLst>
                <a:ext uri="{63B3BB69-23CF-44E3-9099-C40C66FF867C}">
                  <a14:compatExt spid="_x0000_s1107979"/>
                </a:ext>
                <a:ext uri="{FF2B5EF4-FFF2-40B4-BE49-F238E27FC236}">
                  <a16:creationId xmlns:a16="http://schemas.microsoft.com/office/drawing/2014/main" id="{00000000-0008-0000-0600-00000BE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3</xdr:row>
          <xdr:rowOff>104775</xdr:rowOff>
        </xdr:from>
        <xdr:to>
          <xdr:col>15</xdr:col>
          <xdr:colOff>19050</xdr:colOff>
          <xdr:row>5</xdr:row>
          <xdr:rowOff>9525</xdr:rowOff>
        </xdr:to>
        <xdr:sp macro="" textlink="">
          <xdr:nvSpPr>
            <xdr:cNvPr id="1107980" name="Button 12" hidden="1">
              <a:extLst>
                <a:ext uri="{63B3BB69-23CF-44E3-9099-C40C66FF867C}">
                  <a14:compatExt spid="_x0000_s1107980"/>
                </a:ext>
                <a:ext uri="{FF2B5EF4-FFF2-40B4-BE49-F238E27FC236}">
                  <a16:creationId xmlns:a16="http://schemas.microsoft.com/office/drawing/2014/main" id="{00000000-0008-0000-0600-00000CE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Detail</a:t>
              </a:r>
            </a:p>
          </xdr:txBody>
        </xdr:sp>
        <xdr:clientData fPrintsWithSheet="0"/>
      </xdr:twoCellAnchor>
    </mc:Choice>
    <mc:Fallback/>
  </mc:AlternateContent>
  <xdr:twoCellAnchor>
    <xdr:from>
      <xdr:col>14</xdr:col>
      <xdr:colOff>91440</xdr:colOff>
      <xdr:row>0</xdr:row>
      <xdr:rowOff>85725</xdr:rowOff>
    </xdr:from>
    <xdr:to>
      <xdr:col>15</xdr:col>
      <xdr:colOff>32718</xdr:colOff>
      <xdr:row>2</xdr:row>
      <xdr:rowOff>2976</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7663815" y="85725"/>
          <a:ext cx="769953" cy="241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Jump</a:t>
          </a:r>
          <a:r>
            <a:rPr lang="en-US" sz="1000" b="0" baseline="0"/>
            <a:t> To</a:t>
          </a:r>
          <a:endParaRPr lang="en-US" sz="1000" b="0"/>
        </a:p>
      </xdr:txBody>
    </xdr:sp>
    <xdr:clientData/>
  </xdr:twoCellAnchor>
  <mc:AlternateContent xmlns:mc="http://schemas.openxmlformats.org/markup-compatibility/2006">
    <mc:Choice xmlns:a14="http://schemas.microsoft.com/office/drawing/2010/main" Requires="a14">
      <xdr:twoCellAnchor>
        <xdr:from>
          <xdr:col>7</xdr:col>
          <xdr:colOff>1914525</xdr:colOff>
          <xdr:row>6</xdr:row>
          <xdr:rowOff>114300</xdr:rowOff>
        </xdr:from>
        <xdr:to>
          <xdr:col>7</xdr:col>
          <xdr:colOff>2266950</xdr:colOff>
          <xdr:row>8</xdr:row>
          <xdr:rowOff>19050</xdr:rowOff>
        </xdr:to>
        <xdr:sp macro="" textlink="">
          <xdr:nvSpPr>
            <xdr:cNvPr id="1107981" name="Button 13" hidden="1">
              <a:extLst>
                <a:ext uri="{63B3BB69-23CF-44E3-9099-C40C66FF867C}">
                  <a14:compatExt spid="_x0000_s1107981"/>
                </a:ext>
                <a:ext uri="{FF2B5EF4-FFF2-40B4-BE49-F238E27FC236}">
                  <a16:creationId xmlns:a16="http://schemas.microsoft.com/office/drawing/2014/main" id="{00000000-0008-0000-0600-00000DE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Run</a:t>
              </a:r>
            </a:p>
          </xdr:txBody>
        </xdr:sp>
        <xdr:clientData fLocksWithSheet="0"/>
      </xdr:twoCellAnchor>
    </mc:Choice>
    <mc:Fallback/>
  </mc:AlternateContent>
  <xdr:twoCellAnchor>
    <xdr:from>
      <xdr:col>7</xdr:col>
      <xdr:colOff>1885950</xdr:colOff>
      <xdr:row>5</xdr:row>
      <xdr:rowOff>34290</xdr:rowOff>
    </xdr:from>
    <xdr:to>
      <xdr:col>8</xdr:col>
      <xdr:colOff>386</xdr:colOff>
      <xdr:row>6</xdr:row>
      <xdr:rowOff>115388</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3181350" y="843915"/>
          <a:ext cx="914786" cy="243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t>QC</a:t>
          </a:r>
          <a:r>
            <a:rPr lang="en-US" sz="1000" b="0" baseline="0"/>
            <a:t>/QA</a:t>
          </a:r>
          <a:endParaRPr lang="en-US" sz="1000" b="0"/>
        </a:p>
      </xdr:txBody>
    </xdr:sp>
    <xdr:clientData/>
  </xdr:twoCellAnchor>
  <mc:AlternateContent xmlns:mc="http://schemas.openxmlformats.org/markup-compatibility/2006">
    <mc:Choice xmlns:a14="http://schemas.microsoft.com/office/drawing/2010/main" Requires="a14">
      <xdr:twoCellAnchor>
        <xdr:from>
          <xdr:col>7</xdr:col>
          <xdr:colOff>2352675</xdr:colOff>
          <xdr:row>6</xdr:row>
          <xdr:rowOff>114300</xdr:rowOff>
        </xdr:from>
        <xdr:to>
          <xdr:col>7</xdr:col>
          <xdr:colOff>2714625</xdr:colOff>
          <xdr:row>8</xdr:row>
          <xdr:rowOff>19050</xdr:rowOff>
        </xdr:to>
        <xdr:sp macro="" textlink="">
          <xdr:nvSpPr>
            <xdr:cNvPr id="1107982" name="Button 14" hidden="1">
              <a:extLst>
                <a:ext uri="{63B3BB69-23CF-44E3-9099-C40C66FF867C}">
                  <a14:compatExt spid="_x0000_s1107982"/>
                </a:ext>
                <a:ext uri="{FF2B5EF4-FFF2-40B4-BE49-F238E27FC236}">
                  <a16:creationId xmlns:a16="http://schemas.microsoft.com/office/drawing/2014/main" id="{00000000-0008-0000-0600-00000EE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Undo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15</xdr:col>
          <xdr:colOff>295275</xdr:colOff>
          <xdr:row>1</xdr:row>
          <xdr:rowOff>57150</xdr:rowOff>
        </xdr:from>
        <xdr:to>
          <xdr:col>16</xdr:col>
          <xdr:colOff>400050</xdr:colOff>
          <xdr:row>4</xdr:row>
          <xdr:rowOff>9525</xdr:rowOff>
        </xdr:to>
        <xdr:sp macro="" textlink="">
          <xdr:nvSpPr>
            <xdr:cNvPr id="1107983" name="Button 15" hidden="1">
              <a:extLst>
                <a:ext uri="{63B3BB69-23CF-44E3-9099-C40C66FF867C}">
                  <a14:compatExt spid="_x0000_s1107983"/>
                </a:ext>
                <a:ext uri="{FF2B5EF4-FFF2-40B4-BE49-F238E27FC236}">
                  <a16:creationId xmlns:a16="http://schemas.microsoft.com/office/drawing/2014/main" id="{00000000-0008-0000-0600-00000FE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Control Quantities</a:t>
              </a:r>
            </a:p>
            <a:p>
              <a:pPr algn="ctr" rtl="0">
                <a:defRPr sz="1000"/>
              </a:pPr>
              <a:r>
                <a:rPr lang="en-US" sz="1000" b="0" i="1" u="none" strike="noStrike" baseline="0">
                  <a:solidFill>
                    <a:srgbClr val="000000"/>
                  </a:solidFill>
                  <a:latin typeface="Arial"/>
                  <a:cs typeface="Arial"/>
                </a:rPr>
                <a:t>ctrl - 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304800</xdr:colOff>
          <xdr:row>4</xdr:row>
          <xdr:rowOff>114300</xdr:rowOff>
        </xdr:from>
        <xdr:to>
          <xdr:col>16</xdr:col>
          <xdr:colOff>409575</xdr:colOff>
          <xdr:row>7</xdr:row>
          <xdr:rowOff>57150</xdr:rowOff>
        </xdr:to>
        <xdr:sp macro="" textlink="">
          <xdr:nvSpPr>
            <xdr:cNvPr id="1107984" name="Button 16" hidden="1">
              <a:extLst>
                <a:ext uri="{63B3BB69-23CF-44E3-9099-C40C66FF867C}">
                  <a14:compatExt spid="_x0000_s1107984"/>
                </a:ext>
                <a:ext uri="{FF2B5EF4-FFF2-40B4-BE49-F238E27FC236}">
                  <a16:creationId xmlns:a16="http://schemas.microsoft.com/office/drawing/2014/main" id="{00000000-0008-0000-0600-000010E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Item Selector</a:t>
              </a:r>
            </a:p>
            <a:p>
              <a:pPr algn="ctr" rtl="0">
                <a:defRPr sz="1000"/>
              </a:pPr>
              <a:r>
                <a:rPr lang="en-US" sz="1000" b="0" i="1" u="none" strike="noStrike" baseline="0">
                  <a:solidFill>
                    <a:srgbClr val="000000"/>
                  </a:solidFill>
                  <a:latin typeface="Arial"/>
                  <a:cs typeface="Arial"/>
                </a:rPr>
                <a:t>ctrl - 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2</xdr:row>
          <xdr:rowOff>38100</xdr:rowOff>
        </xdr:from>
        <xdr:to>
          <xdr:col>32</xdr:col>
          <xdr:colOff>1504950</xdr:colOff>
          <xdr:row>3</xdr:row>
          <xdr:rowOff>123825</xdr:rowOff>
        </xdr:to>
        <xdr:sp macro="" textlink="">
          <xdr:nvSpPr>
            <xdr:cNvPr id="1107985" name="Button 17" hidden="1">
              <a:extLst>
                <a:ext uri="{63B3BB69-23CF-44E3-9099-C40C66FF867C}">
                  <a14:compatExt spid="_x0000_s1107985"/>
                </a:ext>
                <a:ext uri="{FF2B5EF4-FFF2-40B4-BE49-F238E27FC236}">
                  <a16:creationId xmlns:a16="http://schemas.microsoft.com/office/drawing/2014/main" id="{00000000-0008-0000-0600-000011E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Hide unused sections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4</xdr:row>
          <xdr:rowOff>19050</xdr:rowOff>
        </xdr:from>
        <xdr:to>
          <xdr:col>32</xdr:col>
          <xdr:colOff>1504950</xdr:colOff>
          <xdr:row>5</xdr:row>
          <xdr:rowOff>114300</xdr:rowOff>
        </xdr:to>
        <xdr:sp macro="" textlink="">
          <xdr:nvSpPr>
            <xdr:cNvPr id="1107986" name="Button 18" hidden="1">
              <a:extLst>
                <a:ext uri="{63B3BB69-23CF-44E3-9099-C40C66FF867C}">
                  <a14:compatExt spid="_x0000_s1107986"/>
                </a:ext>
                <a:ext uri="{FF2B5EF4-FFF2-40B4-BE49-F238E27FC236}">
                  <a16:creationId xmlns:a16="http://schemas.microsoft.com/office/drawing/2014/main" id="{00000000-0008-0000-0600-000012E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sections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104775</xdr:rowOff>
        </xdr:from>
        <xdr:to>
          <xdr:col>15</xdr:col>
          <xdr:colOff>19050</xdr:colOff>
          <xdr:row>7</xdr:row>
          <xdr:rowOff>9525</xdr:rowOff>
        </xdr:to>
        <xdr:sp macro="" textlink="">
          <xdr:nvSpPr>
            <xdr:cNvPr id="1107987" name="Button 19" hidden="1">
              <a:extLst>
                <a:ext uri="{63B3BB69-23CF-44E3-9099-C40C66FF867C}">
                  <a14:compatExt spid="_x0000_s1107987"/>
                </a:ext>
                <a:ext uri="{FF2B5EF4-FFF2-40B4-BE49-F238E27FC236}">
                  <a16:creationId xmlns:a16="http://schemas.microsoft.com/office/drawing/2014/main" id="{00000000-0008-0000-0600-000013E81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MOVE</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0</xdr:colOff>
      <xdr:row>12</xdr:row>
      <xdr:rowOff>0</xdr:rowOff>
    </xdr:from>
    <xdr:to>
      <xdr:col>3</xdr:col>
      <xdr:colOff>200025</xdr:colOff>
      <xdr:row>12</xdr:row>
      <xdr:rowOff>0</xdr:rowOff>
    </xdr:to>
    <xdr:graphicFrame macro="">
      <xdr:nvGraphicFramePr>
        <xdr:cNvPr id="8" name="chtIntake2" descr="Donut chart that tracks Intake such as protein, carbs, fats, sugars, water, etc." title="Intake Trend">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323565</xdr:colOff>
      <xdr:row>7</xdr:row>
      <xdr:rowOff>34537</xdr:rowOff>
    </xdr:from>
    <xdr:to>
      <xdr:col>3</xdr:col>
      <xdr:colOff>625755</xdr:colOff>
      <xdr:row>7</xdr:row>
      <xdr:rowOff>348792</xdr:rowOff>
    </xdr:to>
    <xdr:pic>
      <xdr:nvPicPr>
        <xdr:cNvPr id="13" name="Picture 12">
          <a:extLst>
            <a:ext uri="{FF2B5EF4-FFF2-40B4-BE49-F238E27FC236}">
              <a16:creationId xmlns:a16="http://schemas.microsoft.com/office/drawing/2014/main" id="{00000000-0008-0000-0600-00000D000000}"/>
            </a:ext>
          </a:extLst>
        </xdr:cNvPr>
        <xdr:cNvPicPr>
          <a:picLocks/>
        </xdr:cNvPicPr>
      </xdr:nvPicPr>
      <xdr:blipFill>
        <a:blip xmlns:r="http://schemas.openxmlformats.org/officeDocument/2006/relationships" r:embed="rId2"/>
        <a:stretch>
          <a:fillRect/>
        </a:stretch>
      </xdr:blipFill>
      <xdr:spPr>
        <a:xfrm>
          <a:off x="5950642" y="1536556"/>
          <a:ext cx="306000" cy="312350"/>
        </a:xfrm>
        <a:prstGeom prst="rect">
          <a:avLst/>
        </a:prstGeom>
      </xdr:spPr>
    </xdr:pic>
    <xdr:clientData/>
  </xdr:twoCellAnchor>
  <xdr:twoCellAnchor editAs="oneCell">
    <xdr:from>
      <xdr:col>1</xdr:col>
      <xdr:colOff>47625</xdr:colOff>
      <xdr:row>1</xdr:row>
      <xdr:rowOff>47625</xdr:rowOff>
    </xdr:from>
    <xdr:to>
      <xdr:col>1</xdr:col>
      <xdr:colOff>1790699</xdr:colOff>
      <xdr:row>2</xdr:row>
      <xdr:rowOff>134477</xdr:rowOff>
    </xdr:to>
    <xdr:pic>
      <xdr:nvPicPr>
        <xdr:cNvPr id="14" name="Picture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09575" y="885825"/>
          <a:ext cx="1743074" cy="290688"/>
        </a:xfrm>
        <a:prstGeom prst="rect">
          <a:avLst/>
        </a:prstGeom>
      </xdr:spPr>
    </xdr:pic>
    <xdr:clientData/>
  </xdr:twoCellAnchor>
  <xdr:twoCellAnchor>
    <xdr:from>
      <xdr:col>10</xdr:col>
      <xdr:colOff>289035</xdr:colOff>
      <xdr:row>2</xdr:row>
      <xdr:rowOff>142969</xdr:rowOff>
    </xdr:from>
    <xdr:to>
      <xdr:col>12</xdr:col>
      <xdr:colOff>776115</xdr:colOff>
      <xdr:row>10</xdr:row>
      <xdr:rowOff>1314</xdr:rowOff>
    </xdr:to>
    <xdr:grpSp>
      <xdr:nvGrpSpPr>
        <xdr:cNvPr id="6" name="Group 5">
          <a:extLst>
            <a:ext uri="{FF2B5EF4-FFF2-40B4-BE49-F238E27FC236}">
              <a16:creationId xmlns:a16="http://schemas.microsoft.com/office/drawing/2014/main" id="{7477670D-7938-7826-1F8A-C5BFC335FC46}"/>
            </a:ext>
          </a:extLst>
        </xdr:cNvPr>
        <xdr:cNvGrpSpPr/>
      </xdr:nvGrpSpPr>
      <xdr:grpSpPr>
        <a:xfrm>
          <a:off x="10385535" y="773084"/>
          <a:ext cx="2260195" cy="1492249"/>
          <a:chOff x="604345" y="852418"/>
          <a:chExt cx="2260701" cy="1480879"/>
        </a:xfrm>
      </xdr:grpSpPr>
      <xdr:pic>
        <xdr:nvPicPr>
          <xdr:cNvPr id="4" name="Graphic 3" descr="Sunglasses face outline outline">
            <a:extLst>
              <a:ext uri="{FF2B5EF4-FFF2-40B4-BE49-F238E27FC236}">
                <a16:creationId xmlns:a16="http://schemas.microsoft.com/office/drawing/2014/main" id="{3A01A2E3-A886-9188-358E-844ADA18A5D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04345" y="1418897"/>
            <a:ext cx="914400" cy="914400"/>
          </a:xfrm>
          <a:prstGeom prst="rect">
            <a:avLst/>
          </a:prstGeom>
        </xdr:spPr>
      </xdr:pic>
      <xdr:sp macro="" textlink="">
        <xdr:nvSpPr>
          <xdr:cNvPr id="5" name="Speech Bubble: Oval 4">
            <a:extLst>
              <a:ext uri="{FF2B5EF4-FFF2-40B4-BE49-F238E27FC236}">
                <a16:creationId xmlns:a16="http://schemas.microsoft.com/office/drawing/2014/main" id="{68E81840-3130-6AB9-7958-6E31E94F27FE}"/>
              </a:ext>
            </a:extLst>
          </xdr:cNvPr>
          <xdr:cNvSpPr/>
        </xdr:nvSpPr>
        <xdr:spPr bwMode="auto">
          <a:xfrm>
            <a:off x="1241534" y="852418"/>
            <a:ext cx="1623512" cy="968733"/>
          </a:xfrm>
          <a:prstGeom prst="wedgeEllipseCallout">
            <a:avLst/>
          </a:prstGeom>
          <a:solidFill>
            <a:srgbClr val="FFFFE1"/>
          </a:solidFill>
          <a:ln w="9525" cap="flat" cmpd="sng" algn="ctr">
            <a:noFill/>
            <a:prstDash val="solid"/>
            <a:round/>
            <a:headEnd type="none" w="med" len="med"/>
            <a:tailEnd type="none" w="med" len="med"/>
          </a:ln>
          <a:effectLst>
            <a:outerShdw dist="35921" dir="2700000" algn="ctr" rotWithShape="0">
              <a:srgbClr val="000000"/>
            </a:outerShdw>
          </a:effectLst>
        </xdr:spPr>
        <xdr:txBody>
          <a:bodyPr wrap="none" lIns="18288" tIns="0" rIns="0" bIns="0" rtlCol="0" anchor="ctr" upright="1">
            <a:spAutoFit/>
          </a:bodyPr>
          <a:lstStyle/>
          <a:p>
            <a:pPr algn="ctr"/>
            <a:r>
              <a:rPr lang="en-US" sz="1100">
                <a:effectLst/>
                <a:latin typeface="+mn-lt"/>
                <a:ea typeface="+mn-ea"/>
                <a:cs typeface="+mn-cs"/>
              </a:rPr>
              <a:t>REMINDER:</a:t>
            </a:r>
            <a:r>
              <a:rPr lang="en-US" sz="1100" baseline="0">
                <a:effectLst/>
                <a:latin typeface="+mn-lt"/>
                <a:ea typeface="+mn-ea"/>
                <a:cs typeface="+mn-cs"/>
              </a:rPr>
              <a:t> </a:t>
            </a:r>
            <a:endParaRPr lang="en-US">
              <a:effectLst/>
            </a:endParaRPr>
          </a:p>
          <a:p>
            <a:pPr algn="ctr"/>
            <a:r>
              <a:rPr lang="en-US" sz="1100" baseline="0">
                <a:effectLst/>
                <a:latin typeface="+mn-lt"/>
                <a:ea typeface="+mn-ea"/>
                <a:cs typeface="+mn-cs"/>
              </a:rPr>
              <a:t>Enter VR comments</a:t>
            </a:r>
            <a:endParaRPr lang="en-US">
              <a:effectLst/>
            </a:endParaRPr>
          </a:p>
          <a:p>
            <a:pPr algn="ctr"/>
            <a:r>
              <a:rPr lang="en-US" sz="1100" baseline="0">
                <a:effectLst/>
                <a:latin typeface="+mn-lt"/>
                <a:ea typeface="+mn-ea"/>
                <a:cs typeface="+mn-cs"/>
              </a:rPr>
              <a:t>Cover sheet notes</a:t>
            </a:r>
            <a:endParaRPr lang="en-US">
              <a:effectLst/>
            </a:endParaRPr>
          </a:p>
          <a:p>
            <a:pPr algn="l"/>
            <a:endParaRPr lang="en-US" sz="1100" kern="1200"/>
          </a:p>
        </xdr:txBody>
      </xdr:sp>
    </xdr:grpSp>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Projects/Y-24/240540.000%20-%20Hunt%20County%20Building%20Renovations/020.%20DD%20Estimate%20(2024-10)/010.%20Cost/020.%20Estimate/240540.000-Hunt%20County%20Building%20Reno_DD%20Est_R1_2024-11-05%20.xlsm" TargetMode="External"/><Relationship Id="rId2" Type="http://schemas.openxmlformats.org/officeDocument/2006/relationships/externalLinkPath" Target="file:///D:\Projects\Y-24\240540.000%20-%20Hunt%20County%20Building%20Renovations\020.%20DD%20Estimate%20(2024-10)\010.%20Cost\020.%20Estimate\240540.000-Hunt%20County%20Building%20Reno_DD%20Est_R1_2024-11-05%20.xlsm" TargetMode="External"/><Relationship Id="rId1" Type="http://schemas.openxmlformats.org/officeDocument/2006/relationships/externalLinkPath" Target="/Projects/Y-24/240540.000%20-%20Hunt%20County%20Building%20Renovations/020.%20DD%20Estimate%20(2024-10)/010.%20Cost/020.%20Estimate/240540.000-Hunt%20County%20Building%20Reno_DD%20Est_R1_2024-11-05%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SI (2004)"/>
      <sheetName val="Project Info"/>
      <sheetName val="Initial"/>
      <sheetName val="Cover Sheet"/>
      <sheetName val="Summary"/>
      <sheetName val="BUILDING"/>
      <sheetName val="SITE"/>
      <sheetName val="Total VR"/>
    </sheetNames>
    <sheetDataSet>
      <sheetData sheetId="0"/>
      <sheetData sheetId="1"/>
      <sheetData sheetId="2"/>
      <sheetData sheetId="3"/>
      <sheetData sheetId="4">
        <row r="58">
          <cell r="E58">
            <v>769538.8</v>
          </cell>
        </row>
        <row r="59">
          <cell r="E59">
            <v>553721.64354000008</v>
          </cell>
        </row>
        <row r="60">
          <cell r="E60">
            <v>0</v>
          </cell>
        </row>
        <row r="61">
          <cell r="E61">
            <v>1313099.4532248001</v>
          </cell>
        </row>
        <row r="62">
          <cell r="E62">
            <v>980447.59174118412</v>
          </cell>
        </row>
        <row r="63">
          <cell r="E63">
            <v>330901.06221264967</v>
          </cell>
        </row>
        <row r="64">
          <cell r="E64">
            <v>0</v>
          </cell>
        </row>
        <row r="65">
          <cell r="E65">
            <v>0</v>
          </cell>
        </row>
        <row r="66">
          <cell r="E66">
            <v>0</v>
          </cell>
        </row>
      </sheetData>
      <sheetData sheetId="5">
        <row r="25">
          <cell r="AI25">
            <v>0</v>
          </cell>
        </row>
        <row r="26">
          <cell r="AI26">
            <v>207961</v>
          </cell>
        </row>
        <row r="27">
          <cell r="AI27">
            <v>654831</v>
          </cell>
        </row>
        <row r="28">
          <cell r="AI28">
            <v>257274</v>
          </cell>
        </row>
        <row r="29">
          <cell r="AI29">
            <v>475536</v>
          </cell>
        </row>
        <row r="30">
          <cell r="AI30">
            <v>11871</v>
          </cell>
        </row>
        <row r="31">
          <cell r="AI31">
            <v>1075690</v>
          </cell>
        </row>
        <row r="32">
          <cell r="AI32">
            <v>393235</v>
          </cell>
        </row>
        <row r="33">
          <cell r="AI33">
            <v>1323651</v>
          </cell>
        </row>
        <row r="34">
          <cell r="AI34">
            <v>100435</v>
          </cell>
        </row>
        <row r="35">
          <cell r="AI35">
            <v>0</v>
          </cell>
        </row>
        <row r="36">
          <cell r="AI36">
            <v>142243</v>
          </cell>
        </row>
        <row r="37">
          <cell r="AI37">
            <v>0</v>
          </cell>
        </row>
        <row r="38">
          <cell r="AI38">
            <v>0</v>
          </cell>
        </row>
        <row r="39">
          <cell r="AI39">
            <v>172574</v>
          </cell>
        </row>
        <row r="40">
          <cell r="AI40">
            <v>363011</v>
          </cell>
        </row>
        <row r="41">
          <cell r="AI41">
            <v>1327818</v>
          </cell>
        </row>
        <row r="42">
          <cell r="AI42">
            <v>1004992</v>
          </cell>
        </row>
        <row r="43">
          <cell r="AI43">
            <v>134955</v>
          </cell>
        </row>
        <row r="44">
          <cell r="AI44">
            <v>60640</v>
          </cell>
        </row>
        <row r="45">
          <cell r="AI45">
            <v>0</v>
          </cell>
        </row>
        <row r="46">
          <cell r="AI46">
            <v>0</v>
          </cell>
        </row>
        <row r="47">
          <cell r="AI47">
            <v>0</v>
          </cell>
        </row>
        <row r="108">
          <cell r="I108">
            <v>26380</v>
          </cell>
        </row>
        <row r="111">
          <cell r="I111">
            <v>670</v>
          </cell>
        </row>
        <row r="115">
          <cell r="I115">
            <v>14091</v>
          </cell>
        </row>
        <row r="116">
          <cell r="I116">
            <v>18293</v>
          </cell>
        </row>
        <row r="138">
          <cell r="AB138">
            <v>82</v>
          </cell>
        </row>
        <row r="144">
          <cell r="Z144">
            <v>511</v>
          </cell>
        </row>
        <row r="145">
          <cell r="Z145">
            <v>444</v>
          </cell>
        </row>
        <row r="147">
          <cell r="I147">
            <v>6117</v>
          </cell>
        </row>
        <row r="190">
          <cell r="I190">
            <v>5.3197650000000003</v>
          </cell>
        </row>
        <row r="191">
          <cell r="I191">
            <v>3.1066310000000001</v>
          </cell>
        </row>
        <row r="192">
          <cell r="I192">
            <v>20</v>
          </cell>
        </row>
        <row r="193">
          <cell r="I193">
            <v>2.0952910000000005</v>
          </cell>
        </row>
        <row r="194">
          <cell r="I194">
            <v>0.23014200000000001</v>
          </cell>
        </row>
        <row r="195">
          <cell r="I195">
            <v>8.7963480000000018</v>
          </cell>
        </row>
        <row r="196">
          <cell r="I196">
            <v>1.6189249999999999</v>
          </cell>
        </row>
        <row r="197">
          <cell r="I197">
            <v>0.227216</v>
          </cell>
        </row>
        <row r="198">
          <cell r="I198">
            <v>5.0372684999999997</v>
          </cell>
        </row>
        <row r="199">
          <cell r="I199">
            <v>12</v>
          </cell>
        </row>
        <row r="200">
          <cell r="I200">
            <v>7758</v>
          </cell>
        </row>
        <row r="201">
          <cell r="I201">
            <v>4.6431586499999993</v>
          </cell>
        </row>
        <row r="202">
          <cell r="I202">
            <v>82</v>
          </cell>
        </row>
        <row r="203">
          <cell r="I203"/>
        </row>
        <row r="204">
          <cell r="I204"/>
        </row>
        <row r="205">
          <cell r="I205">
            <v>352</v>
          </cell>
        </row>
        <row r="206">
          <cell r="I206">
            <v>20</v>
          </cell>
        </row>
        <row r="207">
          <cell r="I207">
            <v>1</v>
          </cell>
        </row>
        <row r="208">
          <cell r="I208">
            <v>1</v>
          </cell>
        </row>
        <row r="210">
          <cell r="I210"/>
        </row>
        <row r="213">
          <cell r="I213">
            <v>26380</v>
          </cell>
        </row>
        <row r="215">
          <cell r="I215"/>
        </row>
        <row r="218">
          <cell r="I218"/>
        </row>
        <row r="219">
          <cell r="I219">
            <v>24302</v>
          </cell>
        </row>
        <row r="220">
          <cell r="I220">
            <v>24302</v>
          </cell>
        </row>
        <row r="221">
          <cell r="I221">
            <v>4643</v>
          </cell>
        </row>
        <row r="222">
          <cell r="I222"/>
        </row>
        <row r="223">
          <cell r="I223"/>
        </row>
        <row r="224">
          <cell r="I224">
            <v>2078</v>
          </cell>
        </row>
        <row r="225">
          <cell r="I225">
            <v>2078</v>
          </cell>
        </row>
        <row r="226">
          <cell r="I226"/>
        </row>
        <row r="227">
          <cell r="I227"/>
        </row>
        <row r="228">
          <cell r="I228">
            <v>15837</v>
          </cell>
        </row>
        <row r="229">
          <cell r="I229">
            <v>15837</v>
          </cell>
        </row>
        <row r="230">
          <cell r="I230"/>
        </row>
        <row r="231">
          <cell r="I231"/>
        </row>
        <row r="232">
          <cell r="I232">
            <v>15837</v>
          </cell>
        </row>
        <row r="233">
          <cell r="I233">
            <v>620</v>
          </cell>
        </row>
        <row r="234">
          <cell r="I234">
            <v>66</v>
          </cell>
        </row>
        <row r="235">
          <cell r="I235">
            <v>936</v>
          </cell>
        </row>
        <row r="236">
          <cell r="I236">
            <v>468</v>
          </cell>
        </row>
        <row r="237">
          <cell r="I237">
            <v>30</v>
          </cell>
        </row>
        <row r="238">
          <cell r="I238">
            <v>1</v>
          </cell>
        </row>
        <row r="240">
          <cell r="I240"/>
        </row>
        <row r="243">
          <cell r="I243"/>
        </row>
        <row r="244">
          <cell r="I244">
            <v>3</v>
          </cell>
        </row>
        <row r="245">
          <cell r="I245">
            <v>3</v>
          </cell>
        </row>
        <row r="246">
          <cell r="I246">
            <v>3</v>
          </cell>
        </row>
        <row r="247">
          <cell r="I247">
            <v>3</v>
          </cell>
        </row>
        <row r="248">
          <cell r="I248">
            <v>10</v>
          </cell>
        </row>
        <row r="249">
          <cell r="I249">
            <v>10</v>
          </cell>
        </row>
        <row r="250">
          <cell r="I250">
            <v>1</v>
          </cell>
        </row>
        <row r="251">
          <cell r="I251"/>
        </row>
        <row r="252">
          <cell r="I252"/>
        </row>
        <row r="253">
          <cell r="I253">
            <v>1100</v>
          </cell>
        </row>
        <row r="254">
          <cell r="I254"/>
        </row>
        <row r="255">
          <cell r="I255"/>
        </row>
        <row r="256">
          <cell r="I256">
            <v>58</v>
          </cell>
        </row>
        <row r="257">
          <cell r="I257">
            <v>58</v>
          </cell>
        </row>
        <row r="258">
          <cell r="I258">
            <v>108</v>
          </cell>
        </row>
        <row r="259">
          <cell r="I259">
            <v>5</v>
          </cell>
        </row>
        <row r="260">
          <cell r="I260">
            <v>7</v>
          </cell>
        </row>
        <row r="261">
          <cell r="I261">
            <v>7</v>
          </cell>
        </row>
        <row r="262">
          <cell r="I262">
            <v>56</v>
          </cell>
        </row>
        <row r="263">
          <cell r="I263">
            <v>2</v>
          </cell>
        </row>
        <row r="264">
          <cell r="I264">
            <v>2</v>
          </cell>
        </row>
        <row r="265">
          <cell r="I265"/>
        </row>
        <row r="266">
          <cell r="I266"/>
        </row>
        <row r="267">
          <cell r="I267">
            <v>480</v>
          </cell>
        </row>
        <row r="269">
          <cell r="I269"/>
        </row>
        <row r="272">
          <cell r="I272"/>
        </row>
        <row r="273">
          <cell r="I273">
            <v>2930</v>
          </cell>
        </row>
        <row r="282">
          <cell r="I282">
            <v>16821</v>
          </cell>
        </row>
        <row r="283">
          <cell r="I283">
            <v>16821</v>
          </cell>
        </row>
        <row r="284">
          <cell r="I284">
            <v>33642</v>
          </cell>
        </row>
        <row r="285">
          <cell r="I285">
            <v>16821</v>
          </cell>
        </row>
        <row r="286">
          <cell r="I286">
            <v>6408</v>
          </cell>
        </row>
        <row r="287">
          <cell r="I287"/>
        </row>
        <row r="288">
          <cell r="I288"/>
        </row>
        <row r="289">
          <cell r="I289">
            <v>409.5</v>
          </cell>
        </row>
        <row r="290">
          <cell r="I290">
            <v>409.5</v>
          </cell>
        </row>
        <row r="291">
          <cell r="I291">
            <v>819</v>
          </cell>
        </row>
        <row r="292">
          <cell r="I292">
            <v>409.5</v>
          </cell>
        </row>
        <row r="293">
          <cell r="I293">
            <v>156</v>
          </cell>
        </row>
        <row r="294">
          <cell r="I294"/>
        </row>
        <row r="295">
          <cell r="I295"/>
        </row>
        <row r="296">
          <cell r="I296">
            <v>609</v>
          </cell>
        </row>
        <row r="297">
          <cell r="I297">
            <v>609</v>
          </cell>
        </row>
        <row r="298">
          <cell r="I298">
            <v>1218</v>
          </cell>
        </row>
        <row r="299">
          <cell r="I299">
            <v>1218</v>
          </cell>
        </row>
        <row r="300">
          <cell r="I300">
            <v>7.25</v>
          </cell>
        </row>
        <row r="301">
          <cell r="I301">
            <v>116</v>
          </cell>
        </row>
        <row r="302">
          <cell r="I302"/>
        </row>
        <row r="303">
          <cell r="I303"/>
        </row>
        <row r="304">
          <cell r="I304"/>
        </row>
        <row r="305">
          <cell r="I305">
            <v>2012.5</v>
          </cell>
        </row>
        <row r="306">
          <cell r="I306">
            <v>2012.5</v>
          </cell>
        </row>
        <row r="307">
          <cell r="I307">
            <v>350</v>
          </cell>
        </row>
        <row r="308">
          <cell r="I308">
            <v>175</v>
          </cell>
        </row>
        <row r="309">
          <cell r="I309"/>
        </row>
        <row r="310">
          <cell r="I310"/>
        </row>
        <row r="311">
          <cell r="I311">
            <v>3220</v>
          </cell>
        </row>
        <row r="312">
          <cell r="I312">
            <v>4152.3999999999996</v>
          </cell>
        </row>
        <row r="313">
          <cell r="I313">
            <v>3220</v>
          </cell>
        </row>
        <row r="314">
          <cell r="I314">
            <v>280</v>
          </cell>
        </row>
        <row r="315">
          <cell r="I315">
            <v>280</v>
          </cell>
        </row>
        <row r="316">
          <cell r="I316"/>
        </row>
        <row r="317">
          <cell r="I317"/>
        </row>
        <row r="318">
          <cell r="I318">
            <v>514</v>
          </cell>
        </row>
        <row r="319">
          <cell r="I319">
            <v>139</v>
          </cell>
        </row>
        <row r="320">
          <cell r="I320"/>
        </row>
        <row r="321">
          <cell r="I321"/>
        </row>
        <row r="322">
          <cell r="I322">
            <v>36342.5</v>
          </cell>
        </row>
        <row r="323">
          <cell r="I323">
            <v>321</v>
          </cell>
        </row>
        <row r="324">
          <cell r="I324">
            <v>323</v>
          </cell>
        </row>
        <row r="325">
          <cell r="I325">
            <v>323</v>
          </cell>
        </row>
        <row r="326">
          <cell r="I326">
            <v>342</v>
          </cell>
        </row>
        <row r="327">
          <cell r="I327">
            <v>2930</v>
          </cell>
        </row>
        <row r="328">
          <cell r="I328"/>
        </row>
        <row r="329">
          <cell r="I329"/>
        </row>
        <row r="330">
          <cell r="I330">
            <v>20440</v>
          </cell>
        </row>
        <row r="331">
          <cell r="I331">
            <v>2544</v>
          </cell>
        </row>
        <row r="332">
          <cell r="I332">
            <v>4798</v>
          </cell>
        </row>
        <row r="333">
          <cell r="I333">
            <v>1354</v>
          </cell>
        </row>
        <row r="334">
          <cell r="I334">
            <v>4833</v>
          </cell>
        </row>
        <row r="335">
          <cell r="I335">
            <v>786</v>
          </cell>
        </row>
        <row r="336">
          <cell r="I336">
            <v>1353</v>
          </cell>
        </row>
        <row r="337">
          <cell r="I337">
            <v>367</v>
          </cell>
        </row>
        <row r="338">
          <cell r="I338">
            <v>22</v>
          </cell>
        </row>
        <row r="339">
          <cell r="I339">
            <v>50</v>
          </cell>
        </row>
        <row r="340">
          <cell r="I340">
            <v>5387</v>
          </cell>
        </row>
        <row r="341">
          <cell r="I341"/>
        </row>
        <row r="342">
          <cell r="I342"/>
        </row>
        <row r="343">
          <cell r="I343">
            <v>25528</v>
          </cell>
        </row>
        <row r="344">
          <cell r="I344">
            <v>4669</v>
          </cell>
        </row>
        <row r="345">
          <cell r="I345">
            <v>1277</v>
          </cell>
        </row>
        <row r="346">
          <cell r="I346">
            <v>767</v>
          </cell>
        </row>
        <row r="347">
          <cell r="I347">
            <v>2044</v>
          </cell>
        </row>
        <row r="348">
          <cell r="I348"/>
        </row>
        <row r="349">
          <cell r="I349"/>
        </row>
        <row r="353">
          <cell r="I353">
            <v>2</v>
          </cell>
        </row>
        <row r="354">
          <cell r="I354">
            <v>4</v>
          </cell>
        </row>
        <row r="355">
          <cell r="I355">
            <v>4</v>
          </cell>
        </row>
        <row r="356">
          <cell r="I356">
            <v>8</v>
          </cell>
        </row>
        <row r="357">
          <cell r="I357">
            <v>2</v>
          </cell>
        </row>
        <row r="358">
          <cell r="I358">
            <v>8</v>
          </cell>
        </row>
        <row r="359">
          <cell r="I359">
            <v>8</v>
          </cell>
        </row>
        <row r="360">
          <cell r="I360">
            <v>8</v>
          </cell>
        </row>
        <row r="361">
          <cell r="I361">
            <v>6</v>
          </cell>
        </row>
        <row r="362">
          <cell r="I362">
            <v>8</v>
          </cell>
        </row>
        <row r="363">
          <cell r="I363">
            <v>6</v>
          </cell>
        </row>
        <row r="364">
          <cell r="I364"/>
        </row>
        <row r="365">
          <cell r="I365"/>
        </row>
        <row r="366">
          <cell r="I366">
            <v>37</v>
          </cell>
        </row>
        <row r="367">
          <cell r="I367"/>
        </row>
        <row r="369">
          <cell r="I369">
            <v>418</v>
          </cell>
        </row>
        <row r="370">
          <cell r="I370">
            <v>38</v>
          </cell>
        </row>
        <row r="372">
          <cell r="I372">
            <v>10.491333333333333</v>
          </cell>
        </row>
        <row r="374">
          <cell r="I374"/>
        </row>
        <row r="377">
          <cell r="I377"/>
        </row>
        <row r="379">
          <cell r="I379"/>
        </row>
        <row r="382">
          <cell r="I382"/>
        </row>
        <row r="383">
          <cell r="I383">
            <v>144</v>
          </cell>
        </row>
        <row r="384">
          <cell r="I384">
            <v>57.6</v>
          </cell>
        </row>
        <row r="385">
          <cell r="I385"/>
        </row>
        <row r="386">
          <cell r="I386"/>
        </row>
        <row r="387">
          <cell r="I387">
            <v>138</v>
          </cell>
        </row>
        <row r="388">
          <cell r="I388">
            <v>138</v>
          </cell>
        </row>
        <row r="389">
          <cell r="I389">
            <v>106</v>
          </cell>
        </row>
        <row r="390">
          <cell r="I390"/>
        </row>
        <row r="391">
          <cell r="I391"/>
        </row>
        <row r="392">
          <cell r="I392">
            <v>20</v>
          </cell>
        </row>
        <row r="393">
          <cell r="I393">
            <v>652</v>
          </cell>
        </row>
      </sheetData>
      <sheetData sheetId="6">
        <row r="25">
          <cell r="AI25">
            <v>0</v>
          </cell>
        </row>
        <row r="26">
          <cell r="AI26">
            <v>21845</v>
          </cell>
        </row>
        <row r="27">
          <cell r="AI27">
            <v>0</v>
          </cell>
        </row>
        <row r="28">
          <cell r="AI28">
            <v>0</v>
          </cell>
        </row>
        <row r="29">
          <cell r="AI29">
            <v>0</v>
          </cell>
        </row>
        <row r="30">
          <cell r="AI30">
            <v>0</v>
          </cell>
        </row>
        <row r="31">
          <cell r="AI31">
            <v>0</v>
          </cell>
        </row>
        <row r="32">
          <cell r="AI32">
            <v>0</v>
          </cell>
        </row>
        <row r="33">
          <cell r="AI33">
            <v>0</v>
          </cell>
        </row>
        <row r="34">
          <cell r="AI34">
            <v>0</v>
          </cell>
        </row>
        <row r="35">
          <cell r="AI35">
            <v>0</v>
          </cell>
        </row>
        <row r="36">
          <cell r="AI36">
            <v>0</v>
          </cell>
        </row>
        <row r="37">
          <cell r="AI37">
            <v>0</v>
          </cell>
        </row>
        <row r="38">
          <cell r="AI38">
            <v>0</v>
          </cell>
        </row>
        <row r="39">
          <cell r="AI39">
            <v>0</v>
          </cell>
        </row>
        <row r="40">
          <cell r="AI40">
            <v>0</v>
          </cell>
        </row>
        <row r="41">
          <cell r="AI41">
            <v>0</v>
          </cell>
        </row>
        <row r="42">
          <cell r="AI42">
            <v>0</v>
          </cell>
        </row>
        <row r="43">
          <cell r="AI43">
            <v>0</v>
          </cell>
        </row>
        <row r="44">
          <cell r="AI44">
            <v>0</v>
          </cell>
        </row>
        <row r="45">
          <cell r="AI45">
            <v>233231</v>
          </cell>
        </row>
        <row r="46">
          <cell r="AI46">
            <v>1315951</v>
          </cell>
        </row>
        <row r="47">
          <cell r="AI47">
            <v>341491</v>
          </cell>
        </row>
        <row r="233">
          <cell r="I233">
            <v>135541</v>
          </cell>
        </row>
        <row r="234">
          <cell r="I234">
            <v>101655.75</v>
          </cell>
        </row>
        <row r="235">
          <cell r="I235">
            <v>10165.575000000001</v>
          </cell>
        </row>
        <row r="262">
          <cell r="I262">
            <v>80740</v>
          </cell>
        </row>
        <row r="263">
          <cell r="I263">
            <v>3914</v>
          </cell>
        </row>
        <row r="309">
          <cell r="I309">
            <v>404</v>
          </cell>
        </row>
        <row r="320">
          <cell r="I320">
            <v>421</v>
          </cell>
        </row>
        <row r="334">
          <cell r="I334">
            <v>612.70000000000005</v>
          </cell>
        </row>
        <row r="335">
          <cell r="I335">
            <v>361.90000000000003</v>
          </cell>
        </row>
        <row r="337">
          <cell r="I337">
            <v>8</v>
          </cell>
        </row>
        <row r="338">
          <cell r="I338">
            <v>1</v>
          </cell>
        </row>
        <row r="343">
          <cell r="I343">
            <v>119</v>
          </cell>
        </row>
        <row r="344">
          <cell r="I344">
            <v>83</v>
          </cell>
        </row>
        <row r="345">
          <cell r="I345">
            <v>298</v>
          </cell>
        </row>
        <row r="346">
          <cell r="I346">
            <v>1</v>
          </cell>
        </row>
      </sheetData>
      <sheetData sheetId="7"/>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lter" xr10:uid="{FC5867A6-9B86-48F1-BDFB-3B3FEFBEC1C7}" sourceName="Filter">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lter" xr10:uid="{33D9CEBC-A9CE-488D-82E7-0446583B6CEE}" cache="Slicer_Filter" caption="Filter" columnCount="4"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B31E5D-0A07-4435-AB89-CDDCD4411F6E}" name="Table3" displayName="Table3" ref="A8:A132" headerRowDxfId="5" dataDxfId="4" totalsRowDxfId="2" tableBorderDxfId="3">
  <autoFilter ref="A8:A132" xr:uid="{43018E71-C771-442A-83AD-AEEAE4B7F441}">
    <filterColumn colId="0" hiddenButton="1"/>
  </autoFilter>
  <tableColumns count="1">
    <tableColumn id="1" xr3:uid="{9FA17AE0-7F09-428E-85AB-37621C4D6569}" name="Filter" dataDxfId="1" totalsRowDxfId="0"/>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noFill/>
          <a:prstDash val="solid"/>
          <a:round/>
          <a:headEnd type="none" w="med" len="med"/>
          <a:tailEnd type="none" w="med" len="med"/>
        </a:ln>
        <a:effectLst>
          <a:outerShdw dist="35921" dir="2700000" algn="ctr" rotWithShape="0">
            <a:srgbClr val="000000"/>
          </a:outerShdw>
        </a:effectLst>
      </a:spPr>
      <a:bodyPr wrap="none" lIns="18288" tIns="0" rIns="0" bIns="0" upright="1">
        <a:spAutoFit/>
      </a:bodyPr>
      <a:lstStyle/>
    </a:spDef>
    <a:lnDef>
      <a:spPr bwMode="auto">
        <a:xfrm>
          <a:off x="0" y="0"/>
          <a:ext cx="1" cy="1"/>
        </a:xfrm>
        <a:custGeom>
          <a:avLst/>
          <a:gdLst/>
          <a:ahLst/>
          <a:cxnLst/>
          <a:rect l="0" t="0" r="0" b="0"/>
          <a:pathLst/>
        </a:custGeom>
        <a:solidFill>
          <a:srgbClr val="FFFFE1"/>
        </a:solidFill>
        <a:ln w="9525" cap="flat" cmpd="sng" algn="ctr">
          <a:noFill/>
          <a:prstDash val="solid"/>
          <a:round/>
          <a:headEnd type="none" w="med" len="med"/>
          <a:tailEnd type="none" w="med" len="med"/>
        </a:ln>
        <a:effectLst>
          <a:outerShdw dist="35921" dir="2700000" algn="ctr" rotWithShape="0">
            <a:srgbClr val="000000"/>
          </a:outerShdw>
        </a:effectLst>
      </a:spPr>
      <a:bodyPr wrap="none" lIns="18288" tIns="0" rIns="0" bIns="0" upright="1">
        <a:spAutoFit/>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earth.google.com/web/search/1227+Park+St,+Greenville,+TX+75401/@33.12813588,-96.08128944,155.97315751a,396.51727078d,35y,-0h,0t,0r/data=CiwiJgokCeUSzbkkjTVAEeISzbkkjTXAGWl1DX5p6klAIWd1DX5p6knAQgIIAToDCgEwSg0I____________ARAA" TargetMode="External"/><Relationship Id="rId5" Type="http://schemas.microsoft.com/office/2007/relationships/slicer" Target="../slicers/slicer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18" Type="http://schemas.openxmlformats.org/officeDocument/2006/relationships/control" Target="../activeX/activeX12.xml"/><Relationship Id="rId3" Type="http://schemas.openxmlformats.org/officeDocument/2006/relationships/vmlDrawing" Target="../drawings/vmlDrawing2.vml"/><Relationship Id="rId21" Type="http://schemas.openxmlformats.org/officeDocument/2006/relationships/ctrlProp" Target="../ctrlProps/ctrlProp19.xml"/><Relationship Id="rId7" Type="http://schemas.openxmlformats.org/officeDocument/2006/relationships/control" Target="../activeX/activeX3.xml"/><Relationship Id="rId12" Type="http://schemas.openxmlformats.org/officeDocument/2006/relationships/control" Target="../activeX/activeX8.xml"/><Relationship Id="rId17" Type="http://schemas.openxmlformats.org/officeDocument/2006/relationships/control" Target="../activeX/activeX11.xml"/><Relationship Id="rId25" Type="http://schemas.openxmlformats.org/officeDocument/2006/relationships/comments" Target="../comments1.xml"/><Relationship Id="rId2" Type="http://schemas.openxmlformats.org/officeDocument/2006/relationships/drawing" Target="../drawings/drawing3.xml"/><Relationship Id="rId16" Type="http://schemas.openxmlformats.org/officeDocument/2006/relationships/image" Target="../media/image6.emf"/><Relationship Id="rId20" Type="http://schemas.openxmlformats.org/officeDocument/2006/relationships/control" Target="../activeX/activeX14.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control" Target="../activeX/activeX7.xml"/><Relationship Id="rId24" Type="http://schemas.openxmlformats.org/officeDocument/2006/relationships/ctrlProp" Target="../ctrlProps/ctrlProp22.xml"/><Relationship Id="rId5" Type="http://schemas.openxmlformats.org/officeDocument/2006/relationships/image" Target="../media/image4.emf"/><Relationship Id="rId15" Type="http://schemas.openxmlformats.org/officeDocument/2006/relationships/control" Target="../activeX/activeX10.xml"/><Relationship Id="rId23" Type="http://schemas.openxmlformats.org/officeDocument/2006/relationships/ctrlProp" Target="../ctrlProps/ctrlProp21.xml"/><Relationship Id="rId10" Type="http://schemas.openxmlformats.org/officeDocument/2006/relationships/control" Target="../activeX/activeX6.xml"/><Relationship Id="rId19" Type="http://schemas.openxmlformats.org/officeDocument/2006/relationships/control" Target="../activeX/activeX13.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5.emf"/><Relationship Id="rId22"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4.vml"/><Relationship Id="rId7" Type="http://schemas.openxmlformats.org/officeDocument/2006/relationships/ctrlProp" Target="../ctrlProps/ctrlProp2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5.xml"/><Relationship Id="rId13" Type="http://schemas.openxmlformats.org/officeDocument/2006/relationships/ctrlProp" Target="../ctrlProps/ctrlProp40.xml"/><Relationship Id="rId18" Type="http://schemas.openxmlformats.org/officeDocument/2006/relationships/ctrlProp" Target="../ctrlProps/ctrlProp45.xml"/><Relationship Id="rId3" Type="http://schemas.openxmlformats.org/officeDocument/2006/relationships/vmlDrawing" Target="../drawings/vmlDrawing5.vml"/><Relationship Id="rId21" Type="http://schemas.openxmlformats.org/officeDocument/2006/relationships/ctrlProp" Target="../ctrlProps/ctrlProp48.xml"/><Relationship Id="rId7" Type="http://schemas.openxmlformats.org/officeDocument/2006/relationships/ctrlProp" Target="../ctrlProps/ctrlProp34.xml"/><Relationship Id="rId12" Type="http://schemas.openxmlformats.org/officeDocument/2006/relationships/ctrlProp" Target="../ctrlProps/ctrlProp39.xml"/><Relationship Id="rId17" Type="http://schemas.openxmlformats.org/officeDocument/2006/relationships/ctrlProp" Target="../ctrlProps/ctrlProp44.xml"/><Relationship Id="rId2" Type="http://schemas.openxmlformats.org/officeDocument/2006/relationships/drawing" Target="../drawings/drawing6.xml"/><Relationship Id="rId16" Type="http://schemas.openxmlformats.org/officeDocument/2006/relationships/ctrlProp" Target="../ctrlProps/ctrlProp43.xml"/><Relationship Id="rId20" Type="http://schemas.openxmlformats.org/officeDocument/2006/relationships/ctrlProp" Target="../ctrlProps/ctrlProp47.xml"/><Relationship Id="rId1" Type="http://schemas.openxmlformats.org/officeDocument/2006/relationships/printerSettings" Target="../printerSettings/printerSettings6.bin"/><Relationship Id="rId6" Type="http://schemas.openxmlformats.org/officeDocument/2006/relationships/ctrlProp" Target="../ctrlProps/ctrlProp33.xml"/><Relationship Id="rId11" Type="http://schemas.openxmlformats.org/officeDocument/2006/relationships/ctrlProp" Target="../ctrlProps/ctrlProp38.xml"/><Relationship Id="rId5" Type="http://schemas.openxmlformats.org/officeDocument/2006/relationships/ctrlProp" Target="../ctrlProps/ctrlProp32.xml"/><Relationship Id="rId15" Type="http://schemas.openxmlformats.org/officeDocument/2006/relationships/ctrlProp" Target="../ctrlProps/ctrlProp42.xml"/><Relationship Id="rId10" Type="http://schemas.openxmlformats.org/officeDocument/2006/relationships/ctrlProp" Target="../ctrlProps/ctrlProp37.xml"/><Relationship Id="rId19" Type="http://schemas.openxmlformats.org/officeDocument/2006/relationships/ctrlProp" Target="../ctrlProps/ctrlProp46.xml"/><Relationship Id="rId4" Type="http://schemas.openxmlformats.org/officeDocument/2006/relationships/ctrlProp" Target="../ctrlProps/ctrlProp31.xml"/><Relationship Id="rId9" Type="http://schemas.openxmlformats.org/officeDocument/2006/relationships/ctrlProp" Target="../ctrlProps/ctrlProp36.xml"/><Relationship Id="rId14" Type="http://schemas.openxmlformats.org/officeDocument/2006/relationships/ctrlProp" Target="../ctrlProps/ctrlProp41.xml"/><Relationship Id="rId22" Type="http://schemas.openxmlformats.org/officeDocument/2006/relationships/ctrlProp" Target="../ctrlProps/ctrlProp4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18" Type="http://schemas.openxmlformats.org/officeDocument/2006/relationships/ctrlProp" Target="../ctrlProps/ctrlProp64.xml"/><Relationship Id="rId3" Type="http://schemas.openxmlformats.org/officeDocument/2006/relationships/vmlDrawing" Target="../drawings/vmlDrawing6.vml"/><Relationship Id="rId21" Type="http://schemas.openxmlformats.org/officeDocument/2006/relationships/ctrlProp" Target="../ctrlProps/ctrlProp67.xml"/><Relationship Id="rId7" Type="http://schemas.openxmlformats.org/officeDocument/2006/relationships/ctrlProp" Target="../ctrlProps/ctrlProp53.xml"/><Relationship Id="rId12" Type="http://schemas.openxmlformats.org/officeDocument/2006/relationships/ctrlProp" Target="../ctrlProps/ctrlProp58.xml"/><Relationship Id="rId17" Type="http://schemas.openxmlformats.org/officeDocument/2006/relationships/ctrlProp" Target="../ctrlProps/ctrlProp63.xml"/><Relationship Id="rId2" Type="http://schemas.openxmlformats.org/officeDocument/2006/relationships/drawing" Target="../drawings/drawing7.xml"/><Relationship Id="rId16" Type="http://schemas.openxmlformats.org/officeDocument/2006/relationships/ctrlProp" Target="../ctrlProps/ctrlProp62.xml"/><Relationship Id="rId20" Type="http://schemas.openxmlformats.org/officeDocument/2006/relationships/ctrlProp" Target="../ctrlProps/ctrlProp66.xml"/><Relationship Id="rId1" Type="http://schemas.openxmlformats.org/officeDocument/2006/relationships/printerSettings" Target="../printerSettings/printerSettings7.bin"/><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trlProp" Target="../ctrlProps/ctrlProp61.xml"/><Relationship Id="rId10" Type="http://schemas.openxmlformats.org/officeDocument/2006/relationships/ctrlProp" Target="../ctrlProps/ctrlProp56.xml"/><Relationship Id="rId19" Type="http://schemas.openxmlformats.org/officeDocument/2006/relationships/ctrlProp" Target="../ctrlProps/ctrlProp65.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 Id="rId22" Type="http://schemas.openxmlformats.org/officeDocument/2006/relationships/ctrlProp" Target="../ctrlProps/ctrlProp6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92328-2F97-4226-89CB-AADC7FFC3DDD}">
  <sheetPr codeName="Sheet7"/>
  <dimension ref="A1:AU751"/>
  <sheetViews>
    <sheetView showZeros="0" view="pageBreakPreview" topLeftCell="B1" zoomScaleNormal="75" workbookViewId="0">
      <pane ySplit="10" topLeftCell="A65" activePane="bottomLeft" state="frozen"/>
      <selection activeCell="D94" sqref="D94"/>
      <selection pane="bottomLeft" activeCell="C104" sqref="C104"/>
    </sheetView>
  </sheetViews>
  <sheetFormatPr defaultColWidth="9" defaultRowHeight="12.75" x14ac:dyDescent="0.2"/>
  <cols>
    <col min="1" max="1" width="3.5703125" style="143" hidden="1" customWidth="1"/>
    <col min="2" max="2" width="4.28515625" style="144" customWidth="1"/>
    <col min="3" max="3" width="4.28515625" style="145" customWidth="1"/>
    <col min="4" max="7" width="2.7109375" style="143" customWidth="1"/>
    <col min="8" max="8" width="41.28515625" style="143" customWidth="1"/>
    <col min="9" max="9" width="10.140625" style="146" customWidth="1"/>
    <col min="10" max="10" width="6.28515625" style="147" customWidth="1"/>
    <col min="11" max="13" width="10.85546875" style="148" hidden="1" customWidth="1"/>
    <col min="14" max="14" width="14.28515625" style="148" hidden="1" customWidth="1"/>
    <col min="15" max="15" width="12.28515625" style="149" customWidth="1"/>
    <col min="16" max="16" width="16.28515625" style="146" customWidth="1"/>
    <col min="17" max="17" width="9" style="150"/>
    <col min="18" max="25" width="9" style="143" hidden="1" customWidth="1"/>
    <col min="26" max="26" width="10.5703125" style="143" bestFit="1" customWidth="1"/>
    <col min="27" max="27" width="3.5703125" style="143" bestFit="1" customWidth="1"/>
    <col min="28" max="28" width="15.7109375" style="143" hidden="1" customWidth="1"/>
    <col min="29" max="32" width="0" style="143" hidden="1" customWidth="1"/>
    <col min="33" max="33" width="41.85546875" style="143" customWidth="1"/>
    <col min="34" max="35" width="13.28515625" style="143" customWidth="1"/>
    <col min="36" max="36" width="1.42578125" style="143" customWidth="1"/>
    <col min="37" max="38" width="13.28515625" style="143" customWidth="1"/>
    <col min="39" max="41" width="9" style="143" customWidth="1"/>
    <col min="42" max="256" width="9" style="143"/>
    <col min="257" max="257" width="0" style="143" hidden="1" customWidth="1"/>
    <col min="258" max="259" width="4.28515625" style="143" customWidth="1"/>
    <col min="260" max="263" width="2.7109375" style="143" customWidth="1"/>
    <col min="264" max="264" width="41.28515625" style="143" customWidth="1"/>
    <col min="265" max="265" width="10.140625" style="143" customWidth="1"/>
    <col min="266" max="266" width="6.28515625" style="143" customWidth="1"/>
    <col min="267" max="270" width="0" style="143" hidden="1" customWidth="1"/>
    <col min="271" max="271" width="12.28515625" style="143" customWidth="1"/>
    <col min="272" max="272" width="16.28515625" style="143" customWidth="1"/>
    <col min="273" max="273" width="9" style="143"/>
    <col min="274" max="281" width="0" style="143" hidden="1" customWidth="1"/>
    <col min="282" max="282" width="10.5703125" style="143" bestFit="1" customWidth="1"/>
    <col min="283" max="283" width="3.5703125" style="143" bestFit="1" customWidth="1"/>
    <col min="284" max="288" width="0" style="143" hidden="1" customWidth="1"/>
    <col min="289" max="289" width="41.85546875" style="143" customWidth="1"/>
    <col min="290" max="291" width="13.28515625" style="143" customWidth="1"/>
    <col min="292" max="292" width="1.42578125" style="143" customWidth="1"/>
    <col min="293" max="294" width="13.28515625" style="143" customWidth="1"/>
    <col min="295" max="512" width="9" style="143"/>
    <col min="513" max="513" width="0" style="143" hidden="1" customWidth="1"/>
    <col min="514" max="515" width="4.28515625" style="143" customWidth="1"/>
    <col min="516" max="519" width="2.7109375" style="143" customWidth="1"/>
    <col min="520" max="520" width="41.28515625" style="143" customWidth="1"/>
    <col min="521" max="521" width="10.140625" style="143" customWidth="1"/>
    <col min="522" max="522" width="6.28515625" style="143" customWidth="1"/>
    <col min="523" max="526" width="0" style="143" hidden="1" customWidth="1"/>
    <col min="527" max="527" width="12.28515625" style="143" customWidth="1"/>
    <col min="528" max="528" width="16.28515625" style="143" customWidth="1"/>
    <col min="529" max="529" width="9" style="143"/>
    <col min="530" max="537" width="0" style="143" hidden="1" customWidth="1"/>
    <col min="538" max="538" width="10.5703125" style="143" bestFit="1" customWidth="1"/>
    <col min="539" max="539" width="3.5703125" style="143" bestFit="1" customWidth="1"/>
    <col min="540" max="544" width="0" style="143" hidden="1" customWidth="1"/>
    <col min="545" max="545" width="41.85546875" style="143" customWidth="1"/>
    <col min="546" max="547" width="13.28515625" style="143" customWidth="1"/>
    <col min="548" max="548" width="1.42578125" style="143" customWidth="1"/>
    <col min="549" max="550" width="13.28515625" style="143" customWidth="1"/>
    <col min="551" max="768" width="9" style="143"/>
    <col min="769" max="769" width="0" style="143" hidden="1" customWidth="1"/>
    <col min="770" max="771" width="4.28515625" style="143" customWidth="1"/>
    <col min="772" max="775" width="2.7109375" style="143" customWidth="1"/>
    <col min="776" max="776" width="41.28515625" style="143" customWidth="1"/>
    <col min="777" max="777" width="10.140625" style="143" customWidth="1"/>
    <col min="778" max="778" width="6.28515625" style="143" customWidth="1"/>
    <col min="779" max="782" width="0" style="143" hidden="1" customWidth="1"/>
    <col min="783" max="783" width="12.28515625" style="143" customWidth="1"/>
    <col min="784" max="784" width="16.28515625" style="143" customWidth="1"/>
    <col min="785" max="785" width="9" style="143"/>
    <col min="786" max="793" width="0" style="143" hidden="1" customWidth="1"/>
    <col min="794" max="794" width="10.5703125" style="143" bestFit="1" customWidth="1"/>
    <col min="795" max="795" width="3.5703125" style="143" bestFit="1" customWidth="1"/>
    <col min="796" max="800" width="0" style="143" hidden="1" customWidth="1"/>
    <col min="801" max="801" width="41.85546875" style="143" customWidth="1"/>
    <col min="802" max="803" width="13.28515625" style="143" customWidth="1"/>
    <col min="804" max="804" width="1.42578125" style="143" customWidth="1"/>
    <col min="805" max="806" width="13.28515625" style="143" customWidth="1"/>
    <col min="807" max="1024" width="9" style="143"/>
    <col min="1025" max="1025" width="0" style="143" hidden="1" customWidth="1"/>
    <col min="1026" max="1027" width="4.28515625" style="143" customWidth="1"/>
    <col min="1028" max="1031" width="2.7109375" style="143" customWidth="1"/>
    <col min="1032" max="1032" width="41.28515625" style="143" customWidth="1"/>
    <col min="1033" max="1033" width="10.140625" style="143" customWidth="1"/>
    <col min="1034" max="1034" width="6.28515625" style="143" customWidth="1"/>
    <col min="1035" max="1038" width="0" style="143" hidden="1" customWidth="1"/>
    <col min="1039" max="1039" width="12.28515625" style="143" customWidth="1"/>
    <col min="1040" max="1040" width="16.28515625" style="143" customWidth="1"/>
    <col min="1041" max="1041" width="9" style="143"/>
    <col min="1042" max="1049" width="0" style="143" hidden="1" customWidth="1"/>
    <col min="1050" max="1050" width="10.5703125" style="143" bestFit="1" customWidth="1"/>
    <col min="1051" max="1051" width="3.5703125" style="143" bestFit="1" customWidth="1"/>
    <col min="1052" max="1056" width="0" style="143" hidden="1" customWidth="1"/>
    <col min="1057" max="1057" width="41.85546875" style="143" customWidth="1"/>
    <col min="1058" max="1059" width="13.28515625" style="143" customWidth="1"/>
    <col min="1060" max="1060" width="1.42578125" style="143" customWidth="1"/>
    <col min="1061" max="1062" width="13.28515625" style="143" customWidth="1"/>
    <col min="1063" max="1280" width="9" style="143"/>
    <col min="1281" max="1281" width="0" style="143" hidden="1" customWidth="1"/>
    <col min="1282" max="1283" width="4.28515625" style="143" customWidth="1"/>
    <col min="1284" max="1287" width="2.7109375" style="143" customWidth="1"/>
    <col min="1288" max="1288" width="41.28515625" style="143" customWidth="1"/>
    <col min="1289" max="1289" width="10.140625" style="143" customWidth="1"/>
    <col min="1290" max="1290" width="6.28515625" style="143" customWidth="1"/>
    <col min="1291" max="1294" width="0" style="143" hidden="1" customWidth="1"/>
    <col min="1295" max="1295" width="12.28515625" style="143" customWidth="1"/>
    <col min="1296" max="1296" width="16.28515625" style="143" customWidth="1"/>
    <col min="1297" max="1297" width="9" style="143"/>
    <col min="1298" max="1305" width="0" style="143" hidden="1" customWidth="1"/>
    <col min="1306" max="1306" width="10.5703125" style="143" bestFit="1" customWidth="1"/>
    <col min="1307" max="1307" width="3.5703125" style="143" bestFit="1" customWidth="1"/>
    <col min="1308" max="1312" width="0" style="143" hidden="1" customWidth="1"/>
    <col min="1313" max="1313" width="41.85546875" style="143" customWidth="1"/>
    <col min="1314" max="1315" width="13.28515625" style="143" customWidth="1"/>
    <col min="1316" max="1316" width="1.42578125" style="143" customWidth="1"/>
    <col min="1317" max="1318" width="13.28515625" style="143" customWidth="1"/>
    <col min="1319" max="1536" width="9" style="143"/>
    <col min="1537" max="1537" width="0" style="143" hidden="1" customWidth="1"/>
    <col min="1538" max="1539" width="4.28515625" style="143" customWidth="1"/>
    <col min="1540" max="1543" width="2.7109375" style="143" customWidth="1"/>
    <col min="1544" max="1544" width="41.28515625" style="143" customWidth="1"/>
    <col min="1545" max="1545" width="10.140625" style="143" customWidth="1"/>
    <col min="1546" max="1546" width="6.28515625" style="143" customWidth="1"/>
    <col min="1547" max="1550" width="0" style="143" hidden="1" customWidth="1"/>
    <col min="1551" max="1551" width="12.28515625" style="143" customWidth="1"/>
    <col min="1552" max="1552" width="16.28515625" style="143" customWidth="1"/>
    <col min="1553" max="1553" width="9" style="143"/>
    <col min="1554" max="1561" width="0" style="143" hidden="1" customWidth="1"/>
    <col min="1562" max="1562" width="10.5703125" style="143" bestFit="1" customWidth="1"/>
    <col min="1563" max="1563" width="3.5703125" style="143" bestFit="1" customWidth="1"/>
    <col min="1564" max="1568" width="0" style="143" hidden="1" customWidth="1"/>
    <col min="1569" max="1569" width="41.85546875" style="143" customWidth="1"/>
    <col min="1570" max="1571" width="13.28515625" style="143" customWidth="1"/>
    <col min="1572" max="1572" width="1.42578125" style="143" customWidth="1"/>
    <col min="1573" max="1574" width="13.28515625" style="143" customWidth="1"/>
    <col min="1575" max="1792" width="9" style="143"/>
    <col min="1793" max="1793" width="0" style="143" hidden="1" customWidth="1"/>
    <col min="1794" max="1795" width="4.28515625" style="143" customWidth="1"/>
    <col min="1796" max="1799" width="2.7109375" style="143" customWidth="1"/>
    <col min="1800" max="1800" width="41.28515625" style="143" customWidth="1"/>
    <col min="1801" max="1801" width="10.140625" style="143" customWidth="1"/>
    <col min="1802" max="1802" width="6.28515625" style="143" customWidth="1"/>
    <col min="1803" max="1806" width="0" style="143" hidden="1" customWidth="1"/>
    <col min="1807" max="1807" width="12.28515625" style="143" customWidth="1"/>
    <col min="1808" max="1808" width="16.28515625" style="143" customWidth="1"/>
    <col min="1809" max="1809" width="9" style="143"/>
    <col min="1810" max="1817" width="0" style="143" hidden="1" customWidth="1"/>
    <col min="1818" max="1818" width="10.5703125" style="143" bestFit="1" customWidth="1"/>
    <col min="1819" max="1819" width="3.5703125" style="143" bestFit="1" customWidth="1"/>
    <col min="1820" max="1824" width="0" style="143" hidden="1" customWidth="1"/>
    <col min="1825" max="1825" width="41.85546875" style="143" customWidth="1"/>
    <col min="1826" max="1827" width="13.28515625" style="143" customWidth="1"/>
    <col min="1828" max="1828" width="1.42578125" style="143" customWidth="1"/>
    <col min="1829" max="1830" width="13.28515625" style="143" customWidth="1"/>
    <col min="1831" max="2048" width="9" style="143"/>
    <col min="2049" max="2049" width="0" style="143" hidden="1" customWidth="1"/>
    <col min="2050" max="2051" width="4.28515625" style="143" customWidth="1"/>
    <col min="2052" max="2055" width="2.7109375" style="143" customWidth="1"/>
    <col min="2056" max="2056" width="41.28515625" style="143" customWidth="1"/>
    <col min="2057" max="2057" width="10.140625" style="143" customWidth="1"/>
    <col min="2058" max="2058" width="6.28515625" style="143" customWidth="1"/>
    <col min="2059" max="2062" width="0" style="143" hidden="1" customWidth="1"/>
    <col min="2063" max="2063" width="12.28515625" style="143" customWidth="1"/>
    <col min="2064" max="2064" width="16.28515625" style="143" customWidth="1"/>
    <col min="2065" max="2065" width="9" style="143"/>
    <col min="2066" max="2073" width="0" style="143" hidden="1" customWidth="1"/>
    <col min="2074" max="2074" width="10.5703125" style="143" bestFit="1" customWidth="1"/>
    <col min="2075" max="2075" width="3.5703125" style="143" bestFit="1" customWidth="1"/>
    <col min="2076" max="2080" width="0" style="143" hidden="1" customWidth="1"/>
    <col min="2081" max="2081" width="41.85546875" style="143" customWidth="1"/>
    <col min="2082" max="2083" width="13.28515625" style="143" customWidth="1"/>
    <col min="2084" max="2084" width="1.42578125" style="143" customWidth="1"/>
    <col min="2085" max="2086" width="13.28515625" style="143" customWidth="1"/>
    <col min="2087" max="2304" width="9" style="143"/>
    <col min="2305" max="2305" width="0" style="143" hidden="1" customWidth="1"/>
    <col min="2306" max="2307" width="4.28515625" style="143" customWidth="1"/>
    <col min="2308" max="2311" width="2.7109375" style="143" customWidth="1"/>
    <col min="2312" max="2312" width="41.28515625" style="143" customWidth="1"/>
    <col min="2313" max="2313" width="10.140625" style="143" customWidth="1"/>
    <col min="2314" max="2314" width="6.28515625" style="143" customWidth="1"/>
    <col min="2315" max="2318" width="0" style="143" hidden="1" customWidth="1"/>
    <col min="2319" max="2319" width="12.28515625" style="143" customWidth="1"/>
    <col min="2320" max="2320" width="16.28515625" style="143" customWidth="1"/>
    <col min="2321" max="2321" width="9" style="143"/>
    <col min="2322" max="2329" width="0" style="143" hidden="1" customWidth="1"/>
    <col min="2330" max="2330" width="10.5703125" style="143" bestFit="1" customWidth="1"/>
    <col min="2331" max="2331" width="3.5703125" style="143" bestFit="1" customWidth="1"/>
    <col min="2332" max="2336" width="0" style="143" hidden="1" customWidth="1"/>
    <col min="2337" max="2337" width="41.85546875" style="143" customWidth="1"/>
    <col min="2338" max="2339" width="13.28515625" style="143" customWidth="1"/>
    <col min="2340" max="2340" width="1.42578125" style="143" customWidth="1"/>
    <col min="2341" max="2342" width="13.28515625" style="143" customWidth="1"/>
    <col min="2343" max="2560" width="9" style="143"/>
    <col min="2561" max="2561" width="0" style="143" hidden="1" customWidth="1"/>
    <col min="2562" max="2563" width="4.28515625" style="143" customWidth="1"/>
    <col min="2564" max="2567" width="2.7109375" style="143" customWidth="1"/>
    <col min="2568" max="2568" width="41.28515625" style="143" customWidth="1"/>
    <col min="2569" max="2569" width="10.140625" style="143" customWidth="1"/>
    <col min="2570" max="2570" width="6.28515625" style="143" customWidth="1"/>
    <col min="2571" max="2574" width="0" style="143" hidden="1" customWidth="1"/>
    <col min="2575" max="2575" width="12.28515625" style="143" customWidth="1"/>
    <col min="2576" max="2576" width="16.28515625" style="143" customWidth="1"/>
    <col min="2577" max="2577" width="9" style="143"/>
    <col min="2578" max="2585" width="0" style="143" hidden="1" customWidth="1"/>
    <col min="2586" max="2586" width="10.5703125" style="143" bestFit="1" customWidth="1"/>
    <col min="2587" max="2587" width="3.5703125" style="143" bestFit="1" customWidth="1"/>
    <col min="2588" max="2592" width="0" style="143" hidden="1" customWidth="1"/>
    <col min="2593" max="2593" width="41.85546875" style="143" customWidth="1"/>
    <col min="2594" max="2595" width="13.28515625" style="143" customWidth="1"/>
    <col min="2596" max="2596" width="1.42578125" style="143" customWidth="1"/>
    <col min="2597" max="2598" width="13.28515625" style="143" customWidth="1"/>
    <col min="2599" max="2816" width="9" style="143"/>
    <col min="2817" max="2817" width="0" style="143" hidden="1" customWidth="1"/>
    <col min="2818" max="2819" width="4.28515625" style="143" customWidth="1"/>
    <col min="2820" max="2823" width="2.7109375" style="143" customWidth="1"/>
    <col min="2824" max="2824" width="41.28515625" style="143" customWidth="1"/>
    <col min="2825" max="2825" width="10.140625" style="143" customWidth="1"/>
    <col min="2826" max="2826" width="6.28515625" style="143" customWidth="1"/>
    <col min="2827" max="2830" width="0" style="143" hidden="1" customWidth="1"/>
    <col min="2831" max="2831" width="12.28515625" style="143" customWidth="1"/>
    <col min="2832" max="2832" width="16.28515625" style="143" customWidth="1"/>
    <col min="2833" max="2833" width="9" style="143"/>
    <col min="2834" max="2841" width="0" style="143" hidden="1" customWidth="1"/>
    <col min="2842" max="2842" width="10.5703125" style="143" bestFit="1" customWidth="1"/>
    <col min="2843" max="2843" width="3.5703125" style="143" bestFit="1" customWidth="1"/>
    <col min="2844" max="2848" width="0" style="143" hidden="1" customWidth="1"/>
    <col min="2849" max="2849" width="41.85546875" style="143" customWidth="1"/>
    <col min="2850" max="2851" width="13.28515625" style="143" customWidth="1"/>
    <col min="2852" max="2852" width="1.42578125" style="143" customWidth="1"/>
    <col min="2853" max="2854" width="13.28515625" style="143" customWidth="1"/>
    <col min="2855" max="3072" width="9" style="143"/>
    <col min="3073" max="3073" width="0" style="143" hidden="1" customWidth="1"/>
    <col min="3074" max="3075" width="4.28515625" style="143" customWidth="1"/>
    <col min="3076" max="3079" width="2.7109375" style="143" customWidth="1"/>
    <col min="3080" max="3080" width="41.28515625" style="143" customWidth="1"/>
    <col min="3081" max="3081" width="10.140625" style="143" customWidth="1"/>
    <col min="3082" max="3082" width="6.28515625" style="143" customWidth="1"/>
    <col min="3083" max="3086" width="0" style="143" hidden="1" customWidth="1"/>
    <col min="3087" max="3087" width="12.28515625" style="143" customWidth="1"/>
    <col min="3088" max="3088" width="16.28515625" style="143" customWidth="1"/>
    <col min="3089" max="3089" width="9" style="143"/>
    <col min="3090" max="3097" width="0" style="143" hidden="1" customWidth="1"/>
    <col min="3098" max="3098" width="10.5703125" style="143" bestFit="1" customWidth="1"/>
    <col min="3099" max="3099" width="3.5703125" style="143" bestFit="1" customWidth="1"/>
    <col min="3100" max="3104" width="0" style="143" hidden="1" customWidth="1"/>
    <col min="3105" max="3105" width="41.85546875" style="143" customWidth="1"/>
    <col min="3106" max="3107" width="13.28515625" style="143" customWidth="1"/>
    <col min="3108" max="3108" width="1.42578125" style="143" customWidth="1"/>
    <col min="3109" max="3110" width="13.28515625" style="143" customWidth="1"/>
    <col min="3111" max="3328" width="9" style="143"/>
    <col min="3329" max="3329" width="0" style="143" hidden="1" customWidth="1"/>
    <col min="3330" max="3331" width="4.28515625" style="143" customWidth="1"/>
    <col min="3332" max="3335" width="2.7109375" style="143" customWidth="1"/>
    <col min="3336" max="3336" width="41.28515625" style="143" customWidth="1"/>
    <col min="3337" max="3337" width="10.140625" style="143" customWidth="1"/>
    <col min="3338" max="3338" width="6.28515625" style="143" customWidth="1"/>
    <col min="3339" max="3342" width="0" style="143" hidden="1" customWidth="1"/>
    <col min="3343" max="3343" width="12.28515625" style="143" customWidth="1"/>
    <col min="3344" max="3344" width="16.28515625" style="143" customWidth="1"/>
    <col min="3345" max="3345" width="9" style="143"/>
    <col min="3346" max="3353" width="0" style="143" hidden="1" customWidth="1"/>
    <col min="3354" max="3354" width="10.5703125" style="143" bestFit="1" customWidth="1"/>
    <col min="3355" max="3355" width="3.5703125" style="143" bestFit="1" customWidth="1"/>
    <col min="3356" max="3360" width="0" style="143" hidden="1" customWidth="1"/>
    <col min="3361" max="3361" width="41.85546875" style="143" customWidth="1"/>
    <col min="3362" max="3363" width="13.28515625" style="143" customWidth="1"/>
    <col min="3364" max="3364" width="1.42578125" style="143" customWidth="1"/>
    <col min="3365" max="3366" width="13.28515625" style="143" customWidth="1"/>
    <col min="3367" max="3584" width="9" style="143"/>
    <col min="3585" max="3585" width="0" style="143" hidden="1" customWidth="1"/>
    <col min="3586" max="3587" width="4.28515625" style="143" customWidth="1"/>
    <col min="3588" max="3591" width="2.7109375" style="143" customWidth="1"/>
    <col min="3592" max="3592" width="41.28515625" style="143" customWidth="1"/>
    <col min="3593" max="3593" width="10.140625" style="143" customWidth="1"/>
    <col min="3594" max="3594" width="6.28515625" style="143" customWidth="1"/>
    <col min="3595" max="3598" width="0" style="143" hidden="1" customWidth="1"/>
    <col min="3599" max="3599" width="12.28515625" style="143" customWidth="1"/>
    <col min="3600" max="3600" width="16.28515625" style="143" customWidth="1"/>
    <col min="3601" max="3601" width="9" style="143"/>
    <col min="3602" max="3609" width="0" style="143" hidden="1" customWidth="1"/>
    <col min="3610" max="3610" width="10.5703125" style="143" bestFit="1" customWidth="1"/>
    <col min="3611" max="3611" width="3.5703125" style="143" bestFit="1" customWidth="1"/>
    <col min="3612" max="3616" width="0" style="143" hidden="1" customWidth="1"/>
    <col min="3617" max="3617" width="41.85546875" style="143" customWidth="1"/>
    <col min="3618" max="3619" width="13.28515625" style="143" customWidth="1"/>
    <col min="3620" max="3620" width="1.42578125" style="143" customWidth="1"/>
    <col min="3621" max="3622" width="13.28515625" style="143" customWidth="1"/>
    <col min="3623" max="3840" width="9" style="143"/>
    <col min="3841" max="3841" width="0" style="143" hidden="1" customWidth="1"/>
    <col min="3842" max="3843" width="4.28515625" style="143" customWidth="1"/>
    <col min="3844" max="3847" width="2.7109375" style="143" customWidth="1"/>
    <col min="3848" max="3848" width="41.28515625" style="143" customWidth="1"/>
    <col min="3849" max="3849" width="10.140625" style="143" customWidth="1"/>
    <col min="3850" max="3850" width="6.28515625" style="143" customWidth="1"/>
    <col min="3851" max="3854" width="0" style="143" hidden="1" customWidth="1"/>
    <col min="3855" max="3855" width="12.28515625" style="143" customWidth="1"/>
    <col min="3856" max="3856" width="16.28515625" style="143" customWidth="1"/>
    <col min="3857" max="3857" width="9" style="143"/>
    <col min="3858" max="3865" width="0" style="143" hidden="1" customWidth="1"/>
    <col min="3866" max="3866" width="10.5703125" style="143" bestFit="1" customWidth="1"/>
    <col min="3867" max="3867" width="3.5703125" style="143" bestFit="1" customWidth="1"/>
    <col min="3868" max="3872" width="0" style="143" hidden="1" customWidth="1"/>
    <col min="3873" max="3873" width="41.85546875" style="143" customWidth="1"/>
    <col min="3874" max="3875" width="13.28515625" style="143" customWidth="1"/>
    <col min="3876" max="3876" width="1.42578125" style="143" customWidth="1"/>
    <col min="3877" max="3878" width="13.28515625" style="143" customWidth="1"/>
    <col min="3879" max="4096" width="9" style="143"/>
    <col min="4097" max="4097" width="0" style="143" hidden="1" customWidth="1"/>
    <col min="4098" max="4099" width="4.28515625" style="143" customWidth="1"/>
    <col min="4100" max="4103" width="2.7109375" style="143" customWidth="1"/>
    <col min="4104" max="4104" width="41.28515625" style="143" customWidth="1"/>
    <col min="4105" max="4105" width="10.140625" style="143" customWidth="1"/>
    <col min="4106" max="4106" width="6.28515625" style="143" customWidth="1"/>
    <col min="4107" max="4110" width="0" style="143" hidden="1" customWidth="1"/>
    <col min="4111" max="4111" width="12.28515625" style="143" customWidth="1"/>
    <col min="4112" max="4112" width="16.28515625" style="143" customWidth="1"/>
    <col min="4113" max="4113" width="9" style="143"/>
    <col min="4114" max="4121" width="0" style="143" hidden="1" customWidth="1"/>
    <col min="4122" max="4122" width="10.5703125" style="143" bestFit="1" customWidth="1"/>
    <col min="4123" max="4123" width="3.5703125" style="143" bestFit="1" customWidth="1"/>
    <col min="4124" max="4128" width="0" style="143" hidden="1" customWidth="1"/>
    <col min="4129" max="4129" width="41.85546875" style="143" customWidth="1"/>
    <col min="4130" max="4131" width="13.28515625" style="143" customWidth="1"/>
    <col min="4132" max="4132" width="1.42578125" style="143" customWidth="1"/>
    <col min="4133" max="4134" width="13.28515625" style="143" customWidth="1"/>
    <col min="4135" max="4352" width="9" style="143"/>
    <col min="4353" max="4353" width="0" style="143" hidden="1" customWidth="1"/>
    <col min="4354" max="4355" width="4.28515625" style="143" customWidth="1"/>
    <col min="4356" max="4359" width="2.7109375" style="143" customWidth="1"/>
    <col min="4360" max="4360" width="41.28515625" style="143" customWidth="1"/>
    <col min="4361" max="4361" width="10.140625" style="143" customWidth="1"/>
    <col min="4362" max="4362" width="6.28515625" style="143" customWidth="1"/>
    <col min="4363" max="4366" width="0" style="143" hidden="1" customWidth="1"/>
    <col min="4367" max="4367" width="12.28515625" style="143" customWidth="1"/>
    <col min="4368" max="4368" width="16.28515625" style="143" customWidth="1"/>
    <col min="4369" max="4369" width="9" style="143"/>
    <col min="4370" max="4377" width="0" style="143" hidden="1" customWidth="1"/>
    <col min="4378" max="4378" width="10.5703125" style="143" bestFit="1" customWidth="1"/>
    <col min="4379" max="4379" width="3.5703125" style="143" bestFit="1" customWidth="1"/>
    <col min="4380" max="4384" width="0" style="143" hidden="1" customWidth="1"/>
    <col min="4385" max="4385" width="41.85546875" style="143" customWidth="1"/>
    <col min="4386" max="4387" width="13.28515625" style="143" customWidth="1"/>
    <col min="4388" max="4388" width="1.42578125" style="143" customWidth="1"/>
    <col min="4389" max="4390" width="13.28515625" style="143" customWidth="1"/>
    <col min="4391" max="4608" width="9" style="143"/>
    <col min="4609" max="4609" width="0" style="143" hidden="1" customWidth="1"/>
    <col min="4610" max="4611" width="4.28515625" style="143" customWidth="1"/>
    <col min="4612" max="4615" width="2.7109375" style="143" customWidth="1"/>
    <col min="4616" max="4616" width="41.28515625" style="143" customWidth="1"/>
    <col min="4617" max="4617" width="10.140625" style="143" customWidth="1"/>
    <col min="4618" max="4618" width="6.28515625" style="143" customWidth="1"/>
    <col min="4619" max="4622" width="0" style="143" hidden="1" customWidth="1"/>
    <col min="4623" max="4623" width="12.28515625" style="143" customWidth="1"/>
    <col min="4624" max="4624" width="16.28515625" style="143" customWidth="1"/>
    <col min="4625" max="4625" width="9" style="143"/>
    <col min="4626" max="4633" width="0" style="143" hidden="1" customWidth="1"/>
    <col min="4634" max="4634" width="10.5703125" style="143" bestFit="1" customWidth="1"/>
    <col min="4635" max="4635" width="3.5703125" style="143" bestFit="1" customWidth="1"/>
    <col min="4636" max="4640" width="0" style="143" hidden="1" customWidth="1"/>
    <col min="4641" max="4641" width="41.85546875" style="143" customWidth="1"/>
    <col min="4642" max="4643" width="13.28515625" style="143" customWidth="1"/>
    <col min="4644" max="4644" width="1.42578125" style="143" customWidth="1"/>
    <col min="4645" max="4646" width="13.28515625" style="143" customWidth="1"/>
    <col min="4647" max="4864" width="9" style="143"/>
    <col min="4865" max="4865" width="0" style="143" hidden="1" customWidth="1"/>
    <col min="4866" max="4867" width="4.28515625" style="143" customWidth="1"/>
    <col min="4868" max="4871" width="2.7109375" style="143" customWidth="1"/>
    <col min="4872" max="4872" width="41.28515625" style="143" customWidth="1"/>
    <col min="4873" max="4873" width="10.140625" style="143" customWidth="1"/>
    <col min="4874" max="4874" width="6.28515625" style="143" customWidth="1"/>
    <col min="4875" max="4878" width="0" style="143" hidden="1" customWidth="1"/>
    <col min="4879" max="4879" width="12.28515625" style="143" customWidth="1"/>
    <col min="4880" max="4880" width="16.28515625" style="143" customWidth="1"/>
    <col min="4881" max="4881" width="9" style="143"/>
    <col min="4882" max="4889" width="0" style="143" hidden="1" customWidth="1"/>
    <col min="4890" max="4890" width="10.5703125" style="143" bestFit="1" customWidth="1"/>
    <col min="4891" max="4891" width="3.5703125" style="143" bestFit="1" customWidth="1"/>
    <col min="4892" max="4896" width="0" style="143" hidden="1" customWidth="1"/>
    <col min="4897" max="4897" width="41.85546875" style="143" customWidth="1"/>
    <col min="4898" max="4899" width="13.28515625" style="143" customWidth="1"/>
    <col min="4900" max="4900" width="1.42578125" style="143" customWidth="1"/>
    <col min="4901" max="4902" width="13.28515625" style="143" customWidth="1"/>
    <col min="4903" max="5120" width="9" style="143"/>
    <col min="5121" max="5121" width="0" style="143" hidden="1" customWidth="1"/>
    <col min="5122" max="5123" width="4.28515625" style="143" customWidth="1"/>
    <col min="5124" max="5127" width="2.7109375" style="143" customWidth="1"/>
    <col min="5128" max="5128" width="41.28515625" style="143" customWidth="1"/>
    <col min="5129" max="5129" width="10.140625" style="143" customWidth="1"/>
    <col min="5130" max="5130" width="6.28515625" style="143" customWidth="1"/>
    <col min="5131" max="5134" width="0" style="143" hidden="1" customWidth="1"/>
    <col min="5135" max="5135" width="12.28515625" style="143" customWidth="1"/>
    <col min="5136" max="5136" width="16.28515625" style="143" customWidth="1"/>
    <col min="5137" max="5137" width="9" style="143"/>
    <col min="5138" max="5145" width="0" style="143" hidden="1" customWidth="1"/>
    <col min="5146" max="5146" width="10.5703125" style="143" bestFit="1" customWidth="1"/>
    <col min="5147" max="5147" width="3.5703125" style="143" bestFit="1" customWidth="1"/>
    <col min="5148" max="5152" width="0" style="143" hidden="1" customWidth="1"/>
    <col min="5153" max="5153" width="41.85546875" style="143" customWidth="1"/>
    <col min="5154" max="5155" width="13.28515625" style="143" customWidth="1"/>
    <col min="5156" max="5156" width="1.42578125" style="143" customWidth="1"/>
    <col min="5157" max="5158" width="13.28515625" style="143" customWidth="1"/>
    <col min="5159" max="5376" width="9" style="143"/>
    <col min="5377" max="5377" width="0" style="143" hidden="1" customWidth="1"/>
    <col min="5378" max="5379" width="4.28515625" style="143" customWidth="1"/>
    <col min="5380" max="5383" width="2.7109375" style="143" customWidth="1"/>
    <col min="5384" max="5384" width="41.28515625" style="143" customWidth="1"/>
    <col min="5385" max="5385" width="10.140625" style="143" customWidth="1"/>
    <col min="5386" max="5386" width="6.28515625" style="143" customWidth="1"/>
    <col min="5387" max="5390" width="0" style="143" hidden="1" customWidth="1"/>
    <col min="5391" max="5391" width="12.28515625" style="143" customWidth="1"/>
    <col min="5392" max="5392" width="16.28515625" style="143" customWidth="1"/>
    <col min="5393" max="5393" width="9" style="143"/>
    <col min="5394" max="5401" width="0" style="143" hidden="1" customWidth="1"/>
    <col min="5402" max="5402" width="10.5703125" style="143" bestFit="1" customWidth="1"/>
    <col min="5403" max="5403" width="3.5703125" style="143" bestFit="1" customWidth="1"/>
    <col min="5404" max="5408" width="0" style="143" hidden="1" customWidth="1"/>
    <col min="5409" max="5409" width="41.85546875" style="143" customWidth="1"/>
    <col min="5410" max="5411" width="13.28515625" style="143" customWidth="1"/>
    <col min="5412" max="5412" width="1.42578125" style="143" customWidth="1"/>
    <col min="5413" max="5414" width="13.28515625" style="143" customWidth="1"/>
    <col min="5415" max="5632" width="9" style="143"/>
    <col min="5633" max="5633" width="0" style="143" hidden="1" customWidth="1"/>
    <col min="5634" max="5635" width="4.28515625" style="143" customWidth="1"/>
    <col min="5636" max="5639" width="2.7109375" style="143" customWidth="1"/>
    <col min="5640" max="5640" width="41.28515625" style="143" customWidth="1"/>
    <col min="5641" max="5641" width="10.140625" style="143" customWidth="1"/>
    <col min="5642" max="5642" width="6.28515625" style="143" customWidth="1"/>
    <col min="5643" max="5646" width="0" style="143" hidden="1" customWidth="1"/>
    <col min="5647" max="5647" width="12.28515625" style="143" customWidth="1"/>
    <col min="5648" max="5648" width="16.28515625" style="143" customWidth="1"/>
    <col min="5649" max="5649" width="9" style="143"/>
    <col min="5650" max="5657" width="0" style="143" hidden="1" customWidth="1"/>
    <col min="5658" max="5658" width="10.5703125" style="143" bestFit="1" customWidth="1"/>
    <col min="5659" max="5659" width="3.5703125" style="143" bestFit="1" customWidth="1"/>
    <col min="5660" max="5664" width="0" style="143" hidden="1" customWidth="1"/>
    <col min="5665" max="5665" width="41.85546875" style="143" customWidth="1"/>
    <col min="5666" max="5667" width="13.28515625" style="143" customWidth="1"/>
    <col min="5668" max="5668" width="1.42578125" style="143" customWidth="1"/>
    <col min="5669" max="5670" width="13.28515625" style="143" customWidth="1"/>
    <col min="5671" max="5888" width="9" style="143"/>
    <col min="5889" max="5889" width="0" style="143" hidden="1" customWidth="1"/>
    <col min="5890" max="5891" width="4.28515625" style="143" customWidth="1"/>
    <col min="5892" max="5895" width="2.7109375" style="143" customWidth="1"/>
    <col min="5896" max="5896" width="41.28515625" style="143" customWidth="1"/>
    <col min="5897" max="5897" width="10.140625" style="143" customWidth="1"/>
    <col min="5898" max="5898" width="6.28515625" style="143" customWidth="1"/>
    <col min="5899" max="5902" width="0" style="143" hidden="1" customWidth="1"/>
    <col min="5903" max="5903" width="12.28515625" style="143" customWidth="1"/>
    <col min="5904" max="5904" width="16.28515625" style="143" customWidth="1"/>
    <col min="5905" max="5905" width="9" style="143"/>
    <col min="5906" max="5913" width="0" style="143" hidden="1" customWidth="1"/>
    <col min="5914" max="5914" width="10.5703125" style="143" bestFit="1" customWidth="1"/>
    <col min="5915" max="5915" width="3.5703125" style="143" bestFit="1" customWidth="1"/>
    <col min="5916" max="5920" width="0" style="143" hidden="1" customWidth="1"/>
    <col min="5921" max="5921" width="41.85546875" style="143" customWidth="1"/>
    <col min="5922" max="5923" width="13.28515625" style="143" customWidth="1"/>
    <col min="5924" max="5924" width="1.42578125" style="143" customWidth="1"/>
    <col min="5925" max="5926" width="13.28515625" style="143" customWidth="1"/>
    <col min="5927" max="6144" width="9" style="143"/>
    <col min="6145" max="6145" width="0" style="143" hidden="1" customWidth="1"/>
    <col min="6146" max="6147" width="4.28515625" style="143" customWidth="1"/>
    <col min="6148" max="6151" width="2.7109375" style="143" customWidth="1"/>
    <col min="6152" max="6152" width="41.28515625" style="143" customWidth="1"/>
    <col min="6153" max="6153" width="10.140625" style="143" customWidth="1"/>
    <col min="6154" max="6154" width="6.28515625" style="143" customWidth="1"/>
    <col min="6155" max="6158" width="0" style="143" hidden="1" customWidth="1"/>
    <col min="6159" max="6159" width="12.28515625" style="143" customWidth="1"/>
    <col min="6160" max="6160" width="16.28515625" style="143" customWidth="1"/>
    <col min="6161" max="6161" width="9" style="143"/>
    <col min="6162" max="6169" width="0" style="143" hidden="1" customWidth="1"/>
    <col min="6170" max="6170" width="10.5703125" style="143" bestFit="1" customWidth="1"/>
    <col min="6171" max="6171" width="3.5703125" style="143" bestFit="1" customWidth="1"/>
    <col min="6172" max="6176" width="0" style="143" hidden="1" customWidth="1"/>
    <col min="6177" max="6177" width="41.85546875" style="143" customWidth="1"/>
    <col min="6178" max="6179" width="13.28515625" style="143" customWidth="1"/>
    <col min="6180" max="6180" width="1.42578125" style="143" customWidth="1"/>
    <col min="6181" max="6182" width="13.28515625" style="143" customWidth="1"/>
    <col min="6183" max="6400" width="9" style="143"/>
    <col min="6401" max="6401" width="0" style="143" hidden="1" customWidth="1"/>
    <col min="6402" max="6403" width="4.28515625" style="143" customWidth="1"/>
    <col min="6404" max="6407" width="2.7109375" style="143" customWidth="1"/>
    <col min="6408" max="6408" width="41.28515625" style="143" customWidth="1"/>
    <col min="6409" max="6409" width="10.140625" style="143" customWidth="1"/>
    <col min="6410" max="6410" width="6.28515625" style="143" customWidth="1"/>
    <col min="6411" max="6414" width="0" style="143" hidden="1" customWidth="1"/>
    <col min="6415" max="6415" width="12.28515625" style="143" customWidth="1"/>
    <col min="6416" max="6416" width="16.28515625" style="143" customWidth="1"/>
    <col min="6417" max="6417" width="9" style="143"/>
    <col min="6418" max="6425" width="0" style="143" hidden="1" customWidth="1"/>
    <col min="6426" max="6426" width="10.5703125" style="143" bestFit="1" customWidth="1"/>
    <col min="6427" max="6427" width="3.5703125" style="143" bestFit="1" customWidth="1"/>
    <col min="6428" max="6432" width="0" style="143" hidden="1" customWidth="1"/>
    <col min="6433" max="6433" width="41.85546875" style="143" customWidth="1"/>
    <col min="6434" max="6435" width="13.28515625" style="143" customWidth="1"/>
    <col min="6436" max="6436" width="1.42578125" style="143" customWidth="1"/>
    <col min="6437" max="6438" width="13.28515625" style="143" customWidth="1"/>
    <col min="6439" max="6656" width="9" style="143"/>
    <col min="6657" max="6657" width="0" style="143" hidden="1" customWidth="1"/>
    <col min="6658" max="6659" width="4.28515625" style="143" customWidth="1"/>
    <col min="6660" max="6663" width="2.7109375" style="143" customWidth="1"/>
    <col min="6664" max="6664" width="41.28515625" style="143" customWidth="1"/>
    <col min="6665" max="6665" width="10.140625" style="143" customWidth="1"/>
    <col min="6666" max="6666" width="6.28515625" style="143" customWidth="1"/>
    <col min="6667" max="6670" width="0" style="143" hidden="1" customWidth="1"/>
    <col min="6671" max="6671" width="12.28515625" style="143" customWidth="1"/>
    <col min="6672" max="6672" width="16.28515625" style="143" customWidth="1"/>
    <col min="6673" max="6673" width="9" style="143"/>
    <col min="6674" max="6681" width="0" style="143" hidden="1" customWidth="1"/>
    <col min="6682" max="6682" width="10.5703125" style="143" bestFit="1" customWidth="1"/>
    <col min="6683" max="6683" width="3.5703125" style="143" bestFit="1" customWidth="1"/>
    <col min="6684" max="6688" width="0" style="143" hidden="1" customWidth="1"/>
    <col min="6689" max="6689" width="41.85546875" style="143" customWidth="1"/>
    <col min="6690" max="6691" width="13.28515625" style="143" customWidth="1"/>
    <col min="6692" max="6692" width="1.42578125" style="143" customWidth="1"/>
    <col min="6693" max="6694" width="13.28515625" style="143" customWidth="1"/>
    <col min="6695" max="6912" width="9" style="143"/>
    <col min="6913" max="6913" width="0" style="143" hidden="1" customWidth="1"/>
    <col min="6914" max="6915" width="4.28515625" style="143" customWidth="1"/>
    <col min="6916" max="6919" width="2.7109375" style="143" customWidth="1"/>
    <col min="6920" max="6920" width="41.28515625" style="143" customWidth="1"/>
    <col min="6921" max="6921" width="10.140625" style="143" customWidth="1"/>
    <col min="6922" max="6922" width="6.28515625" style="143" customWidth="1"/>
    <col min="6923" max="6926" width="0" style="143" hidden="1" customWidth="1"/>
    <col min="6927" max="6927" width="12.28515625" style="143" customWidth="1"/>
    <col min="6928" max="6928" width="16.28515625" style="143" customWidth="1"/>
    <col min="6929" max="6929" width="9" style="143"/>
    <col min="6930" max="6937" width="0" style="143" hidden="1" customWidth="1"/>
    <col min="6938" max="6938" width="10.5703125" style="143" bestFit="1" customWidth="1"/>
    <col min="6939" max="6939" width="3.5703125" style="143" bestFit="1" customWidth="1"/>
    <col min="6940" max="6944" width="0" style="143" hidden="1" customWidth="1"/>
    <col min="6945" max="6945" width="41.85546875" style="143" customWidth="1"/>
    <col min="6946" max="6947" width="13.28515625" style="143" customWidth="1"/>
    <col min="6948" max="6948" width="1.42578125" style="143" customWidth="1"/>
    <col min="6949" max="6950" width="13.28515625" style="143" customWidth="1"/>
    <col min="6951" max="7168" width="9" style="143"/>
    <col min="7169" max="7169" width="0" style="143" hidden="1" customWidth="1"/>
    <col min="7170" max="7171" width="4.28515625" style="143" customWidth="1"/>
    <col min="7172" max="7175" width="2.7109375" style="143" customWidth="1"/>
    <col min="7176" max="7176" width="41.28515625" style="143" customWidth="1"/>
    <col min="7177" max="7177" width="10.140625" style="143" customWidth="1"/>
    <col min="7178" max="7178" width="6.28515625" style="143" customWidth="1"/>
    <col min="7179" max="7182" width="0" style="143" hidden="1" customWidth="1"/>
    <col min="7183" max="7183" width="12.28515625" style="143" customWidth="1"/>
    <col min="7184" max="7184" width="16.28515625" style="143" customWidth="1"/>
    <col min="7185" max="7185" width="9" style="143"/>
    <col min="7186" max="7193" width="0" style="143" hidden="1" customWidth="1"/>
    <col min="7194" max="7194" width="10.5703125" style="143" bestFit="1" customWidth="1"/>
    <col min="7195" max="7195" width="3.5703125" style="143" bestFit="1" customWidth="1"/>
    <col min="7196" max="7200" width="0" style="143" hidden="1" customWidth="1"/>
    <col min="7201" max="7201" width="41.85546875" style="143" customWidth="1"/>
    <col min="7202" max="7203" width="13.28515625" style="143" customWidth="1"/>
    <col min="7204" max="7204" width="1.42578125" style="143" customWidth="1"/>
    <col min="7205" max="7206" width="13.28515625" style="143" customWidth="1"/>
    <col min="7207" max="7424" width="9" style="143"/>
    <col min="7425" max="7425" width="0" style="143" hidden="1" customWidth="1"/>
    <col min="7426" max="7427" width="4.28515625" style="143" customWidth="1"/>
    <col min="7428" max="7431" width="2.7109375" style="143" customWidth="1"/>
    <col min="7432" max="7432" width="41.28515625" style="143" customWidth="1"/>
    <col min="7433" max="7433" width="10.140625" style="143" customWidth="1"/>
    <col min="7434" max="7434" width="6.28515625" style="143" customWidth="1"/>
    <col min="7435" max="7438" width="0" style="143" hidden="1" customWidth="1"/>
    <col min="7439" max="7439" width="12.28515625" style="143" customWidth="1"/>
    <col min="7440" max="7440" width="16.28515625" style="143" customWidth="1"/>
    <col min="7441" max="7441" width="9" style="143"/>
    <col min="7442" max="7449" width="0" style="143" hidden="1" customWidth="1"/>
    <col min="7450" max="7450" width="10.5703125" style="143" bestFit="1" customWidth="1"/>
    <col min="7451" max="7451" width="3.5703125" style="143" bestFit="1" customWidth="1"/>
    <col min="7452" max="7456" width="0" style="143" hidden="1" customWidth="1"/>
    <col min="7457" max="7457" width="41.85546875" style="143" customWidth="1"/>
    <col min="7458" max="7459" width="13.28515625" style="143" customWidth="1"/>
    <col min="7460" max="7460" width="1.42578125" style="143" customWidth="1"/>
    <col min="7461" max="7462" width="13.28515625" style="143" customWidth="1"/>
    <col min="7463" max="7680" width="9" style="143"/>
    <col min="7681" max="7681" width="0" style="143" hidden="1" customWidth="1"/>
    <col min="7682" max="7683" width="4.28515625" style="143" customWidth="1"/>
    <col min="7684" max="7687" width="2.7109375" style="143" customWidth="1"/>
    <col min="7688" max="7688" width="41.28515625" style="143" customWidth="1"/>
    <col min="7689" max="7689" width="10.140625" style="143" customWidth="1"/>
    <col min="7690" max="7690" width="6.28515625" style="143" customWidth="1"/>
    <col min="7691" max="7694" width="0" style="143" hidden="1" customWidth="1"/>
    <col min="7695" max="7695" width="12.28515625" style="143" customWidth="1"/>
    <col min="7696" max="7696" width="16.28515625" style="143" customWidth="1"/>
    <col min="7697" max="7697" width="9" style="143"/>
    <col min="7698" max="7705" width="0" style="143" hidden="1" customWidth="1"/>
    <col min="7706" max="7706" width="10.5703125" style="143" bestFit="1" customWidth="1"/>
    <col min="7707" max="7707" width="3.5703125" style="143" bestFit="1" customWidth="1"/>
    <col min="7708" max="7712" width="0" style="143" hidden="1" customWidth="1"/>
    <col min="7713" max="7713" width="41.85546875" style="143" customWidth="1"/>
    <col min="7714" max="7715" width="13.28515625" style="143" customWidth="1"/>
    <col min="7716" max="7716" width="1.42578125" style="143" customWidth="1"/>
    <col min="7717" max="7718" width="13.28515625" style="143" customWidth="1"/>
    <col min="7719" max="7936" width="9" style="143"/>
    <col min="7937" max="7937" width="0" style="143" hidden="1" customWidth="1"/>
    <col min="7938" max="7939" width="4.28515625" style="143" customWidth="1"/>
    <col min="7940" max="7943" width="2.7109375" style="143" customWidth="1"/>
    <col min="7944" max="7944" width="41.28515625" style="143" customWidth="1"/>
    <col min="7945" max="7945" width="10.140625" style="143" customWidth="1"/>
    <col min="7946" max="7946" width="6.28515625" style="143" customWidth="1"/>
    <col min="7947" max="7950" width="0" style="143" hidden="1" customWidth="1"/>
    <col min="7951" max="7951" width="12.28515625" style="143" customWidth="1"/>
    <col min="7952" max="7952" width="16.28515625" style="143" customWidth="1"/>
    <col min="7953" max="7953" width="9" style="143"/>
    <col min="7954" max="7961" width="0" style="143" hidden="1" customWidth="1"/>
    <col min="7962" max="7962" width="10.5703125" style="143" bestFit="1" customWidth="1"/>
    <col min="7963" max="7963" width="3.5703125" style="143" bestFit="1" customWidth="1"/>
    <col min="7964" max="7968" width="0" style="143" hidden="1" customWidth="1"/>
    <col min="7969" max="7969" width="41.85546875" style="143" customWidth="1"/>
    <col min="7970" max="7971" width="13.28515625" style="143" customWidth="1"/>
    <col min="7972" max="7972" width="1.42578125" style="143" customWidth="1"/>
    <col min="7973" max="7974" width="13.28515625" style="143" customWidth="1"/>
    <col min="7975" max="8192" width="9" style="143"/>
    <col min="8193" max="8193" width="0" style="143" hidden="1" customWidth="1"/>
    <col min="8194" max="8195" width="4.28515625" style="143" customWidth="1"/>
    <col min="8196" max="8199" width="2.7109375" style="143" customWidth="1"/>
    <col min="8200" max="8200" width="41.28515625" style="143" customWidth="1"/>
    <col min="8201" max="8201" width="10.140625" style="143" customWidth="1"/>
    <col min="8202" max="8202" width="6.28515625" style="143" customWidth="1"/>
    <col min="8203" max="8206" width="0" style="143" hidden="1" customWidth="1"/>
    <col min="8207" max="8207" width="12.28515625" style="143" customWidth="1"/>
    <col min="8208" max="8208" width="16.28515625" style="143" customWidth="1"/>
    <col min="8209" max="8209" width="9" style="143"/>
    <col min="8210" max="8217" width="0" style="143" hidden="1" customWidth="1"/>
    <col min="8218" max="8218" width="10.5703125" style="143" bestFit="1" customWidth="1"/>
    <col min="8219" max="8219" width="3.5703125" style="143" bestFit="1" customWidth="1"/>
    <col min="8220" max="8224" width="0" style="143" hidden="1" customWidth="1"/>
    <col min="8225" max="8225" width="41.85546875" style="143" customWidth="1"/>
    <col min="8226" max="8227" width="13.28515625" style="143" customWidth="1"/>
    <col min="8228" max="8228" width="1.42578125" style="143" customWidth="1"/>
    <col min="8229" max="8230" width="13.28515625" style="143" customWidth="1"/>
    <col min="8231" max="8448" width="9" style="143"/>
    <col min="8449" max="8449" width="0" style="143" hidden="1" customWidth="1"/>
    <col min="8450" max="8451" width="4.28515625" style="143" customWidth="1"/>
    <col min="8452" max="8455" width="2.7109375" style="143" customWidth="1"/>
    <col min="8456" max="8456" width="41.28515625" style="143" customWidth="1"/>
    <col min="8457" max="8457" width="10.140625" style="143" customWidth="1"/>
    <col min="8458" max="8458" width="6.28515625" style="143" customWidth="1"/>
    <col min="8459" max="8462" width="0" style="143" hidden="1" customWidth="1"/>
    <col min="8463" max="8463" width="12.28515625" style="143" customWidth="1"/>
    <col min="8464" max="8464" width="16.28515625" style="143" customWidth="1"/>
    <col min="8465" max="8465" width="9" style="143"/>
    <col min="8466" max="8473" width="0" style="143" hidden="1" customWidth="1"/>
    <col min="8474" max="8474" width="10.5703125" style="143" bestFit="1" customWidth="1"/>
    <col min="8475" max="8475" width="3.5703125" style="143" bestFit="1" customWidth="1"/>
    <col min="8476" max="8480" width="0" style="143" hidden="1" customWidth="1"/>
    <col min="8481" max="8481" width="41.85546875" style="143" customWidth="1"/>
    <col min="8482" max="8483" width="13.28515625" style="143" customWidth="1"/>
    <col min="8484" max="8484" width="1.42578125" style="143" customWidth="1"/>
    <col min="8485" max="8486" width="13.28515625" style="143" customWidth="1"/>
    <col min="8487" max="8704" width="9" style="143"/>
    <col min="8705" max="8705" width="0" style="143" hidden="1" customWidth="1"/>
    <col min="8706" max="8707" width="4.28515625" style="143" customWidth="1"/>
    <col min="8708" max="8711" width="2.7109375" style="143" customWidth="1"/>
    <col min="8712" max="8712" width="41.28515625" style="143" customWidth="1"/>
    <col min="8713" max="8713" width="10.140625" style="143" customWidth="1"/>
    <col min="8714" max="8714" width="6.28515625" style="143" customWidth="1"/>
    <col min="8715" max="8718" width="0" style="143" hidden="1" customWidth="1"/>
    <col min="8719" max="8719" width="12.28515625" style="143" customWidth="1"/>
    <col min="8720" max="8720" width="16.28515625" style="143" customWidth="1"/>
    <col min="8721" max="8721" width="9" style="143"/>
    <col min="8722" max="8729" width="0" style="143" hidden="1" customWidth="1"/>
    <col min="8730" max="8730" width="10.5703125" style="143" bestFit="1" customWidth="1"/>
    <col min="8731" max="8731" width="3.5703125" style="143" bestFit="1" customWidth="1"/>
    <col min="8732" max="8736" width="0" style="143" hidden="1" customWidth="1"/>
    <col min="8737" max="8737" width="41.85546875" style="143" customWidth="1"/>
    <col min="8738" max="8739" width="13.28515625" style="143" customWidth="1"/>
    <col min="8740" max="8740" width="1.42578125" style="143" customWidth="1"/>
    <col min="8741" max="8742" width="13.28515625" style="143" customWidth="1"/>
    <col min="8743" max="8960" width="9" style="143"/>
    <col min="8961" max="8961" width="0" style="143" hidden="1" customWidth="1"/>
    <col min="8962" max="8963" width="4.28515625" style="143" customWidth="1"/>
    <col min="8964" max="8967" width="2.7109375" style="143" customWidth="1"/>
    <col min="8968" max="8968" width="41.28515625" style="143" customWidth="1"/>
    <col min="8969" max="8969" width="10.140625" style="143" customWidth="1"/>
    <col min="8970" max="8970" width="6.28515625" style="143" customWidth="1"/>
    <col min="8971" max="8974" width="0" style="143" hidden="1" customWidth="1"/>
    <col min="8975" max="8975" width="12.28515625" style="143" customWidth="1"/>
    <col min="8976" max="8976" width="16.28515625" style="143" customWidth="1"/>
    <col min="8977" max="8977" width="9" style="143"/>
    <col min="8978" max="8985" width="0" style="143" hidden="1" customWidth="1"/>
    <col min="8986" max="8986" width="10.5703125" style="143" bestFit="1" customWidth="1"/>
    <col min="8987" max="8987" width="3.5703125" style="143" bestFit="1" customWidth="1"/>
    <col min="8988" max="8992" width="0" style="143" hidden="1" customWidth="1"/>
    <col min="8993" max="8993" width="41.85546875" style="143" customWidth="1"/>
    <col min="8994" max="8995" width="13.28515625" style="143" customWidth="1"/>
    <col min="8996" max="8996" width="1.42578125" style="143" customWidth="1"/>
    <col min="8997" max="8998" width="13.28515625" style="143" customWidth="1"/>
    <col min="8999" max="9216" width="9" style="143"/>
    <col min="9217" max="9217" width="0" style="143" hidden="1" customWidth="1"/>
    <col min="9218" max="9219" width="4.28515625" style="143" customWidth="1"/>
    <col min="9220" max="9223" width="2.7109375" style="143" customWidth="1"/>
    <col min="9224" max="9224" width="41.28515625" style="143" customWidth="1"/>
    <col min="9225" max="9225" width="10.140625" style="143" customWidth="1"/>
    <col min="9226" max="9226" width="6.28515625" style="143" customWidth="1"/>
    <col min="9227" max="9230" width="0" style="143" hidden="1" customWidth="1"/>
    <col min="9231" max="9231" width="12.28515625" style="143" customWidth="1"/>
    <col min="9232" max="9232" width="16.28515625" style="143" customWidth="1"/>
    <col min="9233" max="9233" width="9" style="143"/>
    <col min="9234" max="9241" width="0" style="143" hidden="1" customWidth="1"/>
    <col min="9242" max="9242" width="10.5703125" style="143" bestFit="1" customWidth="1"/>
    <col min="9243" max="9243" width="3.5703125" style="143" bestFit="1" customWidth="1"/>
    <col min="9244" max="9248" width="0" style="143" hidden="1" customWidth="1"/>
    <col min="9249" max="9249" width="41.85546875" style="143" customWidth="1"/>
    <col min="9250" max="9251" width="13.28515625" style="143" customWidth="1"/>
    <col min="9252" max="9252" width="1.42578125" style="143" customWidth="1"/>
    <col min="9253" max="9254" width="13.28515625" style="143" customWidth="1"/>
    <col min="9255" max="9472" width="9" style="143"/>
    <col min="9473" max="9473" width="0" style="143" hidden="1" customWidth="1"/>
    <col min="9474" max="9475" width="4.28515625" style="143" customWidth="1"/>
    <col min="9476" max="9479" width="2.7109375" style="143" customWidth="1"/>
    <col min="9480" max="9480" width="41.28515625" style="143" customWidth="1"/>
    <col min="9481" max="9481" width="10.140625" style="143" customWidth="1"/>
    <col min="9482" max="9482" width="6.28515625" style="143" customWidth="1"/>
    <col min="9483" max="9486" width="0" style="143" hidden="1" customWidth="1"/>
    <col min="9487" max="9487" width="12.28515625" style="143" customWidth="1"/>
    <col min="9488" max="9488" width="16.28515625" style="143" customWidth="1"/>
    <col min="9489" max="9489" width="9" style="143"/>
    <col min="9490" max="9497" width="0" style="143" hidden="1" customWidth="1"/>
    <col min="9498" max="9498" width="10.5703125" style="143" bestFit="1" customWidth="1"/>
    <col min="9499" max="9499" width="3.5703125" style="143" bestFit="1" customWidth="1"/>
    <col min="9500" max="9504" width="0" style="143" hidden="1" customWidth="1"/>
    <col min="9505" max="9505" width="41.85546875" style="143" customWidth="1"/>
    <col min="9506" max="9507" width="13.28515625" style="143" customWidth="1"/>
    <col min="9508" max="9508" width="1.42578125" style="143" customWidth="1"/>
    <col min="9509" max="9510" width="13.28515625" style="143" customWidth="1"/>
    <col min="9511" max="9728" width="9" style="143"/>
    <col min="9729" max="9729" width="0" style="143" hidden="1" customWidth="1"/>
    <col min="9730" max="9731" width="4.28515625" style="143" customWidth="1"/>
    <col min="9732" max="9735" width="2.7109375" style="143" customWidth="1"/>
    <col min="9736" max="9736" width="41.28515625" style="143" customWidth="1"/>
    <col min="9737" max="9737" width="10.140625" style="143" customWidth="1"/>
    <col min="9738" max="9738" width="6.28515625" style="143" customWidth="1"/>
    <col min="9739" max="9742" width="0" style="143" hidden="1" customWidth="1"/>
    <col min="9743" max="9743" width="12.28515625" style="143" customWidth="1"/>
    <col min="9744" max="9744" width="16.28515625" style="143" customWidth="1"/>
    <col min="9745" max="9745" width="9" style="143"/>
    <col min="9746" max="9753" width="0" style="143" hidden="1" customWidth="1"/>
    <col min="9754" max="9754" width="10.5703125" style="143" bestFit="1" customWidth="1"/>
    <col min="9755" max="9755" width="3.5703125" style="143" bestFit="1" customWidth="1"/>
    <col min="9756" max="9760" width="0" style="143" hidden="1" customWidth="1"/>
    <col min="9761" max="9761" width="41.85546875" style="143" customWidth="1"/>
    <col min="9762" max="9763" width="13.28515625" style="143" customWidth="1"/>
    <col min="9764" max="9764" width="1.42578125" style="143" customWidth="1"/>
    <col min="9765" max="9766" width="13.28515625" style="143" customWidth="1"/>
    <col min="9767" max="9984" width="9" style="143"/>
    <col min="9985" max="9985" width="0" style="143" hidden="1" customWidth="1"/>
    <col min="9986" max="9987" width="4.28515625" style="143" customWidth="1"/>
    <col min="9988" max="9991" width="2.7109375" style="143" customWidth="1"/>
    <col min="9992" max="9992" width="41.28515625" style="143" customWidth="1"/>
    <col min="9993" max="9993" width="10.140625" style="143" customWidth="1"/>
    <col min="9994" max="9994" width="6.28515625" style="143" customWidth="1"/>
    <col min="9995" max="9998" width="0" style="143" hidden="1" customWidth="1"/>
    <col min="9999" max="9999" width="12.28515625" style="143" customWidth="1"/>
    <col min="10000" max="10000" width="16.28515625" style="143" customWidth="1"/>
    <col min="10001" max="10001" width="9" style="143"/>
    <col min="10002" max="10009" width="0" style="143" hidden="1" customWidth="1"/>
    <col min="10010" max="10010" width="10.5703125" style="143" bestFit="1" customWidth="1"/>
    <col min="10011" max="10011" width="3.5703125" style="143" bestFit="1" customWidth="1"/>
    <col min="10012" max="10016" width="0" style="143" hidden="1" customWidth="1"/>
    <col min="10017" max="10017" width="41.85546875" style="143" customWidth="1"/>
    <col min="10018" max="10019" width="13.28515625" style="143" customWidth="1"/>
    <col min="10020" max="10020" width="1.42578125" style="143" customWidth="1"/>
    <col min="10021" max="10022" width="13.28515625" style="143" customWidth="1"/>
    <col min="10023" max="10240" width="9" style="143"/>
    <col min="10241" max="10241" width="0" style="143" hidden="1" customWidth="1"/>
    <col min="10242" max="10243" width="4.28515625" style="143" customWidth="1"/>
    <col min="10244" max="10247" width="2.7109375" style="143" customWidth="1"/>
    <col min="10248" max="10248" width="41.28515625" style="143" customWidth="1"/>
    <col min="10249" max="10249" width="10.140625" style="143" customWidth="1"/>
    <col min="10250" max="10250" width="6.28515625" style="143" customWidth="1"/>
    <col min="10251" max="10254" width="0" style="143" hidden="1" customWidth="1"/>
    <col min="10255" max="10255" width="12.28515625" style="143" customWidth="1"/>
    <col min="10256" max="10256" width="16.28515625" style="143" customWidth="1"/>
    <col min="10257" max="10257" width="9" style="143"/>
    <col min="10258" max="10265" width="0" style="143" hidden="1" customWidth="1"/>
    <col min="10266" max="10266" width="10.5703125" style="143" bestFit="1" customWidth="1"/>
    <col min="10267" max="10267" width="3.5703125" style="143" bestFit="1" customWidth="1"/>
    <col min="10268" max="10272" width="0" style="143" hidden="1" customWidth="1"/>
    <col min="10273" max="10273" width="41.85546875" style="143" customWidth="1"/>
    <col min="10274" max="10275" width="13.28515625" style="143" customWidth="1"/>
    <col min="10276" max="10276" width="1.42578125" style="143" customWidth="1"/>
    <col min="10277" max="10278" width="13.28515625" style="143" customWidth="1"/>
    <col min="10279" max="10496" width="9" style="143"/>
    <col min="10497" max="10497" width="0" style="143" hidden="1" customWidth="1"/>
    <col min="10498" max="10499" width="4.28515625" style="143" customWidth="1"/>
    <col min="10500" max="10503" width="2.7109375" style="143" customWidth="1"/>
    <col min="10504" max="10504" width="41.28515625" style="143" customWidth="1"/>
    <col min="10505" max="10505" width="10.140625" style="143" customWidth="1"/>
    <col min="10506" max="10506" width="6.28515625" style="143" customWidth="1"/>
    <col min="10507" max="10510" width="0" style="143" hidden="1" customWidth="1"/>
    <col min="10511" max="10511" width="12.28515625" style="143" customWidth="1"/>
    <col min="10512" max="10512" width="16.28515625" style="143" customWidth="1"/>
    <col min="10513" max="10513" width="9" style="143"/>
    <col min="10514" max="10521" width="0" style="143" hidden="1" customWidth="1"/>
    <col min="10522" max="10522" width="10.5703125" style="143" bestFit="1" customWidth="1"/>
    <col min="10523" max="10523" width="3.5703125" style="143" bestFit="1" customWidth="1"/>
    <col min="10524" max="10528" width="0" style="143" hidden="1" customWidth="1"/>
    <col min="10529" max="10529" width="41.85546875" style="143" customWidth="1"/>
    <col min="10530" max="10531" width="13.28515625" style="143" customWidth="1"/>
    <col min="10532" max="10532" width="1.42578125" style="143" customWidth="1"/>
    <col min="10533" max="10534" width="13.28515625" style="143" customWidth="1"/>
    <col min="10535" max="10752" width="9" style="143"/>
    <col min="10753" max="10753" width="0" style="143" hidden="1" customWidth="1"/>
    <col min="10754" max="10755" width="4.28515625" style="143" customWidth="1"/>
    <col min="10756" max="10759" width="2.7109375" style="143" customWidth="1"/>
    <col min="10760" max="10760" width="41.28515625" style="143" customWidth="1"/>
    <col min="10761" max="10761" width="10.140625" style="143" customWidth="1"/>
    <col min="10762" max="10762" width="6.28515625" style="143" customWidth="1"/>
    <col min="10763" max="10766" width="0" style="143" hidden="1" customWidth="1"/>
    <col min="10767" max="10767" width="12.28515625" style="143" customWidth="1"/>
    <col min="10768" max="10768" width="16.28515625" style="143" customWidth="1"/>
    <col min="10769" max="10769" width="9" style="143"/>
    <col min="10770" max="10777" width="0" style="143" hidden="1" customWidth="1"/>
    <col min="10778" max="10778" width="10.5703125" style="143" bestFit="1" customWidth="1"/>
    <col min="10779" max="10779" width="3.5703125" style="143" bestFit="1" customWidth="1"/>
    <col min="10780" max="10784" width="0" style="143" hidden="1" customWidth="1"/>
    <col min="10785" max="10785" width="41.85546875" style="143" customWidth="1"/>
    <col min="10786" max="10787" width="13.28515625" style="143" customWidth="1"/>
    <col min="10788" max="10788" width="1.42578125" style="143" customWidth="1"/>
    <col min="10789" max="10790" width="13.28515625" style="143" customWidth="1"/>
    <col min="10791" max="11008" width="9" style="143"/>
    <col min="11009" max="11009" width="0" style="143" hidden="1" customWidth="1"/>
    <col min="11010" max="11011" width="4.28515625" style="143" customWidth="1"/>
    <col min="11012" max="11015" width="2.7109375" style="143" customWidth="1"/>
    <col min="11016" max="11016" width="41.28515625" style="143" customWidth="1"/>
    <col min="11017" max="11017" width="10.140625" style="143" customWidth="1"/>
    <col min="11018" max="11018" width="6.28515625" style="143" customWidth="1"/>
    <col min="11019" max="11022" width="0" style="143" hidden="1" customWidth="1"/>
    <col min="11023" max="11023" width="12.28515625" style="143" customWidth="1"/>
    <col min="11024" max="11024" width="16.28515625" style="143" customWidth="1"/>
    <col min="11025" max="11025" width="9" style="143"/>
    <col min="11026" max="11033" width="0" style="143" hidden="1" customWidth="1"/>
    <col min="11034" max="11034" width="10.5703125" style="143" bestFit="1" customWidth="1"/>
    <col min="11035" max="11035" width="3.5703125" style="143" bestFit="1" customWidth="1"/>
    <col min="11036" max="11040" width="0" style="143" hidden="1" customWidth="1"/>
    <col min="11041" max="11041" width="41.85546875" style="143" customWidth="1"/>
    <col min="11042" max="11043" width="13.28515625" style="143" customWidth="1"/>
    <col min="11044" max="11044" width="1.42578125" style="143" customWidth="1"/>
    <col min="11045" max="11046" width="13.28515625" style="143" customWidth="1"/>
    <col min="11047" max="11264" width="9" style="143"/>
    <col min="11265" max="11265" width="0" style="143" hidden="1" customWidth="1"/>
    <col min="11266" max="11267" width="4.28515625" style="143" customWidth="1"/>
    <col min="11268" max="11271" width="2.7109375" style="143" customWidth="1"/>
    <col min="11272" max="11272" width="41.28515625" style="143" customWidth="1"/>
    <col min="11273" max="11273" width="10.140625" style="143" customWidth="1"/>
    <col min="11274" max="11274" width="6.28515625" style="143" customWidth="1"/>
    <col min="11275" max="11278" width="0" style="143" hidden="1" customWidth="1"/>
    <col min="11279" max="11279" width="12.28515625" style="143" customWidth="1"/>
    <col min="11280" max="11280" width="16.28515625" style="143" customWidth="1"/>
    <col min="11281" max="11281" width="9" style="143"/>
    <col min="11282" max="11289" width="0" style="143" hidden="1" customWidth="1"/>
    <col min="11290" max="11290" width="10.5703125" style="143" bestFit="1" customWidth="1"/>
    <col min="11291" max="11291" width="3.5703125" style="143" bestFit="1" customWidth="1"/>
    <col min="11292" max="11296" width="0" style="143" hidden="1" customWidth="1"/>
    <col min="11297" max="11297" width="41.85546875" style="143" customWidth="1"/>
    <col min="11298" max="11299" width="13.28515625" style="143" customWidth="1"/>
    <col min="11300" max="11300" width="1.42578125" style="143" customWidth="1"/>
    <col min="11301" max="11302" width="13.28515625" style="143" customWidth="1"/>
    <col min="11303" max="11520" width="9" style="143"/>
    <col min="11521" max="11521" width="0" style="143" hidden="1" customWidth="1"/>
    <col min="11522" max="11523" width="4.28515625" style="143" customWidth="1"/>
    <col min="11524" max="11527" width="2.7109375" style="143" customWidth="1"/>
    <col min="11528" max="11528" width="41.28515625" style="143" customWidth="1"/>
    <col min="11529" max="11529" width="10.140625" style="143" customWidth="1"/>
    <col min="11530" max="11530" width="6.28515625" style="143" customWidth="1"/>
    <col min="11531" max="11534" width="0" style="143" hidden="1" customWidth="1"/>
    <col min="11535" max="11535" width="12.28515625" style="143" customWidth="1"/>
    <col min="11536" max="11536" width="16.28515625" style="143" customWidth="1"/>
    <col min="11537" max="11537" width="9" style="143"/>
    <col min="11538" max="11545" width="0" style="143" hidden="1" customWidth="1"/>
    <col min="11546" max="11546" width="10.5703125" style="143" bestFit="1" customWidth="1"/>
    <col min="11547" max="11547" width="3.5703125" style="143" bestFit="1" customWidth="1"/>
    <col min="11548" max="11552" width="0" style="143" hidden="1" customWidth="1"/>
    <col min="11553" max="11553" width="41.85546875" style="143" customWidth="1"/>
    <col min="11554" max="11555" width="13.28515625" style="143" customWidth="1"/>
    <col min="11556" max="11556" width="1.42578125" style="143" customWidth="1"/>
    <col min="11557" max="11558" width="13.28515625" style="143" customWidth="1"/>
    <col min="11559" max="11776" width="9" style="143"/>
    <col min="11777" max="11777" width="0" style="143" hidden="1" customWidth="1"/>
    <col min="11778" max="11779" width="4.28515625" style="143" customWidth="1"/>
    <col min="11780" max="11783" width="2.7109375" style="143" customWidth="1"/>
    <col min="11784" max="11784" width="41.28515625" style="143" customWidth="1"/>
    <col min="11785" max="11785" width="10.140625" style="143" customWidth="1"/>
    <col min="11786" max="11786" width="6.28515625" style="143" customWidth="1"/>
    <col min="11787" max="11790" width="0" style="143" hidden="1" customWidth="1"/>
    <col min="11791" max="11791" width="12.28515625" style="143" customWidth="1"/>
    <col min="11792" max="11792" width="16.28515625" style="143" customWidth="1"/>
    <col min="11793" max="11793" width="9" style="143"/>
    <col min="11794" max="11801" width="0" style="143" hidden="1" customWidth="1"/>
    <col min="11802" max="11802" width="10.5703125" style="143" bestFit="1" customWidth="1"/>
    <col min="11803" max="11803" width="3.5703125" style="143" bestFit="1" customWidth="1"/>
    <col min="11804" max="11808" width="0" style="143" hidden="1" customWidth="1"/>
    <col min="11809" max="11809" width="41.85546875" style="143" customWidth="1"/>
    <col min="11810" max="11811" width="13.28515625" style="143" customWidth="1"/>
    <col min="11812" max="11812" width="1.42578125" style="143" customWidth="1"/>
    <col min="11813" max="11814" width="13.28515625" style="143" customWidth="1"/>
    <col min="11815" max="12032" width="9" style="143"/>
    <col min="12033" max="12033" width="0" style="143" hidden="1" customWidth="1"/>
    <col min="12034" max="12035" width="4.28515625" style="143" customWidth="1"/>
    <col min="12036" max="12039" width="2.7109375" style="143" customWidth="1"/>
    <col min="12040" max="12040" width="41.28515625" style="143" customWidth="1"/>
    <col min="12041" max="12041" width="10.140625" style="143" customWidth="1"/>
    <col min="12042" max="12042" width="6.28515625" style="143" customWidth="1"/>
    <col min="12043" max="12046" width="0" style="143" hidden="1" customWidth="1"/>
    <col min="12047" max="12047" width="12.28515625" style="143" customWidth="1"/>
    <col min="12048" max="12048" width="16.28515625" style="143" customWidth="1"/>
    <col min="12049" max="12049" width="9" style="143"/>
    <col min="12050" max="12057" width="0" style="143" hidden="1" customWidth="1"/>
    <col min="12058" max="12058" width="10.5703125" style="143" bestFit="1" customWidth="1"/>
    <col min="12059" max="12059" width="3.5703125" style="143" bestFit="1" customWidth="1"/>
    <col min="12060" max="12064" width="0" style="143" hidden="1" customWidth="1"/>
    <col min="12065" max="12065" width="41.85546875" style="143" customWidth="1"/>
    <col min="12066" max="12067" width="13.28515625" style="143" customWidth="1"/>
    <col min="12068" max="12068" width="1.42578125" style="143" customWidth="1"/>
    <col min="12069" max="12070" width="13.28515625" style="143" customWidth="1"/>
    <col min="12071" max="12288" width="9" style="143"/>
    <col min="12289" max="12289" width="0" style="143" hidden="1" customWidth="1"/>
    <col min="12290" max="12291" width="4.28515625" style="143" customWidth="1"/>
    <col min="12292" max="12295" width="2.7109375" style="143" customWidth="1"/>
    <col min="12296" max="12296" width="41.28515625" style="143" customWidth="1"/>
    <col min="12297" max="12297" width="10.140625" style="143" customWidth="1"/>
    <col min="12298" max="12298" width="6.28515625" style="143" customWidth="1"/>
    <col min="12299" max="12302" width="0" style="143" hidden="1" customWidth="1"/>
    <col min="12303" max="12303" width="12.28515625" style="143" customWidth="1"/>
    <col min="12304" max="12304" width="16.28515625" style="143" customWidth="1"/>
    <col min="12305" max="12305" width="9" style="143"/>
    <col min="12306" max="12313" width="0" style="143" hidden="1" customWidth="1"/>
    <col min="12314" max="12314" width="10.5703125" style="143" bestFit="1" customWidth="1"/>
    <col min="12315" max="12315" width="3.5703125" style="143" bestFit="1" customWidth="1"/>
    <col min="12316" max="12320" width="0" style="143" hidden="1" customWidth="1"/>
    <col min="12321" max="12321" width="41.85546875" style="143" customWidth="1"/>
    <col min="12322" max="12323" width="13.28515625" style="143" customWidth="1"/>
    <col min="12324" max="12324" width="1.42578125" style="143" customWidth="1"/>
    <col min="12325" max="12326" width="13.28515625" style="143" customWidth="1"/>
    <col min="12327" max="12544" width="9" style="143"/>
    <col min="12545" max="12545" width="0" style="143" hidden="1" customWidth="1"/>
    <col min="12546" max="12547" width="4.28515625" style="143" customWidth="1"/>
    <col min="12548" max="12551" width="2.7109375" style="143" customWidth="1"/>
    <col min="12552" max="12552" width="41.28515625" style="143" customWidth="1"/>
    <col min="12553" max="12553" width="10.140625" style="143" customWidth="1"/>
    <col min="12554" max="12554" width="6.28515625" style="143" customWidth="1"/>
    <col min="12555" max="12558" width="0" style="143" hidden="1" customWidth="1"/>
    <col min="12559" max="12559" width="12.28515625" style="143" customWidth="1"/>
    <col min="12560" max="12560" width="16.28515625" style="143" customWidth="1"/>
    <col min="12561" max="12561" width="9" style="143"/>
    <col min="12562" max="12569" width="0" style="143" hidden="1" customWidth="1"/>
    <col min="12570" max="12570" width="10.5703125" style="143" bestFit="1" customWidth="1"/>
    <col min="12571" max="12571" width="3.5703125" style="143" bestFit="1" customWidth="1"/>
    <col min="12572" max="12576" width="0" style="143" hidden="1" customWidth="1"/>
    <col min="12577" max="12577" width="41.85546875" style="143" customWidth="1"/>
    <col min="12578" max="12579" width="13.28515625" style="143" customWidth="1"/>
    <col min="12580" max="12580" width="1.42578125" style="143" customWidth="1"/>
    <col min="12581" max="12582" width="13.28515625" style="143" customWidth="1"/>
    <col min="12583" max="12800" width="9" style="143"/>
    <col min="12801" max="12801" width="0" style="143" hidden="1" customWidth="1"/>
    <col min="12802" max="12803" width="4.28515625" style="143" customWidth="1"/>
    <col min="12804" max="12807" width="2.7109375" style="143" customWidth="1"/>
    <col min="12808" max="12808" width="41.28515625" style="143" customWidth="1"/>
    <col min="12809" max="12809" width="10.140625" style="143" customWidth="1"/>
    <col min="12810" max="12810" width="6.28515625" style="143" customWidth="1"/>
    <col min="12811" max="12814" width="0" style="143" hidden="1" customWidth="1"/>
    <col min="12815" max="12815" width="12.28515625" style="143" customWidth="1"/>
    <col min="12816" max="12816" width="16.28515625" style="143" customWidth="1"/>
    <col min="12817" max="12817" width="9" style="143"/>
    <col min="12818" max="12825" width="0" style="143" hidden="1" customWidth="1"/>
    <col min="12826" max="12826" width="10.5703125" style="143" bestFit="1" customWidth="1"/>
    <col min="12827" max="12827" width="3.5703125" style="143" bestFit="1" customWidth="1"/>
    <col min="12828" max="12832" width="0" style="143" hidden="1" customWidth="1"/>
    <col min="12833" max="12833" width="41.85546875" style="143" customWidth="1"/>
    <col min="12834" max="12835" width="13.28515625" style="143" customWidth="1"/>
    <col min="12836" max="12836" width="1.42578125" style="143" customWidth="1"/>
    <col min="12837" max="12838" width="13.28515625" style="143" customWidth="1"/>
    <col min="12839" max="13056" width="9" style="143"/>
    <col min="13057" max="13057" width="0" style="143" hidden="1" customWidth="1"/>
    <col min="13058" max="13059" width="4.28515625" style="143" customWidth="1"/>
    <col min="13060" max="13063" width="2.7109375" style="143" customWidth="1"/>
    <col min="13064" max="13064" width="41.28515625" style="143" customWidth="1"/>
    <col min="13065" max="13065" width="10.140625" style="143" customWidth="1"/>
    <col min="13066" max="13066" width="6.28515625" style="143" customWidth="1"/>
    <col min="13067" max="13070" width="0" style="143" hidden="1" customWidth="1"/>
    <col min="13071" max="13071" width="12.28515625" style="143" customWidth="1"/>
    <col min="13072" max="13072" width="16.28515625" style="143" customWidth="1"/>
    <col min="13073" max="13073" width="9" style="143"/>
    <col min="13074" max="13081" width="0" style="143" hidden="1" customWidth="1"/>
    <col min="13082" max="13082" width="10.5703125" style="143" bestFit="1" customWidth="1"/>
    <col min="13083" max="13083" width="3.5703125" style="143" bestFit="1" customWidth="1"/>
    <col min="13084" max="13088" width="0" style="143" hidden="1" customWidth="1"/>
    <col min="13089" max="13089" width="41.85546875" style="143" customWidth="1"/>
    <col min="13090" max="13091" width="13.28515625" style="143" customWidth="1"/>
    <col min="13092" max="13092" width="1.42578125" style="143" customWidth="1"/>
    <col min="13093" max="13094" width="13.28515625" style="143" customWidth="1"/>
    <col min="13095" max="13312" width="9" style="143"/>
    <col min="13313" max="13313" width="0" style="143" hidden="1" customWidth="1"/>
    <col min="13314" max="13315" width="4.28515625" style="143" customWidth="1"/>
    <col min="13316" max="13319" width="2.7109375" style="143" customWidth="1"/>
    <col min="13320" max="13320" width="41.28515625" style="143" customWidth="1"/>
    <col min="13321" max="13321" width="10.140625" style="143" customWidth="1"/>
    <col min="13322" max="13322" width="6.28515625" style="143" customWidth="1"/>
    <col min="13323" max="13326" width="0" style="143" hidden="1" customWidth="1"/>
    <col min="13327" max="13327" width="12.28515625" style="143" customWidth="1"/>
    <col min="13328" max="13328" width="16.28515625" style="143" customWidth="1"/>
    <col min="13329" max="13329" width="9" style="143"/>
    <col min="13330" max="13337" width="0" style="143" hidden="1" customWidth="1"/>
    <col min="13338" max="13338" width="10.5703125" style="143" bestFit="1" customWidth="1"/>
    <col min="13339" max="13339" width="3.5703125" style="143" bestFit="1" customWidth="1"/>
    <col min="13340" max="13344" width="0" style="143" hidden="1" customWidth="1"/>
    <col min="13345" max="13345" width="41.85546875" style="143" customWidth="1"/>
    <col min="13346" max="13347" width="13.28515625" style="143" customWidth="1"/>
    <col min="13348" max="13348" width="1.42578125" style="143" customWidth="1"/>
    <col min="13349" max="13350" width="13.28515625" style="143" customWidth="1"/>
    <col min="13351" max="13568" width="9" style="143"/>
    <col min="13569" max="13569" width="0" style="143" hidden="1" customWidth="1"/>
    <col min="13570" max="13571" width="4.28515625" style="143" customWidth="1"/>
    <col min="13572" max="13575" width="2.7109375" style="143" customWidth="1"/>
    <col min="13576" max="13576" width="41.28515625" style="143" customWidth="1"/>
    <col min="13577" max="13577" width="10.140625" style="143" customWidth="1"/>
    <col min="13578" max="13578" width="6.28515625" style="143" customWidth="1"/>
    <col min="13579" max="13582" width="0" style="143" hidden="1" customWidth="1"/>
    <col min="13583" max="13583" width="12.28515625" style="143" customWidth="1"/>
    <col min="13584" max="13584" width="16.28515625" style="143" customWidth="1"/>
    <col min="13585" max="13585" width="9" style="143"/>
    <col min="13586" max="13593" width="0" style="143" hidden="1" customWidth="1"/>
    <col min="13594" max="13594" width="10.5703125" style="143" bestFit="1" customWidth="1"/>
    <col min="13595" max="13595" width="3.5703125" style="143" bestFit="1" customWidth="1"/>
    <col min="13596" max="13600" width="0" style="143" hidden="1" customWidth="1"/>
    <col min="13601" max="13601" width="41.85546875" style="143" customWidth="1"/>
    <col min="13602" max="13603" width="13.28515625" style="143" customWidth="1"/>
    <col min="13604" max="13604" width="1.42578125" style="143" customWidth="1"/>
    <col min="13605" max="13606" width="13.28515625" style="143" customWidth="1"/>
    <col min="13607" max="13824" width="9" style="143"/>
    <col min="13825" max="13825" width="0" style="143" hidden="1" customWidth="1"/>
    <col min="13826" max="13827" width="4.28515625" style="143" customWidth="1"/>
    <col min="13828" max="13831" width="2.7109375" style="143" customWidth="1"/>
    <col min="13832" max="13832" width="41.28515625" style="143" customWidth="1"/>
    <col min="13833" max="13833" width="10.140625" style="143" customWidth="1"/>
    <col min="13834" max="13834" width="6.28515625" style="143" customWidth="1"/>
    <col min="13835" max="13838" width="0" style="143" hidden="1" customWidth="1"/>
    <col min="13839" max="13839" width="12.28515625" style="143" customWidth="1"/>
    <col min="13840" max="13840" width="16.28515625" style="143" customWidth="1"/>
    <col min="13841" max="13841" width="9" style="143"/>
    <col min="13842" max="13849" width="0" style="143" hidden="1" customWidth="1"/>
    <col min="13850" max="13850" width="10.5703125" style="143" bestFit="1" customWidth="1"/>
    <col min="13851" max="13851" width="3.5703125" style="143" bestFit="1" customWidth="1"/>
    <col min="13852" max="13856" width="0" style="143" hidden="1" customWidth="1"/>
    <col min="13857" max="13857" width="41.85546875" style="143" customWidth="1"/>
    <col min="13858" max="13859" width="13.28515625" style="143" customWidth="1"/>
    <col min="13860" max="13860" width="1.42578125" style="143" customWidth="1"/>
    <col min="13861" max="13862" width="13.28515625" style="143" customWidth="1"/>
    <col min="13863" max="14080" width="9" style="143"/>
    <col min="14081" max="14081" width="0" style="143" hidden="1" customWidth="1"/>
    <col min="14082" max="14083" width="4.28515625" style="143" customWidth="1"/>
    <col min="14084" max="14087" width="2.7109375" style="143" customWidth="1"/>
    <col min="14088" max="14088" width="41.28515625" style="143" customWidth="1"/>
    <col min="14089" max="14089" width="10.140625" style="143" customWidth="1"/>
    <col min="14090" max="14090" width="6.28515625" style="143" customWidth="1"/>
    <col min="14091" max="14094" width="0" style="143" hidden="1" customWidth="1"/>
    <col min="14095" max="14095" width="12.28515625" style="143" customWidth="1"/>
    <col min="14096" max="14096" width="16.28515625" style="143" customWidth="1"/>
    <col min="14097" max="14097" width="9" style="143"/>
    <col min="14098" max="14105" width="0" style="143" hidden="1" customWidth="1"/>
    <col min="14106" max="14106" width="10.5703125" style="143" bestFit="1" customWidth="1"/>
    <col min="14107" max="14107" width="3.5703125" style="143" bestFit="1" customWidth="1"/>
    <col min="14108" max="14112" width="0" style="143" hidden="1" customWidth="1"/>
    <col min="14113" max="14113" width="41.85546875" style="143" customWidth="1"/>
    <col min="14114" max="14115" width="13.28515625" style="143" customWidth="1"/>
    <col min="14116" max="14116" width="1.42578125" style="143" customWidth="1"/>
    <col min="14117" max="14118" width="13.28515625" style="143" customWidth="1"/>
    <col min="14119" max="14336" width="9" style="143"/>
    <col min="14337" max="14337" width="0" style="143" hidden="1" customWidth="1"/>
    <col min="14338" max="14339" width="4.28515625" style="143" customWidth="1"/>
    <col min="14340" max="14343" width="2.7109375" style="143" customWidth="1"/>
    <col min="14344" max="14344" width="41.28515625" style="143" customWidth="1"/>
    <col min="14345" max="14345" width="10.140625" style="143" customWidth="1"/>
    <col min="14346" max="14346" width="6.28515625" style="143" customWidth="1"/>
    <col min="14347" max="14350" width="0" style="143" hidden="1" customWidth="1"/>
    <col min="14351" max="14351" width="12.28515625" style="143" customWidth="1"/>
    <col min="14352" max="14352" width="16.28515625" style="143" customWidth="1"/>
    <col min="14353" max="14353" width="9" style="143"/>
    <col min="14354" max="14361" width="0" style="143" hidden="1" customWidth="1"/>
    <col min="14362" max="14362" width="10.5703125" style="143" bestFit="1" customWidth="1"/>
    <col min="14363" max="14363" width="3.5703125" style="143" bestFit="1" customWidth="1"/>
    <col min="14364" max="14368" width="0" style="143" hidden="1" customWidth="1"/>
    <col min="14369" max="14369" width="41.85546875" style="143" customWidth="1"/>
    <col min="14370" max="14371" width="13.28515625" style="143" customWidth="1"/>
    <col min="14372" max="14372" width="1.42578125" style="143" customWidth="1"/>
    <col min="14373" max="14374" width="13.28515625" style="143" customWidth="1"/>
    <col min="14375" max="14592" width="9" style="143"/>
    <col min="14593" max="14593" width="0" style="143" hidden="1" customWidth="1"/>
    <col min="14594" max="14595" width="4.28515625" style="143" customWidth="1"/>
    <col min="14596" max="14599" width="2.7109375" style="143" customWidth="1"/>
    <col min="14600" max="14600" width="41.28515625" style="143" customWidth="1"/>
    <col min="14601" max="14601" width="10.140625" style="143" customWidth="1"/>
    <col min="14602" max="14602" width="6.28515625" style="143" customWidth="1"/>
    <col min="14603" max="14606" width="0" style="143" hidden="1" customWidth="1"/>
    <col min="14607" max="14607" width="12.28515625" style="143" customWidth="1"/>
    <col min="14608" max="14608" width="16.28515625" style="143" customWidth="1"/>
    <col min="14609" max="14609" width="9" style="143"/>
    <col min="14610" max="14617" width="0" style="143" hidden="1" customWidth="1"/>
    <col min="14618" max="14618" width="10.5703125" style="143" bestFit="1" customWidth="1"/>
    <col min="14619" max="14619" width="3.5703125" style="143" bestFit="1" customWidth="1"/>
    <col min="14620" max="14624" width="0" style="143" hidden="1" customWidth="1"/>
    <col min="14625" max="14625" width="41.85546875" style="143" customWidth="1"/>
    <col min="14626" max="14627" width="13.28515625" style="143" customWidth="1"/>
    <col min="14628" max="14628" width="1.42578125" style="143" customWidth="1"/>
    <col min="14629" max="14630" width="13.28515625" style="143" customWidth="1"/>
    <col min="14631" max="14848" width="9" style="143"/>
    <col min="14849" max="14849" width="0" style="143" hidden="1" customWidth="1"/>
    <col min="14850" max="14851" width="4.28515625" style="143" customWidth="1"/>
    <col min="14852" max="14855" width="2.7109375" style="143" customWidth="1"/>
    <col min="14856" max="14856" width="41.28515625" style="143" customWidth="1"/>
    <col min="14857" max="14857" width="10.140625" style="143" customWidth="1"/>
    <col min="14858" max="14858" width="6.28515625" style="143" customWidth="1"/>
    <col min="14859" max="14862" width="0" style="143" hidden="1" customWidth="1"/>
    <col min="14863" max="14863" width="12.28515625" style="143" customWidth="1"/>
    <col min="14864" max="14864" width="16.28515625" style="143" customWidth="1"/>
    <col min="14865" max="14865" width="9" style="143"/>
    <col min="14866" max="14873" width="0" style="143" hidden="1" customWidth="1"/>
    <col min="14874" max="14874" width="10.5703125" style="143" bestFit="1" customWidth="1"/>
    <col min="14875" max="14875" width="3.5703125" style="143" bestFit="1" customWidth="1"/>
    <col min="14876" max="14880" width="0" style="143" hidden="1" customWidth="1"/>
    <col min="14881" max="14881" width="41.85546875" style="143" customWidth="1"/>
    <col min="14882" max="14883" width="13.28515625" style="143" customWidth="1"/>
    <col min="14884" max="14884" width="1.42578125" style="143" customWidth="1"/>
    <col min="14885" max="14886" width="13.28515625" style="143" customWidth="1"/>
    <col min="14887" max="15104" width="9" style="143"/>
    <col min="15105" max="15105" width="0" style="143" hidden="1" customWidth="1"/>
    <col min="15106" max="15107" width="4.28515625" style="143" customWidth="1"/>
    <col min="15108" max="15111" width="2.7109375" style="143" customWidth="1"/>
    <col min="15112" max="15112" width="41.28515625" style="143" customWidth="1"/>
    <col min="15113" max="15113" width="10.140625" style="143" customWidth="1"/>
    <col min="15114" max="15114" width="6.28515625" style="143" customWidth="1"/>
    <col min="15115" max="15118" width="0" style="143" hidden="1" customWidth="1"/>
    <col min="15119" max="15119" width="12.28515625" style="143" customWidth="1"/>
    <col min="15120" max="15120" width="16.28515625" style="143" customWidth="1"/>
    <col min="15121" max="15121" width="9" style="143"/>
    <col min="15122" max="15129" width="0" style="143" hidden="1" customWidth="1"/>
    <col min="15130" max="15130" width="10.5703125" style="143" bestFit="1" customWidth="1"/>
    <col min="15131" max="15131" width="3.5703125" style="143" bestFit="1" customWidth="1"/>
    <col min="15132" max="15136" width="0" style="143" hidden="1" customWidth="1"/>
    <col min="15137" max="15137" width="41.85546875" style="143" customWidth="1"/>
    <col min="15138" max="15139" width="13.28515625" style="143" customWidth="1"/>
    <col min="15140" max="15140" width="1.42578125" style="143" customWidth="1"/>
    <col min="15141" max="15142" width="13.28515625" style="143" customWidth="1"/>
    <col min="15143" max="15360" width="9" style="143"/>
    <col min="15361" max="15361" width="0" style="143" hidden="1" customWidth="1"/>
    <col min="15362" max="15363" width="4.28515625" style="143" customWidth="1"/>
    <col min="15364" max="15367" width="2.7109375" style="143" customWidth="1"/>
    <col min="15368" max="15368" width="41.28515625" style="143" customWidth="1"/>
    <col min="15369" max="15369" width="10.140625" style="143" customWidth="1"/>
    <col min="15370" max="15370" width="6.28515625" style="143" customWidth="1"/>
    <col min="15371" max="15374" width="0" style="143" hidden="1" customWidth="1"/>
    <col min="15375" max="15375" width="12.28515625" style="143" customWidth="1"/>
    <col min="15376" max="15376" width="16.28515625" style="143" customWidth="1"/>
    <col min="15377" max="15377" width="9" style="143"/>
    <col min="15378" max="15385" width="0" style="143" hidden="1" customWidth="1"/>
    <col min="15386" max="15386" width="10.5703125" style="143" bestFit="1" customWidth="1"/>
    <col min="15387" max="15387" width="3.5703125" style="143" bestFit="1" customWidth="1"/>
    <col min="15388" max="15392" width="0" style="143" hidden="1" customWidth="1"/>
    <col min="15393" max="15393" width="41.85546875" style="143" customWidth="1"/>
    <col min="15394" max="15395" width="13.28515625" style="143" customWidth="1"/>
    <col min="15396" max="15396" width="1.42578125" style="143" customWidth="1"/>
    <col min="15397" max="15398" width="13.28515625" style="143" customWidth="1"/>
    <col min="15399" max="15616" width="9" style="143"/>
    <col min="15617" max="15617" width="0" style="143" hidden="1" customWidth="1"/>
    <col min="15618" max="15619" width="4.28515625" style="143" customWidth="1"/>
    <col min="15620" max="15623" width="2.7109375" style="143" customWidth="1"/>
    <col min="15624" max="15624" width="41.28515625" style="143" customWidth="1"/>
    <col min="15625" max="15625" width="10.140625" style="143" customWidth="1"/>
    <col min="15626" max="15626" width="6.28515625" style="143" customWidth="1"/>
    <col min="15627" max="15630" width="0" style="143" hidden="1" customWidth="1"/>
    <col min="15631" max="15631" width="12.28515625" style="143" customWidth="1"/>
    <col min="15632" max="15632" width="16.28515625" style="143" customWidth="1"/>
    <col min="15633" max="15633" width="9" style="143"/>
    <col min="15634" max="15641" width="0" style="143" hidden="1" customWidth="1"/>
    <col min="15642" max="15642" width="10.5703125" style="143" bestFit="1" customWidth="1"/>
    <col min="15643" max="15643" width="3.5703125" style="143" bestFit="1" customWidth="1"/>
    <col min="15644" max="15648" width="0" style="143" hidden="1" customWidth="1"/>
    <col min="15649" max="15649" width="41.85546875" style="143" customWidth="1"/>
    <col min="15650" max="15651" width="13.28515625" style="143" customWidth="1"/>
    <col min="15652" max="15652" width="1.42578125" style="143" customWidth="1"/>
    <col min="15653" max="15654" width="13.28515625" style="143" customWidth="1"/>
    <col min="15655" max="15872" width="9" style="143"/>
    <col min="15873" max="15873" width="0" style="143" hidden="1" customWidth="1"/>
    <col min="15874" max="15875" width="4.28515625" style="143" customWidth="1"/>
    <col min="15876" max="15879" width="2.7109375" style="143" customWidth="1"/>
    <col min="15880" max="15880" width="41.28515625" style="143" customWidth="1"/>
    <col min="15881" max="15881" width="10.140625" style="143" customWidth="1"/>
    <col min="15882" max="15882" width="6.28515625" style="143" customWidth="1"/>
    <col min="15883" max="15886" width="0" style="143" hidden="1" customWidth="1"/>
    <col min="15887" max="15887" width="12.28515625" style="143" customWidth="1"/>
    <col min="15888" max="15888" width="16.28515625" style="143" customWidth="1"/>
    <col min="15889" max="15889" width="9" style="143"/>
    <col min="15890" max="15897" width="0" style="143" hidden="1" customWidth="1"/>
    <col min="15898" max="15898" width="10.5703125" style="143" bestFit="1" customWidth="1"/>
    <col min="15899" max="15899" width="3.5703125" style="143" bestFit="1" customWidth="1"/>
    <col min="15900" max="15904" width="0" style="143" hidden="1" customWidth="1"/>
    <col min="15905" max="15905" width="41.85546875" style="143" customWidth="1"/>
    <col min="15906" max="15907" width="13.28515625" style="143" customWidth="1"/>
    <col min="15908" max="15908" width="1.42578125" style="143" customWidth="1"/>
    <col min="15909" max="15910" width="13.28515625" style="143" customWidth="1"/>
    <col min="15911" max="16128" width="9" style="143"/>
    <col min="16129" max="16129" width="0" style="143" hidden="1" customWidth="1"/>
    <col min="16130" max="16131" width="4.28515625" style="143" customWidth="1"/>
    <col min="16132" max="16135" width="2.7109375" style="143" customWidth="1"/>
    <col min="16136" max="16136" width="41.28515625" style="143" customWidth="1"/>
    <col min="16137" max="16137" width="10.140625" style="143" customWidth="1"/>
    <col min="16138" max="16138" width="6.28515625" style="143" customWidth="1"/>
    <col min="16139" max="16142" width="0" style="143" hidden="1" customWidth="1"/>
    <col min="16143" max="16143" width="12.28515625" style="143" customWidth="1"/>
    <col min="16144" max="16144" width="16.28515625" style="143" customWidth="1"/>
    <col min="16145" max="16145" width="9" style="143"/>
    <col min="16146" max="16153" width="0" style="143" hidden="1" customWidth="1"/>
    <col min="16154" max="16154" width="10.5703125" style="143" bestFit="1" customWidth="1"/>
    <col min="16155" max="16155" width="3.5703125" style="143" bestFit="1" customWidth="1"/>
    <col min="16156" max="16160" width="0" style="143" hidden="1" customWidth="1"/>
    <col min="16161" max="16161" width="41.85546875" style="143" customWidth="1"/>
    <col min="16162" max="16163" width="13.28515625" style="143" customWidth="1"/>
    <col min="16164" max="16164" width="1.42578125" style="143" customWidth="1"/>
    <col min="16165" max="16166" width="13.28515625" style="143" customWidth="1"/>
    <col min="16167" max="16384" width="9" style="143"/>
  </cols>
  <sheetData>
    <row r="1" spans="1:47" x14ac:dyDescent="0.2">
      <c r="A1" s="143" t="s">
        <v>241</v>
      </c>
      <c r="AP1" s="239" t="s">
        <v>937</v>
      </c>
      <c r="AQ1" s="239" t="s">
        <v>938</v>
      </c>
      <c r="AR1" s="239" t="s">
        <v>939</v>
      </c>
      <c r="AS1" s="239" t="s">
        <v>940</v>
      </c>
      <c r="AT1" s="239" t="s">
        <v>941</v>
      </c>
      <c r="AU1" s="239" t="s">
        <v>679</v>
      </c>
    </row>
    <row r="2" spans="1:47" x14ac:dyDescent="0.2">
      <c r="A2" s="143" t="s">
        <v>20</v>
      </c>
      <c r="D2" s="145"/>
      <c r="G2" s="151" t="s">
        <v>14</v>
      </c>
      <c r="H2" s="143" t="str">
        <f>project_name</f>
        <v>Hunt County Government Building</v>
      </c>
      <c r="AP2" s="240" t="s">
        <v>942</v>
      </c>
      <c r="AQ2" s="240">
        <f>SUM(AQ3:AQ14)</f>
        <v>1</v>
      </c>
      <c r="AR2" s="240">
        <f>SUM(AR3:AR14)</f>
        <v>0</v>
      </c>
      <c r="AS2" s="240">
        <f>MAX(AS3:AS14)</f>
        <v>0</v>
      </c>
      <c r="AT2" s="240">
        <f>SUM(AT3:AT14)</f>
        <v>0</v>
      </c>
      <c r="AU2" s="240">
        <f>SUM(AU3:AU14)</f>
        <v>0</v>
      </c>
    </row>
    <row r="3" spans="1:47" x14ac:dyDescent="0.2">
      <c r="A3" s="143" t="s">
        <v>242</v>
      </c>
      <c r="D3" s="145"/>
      <c r="G3" s="151" t="s">
        <v>243</v>
      </c>
      <c r="H3" s="146" t="s">
        <v>244</v>
      </c>
      <c r="AP3" s="228" t="s">
        <v>242</v>
      </c>
      <c r="AQ3" s="228">
        <v>1</v>
      </c>
      <c r="AR3" s="228"/>
      <c r="AS3" s="228"/>
      <c r="AT3" s="228"/>
      <c r="AU3" s="228">
        <f t="shared" ref="AU3:AU14" si="0">ROUND(AS3 * AT3,1)</f>
        <v>0</v>
      </c>
    </row>
    <row r="4" spans="1:47" x14ac:dyDescent="0.2">
      <c r="A4" s="143">
        <v>1</v>
      </c>
      <c r="D4" s="145"/>
      <c r="G4" s="151" t="s">
        <v>16</v>
      </c>
      <c r="H4" s="143" t="str">
        <f>project_location</f>
        <v>Greenville, TX</v>
      </c>
      <c r="AP4" s="228" t="s">
        <v>943</v>
      </c>
      <c r="AQ4" s="228"/>
      <c r="AR4" s="228"/>
      <c r="AS4" s="228"/>
      <c r="AT4" s="228"/>
      <c r="AU4" s="228">
        <f t="shared" si="0"/>
        <v>0</v>
      </c>
    </row>
    <row r="5" spans="1:47" x14ac:dyDescent="0.2">
      <c r="A5" s="143">
        <v>0</v>
      </c>
      <c r="D5" s="145"/>
      <c r="G5" s="151" t="s">
        <v>15</v>
      </c>
      <c r="H5" s="143" t="str">
        <f>estimate_detail</f>
        <v>CONSTRUCTION DOCUMENTS ESTIMATE</v>
      </c>
      <c r="AP5" s="228" t="s">
        <v>944</v>
      </c>
      <c r="AQ5" s="228"/>
      <c r="AR5" s="228"/>
      <c r="AS5" s="228"/>
      <c r="AT5" s="228"/>
      <c r="AU5" s="228">
        <f t="shared" si="0"/>
        <v>0</v>
      </c>
    </row>
    <row r="6" spans="1:47" x14ac:dyDescent="0.2">
      <c r="A6" s="143">
        <v>0</v>
      </c>
      <c r="D6" s="145"/>
      <c r="G6" s="151" t="s">
        <v>245</v>
      </c>
      <c r="H6" s="152">
        <v>1</v>
      </c>
      <c r="AP6" s="228" t="s">
        <v>945</v>
      </c>
      <c r="AQ6" s="228"/>
      <c r="AR6" s="228"/>
      <c r="AS6" s="228"/>
      <c r="AT6" s="228"/>
      <c r="AU6" s="228">
        <f t="shared" si="0"/>
        <v>0</v>
      </c>
    </row>
    <row r="7" spans="1:47" x14ac:dyDescent="0.2">
      <c r="A7" s="143">
        <v>0</v>
      </c>
      <c r="D7" s="145"/>
      <c r="G7" s="151" t="s">
        <v>246</v>
      </c>
      <c r="H7" s="152">
        <v>1</v>
      </c>
      <c r="AP7" s="228" t="s">
        <v>946</v>
      </c>
      <c r="AQ7" s="228"/>
      <c r="AR7" s="228"/>
      <c r="AS7" s="228"/>
      <c r="AT7" s="228"/>
      <c r="AU7" s="228">
        <f t="shared" si="0"/>
        <v>0</v>
      </c>
    </row>
    <row r="8" spans="1:47" x14ac:dyDescent="0.2">
      <c r="A8" s="143" t="s">
        <v>247</v>
      </c>
      <c r="D8" s="145"/>
      <c r="G8" s="151" t="s">
        <v>248</v>
      </c>
      <c r="H8" s="153" t="b">
        <v>0</v>
      </c>
      <c r="AP8" s="228" t="s">
        <v>947</v>
      </c>
      <c r="AQ8" s="228"/>
      <c r="AR8" s="228"/>
      <c r="AS8" s="228"/>
      <c r="AT8" s="228"/>
      <c r="AU8" s="228">
        <f t="shared" si="0"/>
        <v>0</v>
      </c>
    </row>
    <row r="9" spans="1:47" ht="13.9" customHeight="1" x14ac:dyDescent="0.2">
      <c r="A9" s="143" t="s">
        <v>36</v>
      </c>
      <c r="F9" s="151"/>
      <c r="G9" s="151"/>
      <c r="H9" s="153"/>
      <c r="AP9" s="228" t="s">
        <v>948</v>
      </c>
      <c r="AQ9" s="228"/>
      <c r="AR9" s="228"/>
      <c r="AS9" s="228"/>
      <c r="AT9" s="228"/>
      <c r="AU9" s="228">
        <f t="shared" si="0"/>
        <v>0</v>
      </c>
    </row>
    <row r="10" spans="1:47" s="154" customFormat="1" ht="13.9" customHeight="1" thickBot="1" x14ac:dyDescent="0.25">
      <c r="B10" s="155"/>
      <c r="C10" s="156"/>
      <c r="D10" s="154" t="s">
        <v>249</v>
      </c>
      <c r="I10" s="157" t="s">
        <v>250</v>
      </c>
      <c r="J10" s="158" t="s">
        <v>251</v>
      </c>
      <c r="K10" s="159" t="s">
        <v>252</v>
      </c>
      <c r="L10" s="159" t="s">
        <v>253</v>
      </c>
      <c r="M10" s="159" t="s">
        <v>254</v>
      </c>
      <c r="N10" s="159" t="s">
        <v>255</v>
      </c>
      <c r="O10" s="160" t="s">
        <v>256</v>
      </c>
      <c r="P10" s="157" t="s">
        <v>257</v>
      </c>
      <c r="Q10" s="161" t="s">
        <v>258</v>
      </c>
      <c r="R10" s="154" t="s">
        <v>259</v>
      </c>
      <c r="S10" s="154" t="s">
        <v>260</v>
      </c>
      <c r="T10" s="154" t="s">
        <v>261</v>
      </c>
      <c r="U10" s="154" t="s">
        <v>262</v>
      </c>
      <c r="V10" s="154" t="s">
        <v>263</v>
      </c>
      <c r="W10" s="154" t="s">
        <v>264</v>
      </c>
      <c r="X10" s="154" t="s">
        <v>265</v>
      </c>
      <c r="Y10" s="154" t="s">
        <v>266</v>
      </c>
      <c r="AP10" s="241" t="s">
        <v>949</v>
      </c>
      <c r="AQ10" s="241"/>
      <c r="AR10" s="241"/>
      <c r="AS10" s="241"/>
      <c r="AT10" s="241"/>
      <c r="AU10" s="241">
        <f t="shared" si="0"/>
        <v>0</v>
      </c>
    </row>
    <row r="11" spans="1:47" x14ac:dyDescent="0.2">
      <c r="B11" s="145"/>
      <c r="AP11" s="228" t="s">
        <v>950</v>
      </c>
      <c r="AQ11" s="228"/>
      <c r="AR11" s="228"/>
      <c r="AS11" s="228"/>
      <c r="AT11" s="228"/>
      <c r="AU11" s="228">
        <f t="shared" si="0"/>
        <v>0</v>
      </c>
    </row>
    <row r="12" spans="1:47" x14ac:dyDescent="0.2">
      <c r="B12" s="145"/>
      <c r="AP12" s="228" t="s">
        <v>951</v>
      </c>
      <c r="AQ12" s="228"/>
      <c r="AR12" s="228"/>
      <c r="AS12" s="228"/>
      <c r="AT12" s="228"/>
      <c r="AU12" s="228">
        <f t="shared" si="0"/>
        <v>0</v>
      </c>
    </row>
    <row r="13" spans="1:47" x14ac:dyDescent="0.2">
      <c r="B13" s="145"/>
      <c r="AP13" s="228" t="s">
        <v>952</v>
      </c>
      <c r="AQ13" s="228"/>
      <c r="AR13" s="228"/>
      <c r="AS13" s="228"/>
      <c r="AT13" s="228"/>
      <c r="AU13" s="228">
        <f t="shared" si="0"/>
        <v>0</v>
      </c>
    </row>
    <row r="14" spans="1:47" x14ac:dyDescent="0.2">
      <c r="B14" s="145"/>
      <c r="AP14" s="228" t="s">
        <v>953</v>
      </c>
      <c r="AQ14" s="228"/>
      <c r="AR14" s="228"/>
      <c r="AS14" s="228"/>
      <c r="AT14" s="228"/>
      <c r="AU14" s="228">
        <f t="shared" si="0"/>
        <v>0</v>
      </c>
    </row>
    <row r="15" spans="1:47" ht="15.75" customHeight="1" x14ac:dyDescent="0.25">
      <c r="AG15" s="162"/>
      <c r="AH15" s="163"/>
      <c r="AI15" s="164"/>
      <c r="AJ15" s="163"/>
      <c r="AK15" s="163"/>
      <c r="AL15" s="165" t="str">
        <f>project_name</f>
        <v>Hunt County Government Building</v>
      </c>
    </row>
    <row r="16" spans="1:47" ht="15.75" customHeight="1" x14ac:dyDescent="0.25">
      <c r="AG16" s="162"/>
      <c r="AH16" s="163"/>
      <c r="AI16" s="164"/>
      <c r="AJ16" s="163"/>
      <c r="AK16" s="163"/>
      <c r="AL16" s="166" t="str">
        <f>SUB_NAME</f>
        <v>SUB NAME</v>
      </c>
    </row>
    <row r="17" spans="8:38" ht="12.75" customHeight="1" x14ac:dyDescent="0.2">
      <c r="AG17" s="167"/>
      <c r="AH17" s="168"/>
      <c r="AI17" s="169"/>
      <c r="AJ17" s="169"/>
      <c r="AK17" s="169"/>
      <c r="AL17" s="170" t="str">
        <f>project_location</f>
        <v>Greenville, TX</v>
      </c>
    </row>
    <row r="18" spans="8:38" ht="9" customHeight="1" x14ac:dyDescent="0.2">
      <c r="AG18" s="167"/>
      <c r="AH18" s="168"/>
      <c r="AI18" s="169"/>
      <c r="AJ18" s="169"/>
      <c r="AK18" s="169"/>
      <c r="AL18" s="171"/>
    </row>
    <row r="19" spans="8:38" ht="18.75" customHeight="1" x14ac:dyDescent="0.25">
      <c r="AG19" s="172" t="str">
        <f>estimate_detail</f>
        <v>CONSTRUCTION DOCUMENTS ESTIMATE</v>
      </c>
      <c r="AH19" s="163"/>
      <c r="AI19" s="173"/>
      <c r="AJ19" s="173"/>
      <c r="AK19" s="173"/>
      <c r="AL19" s="174" t="str">
        <f>"OCMI JOB #: "&amp; job_number &amp; " | " &amp; date</f>
        <v>OCMI JOB #: 240540.000 | 24 December 2024</v>
      </c>
    </row>
    <row r="20" spans="8:38" ht="12.75" customHeight="1" thickBot="1" x14ac:dyDescent="0.25">
      <c r="H20" s="151"/>
      <c r="I20" s="143"/>
      <c r="AG20" s="175"/>
      <c r="AH20" s="175"/>
      <c r="AI20" s="176"/>
      <c r="AJ20" s="175"/>
      <c r="AK20" s="175"/>
      <c r="AL20" s="177"/>
    </row>
    <row r="21" spans="8:38" ht="28.5" customHeight="1" thickBot="1" x14ac:dyDescent="0.25">
      <c r="H21" s="151"/>
      <c r="AG21" s="644" t="str">
        <f>IF(site,"SITE SUMMARY","BUILDING SUMMARY")</f>
        <v>BUILDING SUMMARY</v>
      </c>
      <c r="AH21" s="644"/>
      <c r="AI21" s="644"/>
      <c r="AJ21" s="644"/>
      <c r="AK21" s="644"/>
      <c r="AL21" s="644"/>
    </row>
    <row r="22" spans="8:38" x14ac:dyDescent="0.2">
      <c r="H22" s="151"/>
      <c r="I22" s="143"/>
      <c r="AG22" s="175"/>
      <c r="AH22" s="175"/>
      <c r="AI22" s="176"/>
      <c r="AJ22" s="175"/>
      <c r="AK22" s="175"/>
      <c r="AL22" s="177"/>
    </row>
    <row r="23" spans="8:38" x14ac:dyDescent="0.2">
      <c r="H23" s="151"/>
      <c r="I23" s="143"/>
      <c r="AG23" s="178" t="s">
        <v>0</v>
      </c>
      <c r="AH23" s="179"/>
      <c r="AI23" s="180" t="s">
        <v>1</v>
      </c>
      <c r="AJ23" s="181"/>
      <c r="AK23" s="181"/>
      <c r="AL23" s="182" t="str">
        <f>IF(PageUom="Imperial", "$/SF AREA", "$/M2 AREA")</f>
        <v>$/SF AREA</v>
      </c>
    </row>
    <row r="24" spans="8:38" x14ac:dyDescent="0.2">
      <c r="H24" s="151"/>
      <c r="I24" s="152"/>
      <c r="AG24" s="183"/>
      <c r="AH24" s="175"/>
      <c r="AI24" s="176"/>
      <c r="AJ24" s="175"/>
      <c r="AK24" s="175"/>
      <c r="AL24" s="177"/>
    </row>
    <row r="25" spans="8:38" ht="12" customHeight="1" x14ac:dyDescent="0.2">
      <c r="H25" s="151"/>
      <c r="I25" s="152"/>
      <c r="AG25" s="183" t="s">
        <v>267</v>
      </c>
      <c r="AH25" s="175"/>
      <c r="AI25" s="176">
        <f>P101</f>
        <v>0</v>
      </c>
      <c r="AJ25" s="175"/>
      <c r="AK25" s="175"/>
      <c r="AL25" s="177">
        <f t="shared" ref="AL25:AL51" si="1">+AI25/$AI$90</f>
        <v>0</v>
      </c>
    </row>
    <row r="26" spans="8:38" ht="12" customHeight="1" x14ac:dyDescent="0.2">
      <c r="H26" s="151"/>
      <c r="I26" s="152"/>
      <c r="AG26" s="183" t="s">
        <v>268</v>
      </c>
      <c r="AH26" s="175"/>
      <c r="AI26" s="176">
        <f>P124</f>
        <v>0</v>
      </c>
      <c r="AJ26" s="175"/>
      <c r="AK26" s="175"/>
      <c r="AL26" s="177">
        <f t="shared" si="1"/>
        <v>0</v>
      </c>
    </row>
    <row r="27" spans="8:38" ht="12" customHeight="1" x14ac:dyDescent="0.2">
      <c r="AG27" s="183" t="s">
        <v>269</v>
      </c>
      <c r="AH27" s="175"/>
      <c r="AI27" s="176">
        <f>P262</f>
        <v>0</v>
      </c>
      <c r="AJ27" s="175"/>
      <c r="AK27" s="175"/>
      <c r="AL27" s="177">
        <f t="shared" si="1"/>
        <v>0</v>
      </c>
    </row>
    <row r="28" spans="8:38" ht="12" customHeight="1" x14ac:dyDescent="0.2">
      <c r="H28" s="151"/>
      <c r="AG28" s="183" t="s">
        <v>270</v>
      </c>
      <c r="AH28" s="175"/>
      <c r="AI28" s="176">
        <f>P282</f>
        <v>0</v>
      </c>
      <c r="AJ28" s="175"/>
      <c r="AK28" s="175"/>
      <c r="AL28" s="177">
        <f t="shared" si="1"/>
        <v>0</v>
      </c>
    </row>
    <row r="29" spans="8:38" ht="12" customHeight="1" x14ac:dyDescent="0.2">
      <c r="H29" s="151"/>
      <c r="AG29" s="183" t="s">
        <v>271</v>
      </c>
      <c r="AH29" s="175"/>
      <c r="AI29" s="176">
        <f>P338</f>
        <v>0</v>
      </c>
      <c r="AJ29" s="175"/>
      <c r="AK29" s="175"/>
      <c r="AL29" s="177">
        <f t="shared" si="1"/>
        <v>0</v>
      </c>
    </row>
    <row r="30" spans="8:38" ht="12" customHeight="1" x14ac:dyDescent="0.2">
      <c r="H30" s="151"/>
      <c r="AG30" s="183" t="s">
        <v>272</v>
      </c>
      <c r="AH30" s="175"/>
      <c r="AI30" s="176">
        <f>P396</f>
        <v>0</v>
      </c>
      <c r="AJ30" s="175"/>
      <c r="AK30" s="175"/>
      <c r="AL30" s="177">
        <f t="shared" si="1"/>
        <v>0</v>
      </c>
    </row>
    <row r="31" spans="8:38" ht="12" customHeight="1" x14ac:dyDescent="0.2">
      <c r="H31" s="151"/>
      <c r="AG31" s="183" t="s">
        <v>273</v>
      </c>
      <c r="AH31" s="175"/>
      <c r="AI31" s="176">
        <f>P431</f>
        <v>0</v>
      </c>
      <c r="AJ31" s="175"/>
      <c r="AK31" s="175"/>
      <c r="AL31" s="177">
        <f t="shared" si="1"/>
        <v>0</v>
      </c>
    </row>
    <row r="32" spans="8:38" ht="12" customHeight="1" x14ac:dyDescent="0.2">
      <c r="H32" s="151"/>
      <c r="AG32" s="183" t="s">
        <v>274</v>
      </c>
      <c r="AH32" s="175"/>
      <c r="AI32" s="176">
        <f>P479</f>
        <v>0</v>
      </c>
      <c r="AJ32" s="175"/>
      <c r="AK32" s="175"/>
      <c r="AL32" s="177">
        <f t="shared" si="1"/>
        <v>0</v>
      </c>
    </row>
    <row r="33" spans="8:38" ht="12" customHeight="1" x14ac:dyDescent="0.2">
      <c r="H33" s="151"/>
      <c r="AG33" s="183" t="s">
        <v>275</v>
      </c>
      <c r="AH33" s="175"/>
      <c r="AI33" s="176">
        <f>P559</f>
        <v>0</v>
      </c>
      <c r="AJ33" s="175"/>
      <c r="AK33" s="175"/>
      <c r="AL33" s="177">
        <f t="shared" si="1"/>
        <v>0</v>
      </c>
    </row>
    <row r="34" spans="8:38" ht="12" customHeight="1" x14ac:dyDescent="0.2">
      <c r="H34" s="151"/>
      <c r="AG34" s="183" t="s">
        <v>276</v>
      </c>
      <c r="AH34" s="175"/>
      <c r="AI34" s="176">
        <f>P589</f>
        <v>0</v>
      </c>
      <c r="AJ34" s="175"/>
      <c r="AK34" s="175"/>
      <c r="AL34" s="177">
        <f t="shared" si="1"/>
        <v>0</v>
      </c>
    </row>
    <row r="35" spans="8:38" ht="12" customHeight="1" x14ac:dyDescent="0.2">
      <c r="H35" s="151"/>
      <c r="AG35" s="183" t="s">
        <v>277</v>
      </c>
      <c r="AH35" s="175"/>
      <c r="AI35" s="176">
        <f>P593</f>
        <v>0</v>
      </c>
      <c r="AJ35" s="175"/>
      <c r="AK35" s="175"/>
      <c r="AL35" s="177">
        <f t="shared" si="1"/>
        <v>0</v>
      </c>
    </row>
    <row r="36" spans="8:38" ht="12" customHeight="1" x14ac:dyDescent="0.2">
      <c r="H36" s="151"/>
      <c r="AG36" s="183" t="s">
        <v>278</v>
      </c>
      <c r="AH36" s="175"/>
      <c r="AI36" s="176">
        <f>P615</f>
        <v>0</v>
      </c>
      <c r="AJ36" s="175"/>
      <c r="AK36" s="175"/>
      <c r="AL36" s="177">
        <f t="shared" si="1"/>
        <v>0</v>
      </c>
    </row>
    <row r="37" spans="8:38" ht="12" customHeight="1" x14ac:dyDescent="0.2">
      <c r="H37" s="151"/>
      <c r="AG37" s="183" t="s">
        <v>279</v>
      </c>
      <c r="AH37" s="175"/>
      <c r="AI37" s="176">
        <f>P619</f>
        <v>0</v>
      </c>
      <c r="AJ37" s="175"/>
      <c r="AK37" s="175"/>
      <c r="AL37" s="177">
        <f t="shared" si="1"/>
        <v>0</v>
      </c>
    </row>
    <row r="38" spans="8:38" ht="12" customHeight="1" x14ac:dyDescent="0.2">
      <c r="H38" s="151"/>
      <c r="AG38" s="183" t="s">
        <v>280</v>
      </c>
      <c r="AH38" s="175"/>
      <c r="AI38" s="176">
        <f>P623</f>
        <v>0</v>
      </c>
      <c r="AJ38" s="175"/>
      <c r="AK38" s="175"/>
      <c r="AL38" s="177">
        <f t="shared" si="1"/>
        <v>0</v>
      </c>
    </row>
    <row r="39" spans="8:38" ht="12" customHeight="1" x14ac:dyDescent="0.2">
      <c r="H39" s="151"/>
      <c r="AG39" s="183" t="s">
        <v>281</v>
      </c>
      <c r="AH39" s="175"/>
      <c r="AI39" s="176">
        <f>P627</f>
        <v>0</v>
      </c>
      <c r="AJ39" s="175"/>
      <c r="AK39" s="175"/>
      <c r="AL39" s="177">
        <f t="shared" si="1"/>
        <v>0</v>
      </c>
    </row>
    <row r="40" spans="8:38" ht="12" customHeight="1" x14ac:dyDescent="0.2">
      <c r="AG40" s="183" t="s">
        <v>282</v>
      </c>
      <c r="AH40" s="175"/>
      <c r="AI40" s="176">
        <f>P631</f>
        <v>0</v>
      </c>
      <c r="AJ40" s="175"/>
      <c r="AK40" s="175"/>
      <c r="AL40" s="177">
        <f t="shared" si="1"/>
        <v>0</v>
      </c>
    </row>
    <row r="41" spans="8:38" ht="12" customHeight="1" x14ac:dyDescent="0.2">
      <c r="AG41" s="183" t="s">
        <v>283</v>
      </c>
      <c r="AH41" s="175"/>
      <c r="AI41" s="176">
        <f>P635</f>
        <v>0</v>
      </c>
      <c r="AJ41" s="175"/>
      <c r="AK41" s="175"/>
      <c r="AL41" s="177">
        <f t="shared" si="1"/>
        <v>0</v>
      </c>
    </row>
    <row r="42" spans="8:38" ht="12" customHeight="1" x14ac:dyDescent="0.2">
      <c r="AG42" s="183" t="s">
        <v>284</v>
      </c>
      <c r="AH42" s="175"/>
      <c r="AI42" s="176">
        <f>P639</f>
        <v>0</v>
      </c>
      <c r="AJ42" s="175"/>
      <c r="AK42" s="175"/>
      <c r="AL42" s="177">
        <f t="shared" si="1"/>
        <v>0</v>
      </c>
    </row>
    <row r="43" spans="8:38" ht="12" customHeight="1" x14ac:dyDescent="0.2">
      <c r="AG43" s="183" t="s">
        <v>285</v>
      </c>
      <c r="AH43" s="175"/>
      <c r="AI43" s="176">
        <f>P643</f>
        <v>0</v>
      </c>
      <c r="AJ43" s="175"/>
      <c r="AK43" s="175"/>
      <c r="AL43" s="177">
        <f t="shared" si="1"/>
        <v>0</v>
      </c>
    </row>
    <row r="44" spans="8:38" ht="12" customHeight="1" x14ac:dyDescent="0.2">
      <c r="AG44" s="183" t="s">
        <v>286</v>
      </c>
      <c r="AH44" s="175"/>
      <c r="AI44" s="176">
        <f>P647</f>
        <v>0</v>
      </c>
      <c r="AJ44" s="175"/>
      <c r="AK44" s="175"/>
      <c r="AL44" s="177">
        <f t="shared" si="1"/>
        <v>0</v>
      </c>
    </row>
    <row r="45" spans="8:38" ht="12" customHeight="1" x14ac:dyDescent="0.2">
      <c r="AG45" s="183" t="s">
        <v>287</v>
      </c>
      <c r="AH45" s="175"/>
      <c r="AI45" s="176">
        <f>P667</f>
        <v>0</v>
      </c>
      <c r="AJ45" s="175"/>
      <c r="AK45" s="175"/>
      <c r="AL45" s="177">
        <f t="shared" si="1"/>
        <v>0</v>
      </c>
    </row>
    <row r="46" spans="8:38" ht="12" customHeight="1" x14ac:dyDescent="0.2">
      <c r="AG46" s="183" t="s">
        <v>288</v>
      </c>
      <c r="AH46" s="175"/>
      <c r="AI46" s="176">
        <f>P716</f>
        <v>0</v>
      </c>
      <c r="AJ46" s="175"/>
      <c r="AK46" s="175"/>
      <c r="AL46" s="177">
        <f t="shared" si="1"/>
        <v>0</v>
      </c>
    </row>
    <row r="47" spans="8:38" ht="12" customHeight="1" x14ac:dyDescent="0.2">
      <c r="AG47" s="183" t="s">
        <v>289</v>
      </c>
      <c r="AH47" s="175"/>
      <c r="AI47" s="176">
        <f>P720</f>
        <v>0</v>
      </c>
      <c r="AJ47" s="175"/>
      <c r="AK47" s="175"/>
      <c r="AL47" s="177">
        <f t="shared" si="1"/>
        <v>0</v>
      </c>
    </row>
    <row r="48" spans="8:38" ht="13.5" hidden="1" customHeight="1" x14ac:dyDescent="0.2">
      <c r="AG48" s="183" t="s">
        <v>290</v>
      </c>
      <c r="AH48" s="175"/>
      <c r="AI48" s="176">
        <f>P724</f>
        <v>0</v>
      </c>
      <c r="AJ48" s="175"/>
      <c r="AK48" s="175"/>
      <c r="AL48" s="177">
        <f t="shared" si="1"/>
        <v>0</v>
      </c>
    </row>
    <row r="49" spans="8:38" ht="13.5" hidden="1" customHeight="1" x14ac:dyDescent="0.2">
      <c r="H49" s="151"/>
      <c r="AG49" s="183" t="s">
        <v>291</v>
      </c>
      <c r="AH49" s="175"/>
      <c r="AI49" s="176">
        <f>P728</f>
        <v>0</v>
      </c>
      <c r="AJ49" s="175"/>
      <c r="AK49" s="175"/>
      <c r="AL49" s="177">
        <f t="shared" si="1"/>
        <v>0</v>
      </c>
    </row>
    <row r="50" spans="8:38" ht="13.5" hidden="1" customHeight="1" x14ac:dyDescent="0.2">
      <c r="H50" s="151"/>
      <c r="AG50" s="183" t="s">
        <v>292</v>
      </c>
      <c r="AH50" s="175"/>
      <c r="AI50" s="176">
        <f>P732</f>
        <v>0</v>
      </c>
      <c r="AJ50" s="175"/>
      <c r="AK50" s="175"/>
      <c r="AL50" s="177">
        <f t="shared" si="1"/>
        <v>0</v>
      </c>
    </row>
    <row r="51" spans="8:38" ht="13.5" hidden="1" customHeight="1" x14ac:dyDescent="0.2">
      <c r="AG51" s="183" t="s">
        <v>293</v>
      </c>
      <c r="AH51" s="175"/>
      <c r="AI51" s="176">
        <f>P736</f>
        <v>0</v>
      </c>
      <c r="AJ51" s="175"/>
      <c r="AK51" s="175"/>
      <c r="AL51" s="177">
        <f t="shared" si="1"/>
        <v>0</v>
      </c>
    </row>
    <row r="52" spans="8:38" ht="4.1500000000000004" customHeight="1" x14ac:dyDescent="0.2">
      <c r="AG52" s="175"/>
      <c r="AH52" s="184"/>
      <c r="AI52" s="185"/>
      <c r="AJ52" s="175"/>
      <c r="AK52" s="175"/>
      <c r="AL52" s="186"/>
    </row>
    <row r="53" spans="8:38" ht="13.9" customHeight="1" x14ac:dyDescent="0.2">
      <c r="AG53" s="187" t="str">
        <f>IF(SUMSQ(AH55:AH58,AK55:AK58)&gt;0,"SUBTOTAL",IF(site,"NET DIRECT SITE COST","NET DIRECT BUILDING COST"))</f>
        <v>NET DIRECT BUILDING COST</v>
      </c>
      <c r="AH53" s="184"/>
      <c r="AI53" s="176">
        <f>SUM(AI25:AI52)</f>
        <v>0</v>
      </c>
      <c r="AJ53" s="175"/>
      <c r="AK53" s="175"/>
      <c r="AL53" s="188">
        <f>+AI53/$AI$90</f>
        <v>0</v>
      </c>
    </row>
    <row r="54" spans="8:38" x14ac:dyDescent="0.2">
      <c r="H54" s="151"/>
      <c r="AG54" s="175"/>
      <c r="AH54" s="184"/>
      <c r="AI54" s="176"/>
      <c r="AJ54" s="175"/>
      <c r="AK54" s="175"/>
      <c r="AL54" s="188"/>
    </row>
    <row r="55" spans="8:38" x14ac:dyDescent="0.2">
      <c r="AG55" s="187" t="str">
        <f>UPPER(INDEX(Markups,1,1))</f>
        <v>DESIGN CONTINGENCY</v>
      </c>
      <c r="AH55" s="184">
        <f>IF(INDEX(Markups,1,5), 0,INDEX(Markups,1,4))</f>
        <v>0</v>
      </c>
      <c r="AI55" s="176">
        <f>+IF(compounding,SUM(AI$53:AI54)*AH55,AI$53*AH55)</f>
        <v>0</v>
      </c>
      <c r="AJ55" s="175"/>
      <c r="AK55" s="175">
        <v>0</v>
      </c>
      <c r="AL55" s="177">
        <f>+AI55/$AI$90</f>
        <v>0</v>
      </c>
    </row>
    <row r="56" spans="8:38" x14ac:dyDescent="0.2">
      <c r="AG56" s="187" t="str">
        <f>UPPER(INDEX(Markups,2,1))</f>
        <v>ESCALATION TO MIDPOINT 02/2026</v>
      </c>
      <c r="AH56" s="184">
        <f>IF(INDEX(Markups,2,5), 0,INDEX(Markups,2,4))</f>
        <v>0</v>
      </c>
      <c r="AI56" s="176">
        <f>+IF(compounding,SUM(AI$53:AI55)*AH56,AI$53*AH56)</f>
        <v>0</v>
      </c>
      <c r="AJ56" s="175"/>
      <c r="AK56" s="175">
        <v>0</v>
      </c>
      <c r="AL56" s="177">
        <f>+AI56/$AI$90</f>
        <v>0</v>
      </c>
    </row>
    <row r="57" spans="8:38" x14ac:dyDescent="0.2">
      <c r="AG57" s="187" t="str">
        <f>UPPER(INDEX(Markups,3,1))</f>
        <v>MARKUP 3</v>
      </c>
      <c r="AH57" s="184">
        <f>IF(INDEX(Markups,3,5), 0,INDEX(Markups,3,4))</f>
        <v>0</v>
      </c>
      <c r="AI57" s="176">
        <f>+IF(compounding,SUM(AI$53:AI56)*AH57,AI$53*AH57)</f>
        <v>0</v>
      </c>
      <c r="AJ57" s="175"/>
      <c r="AK57" s="175">
        <v>0</v>
      </c>
      <c r="AL57" s="177">
        <f>+AI57/$AI$90</f>
        <v>0</v>
      </c>
    </row>
    <row r="58" spans="8:38" x14ac:dyDescent="0.2">
      <c r="AG58" s="187" t="str">
        <f>UPPER(INDEX(Markups,4,1))</f>
        <v>MARKUP 4</v>
      </c>
      <c r="AH58" s="184">
        <f>IF(INDEX(Markups,4,5), 0,INDEX(Markups,4,4))</f>
        <v>0</v>
      </c>
      <c r="AI58" s="176">
        <f>+IF(compounding,SUM(AI$53:AI57)*AH58,AI$53*AH58)</f>
        <v>0</v>
      </c>
      <c r="AJ58" s="175"/>
      <c r="AK58" s="175">
        <v>0</v>
      </c>
      <c r="AL58" s="177">
        <f>+AI58/$AI$90</f>
        <v>0</v>
      </c>
    </row>
    <row r="59" spans="8:38" ht="11.25" customHeight="1" x14ac:dyDescent="0.2">
      <c r="AG59" s="187"/>
      <c r="AH59" s="184"/>
      <c r="AI59" s="185"/>
      <c r="AJ59" s="175"/>
      <c r="AK59" s="175"/>
      <c r="AL59" s="189"/>
    </row>
    <row r="60" spans="8:38" ht="24.75" customHeight="1" x14ac:dyDescent="0.2">
      <c r="AG60" s="190" t="str">
        <f>IF(site,"NET DIRECT SITE COST","NET DIRECT BUILDING COST")</f>
        <v>NET DIRECT BUILDING COST</v>
      </c>
      <c r="AH60" s="191"/>
      <c r="AI60" s="192">
        <f>SUM(AI53:AI59)</f>
        <v>0</v>
      </c>
      <c r="AJ60" s="191"/>
      <c r="AK60" s="191"/>
      <c r="AL60" s="193">
        <f>+AI60/$AI$90</f>
        <v>0</v>
      </c>
    </row>
    <row r="61" spans="8:38" ht="4.1500000000000004" customHeight="1" x14ac:dyDescent="0.2">
      <c r="AG61" s="187"/>
      <c r="AH61" s="184"/>
      <c r="AI61" s="176"/>
      <c r="AJ61" s="175"/>
      <c r="AK61" s="175"/>
      <c r="AL61" s="188"/>
    </row>
    <row r="62" spans="8:38" x14ac:dyDescent="0.2">
      <c r="AG62" s="187" t="str">
        <f>UPPER(INDEX(Markups,5,1))</f>
        <v>DESIGN CONTINGENCY</v>
      </c>
      <c r="AH62" s="194">
        <f>IF(INDEX(Markups,5,5), 0,INDEX(Markups,5,4))</f>
        <v>0.03</v>
      </c>
      <c r="AI62" s="195">
        <f>+IF(compounding,AI60*AH62,AI$60*AH62)</f>
        <v>0</v>
      </c>
      <c r="AJ62" s="175"/>
      <c r="AK62" s="175"/>
      <c r="AL62" s="196">
        <f>+AI62/$AI$90</f>
        <v>0</v>
      </c>
    </row>
    <row r="63" spans="8:38" ht="4.1500000000000004" customHeight="1" x14ac:dyDescent="0.2">
      <c r="AG63" s="187"/>
      <c r="AH63" s="184"/>
      <c r="AI63" s="176"/>
      <c r="AJ63" s="175"/>
      <c r="AK63" s="175"/>
      <c r="AL63" s="177"/>
    </row>
    <row r="64" spans="8:38" x14ac:dyDescent="0.2">
      <c r="AG64" s="187" t="s">
        <v>132</v>
      </c>
      <c r="AH64" s="184"/>
      <c r="AI64" s="176">
        <f>SUM(AI60:AI62)</f>
        <v>0</v>
      </c>
      <c r="AJ64" s="175"/>
      <c r="AK64" s="175"/>
      <c r="AL64" s="177">
        <f>+AI64/$AI$90</f>
        <v>0</v>
      </c>
    </row>
    <row r="65" spans="33:38" x14ac:dyDescent="0.2">
      <c r="AG65" s="187" t="str">
        <f>UPPER(INDEX(Markups,6,1))</f>
        <v>ESCALATION TO MIDPOINT 02/2026</v>
      </c>
      <c r="AH65" s="194">
        <f>IF(INDEX(Markups,6,5), 0,INDEX(Markups,6,4))</f>
        <v>4.4336448261620198E-2</v>
      </c>
      <c r="AI65" s="195">
        <f>+IF(compounding,AI64*AH65,AI$60*AH65)</f>
        <v>0</v>
      </c>
      <c r="AJ65" s="175"/>
      <c r="AK65" s="175"/>
      <c r="AL65" s="196">
        <f>+AI65/$AI$90</f>
        <v>0</v>
      </c>
    </row>
    <row r="66" spans="33:38" ht="4.1500000000000004" customHeight="1" x14ac:dyDescent="0.2">
      <c r="AG66" s="187"/>
      <c r="AH66" s="184"/>
      <c r="AI66" s="176"/>
      <c r="AJ66" s="175"/>
      <c r="AK66" s="175"/>
      <c r="AL66" s="177"/>
    </row>
    <row r="67" spans="33:38" x14ac:dyDescent="0.2">
      <c r="AG67" s="187" t="s">
        <v>132</v>
      </c>
      <c r="AH67" s="184"/>
      <c r="AI67" s="176">
        <f>SUM(AI64:AI65)</f>
        <v>0</v>
      </c>
      <c r="AJ67" s="175"/>
      <c r="AK67" s="175"/>
      <c r="AL67" s="177">
        <f>+AI67/$AI$90</f>
        <v>0</v>
      </c>
    </row>
    <row r="68" spans="33:38" x14ac:dyDescent="0.2">
      <c r="AG68" s="187" t="str">
        <f>UPPER(INDEX(Markups,7,1))</f>
        <v>CONTRACTOR CONTINGENCY</v>
      </c>
      <c r="AH68" s="194">
        <f>IF(INDEX(Markups,7,5), 0,INDEX(Markups,7,4))</f>
        <v>0</v>
      </c>
      <c r="AI68" s="195">
        <f>+IF(compounding,AI67*AH68,AI$60*AH68)</f>
        <v>0</v>
      </c>
      <c r="AJ68" s="175"/>
      <c r="AK68" s="175"/>
      <c r="AL68" s="196">
        <f>+AI68/$AI$90</f>
        <v>0</v>
      </c>
    </row>
    <row r="69" spans="33:38" ht="4.1500000000000004" customHeight="1" x14ac:dyDescent="0.2">
      <c r="AG69" s="187"/>
      <c r="AH69" s="184"/>
      <c r="AI69" s="176"/>
      <c r="AJ69" s="175"/>
      <c r="AK69" s="175"/>
      <c r="AL69" s="177"/>
    </row>
    <row r="70" spans="33:38" x14ac:dyDescent="0.2">
      <c r="AG70" s="187" t="s">
        <v>132</v>
      </c>
      <c r="AH70" s="184"/>
      <c r="AI70" s="176">
        <f>SUM(AI67:AI68)</f>
        <v>0</v>
      </c>
      <c r="AJ70" s="175"/>
      <c r="AK70" s="175"/>
      <c r="AL70" s="177">
        <f>+AI70/$AI$90</f>
        <v>0</v>
      </c>
    </row>
    <row r="71" spans="33:38" x14ac:dyDescent="0.2">
      <c r="AG71" s="187" t="str">
        <f>UPPER(INDEX(Markups,8,1))</f>
        <v>GENERAL CONDITIONS/REQUIREMENTS</v>
      </c>
      <c r="AH71" s="194">
        <f>IF(INDEX(Markups,8,5), 0,INDEX(Markups,8,4))</f>
        <v>0.12</v>
      </c>
      <c r="AI71" s="195">
        <f>+IF(compounding,AI70*AH71,AI$60*AH71)</f>
        <v>0</v>
      </c>
      <c r="AJ71" s="175"/>
      <c r="AK71" s="175"/>
      <c r="AL71" s="196">
        <f>+AI71/$AI$90</f>
        <v>0</v>
      </c>
    </row>
    <row r="72" spans="33:38" ht="4.1500000000000004" customHeight="1" x14ac:dyDescent="0.2">
      <c r="AG72" s="187"/>
      <c r="AH72" s="184"/>
      <c r="AI72" s="176"/>
      <c r="AJ72" s="175"/>
      <c r="AK72" s="175"/>
      <c r="AL72" s="177"/>
    </row>
    <row r="73" spans="33:38" x14ac:dyDescent="0.2">
      <c r="AG73" s="187" t="s">
        <v>132</v>
      </c>
      <c r="AH73" s="184"/>
      <c r="AI73" s="176">
        <f>SUM(AI70:AI71)</f>
        <v>0</v>
      </c>
      <c r="AJ73" s="175"/>
      <c r="AK73" s="175"/>
      <c r="AL73" s="177">
        <f>+AI73/$AI$90</f>
        <v>0</v>
      </c>
    </row>
    <row r="74" spans="33:38" x14ac:dyDescent="0.2">
      <c r="AG74" s="187" t="str">
        <f>UPPER(INDEX(Markups,9,1))</f>
        <v>CONTRACTOR OVERHEAD AND PROFIT</v>
      </c>
      <c r="AH74" s="194">
        <f>IF(INDEX(Markups,9,5), 0,INDEX(Markups,9,4))</f>
        <v>0.08</v>
      </c>
      <c r="AI74" s="195">
        <f>+IF(compounding,AI73*AH74,AI$60*AH74)</f>
        <v>0</v>
      </c>
      <c r="AJ74" s="175"/>
      <c r="AK74" s="175"/>
      <c r="AL74" s="196">
        <f>+AI74/$AI$90</f>
        <v>0</v>
      </c>
    </row>
    <row r="75" spans="33:38" ht="4.1500000000000004" customHeight="1" x14ac:dyDescent="0.2">
      <c r="AG75" s="187"/>
      <c r="AH75" s="184"/>
      <c r="AI75" s="176"/>
      <c r="AJ75" s="175"/>
      <c r="AK75" s="175"/>
      <c r="AL75" s="177"/>
    </row>
    <row r="76" spans="33:38" x14ac:dyDescent="0.2">
      <c r="AG76" s="187" t="s">
        <v>132</v>
      </c>
      <c r="AH76" s="184"/>
      <c r="AI76" s="176">
        <f>SUM(AI73:AI74)</f>
        <v>0</v>
      </c>
      <c r="AJ76" s="175"/>
      <c r="AK76" s="175"/>
      <c r="AL76" s="177">
        <f>+AI76/$AI$90</f>
        <v>0</v>
      </c>
    </row>
    <row r="77" spans="33:38" x14ac:dyDescent="0.2">
      <c r="AG77" s="187" t="str">
        <f>UPPER(INDEX(Markups,10,1))</f>
        <v>INSURANCE AND BONDS</v>
      </c>
      <c r="AH77" s="194">
        <f>IF(INDEX(Markups,10,5), 0,INDEX(Markups,10,4))</f>
        <v>2.5000000000000001E-2</v>
      </c>
      <c r="AI77" s="195">
        <f>+IF(compounding,AI76*AH77,AI$60*AH77)</f>
        <v>0</v>
      </c>
      <c r="AJ77" s="175"/>
      <c r="AK77" s="175"/>
      <c r="AL77" s="196">
        <f>+AI77/$AI$90</f>
        <v>0</v>
      </c>
    </row>
    <row r="78" spans="33:38" ht="4.1500000000000004" customHeight="1" x14ac:dyDescent="0.2">
      <c r="AG78" s="187"/>
      <c r="AH78" s="184"/>
      <c r="AI78" s="176"/>
      <c r="AJ78" s="175"/>
      <c r="AK78" s="175"/>
      <c r="AL78" s="177"/>
    </row>
    <row r="79" spans="33:38" x14ac:dyDescent="0.2">
      <c r="AG79" s="187" t="s">
        <v>132</v>
      </c>
      <c r="AH79" s="184"/>
      <c r="AI79" s="176">
        <f>SUM(AI76:AI77)</f>
        <v>0</v>
      </c>
      <c r="AJ79" s="175"/>
      <c r="AK79" s="175"/>
      <c r="AL79" s="177">
        <f>+AI79/$AI$90</f>
        <v>0</v>
      </c>
    </row>
    <row r="80" spans="33:38" x14ac:dyDescent="0.2">
      <c r="AG80" s="187" t="str">
        <f>UPPER(INDEX(Markups,11,1))</f>
        <v>BONDS: CONTRACTOR</v>
      </c>
      <c r="AH80" s="194">
        <f>IF(INDEX(Markups,11,5), 0,INDEX(Markups,11,4))</f>
        <v>0</v>
      </c>
      <c r="AI80" s="195">
        <f>+IF(compounding,AI79*AH80,AI$60*AH80)</f>
        <v>0</v>
      </c>
      <c r="AJ80" s="175"/>
      <c r="AK80" s="175"/>
      <c r="AL80" s="196">
        <f>+AI80/$AI$90</f>
        <v>0</v>
      </c>
    </row>
    <row r="81" spans="4:38" ht="4.1500000000000004" customHeight="1" x14ac:dyDescent="0.2">
      <c r="AG81" s="187"/>
      <c r="AH81" s="184"/>
      <c r="AI81" s="176"/>
      <c r="AJ81" s="175"/>
      <c r="AK81" s="175"/>
      <c r="AL81" s="177"/>
    </row>
    <row r="82" spans="4:38" x14ac:dyDescent="0.2">
      <c r="AG82" s="187" t="s">
        <v>132</v>
      </c>
      <c r="AH82" s="184"/>
      <c r="AI82" s="176">
        <f>SUM(AI79:AI80)</f>
        <v>0</v>
      </c>
      <c r="AJ82" s="175"/>
      <c r="AK82" s="175"/>
      <c r="AL82" s="177">
        <f>+AI82/$AI$90</f>
        <v>0</v>
      </c>
    </row>
    <row r="83" spans="4:38" x14ac:dyDescent="0.2">
      <c r="AG83" s="187" t="str">
        <f>UPPER(INDEX(Markups,12,1))</f>
        <v>BONDS: SUBCONTRACTOR</v>
      </c>
      <c r="AH83" s="194">
        <f>IF(INDEX(Markups,12,5), 0,INDEX(Markups,12,4))</f>
        <v>0</v>
      </c>
      <c r="AI83" s="195">
        <f>+IF(compounding,AI82*AH83,AI$60*AH83)</f>
        <v>0</v>
      </c>
      <c r="AJ83" s="175"/>
      <c r="AK83" s="175"/>
      <c r="AL83" s="196">
        <f>+AI83/$AI$90</f>
        <v>0</v>
      </c>
    </row>
    <row r="84" spans="4:38" ht="4.1500000000000004" customHeight="1" x14ac:dyDescent="0.2">
      <c r="AG84" s="187"/>
      <c r="AH84" s="184"/>
      <c r="AI84" s="176"/>
      <c r="AJ84" s="175"/>
      <c r="AK84" s="175"/>
      <c r="AL84" s="177"/>
    </row>
    <row r="85" spans="4:38" x14ac:dyDescent="0.2">
      <c r="AG85" s="187" t="s">
        <v>132</v>
      </c>
      <c r="AH85" s="184"/>
      <c r="AI85" s="176">
        <f>SUM(AI82:AI83)</f>
        <v>0</v>
      </c>
      <c r="AJ85" s="175"/>
      <c r="AK85" s="175"/>
      <c r="AL85" s="177">
        <f>+AI85/$AI$90</f>
        <v>0</v>
      </c>
    </row>
    <row r="86" spans="4:38" x14ac:dyDescent="0.2">
      <c r="AG86" s="187" t="str">
        <f>UPPER(INDEX(Markups,13,1))</f>
        <v>LOSS DUE TO ESCALATION</v>
      </c>
      <c r="AH86" s="194">
        <f>IF(INDEX(Markups,13,5), 0,INDEX(Markups,13,4))</f>
        <v>0</v>
      </c>
      <c r="AI86" s="195">
        <f>+IF(compounding,AI85*AH86,AI$60*AH86)</f>
        <v>0</v>
      </c>
      <c r="AJ86" s="175"/>
      <c r="AK86" s="175"/>
      <c r="AL86" s="196">
        <f>+AI86/$AI$90</f>
        <v>0</v>
      </c>
    </row>
    <row r="87" spans="4:38" ht="4.1500000000000004" customHeight="1" x14ac:dyDescent="0.2">
      <c r="AG87" s="187"/>
      <c r="AH87" s="184"/>
      <c r="AI87" s="197"/>
      <c r="AJ87" s="175"/>
      <c r="AK87" s="175"/>
      <c r="AL87" s="198"/>
    </row>
    <row r="88" spans="4:38" ht="24.75" customHeight="1" x14ac:dyDescent="0.2">
      <c r="AG88" s="190" t="str">
        <f>IF(site,"TOTAL SITE COST","TOTAL BUILDING COST")</f>
        <v>TOTAL BUILDING COST</v>
      </c>
      <c r="AH88" s="191"/>
      <c r="AI88" s="192">
        <f>SUM(AI85:AI86)</f>
        <v>0</v>
      </c>
      <c r="AJ88" s="191"/>
      <c r="AK88" s="191"/>
      <c r="AL88" s="193">
        <f>+AI88/$AI$90</f>
        <v>0</v>
      </c>
    </row>
    <row r="89" spans="4:38" ht="4.1500000000000004" customHeight="1" x14ac:dyDescent="0.2">
      <c r="AG89" s="175"/>
      <c r="AH89" s="175"/>
      <c r="AI89" s="176"/>
      <c r="AJ89" s="175"/>
      <c r="AK89" s="175"/>
      <c r="AL89" s="177"/>
    </row>
    <row r="90" spans="4:38" ht="12" customHeight="1" x14ac:dyDescent="0.2">
      <c r="AH90" s="199" t="str">
        <f>IF(site, "TOTAL SITE AREA:", "GROSS FLOOR AREA:")</f>
        <v>GROSS FLOOR AREA:</v>
      </c>
      <c r="AI90" s="200">
        <f>GFA</f>
        <v>1</v>
      </c>
      <c r="AJ90" s="175" t="str">
        <f>IF(PageUom="Imperial", "SF", "M2")</f>
        <v>SF</v>
      </c>
    </row>
    <row r="91" spans="4:38" ht="15.75" customHeight="1" x14ac:dyDescent="0.25">
      <c r="D91" s="162"/>
      <c r="E91" s="163"/>
      <c r="F91" s="164"/>
      <c r="G91" s="163"/>
      <c r="H91" s="163"/>
      <c r="I91" s="143"/>
      <c r="J91" s="163"/>
      <c r="K91" s="163"/>
      <c r="L91" s="163"/>
      <c r="M91" s="163"/>
      <c r="N91" s="163"/>
      <c r="O91" s="163"/>
      <c r="P91" s="165" t="str">
        <f>project_name</f>
        <v>Hunt County Government Building</v>
      </c>
    </row>
    <row r="92" spans="4:38" ht="15.75" customHeight="1" x14ac:dyDescent="0.25">
      <c r="D92" s="162"/>
      <c r="E92" s="163"/>
      <c r="F92" s="164"/>
      <c r="G92" s="163"/>
      <c r="H92" s="163"/>
      <c r="I92" s="143"/>
      <c r="J92" s="173"/>
      <c r="K92" s="173"/>
      <c r="L92" s="173"/>
      <c r="M92" s="173"/>
      <c r="N92" s="173"/>
      <c r="O92" s="173"/>
      <c r="P92" s="166" t="str">
        <f>SUB_NAME</f>
        <v>SUB NAME</v>
      </c>
    </row>
    <row r="93" spans="4:38" ht="12.75" customHeight="1" x14ac:dyDescent="0.25">
      <c r="D93" s="167"/>
      <c r="E93" s="168"/>
      <c r="F93" s="169"/>
      <c r="G93" s="169"/>
      <c r="H93" s="169"/>
      <c r="I93" s="143"/>
      <c r="J93" s="173"/>
      <c r="K93" s="173"/>
      <c r="L93" s="173"/>
      <c r="M93" s="173"/>
      <c r="N93" s="173"/>
      <c r="O93" s="173"/>
      <c r="P93" s="170" t="str">
        <f>project_location</f>
        <v>Greenville, TX</v>
      </c>
    </row>
    <row r="94" spans="4:38" ht="9" customHeight="1" x14ac:dyDescent="0.25">
      <c r="D94" s="167"/>
      <c r="E94" s="168"/>
      <c r="F94" s="169"/>
      <c r="G94" s="169"/>
      <c r="H94" s="169"/>
      <c r="I94" s="143"/>
      <c r="J94" s="173"/>
      <c r="K94" s="173"/>
      <c r="L94" s="173"/>
      <c r="M94" s="173"/>
      <c r="N94" s="173"/>
      <c r="O94" s="173"/>
      <c r="P94" s="171"/>
    </row>
    <row r="95" spans="4:38" ht="18.75" customHeight="1" x14ac:dyDescent="0.25">
      <c r="D95" s="172" t="str">
        <f>estimate_detail</f>
        <v>CONSTRUCTION DOCUMENTS ESTIMATE</v>
      </c>
      <c r="E95" s="163"/>
      <c r="F95" s="173"/>
      <c r="G95" s="173"/>
      <c r="H95" s="173"/>
      <c r="I95" s="143"/>
      <c r="J95" s="173"/>
      <c r="K95" s="173"/>
      <c r="L95" s="173"/>
      <c r="M95" s="173"/>
      <c r="N95" s="173"/>
      <c r="O95" s="173"/>
      <c r="P95" s="174" t="str">
        <f>"OCMI JOB #: "&amp; job_number &amp; " | " &amp; date</f>
        <v>OCMI JOB #: 240540.000 | 24 December 2024</v>
      </c>
    </row>
    <row r="96" spans="4:38" ht="12.75" customHeight="1" x14ac:dyDescent="0.25">
      <c r="D96" s="175"/>
      <c r="E96" s="175"/>
      <c r="F96" s="176"/>
      <c r="G96" s="175"/>
      <c r="H96" s="175"/>
      <c r="I96" s="177"/>
      <c r="J96" s="173"/>
      <c r="K96" s="173"/>
      <c r="L96" s="173"/>
      <c r="M96" s="173"/>
      <c r="N96" s="173"/>
      <c r="O96" s="173"/>
      <c r="P96" s="201"/>
    </row>
    <row r="97" spans="1:27" ht="12.75" customHeight="1" x14ac:dyDescent="0.2">
      <c r="C97" s="202"/>
      <c r="D97" s="203" t="s">
        <v>249</v>
      </c>
      <c r="E97" s="203"/>
      <c r="F97" s="203"/>
      <c r="G97" s="203"/>
      <c r="H97" s="204"/>
      <c r="I97" s="205" t="s">
        <v>250</v>
      </c>
      <c r="J97" s="206" t="s">
        <v>251</v>
      </c>
      <c r="K97" s="207" t="s">
        <v>252</v>
      </c>
      <c r="L97" s="208" t="s">
        <v>253</v>
      </c>
      <c r="M97" s="209" t="s">
        <v>254</v>
      </c>
      <c r="N97" s="209" t="s">
        <v>255</v>
      </c>
      <c r="O97" s="210" t="s">
        <v>256</v>
      </c>
      <c r="P97" s="211" t="s">
        <v>257</v>
      </c>
      <c r="Q97" s="212" t="s">
        <v>258</v>
      </c>
      <c r="R97" s="213" t="s">
        <v>259</v>
      </c>
      <c r="S97" s="213" t="s">
        <v>260</v>
      </c>
      <c r="T97" s="213" t="s">
        <v>261</v>
      </c>
      <c r="U97" s="213" t="s">
        <v>262</v>
      </c>
      <c r="V97" s="213" t="s">
        <v>263</v>
      </c>
      <c r="W97" s="213" t="s">
        <v>264</v>
      </c>
      <c r="X97" s="213" t="s">
        <v>265</v>
      </c>
      <c r="Y97" s="213" t="s">
        <v>266</v>
      </c>
    </row>
    <row r="99" spans="1:27" hidden="1" x14ac:dyDescent="0.2">
      <c r="A99" s="143" t="s">
        <v>294</v>
      </c>
      <c r="D99" s="214" t="s">
        <v>267</v>
      </c>
      <c r="E99" s="215"/>
      <c r="F99" s="215"/>
      <c r="G99" s="215"/>
      <c r="H99" s="215"/>
      <c r="K99" s="149"/>
      <c r="L99" s="149"/>
      <c r="M99" s="149"/>
      <c r="N99" s="149"/>
      <c r="P99" s="216"/>
      <c r="Q99" s="150">
        <f t="shared" ref="Q99:Q104" si="2">IF(O99=0,0,IF(X99=0,"manual",O99/((R99*tax*markup*IF(Y99&lt;&gt;"",VLOOKUP(LEFT(Y99,2),cityindex,2,0),1))+S99*markup*difficulty*IF(Y99&lt;&gt;"",VLOOKUP(LEFT(Y99,2),cityindex,3,0),1)+W99*markup*difficulty*IF(Y99&lt;&gt;"",VLOOKUP(LEFT(Y99,2),cityindex,3,0),1))))</f>
        <v>0</v>
      </c>
      <c r="S99" s="143">
        <f t="shared" ref="S99:S163" si="3">U99*V99</f>
        <v>0</v>
      </c>
      <c r="X99" s="143">
        <f t="shared" ref="X99:X163" si="4">SUM(R99,S99,W99)</f>
        <v>0</v>
      </c>
    </row>
    <row r="100" spans="1:27" ht="12.75" hidden="1" customHeight="1" x14ac:dyDescent="0.2">
      <c r="K100" s="149">
        <f>R100*tax*markup*IF(Y100&lt;&gt;"",VLOOKUP(LEFT(Y100,2),cityindex,2,0),1)</f>
        <v>0</v>
      </c>
      <c r="L100" s="149">
        <f>S100*markup*difficulty*IF(Y100&lt;&gt;"",VLOOKUP(LEFT(Y100,2),cityindex,3,0),1)</f>
        <v>0</v>
      </c>
      <c r="M100" s="149">
        <f>W100*markup*difficulty*IF(Y100&lt;&gt;"",VLOOKUP(LEFT(Y100,2),cityindex,3,0),1)</f>
        <v>0</v>
      </c>
      <c r="N100" s="149"/>
      <c r="O100" s="149">
        <f>SUM(K100:N100)*embed</f>
        <v>0</v>
      </c>
      <c r="P100" s="216">
        <f>ROUND((O100*I100),0)</f>
        <v>0</v>
      </c>
      <c r="Q100" s="150">
        <f t="shared" si="2"/>
        <v>0</v>
      </c>
      <c r="S100" s="143">
        <f t="shared" si="3"/>
        <v>0</v>
      </c>
      <c r="X100" s="143">
        <f t="shared" si="4"/>
        <v>0</v>
      </c>
    </row>
    <row r="101" spans="1:27" ht="24.75" hidden="1" customHeight="1" x14ac:dyDescent="0.2">
      <c r="D101" s="217" t="str">
        <f>"TOTAL - " &amp; D99</f>
        <v>TOTAL - 01  GENERAL REQUIREMENTS</v>
      </c>
      <c r="E101" s="217"/>
      <c r="F101" s="217"/>
      <c r="G101" s="217"/>
      <c r="H101" s="217"/>
      <c r="I101" s="218"/>
      <c r="J101" s="219"/>
      <c r="K101" s="220"/>
      <c r="L101" s="220"/>
      <c r="M101" s="220"/>
      <c r="N101" s="220"/>
      <c r="O101" s="221"/>
      <c r="P101" s="222">
        <f>SUM(P99:P100)</f>
        <v>0</v>
      </c>
      <c r="Q101" s="223"/>
      <c r="S101" s="143">
        <f t="shared" si="3"/>
        <v>0</v>
      </c>
      <c r="X101" s="143">
        <f t="shared" si="4"/>
        <v>0</v>
      </c>
      <c r="Z101" s="224">
        <f>P101/GFA</f>
        <v>0</v>
      </c>
      <c r="AA101" s="225" t="s">
        <v>295</v>
      </c>
    </row>
    <row r="102" spans="1:27" hidden="1" x14ac:dyDescent="0.2">
      <c r="K102" s="149"/>
      <c r="L102" s="149"/>
      <c r="M102" s="149"/>
      <c r="N102" s="149"/>
      <c r="P102" s="216"/>
      <c r="Q102" s="150">
        <f t="shared" si="2"/>
        <v>0</v>
      </c>
      <c r="S102" s="143">
        <f t="shared" si="3"/>
        <v>0</v>
      </c>
      <c r="X102" s="143">
        <f t="shared" si="4"/>
        <v>0</v>
      </c>
    </row>
    <row r="103" spans="1:27" x14ac:dyDescent="0.2">
      <c r="D103" s="214" t="s">
        <v>268</v>
      </c>
      <c r="E103" s="215"/>
      <c r="F103" s="215"/>
      <c r="G103" s="215"/>
      <c r="H103" s="215"/>
      <c r="K103" s="149"/>
      <c r="L103" s="149"/>
      <c r="M103" s="149"/>
      <c r="N103" s="149"/>
      <c r="P103" s="216"/>
      <c r="Q103" s="150">
        <f t="shared" si="2"/>
        <v>0</v>
      </c>
      <c r="S103" s="143">
        <f t="shared" si="3"/>
        <v>0</v>
      </c>
      <c r="X103" s="143">
        <f t="shared" si="4"/>
        <v>0</v>
      </c>
    </row>
    <row r="104" spans="1:27" x14ac:dyDescent="0.2">
      <c r="A104" s="143" t="s">
        <v>296</v>
      </c>
      <c r="E104" s="143" t="s">
        <v>297</v>
      </c>
      <c r="K104" s="149">
        <f>R104*tax*markup*IF(Y104&lt;&gt;"",VLOOKUP(LEFT(Y104,2),cityindex,2,0),1)</f>
        <v>0</v>
      </c>
      <c r="L104" s="149">
        <f>S104*markup*difficulty*IF(Y104&lt;&gt;"",VLOOKUP(LEFT(Y104,2),cityindex,3,0),1)</f>
        <v>0</v>
      </c>
      <c r="M104" s="149">
        <f>W104*markup*difficulty*IF(Y104&lt;&gt;"",VLOOKUP(LEFT(Y104,2),cityindex,3,0),1)</f>
        <v>0</v>
      </c>
      <c r="N104" s="149"/>
      <c r="O104" s="149">
        <f>SUM(K104:N104)*embed</f>
        <v>0</v>
      </c>
      <c r="P104" s="216">
        <f>ROUND((O104*I104),0)</f>
        <v>0</v>
      </c>
      <c r="Q104" s="150">
        <f t="shared" si="2"/>
        <v>0</v>
      </c>
      <c r="S104" s="143">
        <f>U104*V104</f>
        <v>0</v>
      </c>
      <c r="X104" s="143">
        <f>SUM(R104,S104,W104)</f>
        <v>0</v>
      </c>
    </row>
    <row r="105" spans="1:27" ht="12.75" customHeight="1" x14ac:dyDescent="0.2">
      <c r="A105" s="143" t="s">
        <v>298</v>
      </c>
      <c r="F105" s="226" t="s">
        <v>299</v>
      </c>
      <c r="K105" s="149">
        <f>R105*tax*markup*IF(Y105&lt;&gt;"",VLOOKUP(LEFT(Y105,2),cityindex,2,0),1)</f>
        <v>0</v>
      </c>
      <c r="L105" s="149">
        <f>S105*markup*difficulty*IF(Y105&lt;&gt;"",VLOOKUP(LEFT(Y105,2),cityindex,3,0),1)</f>
        <v>0</v>
      </c>
      <c r="M105" s="149">
        <f>W105*markup*difficulty*IF(Y105&lt;&gt;"",VLOOKUP(LEFT(Y105,2),cityindex,3,0),1)</f>
        <v>0</v>
      </c>
      <c r="N105" s="149"/>
      <c r="O105" s="149">
        <f>SUM(K105:N105)*embed</f>
        <v>0</v>
      </c>
      <c r="P105" s="216">
        <f>ROUND((O105*I105),0)</f>
        <v>0</v>
      </c>
      <c r="Q105" s="150">
        <f>IF(O105=0,0,IF(X105=0,"manual",(O105/(R105*tax*markup*IF(Y105&lt;&gt;"",VLOOKUP(LEFT(Y105,2),cityindex,2,0),1)+S105*markup*difficulty*IF(Y105&lt;&gt;"",VLOOKUP(LEFT(Y105,2),cityindex,3,0),1)+W105*markup*difficulty*IF(Y105&lt;&gt;"",VLOOKUP(LEFT(Y105,2),cityindex,3,0),1)))-1))</f>
        <v>0</v>
      </c>
      <c r="S105" s="143">
        <f>U105*V105</f>
        <v>0</v>
      </c>
      <c r="X105" s="143">
        <f>SUM(R105,S105,W105)</f>
        <v>0</v>
      </c>
    </row>
    <row r="106" spans="1:27" ht="12.75" customHeight="1" x14ac:dyDescent="0.2">
      <c r="A106" s="143" t="s">
        <v>296</v>
      </c>
      <c r="F106" s="143" t="s">
        <v>300</v>
      </c>
      <c r="J106" s="147" t="s">
        <v>301</v>
      </c>
      <c r="K106" s="149">
        <f>R106*tax*markup*IF(Y106&lt;&gt;"",VLOOKUP(LEFT(Y106,2),cityindex,2,0),1)</f>
        <v>0</v>
      </c>
      <c r="L106" s="149">
        <f>S106*markup*difficulty*IF(Y106&lt;&gt;"",VLOOKUP(LEFT(Y106,2),cityindex,3,0),1)</f>
        <v>0</v>
      </c>
      <c r="M106" s="149">
        <f>W106*markup*difficulty*IF(Y106&lt;&gt;"",VLOOKUP(LEFT(Y106,2),cityindex,3,0),1)</f>
        <v>0</v>
      </c>
      <c r="N106" s="149"/>
      <c r="O106" s="149">
        <f t="shared" ref="O106:O115" si="5">SUM(K106:N106)*embed</f>
        <v>0</v>
      </c>
      <c r="P106" s="216">
        <f t="shared" ref="P106:P123" si="6">ROUND((O106*I106),0)</f>
        <v>0</v>
      </c>
      <c r="Q106" s="150">
        <f>IF(O106=0,0,IF(X106=0,"manual",(O106/(R106*tax*markup*IF(Y106&lt;&gt;"",VLOOKUP(LEFT(Y106,2),cityindex,2,0),1)+S106*markup*difficulty*IF(Y106&lt;&gt;"",VLOOKUP(LEFT(Y106,2),cityindex,3,0),1)+W106*markup*difficulty*IF(Y106&lt;&gt;"",VLOOKUP(LEFT(Y106,2),cityindex,3,0),1)))-1))</f>
        <v>0</v>
      </c>
      <c r="S106" s="143">
        <f>U106*V106</f>
        <v>0</v>
      </c>
      <c r="X106" s="143">
        <f>SUM(R106,S106,W106)</f>
        <v>0</v>
      </c>
      <c r="Y106" s="143" t="s">
        <v>302</v>
      </c>
    </row>
    <row r="107" spans="1:27" ht="12.75" customHeight="1" x14ac:dyDescent="0.2">
      <c r="A107" s="143" t="s">
        <v>298</v>
      </c>
      <c r="F107" s="226" t="s">
        <v>303</v>
      </c>
      <c r="K107" s="149">
        <f>R107*tax*markup*IF(Y107&lt;&gt;"",VLOOKUP(LEFT(Y107,2),cityindex,2,0),1)</f>
        <v>0</v>
      </c>
      <c r="L107" s="149">
        <f>S107*markup*difficulty*IF(Y107&lt;&gt;"",VLOOKUP(LEFT(Y107,2),cityindex,3,0),1)</f>
        <v>0</v>
      </c>
      <c r="M107" s="149">
        <f>W107*markup*difficulty*IF(Y107&lt;&gt;"",VLOOKUP(LEFT(Y107,2),cityindex,3,0),1)</f>
        <v>0</v>
      </c>
      <c r="N107" s="149"/>
      <c r="O107" s="149">
        <f>SUM(K107:N107)*embed</f>
        <v>0</v>
      </c>
      <c r="P107" s="216">
        <f>ROUND((O107*I107),0)</f>
        <v>0</v>
      </c>
      <c r="Q107" s="150">
        <f>IF(O107=0,0,IF(X107=0,"manual",(O107/(R107*tax*markup*IF(Y107&lt;&gt;"",VLOOKUP(LEFT(Y107,2),cityindex,2,0),1)+S107*markup*difficulty*IF(Y107&lt;&gt;"",VLOOKUP(LEFT(Y107,2),cityindex,3,0),1)+W107*markup*difficulty*IF(Y107&lt;&gt;"",VLOOKUP(LEFT(Y107,2),cityindex,3,0),1)))-1))</f>
        <v>0</v>
      </c>
      <c r="S107" s="143">
        <f>U107*V107</f>
        <v>0</v>
      </c>
      <c r="X107" s="143">
        <f>SUM(R107,S107,W107)</f>
        <v>0</v>
      </c>
    </row>
    <row r="108" spans="1:27" ht="12.75" customHeight="1" x14ac:dyDescent="0.2">
      <c r="A108" s="143" t="s">
        <v>296</v>
      </c>
      <c r="F108" s="143" t="s">
        <v>304</v>
      </c>
      <c r="J108" s="147" t="s">
        <v>301</v>
      </c>
      <c r="K108" s="149">
        <f t="shared" ref="K108:K115" si="7">R108*tax*markup*IF(Y108&lt;&gt;"",VLOOKUP(LEFT(Y108,2),cityindex,2,0),1)</f>
        <v>0</v>
      </c>
      <c r="L108" s="149">
        <f t="shared" ref="L108:L115" si="8">S108*markup*difficulty*IF(Y108&lt;&gt;"",VLOOKUP(LEFT(Y108,2),cityindex,3,0),1)</f>
        <v>0</v>
      </c>
      <c r="M108" s="149">
        <f t="shared" ref="M108:M115" si="9">W108*markup*difficulty*IF(Y108&lt;&gt;"",VLOOKUP(LEFT(Y108,2),cityindex,3,0),1)</f>
        <v>0</v>
      </c>
      <c r="N108" s="149"/>
      <c r="O108" s="149">
        <f t="shared" si="5"/>
        <v>0</v>
      </c>
      <c r="P108" s="216">
        <f t="shared" si="6"/>
        <v>0</v>
      </c>
      <c r="Q108" s="150">
        <f t="shared" ref="Q108:Q115" si="10">IF(O108=0,0,IF(X108=0,"manual",(O108/(R108*tax*markup*IF(Y108&lt;&gt;"",VLOOKUP(LEFT(Y108,2),cityindex,2,0),1)+S108*markup*difficulty*IF(Y108&lt;&gt;"",VLOOKUP(LEFT(Y108,2),cityindex,3,0),1)+W108*markup*difficulty*IF(Y108&lt;&gt;"",VLOOKUP(LEFT(Y108,2),cityindex,3,0),1)))-1))</f>
        <v>0</v>
      </c>
      <c r="S108" s="143">
        <f t="shared" ref="S108:S122" si="11">U108*V108</f>
        <v>0</v>
      </c>
      <c r="X108" s="143">
        <f t="shared" ref="X108:X122" si="12">SUM(R108,S108,W108)</f>
        <v>0</v>
      </c>
      <c r="Y108" s="143" t="s">
        <v>305</v>
      </c>
    </row>
    <row r="109" spans="1:27" ht="12.75" customHeight="1" x14ac:dyDescent="0.2">
      <c r="A109" s="143" t="s">
        <v>296</v>
      </c>
      <c r="F109" s="143" t="s">
        <v>306</v>
      </c>
      <c r="J109" s="147" t="s">
        <v>301</v>
      </c>
      <c r="K109" s="149">
        <f t="shared" si="7"/>
        <v>0</v>
      </c>
      <c r="L109" s="149">
        <f t="shared" si="8"/>
        <v>0</v>
      </c>
      <c r="M109" s="149">
        <f t="shared" si="9"/>
        <v>0</v>
      </c>
      <c r="N109" s="149"/>
      <c r="O109" s="149">
        <f t="shared" si="5"/>
        <v>0</v>
      </c>
      <c r="P109" s="216">
        <f t="shared" si="6"/>
        <v>0</v>
      </c>
      <c r="Q109" s="150">
        <f t="shared" si="10"/>
        <v>0</v>
      </c>
      <c r="S109" s="143">
        <f t="shared" si="11"/>
        <v>0</v>
      </c>
      <c r="X109" s="143">
        <f t="shared" si="12"/>
        <v>0</v>
      </c>
      <c r="Y109" s="143" t="s">
        <v>307</v>
      </c>
    </row>
    <row r="110" spans="1:27" ht="12.75" customHeight="1" x14ac:dyDescent="0.2">
      <c r="A110" s="143" t="s">
        <v>296</v>
      </c>
      <c r="F110" s="143" t="s">
        <v>308</v>
      </c>
      <c r="J110" s="147" t="s">
        <v>309</v>
      </c>
      <c r="K110" s="149">
        <f t="shared" si="7"/>
        <v>0</v>
      </c>
      <c r="L110" s="149">
        <f t="shared" si="8"/>
        <v>0</v>
      </c>
      <c r="M110" s="149">
        <f t="shared" si="9"/>
        <v>0</v>
      </c>
      <c r="N110" s="149"/>
      <c r="O110" s="149">
        <f t="shared" si="5"/>
        <v>0</v>
      </c>
      <c r="P110" s="216">
        <f t="shared" si="6"/>
        <v>0</v>
      </c>
      <c r="Q110" s="150">
        <f t="shared" si="10"/>
        <v>0</v>
      </c>
      <c r="S110" s="143">
        <f t="shared" si="11"/>
        <v>0</v>
      </c>
      <c r="X110" s="143">
        <f t="shared" si="12"/>
        <v>0</v>
      </c>
      <c r="Y110" s="143" t="s">
        <v>310</v>
      </c>
    </row>
    <row r="111" spans="1:27" ht="12.75" customHeight="1" x14ac:dyDescent="0.2">
      <c r="A111" s="143" t="s">
        <v>296</v>
      </c>
      <c r="F111" s="143" t="s">
        <v>311</v>
      </c>
      <c r="J111" s="147" t="s">
        <v>309</v>
      </c>
      <c r="K111" s="149">
        <f t="shared" si="7"/>
        <v>0</v>
      </c>
      <c r="L111" s="149">
        <f t="shared" si="8"/>
        <v>0</v>
      </c>
      <c r="M111" s="149">
        <f t="shared" si="9"/>
        <v>0</v>
      </c>
      <c r="N111" s="149"/>
      <c r="O111" s="149">
        <f t="shared" si="5"/>
        <v>0</v>
      </c>
      <c r="P111" s="216">
        <f t="shared" si="6"/>
        <v>0</v>
      </c>
      <c r="Q111" s="150">
        <f t="shared" si="10"/>
        <v>0</v>
      </c>
      <c r="S111" s="143">
        <f t="shared" si="11"/>
        <v>0</v>
      </c>
      <c r="X111" s="143">
        <f t="shared" si="12"/>
        <v>0</v>
      </c>
      <c r="Y111" s="143" t="s">
        <v>312</v>
      </c>
    </row>
    <row r="112" spans="1:27" ht="12.75" customHeight="1" x14ac:dyDescent="0.2">
      <c r="A112" s="143" t="s">
        <v>296</v>
      </c>
      <c r="F112" s="143" t="s">
        <v>313</v>
      </c>
      <c r="J112" s="147" t="s">
        <v>309</v>
      </c>
      <c r="K112" s="149">
        <f>R112*tax*markup*IF(Y112&lt;&gt;"",VLOOKUP(LEFT(Y112,2),cityindex,2,0),1)</f>
        <v>0</v>
      </c>
      <c r="L112" s="149">
        <f>S112*markup*difficulty*IF(Y112&lt;&gt;"",VLOOKUP(LEFT(Y112,2),cityindex,3,0),1)</f>
        <v>0</v>
      </c>
      <c r="M112" s="149">
        <f>W112*markup*difficulty*IF(Y112&lt;&gt;"",VLOOKUP(LEFT(Y112,2),cityindex,3,0),1)</f>
        <v>0</v>
      </c>
      <c r="N112" s="149"/>
      <c r="O112" s="149">
        <f>SUM(K112:N112)*embed</f>
        <v>0</v>
      </c>
      <c r="P112" s="216">
        <f>ROUND((O112*I112),0)</f>
        <v>0</v>
      </c>
      <c r="Q112" s="150">
        <f>IF(O112=0,0,IF(X112=0,"manual",(O112/(R112*tax*markup*IF(Y112&lt;&gt;"",VLOOKUP(LEFT(Y112,2),cityindex,2,0),1)+S112*markup*difficulty*IF(Y112&lt;&gt;"",VLOOKUP(LEFT(Y112,2),cityindex,3,0),1)+W112*markup*difficulty*IF(Y112&lt;&gt;"",VLOOKUP(LEFT(Y112,2),cityindex,3,0),1)))-1))</f>
        <v>0</v>
      </c>
      <c r="S112" s="143">
        <f>U112*V112</f>
        <v>0</v>
      </c>
      <c r="X112" s="143">
        <f>SUM(R112,S112,W112)</f>
        <v>0</v>
      </c>
      <c r="Y112" s="143" t="s">
        <v>314</v>
      </c>
    </row>
    <row r="113" spans="1:27" ht="12.75" customHeight="1" x14ac:dyDescent="0.2">
      <c r="A113" s="143" t="s">
        <v>296</v>
      </c>
      <c r="F113" s="143" t="s">
        <v>315</v>
      </c>
      <c r="J113" s="147" t="s">
        <v>309</v>
      </c>
      <c r="K113" s="149">
        <f>R113*tax*markup*IF(Y113&lt;&gt;"",VLOOKUP(LEFT(Y113,2),cityindex,2,0),1)</f>
        <v>0</v>
      </c>
      <c r="L113" s="149">
        <f>S113*markup*difficulty*IF(Y113&lt;&gt;"",VLOOKUP(LEFT(Y113,2),cityindex,3,0),1)</f>
        <v>0</v>
      </c>
      <c r="M113" s="149">
        <f>W113*markup*difficulty*IF(Y113&lt;&gt;"",VLOOKUP(LEFT(Y113,2),cityindex,3,0),1)</f>
        <v>0</v>
      </c>
      <c r="N113" s="149"/>
      <c r="O113" s="149">
        <f>SUM(K113:N113)*embed</f>
        <v>0</v>
      </c>
      <c r="P113" s="216">
        <f>ROUND((O113*I113),0)</f>
        <v>0</v>
      </c>
      <c r="Q113" s="150">
        <f>IF(O113=0,0,IF(X113=0,"manual",(O113/(R113*tax*markup*IF(Y113&lt;&gt;"",VLOOKUP(LEFT(Y113,2),cityindex,2,0),1)+S113*markup*difficulty*IF(Y113&lt;&gt;"",VLOOKUP(LEFT(Y113,2),cityindex,3,0),1)+W113*markup*difficulty*IF(Y113&lt;&gt;"",VLOOKUP(LEFT(Y113,2),cityindex,3,0),1)))-1))</f>
        <v>0</v>
      </c>
      <c r="S113" s="143">
        <f>U113*V113</f>
        <v>0</v>
      </c>
      <c r="X113" s="143">
        <f>SUM(R113,S113,W113)</f>
        <v>0</v>
      </c>
      <c r="Y113" s="143" t="s">
        <v>316</v>
      </c>
    </row>
    <row r="114" spans="1:27" ht="12.75" customHeight="1" x14ac:dyDescent="0.2">
      <c r="A114" s="143" t="s">
        <v>296</v>
      </c>
      <c r="F114" s="143" t="s">
        <v>317</v>
      </c>
      <c r="J114" s="147" t="s">
        <v>301</v>
      </c>
      <c r="K114" s="149">
        <f>R114*tax*markup*IF(Y114&lt;&gt;"",VLOOKUP(LEFT(Y114,2),cityindex,2,0),1)</f>
        <v>0</v>
      </c>
      <c r="L114" s="149">
        <f>S114*markup*difficulty*IF(Y114&lt;&gt;"",VLOOKUP(LEFT(Y114,2),cityindex,3,0),1)</f>
        <v>0</v>
      </c>
      <c r="M114" s="149">
        <f>W114*markup*difficulty*IF(Y114&lt;&gt;"",VLOOKUP(LEFT(Y114,2),cityindex,3,0),1)</f>
        <v>0</v>
      </c>
      <c r="N114" s="149"/>
      <c r="O114" s="149">
        <f>SUM(K114:N114)*embed</f>
        <v>0</v>
      </c>
      <c r="P114" s="216">
        <f>ROUND((O114*I114),0)</f>
        <v>0</v>
      </c>
      <c r="Q114" s="150">
        <f>IF(O114=0,0,IF(X114=0,"manual",(O114/(R114*tax*markup*IF(Y114&lt;&gt;"",VLOOKUP(LEFT(Y114,2),cityindex,2,0),1)+S114*markup*difficulty*IF(Y114&lt;&gt;"",VLOOKUP(LEFT(Y114,2),cityindex,3,0),1)+W114*markup*difficulty*IF(Y114&lt;&gt;"",VLOOKUP(LEFT(Y114,2),cityindex,3,0),1)))-1))</f>
        <v>0</v>
      </c>
      <c r="S114" s="143">
        <f>U114*V114</f>
        <v>0</v>
      </c>
      <c r="X114" s="143">
        <f>SUM(R114,S114,W114)</f>
        <v>0</v>
      </c>
      <c r="Y114" s="143" t="s">
        <v>318</v>
      </c>
    </row>
    <row r="115" spans="1:27" ht="12.75" customHeight="1" x14ac:dyDescent="0.2">
      <c r="A115" s="143" t="s">
        <v>296</v>
      </c>
      <c r="K115" s="149">
        <f t="shared" si="7"/>
        <v>0</v>
      </c>
      <c r="L115" s="149">
        <f t="shared" si="8"/>
        <v>0</v>
      </c>
      <c r="M115" s="149">
        <f t="shared" si="9"/>
        <v>0</v>
      </c>
      <c r="N115" s="149"/>
      <c r="O115" s="149">
        <f t="shared" si="5"/>
        <v>0</v>
      </c>
      <c r="P115" s="216">
        <f t="shared" si="6"/>
        <v>0</v>
      </c>
      <c r="Q115" s="150">
        <f t="shared" si="10"/>
        <v>0</v>
      </c>
      <c r="S115" s="143">
        <f t="shared" si="11"/>
        <v>0</v>
      </c>
      <c r="X115" s="143">
        <f t="shared" si="12"/>
        <v>0</v>
      </c>
      <c r="Z115" s="227"/>
    </row>
    <row r="116" spans="1:27" s="228" customFormat="1" ht="12.75" customHeight="1" x14ac:dyDescent="0.2">
      <c r="A116" s="228" t="s">
        <v>296</v>
      </c>
      <c r="B116" s="229"/>
      <c r="E116" s="228" t="s">
        <v>319</v>
      </c>
      <c r="I116" s="230"/>
      <c r="J116" s="231"/>
      <c r="K116" s="232">
        <f t="shared" ref="K116:K123" si="13">R116*tax*markup*IF(Y116&lt;&gt;"",VLOOKUP(LEFT(Y116,2),cityindex,2,0),1)</f>
        <v>0</v>
      </c>
      <c r="L116" s="232">
        <f t="shared" ref="L116:L123" si="14">S116*markup*difficulty*IF(Y116&lt;&gt;"",VLOOKUP(LEFT(Y116,2),cityindex,3,0),1)</f>
        <v>0</v>
      </c>
      <c r="M116" s="232">
        <f t="shared" ref="M116:M123" si="15">W116*markup*difficulty*IF(Y116&lt;&gt;"",VLOOKUP(LEFT(Y116,2),cityindex,3,0),1)</f>
        <v>0</v>
      </c>
      <c r="N116" s="232"/>
      <c r="O116" s="232">
        <f t="shared" ref="O116:O123" si="16">SUM(K116:N116)*embed</f>
        <v>0</v>
      </c>
      <c r="P116" s="233">
        <f t="shared" si="6"/>
        <v>0</v>
      </c>
      <c r="Q116" s="234">
        <f t="shared" ref="Q116:Q122" si="17">IF(O116=0,0,IF(X116=0,"manual",(O116/(R116*tax*markup*IF(Y116&lt;&gt;"",VLOOKUP(LEFT(Y116,2),cityindex,2,0),1)+S116*markup*difficulty*IF(Y116&lt;&gt;"",VLOOKUP(LEFT(Y116,2),cityindex,3,0),1)+W116*markup*difficulty*IF(Y116&lt;&gt;"",VLOOKUP(LEFT(Y116,2),cityindex,3,0),1)))-1))</f>
        <v>0</v>
      </c>
      <c r="S116" s="228">
        <f t="shared" si="11"/>
        <v>0</v>
      </c>
      <c r="X116" s="228">
        <f t="shared" si="12"/>
        <v>0</v>
      </c>
      <c r="Z116" s="235"/>
    </row>
    <row r="117" spans="1:27" ht="12.75" customHeight="1" x14ac:dyDescent="0.2">
      <c r="A117" s="143" t="s">
        <v>298</v>
      </c>
      <c r="F117" s="226" t="s">
        <v>320</v>
      </c>
      <c r="K117" s="149">
        <f t="shared" si="13"/>
        <v>0</v>
      </c>
      <c r="L117" s="149">
        <f t="shared" si="14"/>
        <v>0</v>
      </c>
      <c r="M117" s="149">
        <f t="shared" si="15"/>
        <v>0</v>
      </c>
      <c r="N117" s="149"/>
      <c r="O117" s="149">
        <f t="shared" si="16"/>
        <v>0</v>
      </c>
      <c r="P117" s="216">
        <f t="shared" si="6"/>
        <v>0</v>
      </c>
      <c r="Q117" s="150">
        <f t="shared" si="17"/>
        <v>0</v>
      </c>
      <c r="S117" s="143">
        <f t="shared" si="11"/>
        <v>0</v>
      </c>
      <c r="X117" s="143">
        <f t="shared" si="12"/>
        <v>0</v>
      </c>
    </row>
    <row r="118" spans="1:27" ht="12.75" customHeight="1" x14ac:dyDescent="0.2">
      <c r="A118" s="143" t="s">
        <v>296</v>
      </c>
      <c r="F118" s="143" t="s">
        <v>321</v>
      </c>
      <c r="J118" s="147" t="s">
        <v>301</v>
      </c>
      <c r="K118" s="149">
        <f t="shared" si="13"/>
        <v>0</v>
      </c>
      <c r="L118" s="149">
        <f t="shared" si="14"/>
        <v>0</v>
      </c>
      <c r="M118" s="149">
        <f t="shared" si="15"/>
        <v>0</v>
      </c>
      <c r="N118" s="149"/>
      <c r="O118" s="149">
        <f t="shared" si="16"/>
        <v>0</v>
      </c>
      <c r="P118" s="216">
        <f t="shared" si="6"/>
        <v>0</v>
      </c>
      <c r="Q118" s="150">
        <f t="shared" si="17"/>
        <v>0</v>
      </c>
      <c r="S118" s="143">
        <f t="shared" si="11"/>
        <v>0</v>
      </c>
      <c r="X118" s="143">
        <f t="shared" si="12"/>
        <v>0</v>
      </c>
      <c r="Y118" s="143" t="s">
        <v>322</v>
      </c>
    </row>
    <row r="119" spans="1:27" ht="12.75" customHeight="1" x14ac:dyDescent="0.2">
      <c r="A119" s="143" t="s">
        <v>296</v>
      </c>
      <c r="F119" s="143" t="s">
        <v>323</v>
      </c>
      <c r="J119" s="147" t="s">
        <v>301</v>
      </c>
      <c r="K119" s="149">
        <f t="shared" si="13"/>
        <v>0</v>
      </c>
      <c r="L119" s="149">
        <f t="shared" si="14"/>
        <v>0</v>
      </c>
      <c r="M119" s="149">
        <f t="shared" si="15"/>
        <v>0</v>
      </c>
      <c r="N119" s="149"/>
      <c r="O119" s="149">
        <f t="shared" si="16"/>
        <v>0</v>
      </c>
      <c r="P119" s="216">
        <f t="shared" si="6"/>
        <v>0</v>
      </c>
      <c r="Q119" s="150">
        <f t="shared" si="17"/>
        <v>0</v>
      </c>
      <c r="S119" s="143">
        <f t="shared" si="11"/>
        <v>0</v>
      </c>
      <c r="X119" s="143">
        <f t="shared" si="12"/>
        <v>0</v>
      </c>
      <c r="Y119" s="143" t="s">
        <v>324</v>
      </c>
    </row>
    <row r="120" spans="1:27" ht="12.75" customHeight="1" x14ac:dyDescent="0.2">
      <c r="A120" s="143" t="s">
        <v>298</v>
      </c>
      <c r="F120" s="226" t="s">
        <v>325</v>
      </c>
      <c r="K120" s="149">
        <f t="shared" si="13"/>
        <v>0</v>
      </c>
      <c r="L120" s="149">
        <f t="shared" si="14"/>
        <v>0</v>
      </c>
      <c r="M120" s="149">
        <f t="shared" si="15"/>
        <v>0</v>
      </c>
      <c r="N120" s="149"/>
      <c r="O120" s="149">
        <f t="shared" si="16"/>
        <v>0</v>
      </c>
      <c r="P120" s="216">
        <f t="shared" si="6"/>
        <v>0</v>
      </c>
      <c r="Q120" s="150">
        <f t="shared" si="17"/>
        <v>0</v>
      </c>
      <c r="S120" s="143">
        <f t="shared" si="11"/>
        <v>0</v>
      </c>
      <c r="X120" s="143">
        <f t="shared" si="12"/>
        <v>0</v>
      </c>
    </row>
    <row r="121" spans="1:27" ht="12.75" customHeight="1" x14ac:dyDescent="0.2">
      <c r="A121" s="143" t="s">
        <v>296</v>
      </c>
      <c r="F121" s="143" t="s">
        <v>326</v>
      </c>
      <c r="J121" s="147" t="s">
        <v>301</v>
      </c>
      <c r="K121" s="149">
        <f t="shared" si="13"/>
        <v>0</v>
      </c>
      <c r="L121" s="149">
        <f t="shared" si="14"/>
        <v>0</v>
      </c>
      <c r="M121" s="149">
        <f t="shared" si="15"/>
        <v>0</v>
      </c>
      <c r="N121" s="149"/>
      <c r="O121" s="149">
        <f t="shared" si="16"/>
        <v>0</v>
      </c>
      <c r="P121" s="216">
        <f t="shared" si="6"/>
        <v>0</v>
      </c>
      <c r="Q121" s="150">
        <f t="shared" si="17"/>
        <v>0</v>
      </c>
      <c r="S121" s="143">
        <f t="shared" si="11"/>
        <v>0</v>
      </c>
      <c r="X121" s="143">
        <f t="shared" si="12"/>
        <v>0</v>
      </c>
      <c r="Y121" s="143" t="s">
        <v>327</v>
      </c>
    </row>
    <row r="122" spans="1:27" ht="12.75" customHeight="1" x14ac:dyDescent="0.2">
      <c r="A122" s="143" t="s">
        <v>296</v>
      </c>
      <c r="F122" s="143" t="s">
        <v>328</v>
      </c>
      <c r="J122" s="147" t="s">
        <v>301</v>
      </c>
      <c r="K122" s="149">
        <f t="shared" si="13"/>
        <v>0</v>
      </c>
      <c r="L122" s="149">
        <f t="shared" si="14"/>
        <v>0</v>
      </c>
      <c r="M122" s="149">
        <f t="shared" si="15"/>
        <v>0</v>
      </c>
      <c r="N122" s="149"/>
      <c r="O122" s="149">
        <f t="shared" si="16"/>
        <v>0</v>
      </c>
      <c r="P122" s="216">
        <f t="shared" si="6"/>
        <v>0</v>
      </c>
      <c r="Q122" s="150">
        <f t="shared" si="17"/>
        <v>0</v>
      </c>
      <c r="S122" s="143">
        <f t="shared" si="11"/>
        <v>0</v>
      </c>
      <c r="X122" s="143">
        <f t="shared" si="12"/>
        <v>0</v>
      </c>
      <c r="Y122" s="143" t="s">
        <v>329</v>
      </c>
    </row>
    <row r="123" spans="1:27" x14ac:dyDescent="0.2">
      <c r="K123" s="149">
        <f t="shared" si="13"/>
        <v>0</v>
      </c>
      <c r="L123" s="149">
        <f t="shared" si="14"/>
        <v>0</v>
      </c>
      <c r="M123" s="149">
        <f t="shared" si="15"/>
        <v>0</v>
      </c>
      <c r="N123" s="149"/>
      <c r="O123" s="149">
        <f t="shared" si="16"/>
        <v>0</v>
      </c>
      <c r="P123" s="216">
        <f t="shared" si="6"/>
        <v>0</v>
      </c>
      <c r="Q123" s="150">
        <f>IF(O123=0,0,IF(X123=0,"manual",O123/((R123*tax*markup*IF(Y123&lt;&gt;"",VLOOKUP(LEFT(Y123,2),cityindex,2,0),1))+S123*markup*difficulty*IF(Y123&lt;&gt;"",VLOOKUP(LEFT(Y123,2),cityindex,3,0),1)+W123*markup*difficulty*IF(Y123&lt;&gt;"",VLOOKUP(LEFT(Y123,2),cityindex,3,0),1))))</f>
        <v>0</v>
      </c>
      <c r="S123" s="143">
        <f t="shared" si="3"/>
        <v>0</v>
      </c>
      <c r="X123" s="143">
        <f t="shared" si="4"/>
        <v>0</v>
      </c>
    </row>
    <row r="124" spans="1:27" ht="24.75" customHeight="1" x14ac:dyDescent="0.2">
      <c r="D124" s="217" t="str">
        <f>"TOTAL - " &amp; D103</f>
        <v>TOTAL - 02  EXISTING CONDITIONS</v>
      </c>
      <c r="E124" s="217"/>
      <c r="F124" s="217"/>
      <c r="G124" s="217"/>
      <c r="H124" s="217"/>
      <c r="I124" s="218"/>
      <c r="J124" s="219"/>
      <c r="K124" s="220"/>
      <c r="L124" s="220"/>
      <c r="M124" s="220"/>
      <c r="N124" s="220"/>
      <c r="O124" s="221"/>
      <c r="P124" s="222">
        <f>SUM(P103:P123)</f>
        <v>0</v>
      </c>
      <c r="Q124" s="223"/>
      <c r="S124" s="143">
        <f t="shared" si="3"/>
        <v>0</v>
      </c>
      <c r="X124" s="143">
        <f t="shared" si="4"/>
        <v>0</v>
      </c>
      <c r="Z124" s="224">
        <f>P124/GFA</f>
        <v>0</v>
      </c>
      <c r="AA124" s="225" t="s">
        <v>295</v>
      </c>
    </row>
    <row r="125" spans="1:27" x14ac:dyDescent="0.2">
      <c r="K125" s="149"/>
      <c r="L125" s="149"/>
      <c r="M125" s="149"/>
      <c r="N125" s="149"/>
      <c r="P125" s="216"/>
      <c r="Q125" s="150">
        <f>IF(O125=0,0,IF(X125=0,"manual",O125/((R125*tax*markup*IF(Y125&lt;&gt;"",VLOOKUP(LEFT(Y125,2),cityindex,2,0),1))+S125*markup*difficulty*IF(Y125&lt;&gt;"",VLOOKUP(LEFT(Y125,2),cityindex,3,0),1)+W125*markup*difficulty*IF(Y125&lt;&gt;"",VLOOKUP(LEFT(Y125,2),cityindex,3,0),1))))</f>
        <v>0</v>
      </c>
      <c r="S125" s="143">
        <f t="shared" si="3"/>
        <v>0</v>
      </c>
      <c r="X125" s="143">
        <f t="shared" si="4"/>
        <v>0</v>
      </c>
    </row>
    <row r="126" spans="1:27" x14ac:dyDescent="0.2">
      <c r="D126" s="214" t="s">
        <v>269</v>
      </c>
      <c r="E126" s="215"/>
      <c r="F126" s="215"/>
      <c r="G126" s="215"/>
      <c r="H126" s="215"/>
      <c r="K126" s="149"/>
      <c r="L126" s="149"/>
      <c r="M126" s="149"/>
      <c r="N126" s="149"/>
      <c r="P126" s="216"/>
      <c r="Q126" s="150">
        <f>IF(O126=0,0,IF(X126=0,"manual",O126/((R126*tax*markup*IF(Y126&lt;&gt;"",VLOOKUP(LEFT(Y126,2),cityindex,2,0),1))+S126*markup*difficulty*IF(Y126&lt;&gt;"",VLOOKUP(LEFT(Y126,2),cityindex,3,0),1)+W126*markup*difficulty*IF(Y126&lt;&gt;"",VLOOKUP(LEFT(Y126,2),cityindex,3,0),1))))</f>
        <v>0</v>
      </c>
      <c r="S126" s="143">
        <f t="shared" si="3"/>
        <v>0</v>
      </c>
      <c r="X126" s="143">
        <f t="shared" si="4"/>
        <v>0</v>
      </c>
    </row>
    <row r="127" spans="1:27" ht="12.75" customHeight="1" x14ac:dyDescent="0.2">
      <c r="A127" s="143" t="s">
        <v>330</v>
      </c>
      <c r="E127" s="143" t="s">
        <v>331</v>
      </c>
      <c r="K127" s="149">
        <f t="shared" ref="K127:K149" si="18">R127*tax*markup*IF(Y127&lt;&gt;"",VLOOKUP(LEFT(Y127,2),cityindex,2,0),1)</f>
        <v>0</v>
      </c>
      <c r="L127" s="149">
        <f t="shared" ref="L127:L149" si="19">S127*markup*difficulty*IF(Y127&lt;&gt;"",VLOOKUP(LEFT(Y127,2),cityindex,3,0),1)</f>
        <v>0</v>
      </c>
      <c r="M127" s="149">
        <f t="shared" ref="M127:M149" si="20">W127*markup*difficulty*IF(Y127&lt;&gt;"",VLOOKUP(LEFT(Y127,2),cityindex,3,0),1)</f>
        <v>0</v>
      </c>
      <c r="N127" s="149"/>
      <c r="O127" s="149">
        <f t="shared" ref="O127:O158" si="21">SUM(K127:N127)*embed</f>
        <v>0</v>
      </c>
      <c r="P127" s="216">
        <f t="shared" ref="P127:P190" si="22">ROUND((O127*I127),0)</f>
        <v>0</v>
      </c>
      <c r="Q127" s="150">
        <f t="shared" ref="Q127:Q149" si="23">IF(O127=0,0,IF(X127=0,"manual",(O127/(R127*tax*markup*IF(Y127&lt;&gt;"",VLOOKUP(LEFT(Y127,2),cityindex,2,0),1)+S127*markup*difficulty*IF(Y127&lt;&gt;"",VLOOKUP(LEFT(Y127,2),cityindex,3,0),1)+W127*markup*difficulty*IF(Y127&lt;&gt;"",VLOOKUP(LEFT(Y127,2),cityindex,3,0),1)))-1))</f>
        <v>0</v>
      </c>
      <c r="S127" s="143">
        <f t="shared" si="3"/>
        <v>0</v>
      </c>
      <c r="X127" s="143">
        <f t="shared" si="4"/>
        <v>0</v>
      </c>
    </row>
    <row r="128" spans="1:27" ht="12.75" customHeight="1" x14ac:dyDescent="0.2">
      <c r="A128" s="143" t="s">
        <v>330</v>
      </c>
      <c r="F128" s="143" t="s">
        <v>332</v>
      </c>
      <c r="J128" s="147" t="s">
        <v>333</v>
      </c>
      <c r="K128" s="149">
        <f t="shared" si="18"/>
        <v>0</v>
      </c>
      <c r="L128" s="149">
        <f t="shared" si="19"/>
        <v>0</v>
      </c>
      <c r="M128" s="149">
        <f t="shared" si="20"/>
        <v>0</v>
      </c>
      <c r="N128" s="149"/>
      <c r="O128" s="149">
        <f t="shared" si="21"/>
        <v>0</v>
      </c>
      <c r="P128" s="216">
        <f t="shared" si="22"/>
        <v>0</v>
      </c>
      <c r="Q128" s="150">
        <f t="shared" si="23"/>
        <v>0</v>
      </c>
      <c r="S128" s="143">
        <f t="shared" si="3"/>
        <v>0</v>
      </c>
      <c r="X128" s="143">
        <f t="shared" si="4"/>
        <v>0</v>
      </c>
      <c r="Y128" s="143" t="s">
        <v>334</v>
      </c>
    </row>
    <row r="129" spans="1:25" ht="12.75" customHeight="1" x14ac:dyDescent="0.2">
      <c r="A129" s="143" t="s">
        <v>330</v>
      </c>
      <c r="F129" s="143" t="s">
        <v>335</v>
      </c>
      <c r="J129" s="147" t="s">
        <v>301</v>
      </c>
      <c r="K129" s="149">
        <f t="shared" si="18"/>
        <v>0</v>
      </c>
      <c r="L129" s="149">
        <f t="shared" si="19"/>
        <v>0</v>
      </c>
      <c r="M129" s="149">
        <f t="shared" si="20"/>
        <v>0</v>
      </c>
      <c r="N129" s="149"/>
      <c r="O129" s="149">
        <f t="shared" si="21"/>
        <v>0</v>
      </c>
      <c r="P129" s="216">
        <f t="shared" si="22"/>
        <v>0</v>
      </c>
      <c r="Q129" s="150">
        <f t="shared" si="23"/>
        <v>0</v>
      </c>
      <c r="S129" s="143">
        <f t="shared" si="3"/>
        <v>0</v>
      </c>
      <c r="X129" s="143">
        <f t="shared" si="4"/>
        <v>0</v>
      </c>
      <c r="Y129" s="143" t="s">
        <v>336</v>
      </c>
    </row>
    <row r="130" spans="1:25" ht="12.75" customHeight="1" x14ac:dyDescent="0.2">
      <c r="A130" s="143" t="s">
        <v>330</v>
      </c>
      <c r="F130" s="143" t="s">
        <v>337</v>
      </c>
      <c r="J130" s="147" t="s">
        <v>338</v>
      </c>
      <c r="K130" s="149">
        <f t="shared" si="18"/>
        <v>0</v>
      </c>
      <c r="L130" s="149">
        <f t="shared" si="19"/>
        <v>0</v>
      </c>
      <c r="M130" s="149">
        <f t="shared" si="20"/>
        <v>0</v>
      </c>
      <c r="N130" s="149"/>
      <c r="O130" s="149">
        <f t="shared" si="21"/>
        <v>0</v>
      </c>
      <c r="P130" s="216">
        <f t="shared" si="22"/>
        <v>0</v>
      </c>
      <c r="Q130" s="150">
        <f t="shared" si="23"/>
        <v>0</v>
      </c>
      <c r="S130" s="143">
        <f t="shared" si="3"/>
        <v>0</v>
      </c>
      <c r="X130" s="143">
        <f t="shared" si="4"/>
        <v>0</v>
      </c>
      <c r="Y130" s="143" t="s">
        <v>339</v>
      </c>
    </row>
    <row r="131" spans="1:25" ht="12.75" customHeight="1" x14ac:dyDescent="0.2">
      <c r="A131" s="143" t="s">
        <v>330</v>
      </c>
      <c r="F131" s="143" t="s">
        <v>340</v>
      </c>
      <c r="J131" s="147" t="s">
        <v>333</v>
      </c>
      <c r="K131" s="149">
        <f t="shared" si="18"/>
        <v>0</v>
      </c>
      <c r="L131" s="149">
        <f t="shared" si="19"/>
        <v>0</v>
      </c>
      <c r="M131" s="149">
        <f t="shared" si="20"/>
        <v>0</v>
      </c>
      <c r="N131" s="149"/>
      <c r="O131" s="149">
        <f t="shared" si="21"/>
        <v>0</v>
      </c>
      <c r="P131" s="216">
        <f t="shared" si="22"/>
        <v>0</v>
      </c>
      <c r="Q131" s="150">
        <f t="shared" si="23"/>
        <v>0</v>
      </c>
      <c r="S131" s="143">
        <f t="shared" si="3"/>
        <v>0</v>
      </c>
      <c r="X131" s="143">
        <f t="shared" si="4"/>
        <v>0</v>
      </c>
      <c r="Y131" s="143" t="s">
        <v>341</v>
      </c>
    </row>
    <row r="132" spans="1:25" ht="12.75" customHeight="1" x14ac:dyDescent="0.2">
      <c r="A132" s="143" t="s">
        <v>330</v>
      </c>
      <c r="F132" s="143" t="s">
        <v>342</v>
      </c>
      <c r="J132" s="147" t="s">
        <v>333</v>
      </c>
      <c r="K132" s="149">
        <f t="shared" si="18"/>
        <v>0</v>
      </c>
      <c r="L132" s="149">
        <f t="shared" si="19"/>
        <v>0</v>
      </c>
      <c r="M132" s="149">
        <f t="shared" si="20"/>
        <v>0</v>
      </c>
      <c r="N132" s="149"/>
      <c r="O132" s="149">
        <f t="shared" si="21"/>
        <v>0</v>
      </c>
      <c r="P132" s="216">
        <f t="shared" si="22"/>
        <v>0</v>
      </c>
      <c r="Q132" s="150">
        <f t="shared" si="23"/>
        <v>0</v>
      </c>
      <c r="S132" s="143">
        <f t="shared" si="3"/>
        <v>0</v>
      </c>
      <c r="X132" s="143">
        <f t="shared" si="4"/>
        <v>0</v>
      </c>
      <c r="Y132" s="143" t="s">
        <v>343</v>
      </c>
    </row>
    <row r="133" spans="1:25" ht="12.75" customHeight="1" x14ac:dyDescent="0.2">
      <c r="A133" s="143" t="s">
        <v>330</v>
      </c>
      <c r="F133" s="143" t="s">
        <v>344</v>
      </c>
      <c r="J133" s="147" t="s">
        <v>333</v>
      </c>
      <c r="K133" s="149">
        <f t="shared" si="18"/>
        <v>0</v>
      </c>
      <c r="L133" s="149">
        <f t="shared" si="19"/>
        <v>0</v>
      </c>
      <c r="M133" s="149">
        <f t="shared" si="20"/>
        <v>0</v>
      </c>
      <c r="N133" s="149"/>
      <c r="O133" s="149">
        <f t="shared" si="21"/>
        <v>0</v>
      </c>
      <c r="P133" s="216">
        <f t="shared" si="22"/>
        <v>0</v>
      </c>
      <c r="Q133" s="150">
        <f t="shared" si="23"/>
        <v>0</v>
      </c>
      <c r="S133" s="143">
        <f t="shared" si="3"/>
        <v>0</v>
      </c>
      <c r="X133" s="143">
        <f t="shared" si="4"/>
        <v>0</v>
      </c>
      <c r="Y133" s="143" t="s">
        <v>345</v>
      </c>
    </row>
    <row r="134" spans="1:25" ht="12.75" customHeight="1" x14ac:dyDescent="0.2">
      <c r="A134" s="143" t="s">
        <v>330</v>
      </c>
      <c r="K134" s="149">
        <f t="shared" si="18"/>
        <v>0</v>
      </c>
      <c r="L134" s="149">
        <f t="shared" si="19"/>
        <v>0</v>
      </c>
      <c r="M134" s="149">
        <f t="shared" si="20"/>
        <v>0</v>
      </c>
      <c r="N134" s="149"/>
      <c r="O134" s="149">
        <f t="shared" si="21"/>
        <v>0</v>
      </c>
      <c r="P134" s="216">
        <f t="shared" si="22"/>
        <v>0</v>
      </c>
      <c r="Q134" s="150">
        <f t="shared" si="23"/>
        <v>0</v>
      </c>
      <c r="S134" s="143">
        <f t="shared" si="3"/>
        <v>0</v>
      </c>
      <c r="X134" s="143">
        <f t="shared" si="4"/>
        <v>0</v>
      </c>
    </row>
    <row r="135" spans="1:25" ht="12.75" customHeight="1" x14ac:dyDescent="0.2">
      <c r="A135" s="143" t="s">
        <v>330</v>
      </c>
      <c r="E135" s="143" t="s">
        <v>346</v>
      </c>
      <c r="K135" s="149">
        <f t="shared" si="18"/>
        <v>0</v>
      </c>
      <c r="L135" s="149">
        <f t="shared" si="19"/>
        <v>0</v>
      </c>
      <c r="M135" s="149">
        <f t="shared" si="20"/>
        <v>0</v>
      </c>
      <c r="N135" s="149"/>
      <c r="O135" s="149">
        <f t="shared" si="21"/>
        <v>0</v>
      </c>
      <c r="P135" s="216">
        <f t="shared" si="22"/>
        <v>0</v>
      </c>
      <c r="Q135" s="150">
        <f t="shared" si="23"/>
        <v>0</v>
      </c>
      <c r="S135" s="143">
        <f t="shared" si="3"/>
        <v>0</v>
      </c>
      <c r="X135" s="143">
        <f t="shared" si="4"/>
        <v>0</v>
      </c>
    </row>
    <row r="136" spans="1:25" ht="12.75" customHeight="1" x14ac:dyDescent="0.2">
      <c r="A136" s="143" t="s">
        <v>330</v>
      </c>
      <c r="F136" s="143" t="s">
        <v>332</v>
      </c>
      <c r="J136" s="147" t="s">
        <v>333</v>
      </c>
      <c r="K136" s="149">
        <f t="shared" si="18"/>
        <v>0</v>
      </c>
      <c r="L136" s="149">
        <f t="shared" si="19"/>
        <v>0</v>
      </c>
      <c r="M136" s="149">
        <f t="shared" si="20"/>
        <v>0</v>
      </c>
      <c r="N136" s="149"/>
      <c r="O136" s="149">
        <f t="shared" si="21"/>
        <v>0</v>
      </c>
      <c r="P136" s="216">
        <f t="shared" si="22"/>
        <v>0</v>
      </c>
      <c r="Q136" s="150">
        <f t="shared" si="23"/>
        <v>0</v>
      </c>
      <c r="S136" s="143">
        <f t="shared" si="3"/>
        <v>0</v>
      </c>
      <c r="X136" s="143">
        <f t="shared" si="4"/>
        <v>0</v>
      </c>
      <c r="Y136" s="143" t="s">
        <v>334</v>
      </c>
    </row>
    <row r="137" spans="1:25" ht="12.75" customHeight="1" x14ac:dyDescent="0.2">
      <c r="A137" s="143" t="s">
        <v>330</v>
      </c>
      <c r="F137" s="143" t="s">
        <v>335</v>
      </c>
      <c r="J137" s="147" t="s">
        <v>301</v>
      </c>
      <c r="K137" s="149">
        <f t="shared" si="18"/>
        <v>0</v>
      </c>
      <c r="L137" s="149">
        <f t="shared" si="19"/>
        <v>0</v>
      </c>
      <c r="M137" s="149">
        <f t="shared" si="20"/>
        <v>0</v>
      </c>
      <c r="N137" s="149"/>
      <c r="O137" s="149">
        <f t="shared" si="21"/>
        <v>0</v>
      </c>
      <c r="P137" s="216">
        <f t="shared" si="22"/>
        <v>0</v>
      </c>
      <c r="Q137" s="150">
        <f t="shared" si="23"/>
        <v>0</v>
      </c>
      <c r="S137" s="143">
        <f t="shared" si="3"/>
        <v>0</v>
      </c>
      <c r="X137" s="143">
        <f t="shared" si="4"/>
        <v>0</v>
      </c>
      <c r="Y137" s="143" t="s">
        <v>336</v>
      </c>
    </row>
    <row r="138" spans="1:25" ht="12.75" customHeight="1" x14ac:dyDescent="0.2">
      <c r="A138" s="143" t="s">
        <v>330</v>
      </c>
      <c r="F138" s="143" t="s">
        <v>337</v>
      </c>
      <c r="J138" s="147" t="s">
        <v>338</v>
      </c>
      <c r="K138" s="149">
        <f t="shared" si="18"/>
        <v>0</v>
      </c>
      <c r="L138" s="149">
        <f t="shared" si="19"/>
        <v>0</v>
      </c>
      <c r="M138" s="149">
        <f t="shared" si="20"/>
        <v>0</v>
      </c>
      <c r="N138" s="149"/>
      <c r="O138" s="149">
        <f t="shared" si="21"/>
        <v>0</v>
      </c>
      <c r="P138" s="216">
        <f t="shared" si="22"/>
        <v>0</v>
      </c>
      <c r="Q138" s="150">
        <f t="shared" si="23"/>
        <v>0</v>
      </c>
      <c r="S138" s="143">
        <f t="shared" si="3"/>
        <v>0</v>
      </c>
      <c r="X138" s="143">
        <f t="shared" si="4"/>
        <v>0</v>
      </c>
      <c r="Y138" s="143" t="s">
        <v>339</v>
      </c>
    </row>
    <row r="139" spans="1:25" ht="12.75" customHeight="1" x14ac:dyDescent="0.2">
      <c r="A139" s="143" t="s">
        <v>330</v>
      </c>
      <c r="F139" s="143" t="s">
        <v>340</v>
      </c>
      <c r="J139" s="147" t="s">
        <v>333</v>
      </c>
      <c r="K139" s="149">
        <f t="shared" si="18"/>
        <v>0</v>
      </c>
      <c r="L139" s="149">
        <f t="shared" si="19"/>
        <v>0</v>
      </c>
      <c r="M139" s="149">
        <f t="shared" si="20"/>
        <v>0</v>
      </c>
      <c r="N139" s="149"/>
      <c r="O139" s="149">
        <f t="shared" si="21"/>
        <v>0</v>
      </c>
      <c r="P139" s="216">
        <f t="shared" si="22"/>
        <v>0</v>
      </c>
      <c r="Q139" s="150">
        <f t="shared" si="23"/>
        <v>0</v>
      </c>
      <c r="S139" s="143">
        <f t="shared" si="3"/>
        <v>0</v>
      </c>
      <c r="X139" s="143">
        <f t="shared" si="4"/>
        <v>0</v>
      </c>
      <c r="Y139" s="143" t="s">
        <v>347</v>
      </c>
    </row>
    <row r="140" spans="1:25" ht="12.75" customHeight="1" x14ac:dyDescent="0.2">
      <c r="A140" s="143" t="s">
        <v>330</v>
      </c>
      <c r="F140" s="143" t="s">
        <v>342</v>
      </c>
      <c r="J140" s="147" t="s">
        <v>333</v>
      </c>
      <c r="K140" s="149">
        <f t="shared" si="18"/>
        <v>0</v>
      </c>
      <c r="L140" s="149">
        <f t="shared" si="19"/>
        <v>0</v>
      </c>
      <c r="M140" s="149">
        <f t="shared" si="20"/>
        <v>0</v>
      </c>
      <c r="N140" s="149"/>
      <c r="O140" s="149">
        <f t="shared" si="21"/>
        <v>0</v>
      </c>
      <c r="P140" s="216">
        <f t="shared" si="22"/>
        <v>0</v>
      </c>
      <c r="Q140" s="150">
        <f t="shared" si="23"/>
        <v>0</v>
      </c>
      <c r="S140" s="143">
        <f t="shared" si="3"/>
        <v>0</v>
      </c>
      <c r="X140" s="143">
        <f t="shared" si="4"/>
        <v>0</v>
      </c>
      <c r="Y140" s="143" t="s">
        <v>343</v>
      </c>
    </row>
    <row r="141" spans="1:25" ht="12.75" customHeight="1" x14ac:dyDescent="0.2">
      <c r="A141" s="143" t="s">
        <v>330</v>
      </c>
      <c r="F141" s="143" t="s">
        <v>344</v>
      </c>
      <c r="J141" s="147" t="s">
        <v>333</v>
      </c>
      <c r="K141" s="149">
        <f t="shared" si="18"/>
        <v>0</v>
      </c>
      <c r="L141" s="149">
        <f t="shared" si="19"/>
        <v>0</v>
      </c>
      <c r="M141" s="149">
        <f t="shared" si="20"/>
        <v>0</v>
      </c>
      <c r="N141" s="149"/>
      <c r="O141" s="149">
        <f t="shared" si="21"/>
        <v>0</v>
      </c>
      <c r="P141" s="216">
        <f t="shared" si="22"/>
        <v>0</v>
      </c>
      <c r="Q141" s="150">
        <f t="shared" si="23"/>
        <v>0</v>
      </c>
      <c r="S141" s="143">
        <f t="shared" si="3"/>
        <v>0</v>
      </c>
      <c r="X141" s="143">
        <f t="shared" si="4"/>
        <v>0</v>
      </c>
      <c r="Y141" s="143" t="s">
        <v>345</v>
      </c>
    </row>
    <row r="142" spans="1:25" ht="12.75" customHeight="1" x14ac:dyDescent="0.2">
      <c r="A142" s="143" t="s">
        <v>330</v>
      </c>
      <c r="K142" s="149">
        <f t="shared" si="18"/>
        <v>0</v>
      </c>
      <c r="L142" s="149">
        <f t="shared" si="19"/>
        <v>0</v>
      </c>
      <c r="M142" s="149">
        <f t="shared" si="20"/>
        <v>0</v>
      </c>
      <c r="N142" s="149"/>
      <c r="O142" s="149">
        <f t="shared" si="21"/>
        <v>0</v>
      </c>
      <c r="P142" s="216">
        <f t="shared" si="22"/>
        <v>0</v>
      </c>
      <c r="Q142" s="150">
        <f t="shared" si="23"/>
        <v>0</v>
      </c>
      <c r="S142" s="143">
        <f t="shared" si="3"/>
        <v>0</v>
      </c>
      <c r="X142" s="143">
        <f t="shared" si="4"/>
        <v>0</v>
      </c>
    </row>
    <row r="143" spans="1:25" ht="12.75" customHeight="1" x14ac:dyDescent="0.2">
      <c r="A143" s="143" t="s">
        <v>330</v>
      </c>
      <c r="E143" s="143" t="s">
        <v>348</v>
      </c>
      <c r="K143" s="149">
        <f t="shared" si="18"/>
        <v>0</v>
      </c>
      <c r="L143" s="149">
        <f t="shared" si="19"/>
        <v>0</v>
      </c>
      <c r="M143" s="149">
        <f t="shared" si="20"/>
        <v>0</v>
      </c>
      <c r="N143" s="149"/>
      <c r="O143" s="149">
        <f t="shared" si="21"/>
        <v>0</v>
      </c>
      <c r="P143" s="216">
        <f t="shared" si="22"/>
        <v>0</v>
      </c>
      <c r="Q143" s="150">
        <f t="shared" si="23"/>
        <v>0</v>
      </c>
      <c r="S143" s="143">
        <f t="shared" si="3"/>
        <v>0</v>
      </c>
      <c r="X143" s="143">
        <f t="shared" si="4"/>
        <v>0</v>
      </c>
    </row>
    <row r="144" spans="1:25" ht="12.75" customHeight="1" x14ac:dyDescent="0.2">
      <c r="A144" s="143" t="s">
        <v>330</v>
      </c>
      <c r="F144" s="143" t="s">
        <v>332</v>
      </c>
      <c r="J144" s="147" t="s">
        <v>333</v>
      </c>
      <c r="K144" s="149">
        <f t="shared" si="18"/>
        <v>0</v>
      </c>
      <c r="L144" s="149">
        <f t="shared" si="19"/>
        <v>0</v>
      </c>
      <c r="M144" s="149">
        <f t="shared" si="20"/>
        <v>0</v>
      </c>
      <c r="N144" s="149"/>
      <c r="O144" s="149">
        <f t="shared" si="21"/>
        <v>0</v>
      </c>
      <c r="P144" s="216">
        <f t="shared" si="22"/>
        <v>0</v>
      </c>
      <c r="Q144" s="150">
        <f t="shared" si="23"/>
        <v>0</v>
      </c>
      <c r="S144" s="143">
        <f t="shared" si="3"/>
        <v>0</v>
      </c>
      <c r="X144" s="143">
        <f t="shared" si="4"/>
        <v>0</v>
      </c>
      <c r="Y144" s="143" t="s">
        <v>334</v>
      </c>
    </row>
    <row r="145" spans="1:25" ht="12.75" customHeight="1" x14ac:dyDescent="0.2">
      <c r="A145" s="143" t="s">
        <v>330</v>
      </c>
      <c r="F145" s="143" t="s">
        <v>335</v>
      </c>
      <c r="J145" s="147" t="s">
        <v>301</v>
      </c>
      <c r="K145" s="149">
        <f t="shared" si="18"/>
        <v>0</v>
      </c>
      <c r="L145" s="149">
        <f t="shared" si="19"/>
        <v>0</v>
      </c>
      <c r="M145" s="149">
        <f t="shared" si="20"/>
        <v>0</v>
      </c>
      <c r="N145" s="149"/>
      <c r="O145" s="149">
        <f t="shared" si="21"/>
        <v>0</v>
      </c>
      <c r="P145" s="216">
        <f t="shared" si="22"/>
        <v>0</v>
      </c>
      <c r="Q145" s="150">
        <f t="shared" si="23"/>
        <v>0</v>
      </c>
      <c r="S145" s="143">
        <f t="shared" si="3"/>
        <v>0</v>
      </c>
      <c r="X145" s="143">
        <f t="shared" si="4"/>
        <v>0</v>
      </c>
      <c r="Y145" s="143" t="s">
        <v>336</v>
      </c>
    </row>
    <row r="146" spans="1:25" ht="12.75" customHeight="1" x14ac:dyDescent="0.2">
      <c r="A146" s="143" t="s">
        <v>330</v>
      </c>
      <c r="F146" s="143" t="s">
        <v>337</v>
      </c>
      <c r="J146" s="147" t="s">
        <v>338</v>
      </c>
      <c r="K146" s="149">
        <f t="shared" si="18"/>
        <v>0</v>
      </c>
      <c r="L146" s="149">
        <f t="shared" si="19"/>
        <v>0</v>
      </c>
      <c r="M146" s="149">
        <f t="shared" si="20"/>
        <v>0</v>
      </c>
      <c r="N146" s="149"/>
      <c r="O146" s="149">
        <f t="shared" si="21"/>
        <v>0</v>
      </c>
      <c r="P146" s="216">
        <f t="shared" si="22"/>
        <v>0</v>
      </c>
      <c r="Q146" s="150">
        <f t="shared" si="23"/>
        <v>0</v>
      </c>
      <c r="S146" s="143">
        <f t="shared" si="3"/>
        <v>0</v>
      </c>
      <c r="X146" s="143">
        <f t="shared" si="4"/>
        <v>0</v>
      </c>
      <c r="Y146" s="143" t="s">
        <v>339</v>
      </c>
    </row>
    <row r="147" spans="1:25" ht="12.75" customHeight="1" x14ac:dyDescent="0.2">
      <c r="A147" s="143" t="s">
        <v>330</v>
      </c>
      <c r="F147" s="143" t="s">
        <v>340</v>
      </c>
      <c r="J147" s="147" t="s">
        <v>333</v>
      </c>
      <c r="K147" s="149">
        <f t="shared" si="18"/>
        <v>0</v>
      </c>
      <c r="L147" s="149">
        <f t="shared" si="19"/>
        <v>0</v>
      </c>
      <c r="M147" s="149">
        <f t="shared" si="20"/>
        <v>0</v>
      </c>
      <c r="N147" s="149"/>
      <c r="O147" s="149">
        <f t="shared" si="21"/>
        <v>0</v>
      </c>
      <c r="P147" s="216">
        <f t="shared" si="22"/>
        <v>0</v>
      </c>
      <c r="Q147" s="150">
        <f t="shared" si="23"/>
        <v>0</v>
      </c>
      <c r="S147" s="143">
        <f t="shared" si="3"/>
        <v>0</v>
      </c>
      <c r="X147" s="143">
        <f t="shared" si="4"/>
        <v>0</v>
      </c>
      <c r="Y147" s="143" t="s">
        <v>347</v>
      </c>
    </row>
    <row r="148" spans="1:25" ht="12.75" customHeight="1" x14ac:dyDescent="0.2">
      <c r="A148" s="143" t="s">
        <v>330</v>
      </c>
      <c r="F148" s="143" t="s">
        <v>342</v>
      </c>
      <c r="J148" s="147" t="s">
        <v>333</v>
      </c>
      <c r="K148" s="149">
        <f t="shared" si="18"/>
        <v>0</v>
      </c>
      <c r="L148" s="149">
        <f t="shared" si="19"/>
        <v>0</v>
      </c>
      <c r="M148" s="149">
        <f t="shared" si="20"/>
        <v>0</v>
      </c>
      <c r="N148" s="149"/>
      <c r="O148" s="149">
        <f t="shared" si="21"/>
        <v>0</v>
      </c>
      <c r="P148" s="216">
        <f t="shared" si="22"/>
        <v>0</v>
      </c>
      <c r="Q148" s="150">
        <f t="shared" si="23"/>
        <v>0</v>
      </c>
      <c r="S148" s="143">
        <f t="shared" si="3"/>
        <v>0</v>
      </c>
      <c r="X148" s="143">
        <f t="shared" si="4"/>
        <v>0</v>
      </c>
      <c r="Y148" s="143" t="s">
        <v>343</v>
      </c>
    </row>
    <row r="149" spans="1:25" ht="12.75" customHeight="1" x14ac:dyDescent="0.2">
      <c r="A149" s="143" t="s">
        <v>330</v>
      </c>
      <c r="F149" s="143" t="s">
        <v>344</v>
      </c>
      <c r="J149" s="147" t="s">
        <v>333</v>
      </c>
      <c r="K149" s="149">
        <f t="shared" si="18"/>
        <v>0</v>
      </c>
      <c r="L149" s="149">
        <f t="shared" si="19"/>
        <v>0</v>
      </c>
      <c r="M149" s="149">
        <f t="shared" si="20"/>
        <v>0</v>
      </c>
      <c r="N149" s="149"/>
      <c r="O149" s="149">
        <f t="shared" si="21"/>
        <v>0</v>
      </c>
      <c r="P149" s="216">
        <f t="shared" si="22"/>
        <v>0</v>
      </c>
      <c r="Q149" s="150">
        <f t="shared" si="23"/>
        <v>0</v>
      </c>
      <c r="S149" s="143">
        <f t="shared" si="3"/>
        <v>0</v>
      </c>
      <c r="X149" s="143">
        <f t="shared" si="4"/>
        <v>0</v>
      </c>
      <c r="Y149" s="143" t="s">
        <v>345</v>
      </c>
    </row>
    <row r="150" spans="1:25" x14ac:dyDescent="0.2">
      <c r="A150" s="143" t="s">
        <v>330</v>
      </c>
      <c r="K150" s="149">
        <f t="shared" ref="K150:K162" si="24">R150*tax*markup*IF(Y150&lt;&gt;"",VLOOKUP(LEFT(Y150,2),cityindex,2,0),1)</f>
        <v>0</v>
      </c>
      <c r="L150" s="149">
        <f t="shared" ref="L150:L162" si="25">S150*markup*difficulty*IF(Y150&lt;&gt;"",VLOOKUP(LEFT(Y150,2),cityindex,3,0),1)</f>
        <v>0</v>
      </c>
      <c r="M150" s="149">
        <f t="shared" ref="M150:M162" si="26">W150*markup*difficulty*IF(Y150&lt;&gt;"",VLOOKUP(LEFT(Y150,2),cityindex,3,0),1)</f>
        <v>0</v>
      </c>
      <c r="N150" s="149"/>
      <c r="O150" s="149">
        <f t="shared" si="21"/>
        <v>0</v>
      </c>
      <c r="P150" s="216">
        <f t="shared" si="22"/>
        <v>0</v>
      </c>
      <c r="Q150" s="150">
        <f>IF(O150=0,0,IF(X150=0,"manual",O150/((R150*tax*markup*IF(Y150&lt;&gt;"",VLOOKUP(LEFT(Y150,2),cityindex,2,0),1))+S150*markup*difficulty*IF(Y150&lt;&gt;"",VLOOKUP(LEFT(Y150,2),cityindex,3,0),1)+W150*markup*difficulty*IF(Y150&lt;&gt;"",VLOOKUP(LEFT(Y150,2),cityindex,3,0),1))))</f>
        <v>0</v>
      </c>
      <c r="S150" s="143">
        <f t="shared" si="3"/>
        <v>0</v>
      </c>
      <c r="X150" s="143">
        <f t="shared" si="4"/>
        <v>0</v>
      </c>
    </row>
    <row r="151" spans="1:25" ht="12.75" customHeight="1" x14ac:dyDescent="0.2">
      <c r="A151" s="143" t="s">
        <v>330</v>
      </c>
      <c r="E151" s="143" t="s">
        <v>349</v>
      </c>
      <c r="K151" s="149">
        <f t="shared" si="24"/>
        <v>0</v>
      </c>
      <c r="L151" s="149">
        <f t="shared" si="25"/>
        <v>0</v>
      </c>
      <c r="M151" s="149">
        <f t="shared" si="26"/>
        <v>0</v>
      </c>
      <c r="N151" s="149"/>
      <c r="O151" s="149">
        <f t="shared" si="21"/>
        <v>0</v>
      </c>
      <c r="P151" s="216">
        <f t="shared" si="22"/>
        <v>0</v>
      </c>
      <c r="Q151" s="150">
        <f t="shared" ref="Q151:Q157" si="27">IF(O151=0,0,IF(X151=0,"manual",(O151/(R151*tax*markup*IF(Y151&lt;&gt;"",VLOOKUP(LEFT(Y151,2),cityindex,2,0),1)+S151*markup*difficulty*IF(Y151&lt;&gt;"",VLOOKUP(LEFT(Y151,2),cityindex,3,0),1)+W151*markup*difficulty*IF(Y151&lt;&gt;"",VLOOKUP(LEFT(Y151,2),cityindex,3,0),1)))-1))</f>
        <v>0</v>
      </c>
      <c r="S151" s="143">
        <f t="shared" si="3"/>
        <v>0</v>
      </c>
      <c r="X151" s="143">
        <f t="shared" si="4"/>
        <v>0</v>
      </c>
    </row>
    <row r="152" spans="1:25" ht="12.75" customHeight="1" x14ac:dyDescent="0.2">
      <c r="A152" s="143" t="s">
        <v>330</v>
      </c>
      <c r="F152" s="143" t="s">
        <v>332</v>
      </c>
      <c r="J152" s="147" t="s">
        <v>333</v>
      </c>
      <c r="K152" s="149">
        <f t="shared" si="24"/>
        <v>0</v>
      </c>
      <c r="L152" s="149">
        <f t="shared" si="25"/>
        <v>0</v>
      </c>
      <c r="M152" s="149">
        <f t="shared" si="26"/>
        <v>0</v>
      </c>
      <c r="N152" s="149"/>
      <c r="O152" s="149">
        <f t="shared" si="21"/>
        <v>0</v>
      </c>
      <c r="P152" s="216">
        <f t="shared" si="22"/>
        <v>0</v>
      </c>
      <c r="Q152" s="150">
        <f t="shared" si="27"/>
        <v>0</v>
      </c>
      <c r="S152" s="143">
        <f t="shared" si="3"/>
        <v>0</v>
      </c>
      <c r="X152" s="143">
        <f t="shared" si="4"/>
        <v>0</v>
      </c>
      <c r="Y152" s="143" t="s">
        <v>334</v>
      </c>
    </row>
    <row r="153" spans="1:25" ht="12.75" customHeight="1" x14ac:dyDescent="0.2">
      <c r="A153" s="143" t="s">
        <v>330</v>
      </c>
      <c r="F153" s="143" t="s">
        <v>335</v>
      </c>
      <c r="J153" s="147" t="s">
        <v>301</v>
      </c>
      <c r="K153" s="149">
        <f t="shared" si="24"/>
        <v>0</v>
      </c>
      <c r="L153" s="149">
        <f t="shared" si="25"/>
        <v>0</v>
      </c>
      <c r="M153" s="149">
        <f t="shared" si="26"/>
        <v>0</v>
      </c>
      <c r="N153" s="149"/>
      <c r="O153" s="149">
        <f t="shared" si="21"/>
        <v>0</v>
      </c>
      <c r="P153" s="216">
        <f t="shared" si="22"/>
        <v>0</v>
      </c>
      <c r="Q153" s="150">
        <f t="shared" si="27"/>
        <v>0</v>
      </c>
      <c r="S153" s="143">
        <f t="shared" si="3"/>
        <v>0</v>
      </c>
      <c r="X153" s="143">
        <f t="shared" si="4"/>
        <v>0</v>
      </c>
      <c r="Y153" s="143" t="s">
        <v>336</v>
      </c>
    </row>
    <row r="154" spans="1:25" ht="12.75" customHeight="1" x14ac:dyDescent="0.2">
      <c r="A154" s="143" t="s">
        <v>330</v>
      </c>
      <c r="F154" s="143" t="s">
        <v>337</v>
      </c>
      <c r="J154" s="147" t="s">
        <v>338</v>
      </c>
      <c r="K154" s="149">
        <f t="shared" si="24"/>
        <v>0</v>
      </c>
      <c r="L154" s="149">
        <f t="shared" si="25"/>
        <v>0</v>
      </c>
      <c r="M154" s="149">
        <f t="shared" si="26"/>
        <v>0</v>
      </c>
      <c r="N154" s="149"/>
      <c r="O154" s="149">
        <f t="shared" si="21"/>
        <v>0</v>
      </c>
      <c r="P154" s="216">
        <f t="shared" si="22"/>
        <v>0</v>
      </c>
      <c r="Q154" s="150">
        <f t="shared" si="27"/>
        <v>0</v>
      </c>
      <c r="S154" s="143">
        <f t="shared" si="3"/>
        <v>0</v>
      </c>
      <c r="X154" s="143">
        <f t="shared" si="4"/>
        <v>0</v>
      </c>
      <c r="Y154" s="143" t="s">
        <v>339</v>
      </c>
    </row>
    <row r="155" spans="1:25" ht="12.75" customHeight="1" x14ac:dyDescent="0.2">
      <c r="A155" s="143" t="s">
        <v>330</v>
      </c>
      <c r="F155" s="143" t="s">
        <v>340</v>
      </c>
      <c r="J155" s="147" t="s">
        <v>333</v>
      </c>
      <c r="K155" s="149">
        <f t="shared" si="24"/>
        <v>0</v>
      </c>
      <c r="L155" s="149">
        <f t="shared" si="25"/>
        <v>0</v>
      </c>
      <c r="M155" s="149">
        <f t="shared" si="26"/>
        <v>0</v>
      </c>
      <c r="N155" s="149"/>
      <c r="O155" s="149">
        <f t="shared" si="21"/>
        <v>0</v>
      </c>
      <c r="P155" s="216">
        <f t="shared" si="22"/>
        <v>0</v>
      </c>
      <c r="Q155" s="150">
        <f t="shared" si="27"/>
        <v>0</v>
      </c>
      <c r="S155" s="143">
        <f t="shared" si="3"/>
        <v>0</v>
      </c>
      <c r="X155" s="143">
        <f t="shared" si="4"/>
        <v>0</v>
      </c>
      <c r="Y155" s="143" t="s">
        <v>350</v>
      </c>
    </row>
    <row r="156" spans="1:25" ht="12.75" customHeight="1" x14ac:dyDescent="0.2">
      <c r="A156" s="143" t="s">
        <v>330</v>
      </c>
      <c r="F156" s="143" t="s">
        <v>342</v>
      </c>
      <c r="J156" s="147" t="s">
        <v>333</v>
      </c>
      <c r="K156" s="149">
        <f t="shared" si="24"/>
        <v>0</v>
      </c>
      <c r="L156" s="149">
        <f t="shared" si="25"/>
        <v>0</v>
      </c>
      <c r="M156" s="149">
        <f t="shared" si="26"/>
        <v>0</v>
      </c>
      <c r="N156" s="149"/>
      <c r="O156" s="149">
        <f t="shared" si="21"/>
        <v>0</v>
      </c>
      <c r="P156" s="216">
        <f t="shared" si="22"/>
        <v>0</v>
      </c>
      <c r="Q156" s="150">
        <f t="shared" si="27"/>
        <v>0</v>
      </c>
      <c r="S156" s="143">
        <f t="shared" si="3"/>
        <v>0</v>
      </c>
      <c r="X156" s="143">
        <f t="shared" si="4"/>
        <v>0</v>
      </c>
      <c r="Y156" s="143" t="s">
        <v>343</v>
      </c>
    </row>
    <row r="157" spans="1:25" ht="12.75" customHeight="1" x14ac:dyDescent="0.2">
      <c r="A157" s="143" t="s">
        <v>330</v>
      </c>
      <c r="F157" s="143" t="s">
        <v>344</v>
      </c>
      <c r="J157" s="147" t="s">
        <v>333</v>
      </c>
      <c r="K157" s="149">
        <f t="shared" si="24"/>
        <v>0</v>
      </c>
      <c r="L157" s="149">
        <f t="shared" si="25"/>
        <v>0</v>
      </c>
      <c r="M157" s="149">
        <f t="shared" si="26"/>
        <v>0</v>
      </c>
      <c r="N157" s="149"/>
      <c r="O157" s="149">
        <f t="shared" si="21"/>
        <v>0</v>
      </c>
      <c r="P157" s="216">
        <f t="shared" si="22"/>
        <v>0</v>
      </c>
      <c r="Q157" s="150">
        <f t="shared" si="27"/>
        <v>0</v>
      </c>
      <c r="S157" s="143">
        <f t="shared" si="3"/>
        <v>0</v>
      </c>
      <c r="X157" s="143">
        <f t="shared" si="4"/>
        <v>0</v>
      </c>
      <c r="Y157" s="143" t="s">
        <v>345</v>
      </c>
    </row>
    <row r="158" spans="1:25" x14ac:dyDescent="0.2">
      <c r="A158" s="143" t="s">
        <v>330</v>
      </c>
      <c r="K158" s="149">
        <f t="shared" si="24"/>
        <v>0</v>
      </c>
      <c r="L158" s="149">
        <f t="shared" si="25"/>
        <v>0</v>
      </c>
      <c r="M158" s="149">
        <f t="shared" si="26"/>
        <v>0</v>
      </c>
      <c r="N158" s="149"/>
      <c r="O158" s="149">
        <f t="shared" si="21"/>
        <v>0</v>
      </c>
      <c r="P158" s="216">
        <f t="shared" si="22"/>
        <v>0</v>
      </c>
      <c r="Q158" s="150">
        <f>IF(O158=0,0,IF(X158=0,"manual",O158/((R158*tax*markup*IF(Y158&lt;&gt;"",VLOOKUP(LEFT(Y158,2),cityindex,2,0),1))+S158*markup*difficulty*IF(Y158&lt;&gt;"",VLOOKUP(LEFT(Y158,2),cityindex,3,0),1)+W158*markup*difficulty*IF(Y158&lt;&gt;"",VLOOKUP(LEFT(Y158,2),cityindex,3,0),1))))</f>
        <v>0</v>
      </c>
      <c r="S158" s="143">
        <f t="shared" si="3"/>
        <v>0</v>
      </c>
      <c r="X158" s="143">
        <f t="shared" si="4"/>
        <v>0</v>
      </c>
    </row>
    <row r="159" spans="1:25" ht="12.75" customHeight="1" x14ac:dyDescent="0.2">
      <c r="A159" s="143" t="s">
        <v>351</v>
      </c>
      <c r="E159" s="143" t="s">
        <v>331</v>
      </c>
      <c r="J159" s="147" t="s">
        <v>333</v>
      </c>
      <c r="K159" s="149">
        <f t="shared" si="24"/>
        <v>0</v>
      </c>
      <c r="L159" s="149">
        <f t="shared" si="25"/>
        <v>0</v>
      </c>
      <c r="M159" s="149">
        <f t="shared" si="26"/>
        <v>0</v>
      </c>
      <c r="N159" s="149"/>
      <c r="O159" s="149">
        <f t="shared" ref="O159:O174" si="28">SUM(K159:N159)*embed</f>
        <v>0</v>
      </c>
      <c r="P159" s="216">
        <f t="shared" si="22"/>
        <v>0</v>
      </c>
      <c r="Q159" s="150">
        <f>IF(O159=0,0,IF(X159=0,"manual",(O159/(R159*tax*markup*IF(Y159&lt;&gt;"",VLOOKUP(LEFT(Y159,2),cityindex,2,0),1)+S159*markup*difficulty*IF(Y159&lt;&gt;"",VLOOKUP(LEFT(Y159,2),cityindex,3,0),1)+W159*markup*difficulty*IF(Y159&lt;&gt;"",VLOOKUP(LEFT(Y159,2),cityindex,3,0),1)))-1))</f>
        <v>0</v>
      </c>
      <c r="S159" s="143">
        <f t="shared" si="3"/>
        <v>0</v>
      </c>
      <c r="X159" s="143">
        <f t="shared" si="4"/>
        <v>0</v>
      </c>
      <c r="Y159" s="143" t="s">
        <v>352</v>
      </c>
    </row>
    <row r="160" spans="1:25" ht="12.75" customHeight="1" x14ac:dyDescent="0.2">
      <c r="A160" s="143" t="s">
        <v>351</v>
      </c>
      <c r="E160" s="143" t="s">
        <v>346</v>
      </c>
      <c r="J160" s="147" t="s">
        <v>333</v>
      </c>
      <c r="K160" s="149">
        <f t="shared" si="24"/>
        <v>0</v>
      </c>
      <c r="L160" s="149">
        <f t="shared" si="25"/>
        <v>0</v>
      </c>
      <c r="M160" s="149">
        <f t="shared" si="26"/>
        <v>0</v>
      </c>
      <c r="N160" s="149"/>
      <c r="O160" s="149">
        <f t="shared" si="28"/>
        <v>0</v>
      </c>
      <c r="P160" s="216">
        <f t="shared" si="22"/>
        <v>0</v>
      </c>
      <c r="Q160" s="150">
        <f>IF(O160=0,0,IF(X160=0,"manual",(O160/(R160*tax*markup*IF(Y160&lt;&gt;"",VLOOKUP(LEFT(Y160,2),cityindex,2,0),1)+S160*markup*difficulty*IF(Y160&lt;&gt;"",VLOOKUP(LEFT(Y160,2),cityindex,3,0),1)+W160*markup*difficulty*IF(Y160&lt;&gt;"",VLOOKUP(LEFT(Y160,2),cityindex,3,0),1)))-1))</f>
        <v>0</v>
      </c>
      <c r="S160" s="143">
        <f t="shared" si="3"/>
        <v>0</v>
      </c>
      <c r="X160" s="143">
        <f t="shared" si="4"/>
        <v>0</v>
      </c>
      <c r="Y160" s="143" t="s">
        <v>353</v>
      </c>
    </row>
    <row r="161" spans="1:25" ht="12.75" customHeight="1" x14ac:dyDescent="0.2">
      <c r="A161" s="143" t="s">
        <v>351</v>
      </c>
      <c r="E161" s="143" t="s">
        <v>348</v>
      </c>
      <c r="J161" s="147" t="s">
        <v>333</v>
      </c>
      <c r="K161" s="149">
        <f t="shared" si="24"/>
        <v>0</v>
      </c>
      <c r="L161" s="149">
        <f t="shared" si="25"/>
        <v>0</v>
      </c>
      <c r="M161" s="149">
        <f t="shared" si="26"/>
        <v>0</v>
      </c>
      <c r="N161" s="149"/>
      <c r="O161" s="149">
        <f t="shared" si="28"/>
        <v>0</v>
      </c>
      <c r="P161" s="216">
        <f t="shared" si="22"/>
        <v>0</v>
      </c>
      <c r="Q161" s="150">
        <f>IF(O161=0,0,IF(X161=0,"manual",(O161/(R161*tax*markup*IF(Y161&lt;&gt;"",VLOOKUP(LEFT(Y161,2),cityindex,2,0),1)+S161*markup*difficulty*IF(Y161&lt;&gt;"",VLOOKUP(LEFT(Y161,2),cityindex,3,0),1)+W161*markup*difficulty*IF(Y161&lt;&gt;"",VLOOKUP(LEFT(Y161,2),cityindex,3,0),1)))-1))</f>
        <v>0</v>
      </c>
      <c r="S161" s="143">
        <f t="shared" si="3"/>
        <v>0</v>
      </c>
      <c r="X161" s="143">
        <f t="shared" si="4"/>
        <v>0</v>
      </c>
      <c r="Y161" s="143" t="s">
        <v>354</v>
      </c>
    </row>
    <row r="162" spans="1:25" ht="12.75" customHeight="1" x14ac:dyDescent="0.2">
      <c r="A162" s="143" t="s">
        <v>351</v>
      </c>
      <c r="E162" s="143" t="s">
        <v>349</v>
      </c>
      <c r="J162" s="147" t="s">
        <v>333</v>
      </c>
      <c r="K162" s="149">
        <f t="shared" si="24"/>
        <v>0</v>
      </c>
      <c r="L162" s="149">
        <f t="shared" si="25"/>
        <v>0</v>
      </c>
      <c r="M162" s="149">
        <f t="shared" si="26"/>
        <v>0</v>
      </c>
      <c r="N162" s="149"/>
      <c r="O162" s="149">
        <f t="shared" si="28"/>
        <v>0</v>
      </c>
      <c r="P162" s="216">
        <f t="shared" si="22"/>
        <v>0</v>
      </c>
      <c r="Q162" s="150">
        <f>IF(O162=0,0,IF(X162=0,"manual",(O162/(R162*tax*markup*IF(Y162&lt;&gt;"",VLOOKUP(LEFT(Y162,2),cityindex,2,0),1)+S162*markup*difficulty*IF(Y162&lt;&gt;"",VLOOKUP(LEFT(Y162,2),cityindex,3,0),1)+W162*markup*difficulty*IF(Y162&lt;&gt;"",VLOOKUP(LEFT(Y162,2),cityindex,3,0),1)))-1))</f>
        <v>0</v>
      </c>
      <c r="S162" s="143">
        <f t="shared" si="3"/>
        <v>0</v>
      </c>
      <c r="X162" s="143">
        <f t="shared" si="4"/>
        <v>0</v>
      </c>
      <c r="Y162" s="143" t="s">
        <v>355</v>
      </c>
    </row>
    <row r="163" spans="1:25" x14ac:dyDescent="0.2">
      <c r="A163" s="143" t="s">
        <v>351</v>
      </c>
      <c r="K163" s="149">
        <f t="shared" ref="K163:K196" si="29">R163*tax*markup*IF(Y163&lt;&gt;"",VLOOKUP(LEFT(Y163,2),cityindex,2,0),1)</f>
        <v>0</v>
      </c>
      <c r="L163" s="149">
        <f t="shared" ref="L163:L196" si="30">S163*markup*difficulty*IF(Y163&lt;&gt;"",VLOOKUP(LEFT(Y163,2),cityindex,3,0),1)</f>
        <v>0</v>
      </c>
      <c r="M163" s="149">
        <f t="shared" ref="M163:M196" si="31">W163*markup*difficulty*IF(Y163&lt;&gt;"",VLOOKUP(LEFT(Y163,2),cityindex,3,0),1)</f>
        <v>0</v>
      </c>
      <c r="N163" s="149"/>
      <c r="O163" s="149">
        <f t="shared" si="28"/>
        <v>0</v>
      </c>
      <c r="P163" s="216">
        <f t="shared" si="22"/>
        <v>0</v>
      </c>
      <c r="Q163" s="150">
        <f>IF(O163=0,0,IF(X163=0,"manual",O163/((R163*tax*markup*IF(Y163&lt;&gt;"",VLOOKUP(LEFT(Y163,2),cityindex,2,0),1))+S163*markup*difficulty*IF(Y163&lt;&gt;"",VLOOKUP(LEFT(Y163,2),cityindex,3,0),1)+W163*markup*difficulty*IF(Y163&lt;&gt;"",VLOOKUP(LEFT(Y163,2),cityindex,3,0),1))))</f>
        <v>0</v>
      </c>
      <c r="S163" s="143">
        <f t="shared" si="3"/>
        <v>0</v>
      </c>
      <c r="X163" s="143">
        <f t="shared" si="4"/>
        <v>0</v>
      </c>
    </row>
    <row r="164" spans="1:25" x14ac:dyDescent="0.2">
      <c r="A164" s="143" t="s">
        <v>330</v>
      </c>
      <c r="E164" s="143" t="s">
        <v>356</v>
      </c>
      <c r="K164" s="149">
        <f t="shared" si="29"/>
        <v>0</v>
      </c>
      <c r="L164" s="149">
        <f t="shared" si="30"/>
        <v>0</v>
      </c>
      <c r="M164" s="149">
        <f t="shared" si="31"/>
        <v>0</v>
      </c>
      <c r="N164" s="149"/>
      <c r="O164" s="149">
        <f t="shared" si="28"/>
        <v>0</v>
      </c>
      <c r="P164" s="216">
        <f t="shared" si="22"/>
        <v>0</v>
      </c>
      <c r="Q164" s="150">
        <f>IF(O164=0,0,IF(X164=0,"manual",O164/((R164*tax*markup*IF(Y164&lt;&gt;"",VLOOKUP(LEFT(Y164,2),cityindex,2,0),1))+S164*markup*difficulty*IF(Y164&lt;&gt;"",VLOOKUP(LEFT(Y164,2),cityindex,3,0),1)+W164*markup*difficulty*IF(Y164&lt;&gt;"",VLOOKUP(LEFT(Y164,2),cityindex,3,0),1))))</f>
        <v>0</v>
      </c>
      <c r="S164" s="143">
        <f t="shared" ref="S164:S225" si="32">U164*V164</f>
        <v>0</v>
      </c>
      <c r="X164" s="143">
        <f t="shared" ref="X164:X225" si="33">SUM(R164,S164,W164)</f>
        <v>0</v>
      </c>
    </row>
    <row r="165" spans="1:25" ht="12.75" customHeight="1" x14ac:dyDescent="0.2">
      <c r="A165" s="143" t="s">
        <v>330</v>
      </c>
      <c r="F165" s="143" t="s">
        <v>335</v>
      </c>
      <c r="J165" s="147" t="s">
        <v>301</v>
      </c>
      <c r="K165" s="149">
        <f t="shared" si="29"/>
        <v>0</v>
      </c>
      <c r="L165" s="149">
        <f t="shared" si="30"/>
        <v>0</v>
      </c>
      <c r="M165" s="149">
        <f t="shared" si="31"/>
        <v>0</v>
      </c>
      <c r="N165" s="149"/>
      <c r="O165" s="149">
        <f t="shared" si="28"/>
        <v>0</v>
      </c>
      <c r="P165" s="216">
        <f t="shared" si="22"/>
        <v>0</v>
      </c>
      <c r="Q165" s="150">
        <f t="shared" ref="Q165:Q172" si="34">IF(O165=0,0,IF(X165=0,"manual",(O165/(R165*tax*markup*IF(Y165&lt;&gt;"",VLOOKUP(LEFT(Y165,2),cityindex,2,0),1)+S165*markup*difficulty*IF(Y165&lt;&gt;"",VLOOKUP(LEFT(Y165,2),cityindex,3,0),1)+W165*markup*difficulty*IF(Y165&lt;&gt;"",VLOOKUP(LEFT(Y165,2),cityindex,3,0),1)))-1))</f>
        <v>0</v>
      </c>
      <c r="S165" s="143">
        <f t="shared" si="32"/>
        <v>0</v>
      </c>
      <c r="X165" s="143">
        <f t="shared" si="33"/>
        <v>0</v>
      </c>
      <c r="Y165" s="143" t="s">
        <v>357</v>
      </c>
    </row>
    <row r="166" spans="1:25" ht="12.75" customHeight="1" x14ac:dyDescent="0.2">
      <c r="A166" s="143" t="s">
        <v>330</v>
      </c>
      <c r="F166" s="143" t="s">
        <v>340</v>
      </c>
      <c r="J166" s="147" t="s">
        <v>333</v>
      </c>
      <c r="K166" s="149">
        <f t="shared" si="29"/>
        <v>0</v>
      </c>
      <c r="L166" s="149">
        <f t="shared" si="30"/>
        <v>0</v>
      </c>
      <c r="M166" s="149">
        <f t="shared" si="31"/>
        <v>0</v>
      </c>
      <c r="N166" s="149"/>
      <c r="O166" s="149">
        <f t="shared" si="28"/>
        <v>0</v>
      </c>
      <c r="P166" s="216">
        <f t="shared" si="22"/>
        <v>0</v>
      </c>
      <c r="Q166" s="150">
        <f t="shared" si="34"/>
        <v>0</v>
      </c>
      <c r="S166" s="143">
        <f t="shared" si="32"/>
        <v>0</v>
      </c>
      <c r="X166" s="143">
        <f t="shared" si="33"/>
        <v>0</v>
      </c>
      <c r="Y166" s="143" t="s">
        <v>358</v>
      </c>
    </row>
    <row r="167" spans="1:25" ht="12.75" customHeight="1" x14ac:dyDescent="0.2">
      <c r="A167" s="143" t="s">
        <v>330</v>
      </c>
      <c r="G167" s="143" t="s">
        <v>359</v>
      </c>
      <c r="J167" s="147" t="s">
        <v>333</v>
      </c>
      <c r="K167" s="149">
        <f t="shared" si="29"/>
        <v>0</v>
      </c>
      <c r="L167" s="149">
        <f t="shared" si="30"/>
        <v>0</v>
      </c>
      <c r="M167" s="149">
        <f t="shared" si="31"/>
        <v>0</v>
      </c>
      <c r="N167" s="149"/>
      <c r="O167" s="149">
        <f t="shared" si="28"/>
        <v>0</v>
      </c>
      <c r="P167" s="216">
        <f t="shared" si="22"/>
        <v>0</v>
      </c>
      <c r="Q167" s="150">
        <f>IF(O167=0,0,IF(X167=0,"manual",(O167/(R167*tax*markup*IF(Y167&lt;&gt;"",VLOOKUP(LEFT(Y167,2),cityindex,2,0),1)+S167*markup*difficulty*IF(Y167&lt;&gt;"",VLOOKUP(LEFT(Y167,2),cityindex,3,0),1)+W167*markup*difficulty*IF(Y167&lt;&gt;"",VLOOKUP(LEFT(Y167,2),cityindex,3,0),1)))-1))</f>
        <v>0</v>
      </c>
      <c r="S167" s="143">
        <f t="shared" si="32"/>
        <v>0</v>
      </c>
      <c r="X167" s="143">
        <f t="shared" si="33"/>
        <v>0</v>
      </c>
      <c r="Y167" s="143" t="s">
        <v>360</v>
      </c>
    </row>
    <row r="168" spans="1:25" ht="12.75" customHeight="1" x14ac:dyDescent="0.2">
      <c r="A168" s="143" t="s">
        <v>330</v>
      </c>
      <c r="F168" s="143" t="s">
        <v>337</v>
      </c>
      <c r="J168" s="147" t="s">
        <v>361</v>
      </c>
      <c r="K168" s="149">
        <f t="shared" si="29"/>
        <v>0</v>
      </c>
      <c r="L168" s="149">
        <f t="shared" si="30"/>
        <v>0</v>
      </c>
      <c r="M168" s="149">
        <f t="shared" si="31"/>
        <v>0</v>
      </c>
      <c r="N168" s="149"/>
      <c r="O168" s="149">
        <f t="shared" si="28"/>
        <v>0</v>
      </c>
      <c r="P168" s="216">
        <f t="shared" si="22"/>
        <v>0</v>
      </c>
      <c r="Q168" s="150">
        <f t="shared" si="34"/>
        <v>0</v>
      </c>
      <c r="S168" s="143">
        <f t="shared" si="32"/>
        <v>0</v>
      </c>
      <c r="X168" s="143">
        <f t="shared" si="33"/>
        <v>0</v>
      </c>
      <c r="Y168" s="143" t="s">
        <v>339</v>
      </c>
    </row>
    <row r="169" spans="1:25" ht="12.75" customHeight="1" x14ac:dyDescent="0.2">
      <c r="A169" s="143" t="s">
        <v>330</v>
      </c>
      <c r="F169" s="143" t="s">
        <v>362</v>
      </c>
      <c r="J169" s="147" t="s">
        <v>333</v>
      </c>
      <c r="K169" s="149">
        <f t="shared" si="29"/>
        <v>0</v>
      </c>
      <c r="L169" s="149">
        <f t="shared" si="30"/>
        <v>0</v>
      </c>
      <c r="M169" s="149">
        <f t="shared" si="31"/>
        <v>0</v>
      </c>
      <c r="N169" s="149"/>
      <c r="O169" s="149">
        <f t="shared" si="28"/>
        <v>0</v>
      </c>
      <c r="P169" s="216">
        <f t="shared" si="22"/>
        <v>0</v>
      </c>
      <c r="Q169" s="150">
        <f t="shared" si="34"/>
        <v>0</v>
      </c>
      <c r="S169" s="143">
        <f t="shared" si="32"/>
        <v>0</v>
      </c>
      <c r="X169" s="143">
        <f t="shared" si="33"/>
        <v>0</v>
      </c>
      <c r="Y169" s="143" t="s">
        <v>363</v>
      </c>
    </row>
    <row r="170" spans="1:25" ht="12.75" customHeight="1" x14ac:dyDescent="0.2">
      <c r="A170" s="143" t="s">
        <v>330</v>
      </c>
      <c r="F170" s="143" t="s">
        <v>364</v>
      </c>
      <c r="J170" s="147" t="s">
        <v>333</v>
      </c>
      <c r="K170" s="149">
        <f t="shared" si="29"/>
        <v>0</v>
      </c>
      <c r="L170" s="149">
        <f t="shared" si="30"/>
        <v>0</v>
      </c>
      <c r="M170" s="149">
        <f t="shared" si="31"/>
        <v>0</v>
      </c>
      <c r="N170" s="149"/>
      <c r="O170" s="149">
        <f t="shared" si="28"/>
        <v>0</v>
      </c>
      <c r="P170" s="216">
        <f t="shared" si="22"/>
        <v>0</v>
      </c>
      <c r="Q170" s="150">
        <f t="shared" si="34"/>
        <v>0</v>
      </c>
      <c r="S170" s="143">
        <f t="shared" si="32"/>
        <v>0</v>
      </c>
      <c r="X170" s="143">
        <f t="shared" si="33"/>
        <v>0</v>
      </c>
      <c r="Y170" s="143" t="s">
        <v>365</v>
      </c>
    </row>
    <row r="171" spans="1:25" ht="12.75" customHeight="1" x14ac:dyDescent="0.2">
      <c r="A171" s="143" t="s">
        <v>330</v>
      </c>
      <c r="F171" s="143" t="s">
        <v>366</v>
      </c>
      <c r="J171" s="147" t="s">
        <v>301</v>
      </c>
      <c r="K171" s="149">
        <f t="shared" si="29"/>
        <v>0</v>
      </c>
      <c r="L171" s="149">
        <f t="shared" si="30"/>
        <v>0</v>
      </c>
      <c r="M171" s="149">
        <f t="shared" si="31"/>
        <v>0</v>
      </c>
      <c r="N171" s="149"/>
      <c r="O171" s="149">
        <f t="shared" si="28"/>
        <v>0</v>
      </c>
      <c r="P171" s="216">
        <f t="shared" si="22"/>
        <v>0</v>
      </c>
      <c r="Q171" s="150">
        <f t="shared" si="34"/>
        <v>0</v>
      </c>
      <c r="S171" s="143">
        <f t="shared" si="32"/>
        <v>0</v>
      </c>
      <c r="X171" s="143">
        <f t="shared" si="33"/>
        <v>0</v>
      </c>
      <c r="Y171" s="143" t="s">
        <v>367</v>
      </c>
    </row>
    <row r="172" spans="1:25" ht="12.75" customHeight="1" x14ac:dyDescent="0.2">
      <c r="A172" s="143" t="s">
        <v>330</v>
      </c>
      <c r="F172" s="143" t="s">
        <v>368</v>
      </c>
      <c r="J172" s="147" t="s">
        <v>301</v>
      </c>
      <c r="K172" s="149">
        <f t="shared" si="29"/>
        <v>0</v>
      </c>
      <c r="L172" s="149">
        <f t="shared" si="30"/>
        <v>0</v>
      </c>
      <c r="M172" s="149">
        <f t="shared" si="31"/>
        <v>0</v>
      </c>
      <c r="N172" s="149"/>
      <c r="O172" s="149">
        <f t="shared" si="28"/>
        <v>0</v>
      </c>
      <c r="P172" s="216">
        <f t="shared" si="22"/>
        <v>0</v>
      </c>
      <c r="Q172" s="150">
        <f t="shared" si="34"/>
        <v>0</v>
      </c>
      <c r="S172" s="143">
        <f t="shared" si="32"/>
        <v>0</v>
      </c>
      <c r="X172" s="143">
        <f t="shared" si="33"/>
        <v>0</v>
      </c>
      <c r="Y172" s="143" t="s">
        <v>369</v>
      </c>
    </row>
    <row r="173" spans="1:25" x14ac:dyDescent="0.2">
      <c r="A173" s="143" t="s">
        <v>351</v>
      </c>
      <c r="E173" s="143" t="s">
        <v>356</v>
      </c>
      <c r="K173" s="149">
        <f t="shared" si="29"/>
        <v>0</v>
      </c>
      <c r="L173" s="149">
        <f t="shared" si="30"/>
        <v>0</v>
      </c>
      <c r="M173" s="149">
        <f t="shared" si="31"/>
        <v>0</v>
      </c>
      <c r="N173" s="149"/>
      <c r="O173" s="149">
        <f t="shared" si="28"/>
        <v>0</v>
      </c>
      <c r="P173" s="216">
        <f t="shared" si="22"/>
        <v>0</v>
      </c>
      <c r="Q173" s="150">
        <f>IF(O173=0,0,IF(X173=0,"manual",O173/((R173*tax*markup*IF(Y173&lt;&gt;"",VLOOKUP(LEFT(Y173,2),cityindex,2,0),1))+S173*markup*difficulty*IF(Y173&lt;&gt;"",VLOOKUP(LEFT(Y173,2),cityindex,3,0),1)+W173*markup*difficulty*IF(Y173&lt;&gt;"",VLOOKUP(LEFT(Y173,2),cityindex,3,0),1))))</f>
        <v>0</v>
      </c>
      <c r="S173" s="143">
        <f t="shared" si="32"/>
        <v>0</v>
      </c>
      <c r="X173" s="143">
        <f t="shared" si="33"/>
        <v>0</v>
      </c>
    </row>
    <row r="174" spans="1:25" ht="12.75" customHeight="1" x14ac:dyDescent="0.2">
      <c r="A174" s="143" t="s">
        <v>351</v>
      </c>
      <c r="F174" s="143" t="s">
        <v>370</v>
      </c>
      <c r="J174" s="147" t="s">
        <v>301</v>
      </c>
      <c r="K174" s="149">
        <f t="shared" si="29"/>
        <v>0</v>
      </c>
      <c r="L174" s="149">
        <f t="shared" si="30"/>
        <v>0</v>
      </c>
      <c r="M174" s="149">
        <f t="shared" si="31"/>
        <v>0</v>
      </c>
      <c r="N174" s="149"/>
      <c r="O174" s="149">
        <f t="shared" si="28"/>
        <v>0</v>
      </c>
      <c r="P174" s="216">
        <f t="shared" si="22"/>
        <v>0</v>
      </c>
      <c r="Q174" s="150">
        <f t="shared" ref="Q174:Q195" si="35">IF(O174=0,0,IF(X174=0,"manual",(O174/(R174*tax*markup*IF(Y174&lt;&gt;"",VLOOKUP(LEFT(Y174,2),cityindex,2,0),1)+S174*markup*difficulty*IF(Y174&lt;&gt;"",VLOOKUP(LEFT(Y174,2),cityindex,3,0),1)+W174*markup*difficulty*IF(Y174&lt;&gt;"",VLOOKUP(LEFT(Y174,2),cityindex,3,0),1)))-1))</f>
        <v>0</v>
      </c>
      <c r="S174" s="143">
        <f t="shared" si="32"/>
        <v>0</v>
      </c>
      <c r="X174" s="143">
        <f t="shared" si="33"/>
        <v>0</v>
      </c>
      <c r="Y174" s="143" t="s">
        <v>371</v>
      </c>
    </row>
    <row r="175" spans="1:25" ht="12.75" customHeight="1" x14ac:dyDescent="0.2">
      <c r="A175" s="143" t="s">
        <v>351</v>
      </c>
      <c r="F175" s="143" t="s">
        <v>372</v>
      </c>
      <c r="J175" s="147" t="s">
        <v>301</v>
      </c>
      <c r="K175" s="149">
        <f t="shared" si="29"/>
        <v>0</v>
      </c>
      <c r="L175" s="149">
        <f t="shared" si="30"/>
        <v>0</v>
      </c>
      <c r="M175" s="149">
        <f t="shared" si="31"/>
        <v>0</v>
      </c>
      <c r="N175" s="149"/>
      <c r="O175" s="149">
        <f t="shared" ref="O175:O216" si="36">SUM(K175:N175)*embed</f>
        <v>0</v>
      </c>
      <c r="P175" s="216">
        <f t="shared" si="22"/>
        <v>0</v>
      </c>
      <c r="Q175" s="150">
        <f t="shared" si="35"/>
        <v>0</v>
      </c>
      <c r="S175" s="143">
        <f t="shared" si="32"/>
        <v>0</v>
      </c>
      <c r="X175" s="143">
        <f t="shared" si="33"/>
        <v>0</v>
      </c>
      <c r="Y175" s="143" t="s">
        <v>373</v>
      </c>
    </row>
    <row r="176" spans="1:25" ht="12.75" customHeight="1" x14ac:dyDescent="0.2">
      <c r="A176" s="143" t="s">
        <v>351</v>
      </c>
      <c r="F176" s="143" t="s">
        <v>374</v>
      </c>
      <c r="J176" s="147" t="s">
        <v>301</v>
      </c>
      <c r="K176" s="149">
        <f t="shared" si="29"/>
        <v>0</v>
      </c>
      <c r="L176" s="149">
        <f t="shared" si="30"/>
        <v>0</v>
      </c>
      <c r="M176" s="149">
        <f t="shared" si="31"/>
        <v>0</v>
      </c>
      <c r="N176" s="149"/>
      <c r="O176" s="149">
        <f t="shared" si="36"/>
        <v>0</v>
      </c>
      <c r="P176" s="216">
        <f t="shared" si="22"/>
        <v>0</v>
      </c>
      <c r="Q176" s="150">
        <f t="shared" si="35"/>
        <v>0</v>
      </c>
      <c r="S176" s="143">
        <f t="shared" si="32"/>
        <v>0</v>
      </c>
      <c r="X176" s="143">
        <f t="shared" si="33"/>
        <v>0</v>
      </c>
      <c r="Y176" s="143" t="s">
        <v>375</v>
      </c>
    </row>
    <row r="177" spans="1:25" ht="12.75" customHeight="1" x14ac:dyDescent="0.2">
      <c r="A177" s="143" t="s">
        <v>351</v>
      </c>
      <c r="F177" s="143" t="s">
        <v>376</v>
      </c>
      <c r="J177" s="147" t="s">
        <v>301</v>
      </c>
      <c r="K177" s="149">
        <f t="shared" si="29"/>
        <v>0</v>
      </c>
      <c r="L177" s="149">
        <f t="shared" si="30"/>
        <v>0</v>
      </c>
      <c r="M177" s="149">
        <f t="shared" si="31"/>
        <v>0</v>
      </c>
      <c r="N177" s="149"/>
      <c r="O177" s="149">
        <f t="shared" si="36"/>
        <v>0</v>
      </c>
      <c r="P177" s="216">
        <f t="shared" si="22"/>
        <v>0</v>
      </c>
      <c r="Q177" s="150">
        <f t="shared" si="35"/>
        <v>0</v>
      </c>
      <c r="S177" s="143">
        <f t="shared" si="32"/>
        <v>0</v>
      </c>
      <c r="X177" s="143">
        <f t="shared" si="33"/>
        <v>0</v>
      </c>
      <c r="Y177" s="143" t="s">
        <v>377</v>
      </c>
    </row>
    <row r="178" spans="1:25" ht="12.75" customHeight="1" x14ac:dyDescent="0.2">
      <c r="A178" s="143" t="s">
        <v>296</v>
      </c>
      <c r="F178" s="143" t="s">
        <v>378</v>
      </c>
      <c r="K178" s="149">
        <f t="shared" si="29"/>
        <v>0</v>
      </c>
      <c r="L178" s="149">
        <f t="shared" si="30"/>
        <v>0</v>
      </c>
      <c r="M178" s="149">
        <f t="shared" si="31"/>
        <v>0</v>
      </c>
      <c r="N178" s="149"/>
      <c r="O178" s="149">
        <f t="shared" si="36"/>
        <v>0</v>
      </c>
      <c r="P178" s="216">
        <f t="shared" si="22"/>
        <v>0</v>
      </c>
      <c r="Q178" s="150">
        <f t="shared" si="35"/>
        <v>0</v>
      </c>
      <c r="S178" s="143">
        <f t="shared" si="32"/>
        <v>0</v>
      </c>
      <c r="X178" s="143">
        <f t="shared" si="33"/>
        <v>0</v>
      </c>
    </row>
    <row r="179" spans="1:25" ht="12.75" customHeight="1" x14ac:dyDescent="0.2">
      <c r="A179" s="143" t="s">
        <v>296</v>
      </c>
      <c r="G179" s="143" t="s">
        <v>379</v>
      </c>
      <c r="J179" s="147" t="s">
        <v>301</v>
      </c>
      <c r="K179" s="149">
        <f t="shared" si="29"/>
        <v>0</v>
      </c>
      <c r="L179" s="149">
        <f t="shared" si="30"/>
        <v>0</v>
      </c>
      <c r="M179" s="149">
        <f t="shared" si="31"/>
        <v>0</v>
      </c>
      <c r="N179" s="149"/>
      <c r="O179" s="149">
        <f t="shared" ref="O179:O192" si="37">SUM(K179:N179)*embed</f>
        <v>0</v>
      </c>
      <c r="P179" s="216">
        <f t="shared" si="22"/>
        <v>0</v>
      </c>
      <c r="Q179" s="150">
        <f t="shared" si="35"/>
        <v>0</v>
      </c>
      <c r="S179" s="143">
        <f t="shared" si="32"/>
        <v>0</v>
      </c>
      <c r="X179" s="143">
        <f t="shared" si="33"/>
        <v>0</v>
      </c>
      <c r="Y179" s="143" t="s">
        <v>380</v>
      </c>
    </row>
    <row r="180" spans="1:25" s="228" customFormat="1" ht="12.75" customHeight="1" x14ac:dyDescent="0.2">
      <c r="A180" s="228" t="s">
        <v>296</v>
      </c>
      <c r="B180" s="229"/>
      <c r="G180" s="228" t="s">
        <v>381</v>
      </c>
      <c r="I180" s="230"/>
      <c r="J180" s="231"/>
      <c r="K180" s="232">
        <f t="shared" si="29"/>
        <v>0</v>
      </c>
      <c r="L180" s="232">
        <f t="shared" si="30"/>
        <v>0</v>
      </c>
      <c r="M180" s="232">
        <f t="shared" si="31"/>
        <v>0</v>
      </c>
      <c r="N180" s="232"/>
      <c r="O180" s="232">
        <f t="shared" si="37"/>
        <v>0</v>
      </c>
      <c r="P180" s="233">
        <f t="shared" si="22"/>
        <v>0</v>
      </c>
      <c r="Q180" s="234">
        <f t="shared" si="35"/>
        <v>0</v>
      </c>
      <c r="S180" s="228">
        <f t="shared" si="32"/>
        <v>0</v>
      </c>
      <c r="X180" s="228">
        <f t="shared" si="33"/>
        <v>0</v>
      </c>
    </row>
    <row r="181" spans="1:25" ht="12.75" customHeight="1" x14ac:dyDescent="0.2">
      <c r="A181" s="143" t="s">
        <v>296</v>
      </c>
      <c r="H181" s="143" t="s">
        <v>382</v>
      </c>
      <c r="J181" s="147" t="s">
        <v>301</v>
      </c>
      <c r="K181" s="149">
        <f t="shared" si="29"/>
        <v>0</v>
      </c>
      <c r="L181" s="149">
        <f t="shared" si="30"/>
        <v>0</v>
      </c>
      <c r="M181" s="149">
        <f t="shared" si="31"/>
        <v>0</v>
      </c>
      <c r="N181" s="149"/>
      <c r="O181" s="149">
        <f t="shared" si="37"/>
        <v>0</v>
      </c>
      <c r="P181" s="216">
        <f t="shared" si="22"/>
        <v>0</v>
      </c>
      <c r="Q181" s="150">
        <f t="shared" si="35"/>
        <v>0</v>
      </c>
      <c r="S181" s="143">
        <f t="shared" si="32"/>
        <v>0</v>
      </c>
      <c r="X181" s="143">
        <f t="shared" si="33"/>
        <v>0</v>
      </c>
      <c r="Y181" s="143" t="s">
        <v>383</v>
      </c>
    </row>
    <row r="182" spans="1:25" ht="12.75" customHeight="1" x14ac:dyDescent="0.2">
      <c r="A182" s="143" t="s">
        <v>296</v>
      </c>
      <c r="H182" s="143" t="s">
        <v>384</v>
      </c>
      <c r="J182" s="147" t="s">
        <v>301</v>
      </c>
      <c r="K182" s="149">
        <f t="shared" si="29"/>
        <v>0</v>
      </c>
      <c r="L182" s="149">
        <f t="shared" si="30"/>
        <v>0</v>
      </c>
      <c r="M182" s="149">
        <f t="shared" si="31"/>
        <v>0</v>
      </c>
      <c r="N182" s="149"/>
      <c r="O182" s="149">
        <f t="shared" si="37"/>
        <v>0</v>
      </c>
      <c r="P182" s="216">
        <f t="shared" si="22"/>
        <v>0</v>
      </c>
      <c r="Q182" s="150">
        <f t="shared" si="35"/>
        <v>0</v>
      </c>
      <c r="S182" s="143">
        <f t="shared" si="32"/>
        <v>0</v>
      </c>
      <c r="X182" s="143">
        <f t="shared" si="33"/>
        <v>0</v>
      </c>
      <c r="Y182" s="143" t="s">
        <v>385</v>
      </c>
    </row>
    <row r="183" spans="1:25" ht="12.75" customHeight="1" x14ac:dyDescent="0.2">
      <c r="A183" s="143" t="s">
        <v>296</v>
      </c>
      <c r="G183" s="143" t="s">
        <v>386</v>
      </c>
      <c r="J183" s="147" t="s">
        <v>301</v>
      </c>
      <c r="K183" s="149">
        <f t="shared" si="29"/>
        <v>0</v>
      </c>
      <c r="L183" s="149">
        <f t="shared" si="30"/>
        <v>0</v>
      </c>
      <c r="M183" s="149">
        <f t="shared" si="31"/>
        <v>0</v>
      </c>
      <c r="N183" s="149"/>
      <c r="O183" s="149">
        <f t="shared" si="37"/>
        <v>0</v>
      </c>
      <c r="P183" s="216">
        <f t="shared" si="22"/>
        <v>0</v>
      </c>
      <c r="Q183" s="150">
        <f t="shared" si="35"/>
        <v>0</v>
      </c>
      <c r="S183" s="143">
        <f t="shared" si="32"/>
        <v>0</v>
      </c>
      <c r="X183" s="143">
        <f t="shared" si="33"/>
        <v>0</v>
      </c>
      <c r="Y183" s="143" t="s">
        <v>387</v>
      </c>
    </row>
    <row r="184" spans="1:25" s="228" customFormat="1" ht="12.75" customHeight="1" x14ac:dyDescent="0.2">
      <c r="A184" s="228" t="s">
        <v>296</v>
      </c>
      <c r="B184" s="229"/>
      <c r="G184" s="228" t="s">
        <v>388</v>
      </c>
      <c r="I184" s="230"/>
      <c r="J184" s="231"/>
      <c r="K184" s="232">
        <f t="shared" si="29"/>
        <v>0</v>
      </c>
      <c r="L184" s="232">
        <f t="shared" si="30"/>
        <v>0</v>
      </c>
      <c r="M184" s="232">
        <f t="shared" si="31"/>
        <v>0</v>
      </c>
      <c r="N184" s="232"/>
      <c r="O184" s="232">
        <f t="shared" si="37"/>
        <v>0</v>
      </c>
      <c r="P184" s="233">
        <f t="shared" si="22"/>
        <v>0</v>
      </c>
      <c r="Q184" s="234">
        <f t="shared" si="35"/>
        <v>0</v>
      </c>
      <c r="S184" s="228">
        <f t="shared" si="32"/>
        <v>0</v>
      </c>
      <c r="X184" s="228">
        <f t="shared" si="33"/>
        <v>0</v>
      </c>
    </row>
    <row r="185" spans="1:25" ht="12.75" customHeight="1" x14ac:dyDescent="0.2">
      <c r="A185" s="143" t="s">
        <v>296</v>
      </c>
      <c r="H185" s="143" t="s">
        <v>389</v>
      </c>
      <c r="J185" s="147" t="s">
        <v>390</v>
      </c>
      <c r="K185" s="149">
        <f t="shared" si="29"/>
        <v>0</v>
      </c>
      <c r="L185" s="149">
        <f t="shared" si="30"/>
        <v>0</v>
      </c>
      <c r="M185" s="149">
        <f t="shared" si="31"/>
        <v>0</v>
      </c>
      <c r="N185" s="149"/>
      <c r="O185" s="149">
        <f t="shared" si="37"/>
        <v>0</v>
      </c>
      <c r="P185" s="216">
        <f t="shared" si="22"/>
        <v>0</v>
      </c>
      <c r="Q185" s="150">
        <f t="shared" si="35"/>
        <v>0</v>
      </c>
      <c r="S185" s="143">
        <f t="shared" si="32"/>
        <v>0</v>
      </c>
      <c r="X185" s="143">
        <f t="shared" si="33"/>
        <v>0</v>
      </c>
      <c r="Y185" s="143" t="s">
        <v>391</v>
      </c>
    </row>
    <row r="186" spans="1:25" ht="12.75" customHeight="1" x14ac:dyDescent="0.2">
      <c r="A186" s="143" t="s">
        <v>296</v>
      </c>
      <c r="H186" s="143" t="s">
        <v>392</v>
      </c>
      <c r="J186" s="147" t="s">
        <v>390</v>
      </c>
      <c r="K186" s="149">
        <f t="shared" si="29"/>
        <v>0</v>
      </c>
      <c r="L186" s="149">
        <f t="shared" si="30"/>
        <v>0</v>
      </c>
      <c r="M186" s="149">
        <f t="shared" si="31"/>
        <v>0</v>
      </c>
      <c r="N186" s="149"/>
      <c r="O186" s="149">
        <f t="shared" si="37"/>
        <v>0</v>
      </c>
      <c r="P186" s="216">
        <f t="shared" si="22"/>
        <v>0</v>
      </c>
      <c r="Q186" s="150">
        <f t="shared" si="35"/>
        <v>0</v>
      </c>
      <c r="S186" s="143">
        <f t="shared" si="32"/>
        <v>0</v>
      </c>
      <c r="X186" s="143">
        <f t="shared" si="33"/>
        <v>0</v>
      </c>
      <c r="Y186" s="143" t="s">
        <v>393</v>
      </c>
    </row>
    <row r="187" spans="1:25" ht="12.75" customHeight="1" x14ac:dyDescent="0.2">
      <c r="A187" s="143" t="s">
        <v>296</v>
      </c>
      <c r="G187" s="143" t="s">
        <v>311</v>
      </c>
      <c r="J187" s="147" t="s">
        <v>309</v>
      </c>
      <c r="K187" s="149">
        <f t="shared" si="29"/>
        <v>0</v>
      </c>
      <c r="L187" s="149">
        <f t="shared" si="30"/>
        <v>0</v>
      </c>
      <c r="M187" s="149">
        <f t="shared" si="31"/>
        <v>0</v>
      </c>
      <c r="N187" s="149"/>
      <c r="O187" s="149">
        <f t="shared" si="37"/>
        <v>0</v>
      </c>
      <c r="P187" s="216">
        <f t="shared" si="22"/>
        <v>0</v>
      </c>
      <c r="Q187" s="150">
        <f t="shared" si="35"/>
        <v>0</v>
      </c>
      <c r="S187" s="143">
        <f t="shared" si="32"/>
        <v>0</v>
      </c>
      <c r="X187" s="143">
        <f t="shared" si="33"/>
        <v>0</v>
      </c>
      <c r="Y187" s="143" t="s">
        <v>394</v>
      </c>
    </row>
    <row r="188" spans="1:25" ht="12.75" customHeight="1" x14ac:dyDescent="0.2">
      <c r="A188" s="143" t="s">
        <v>296</v>
      </c>
      <c r="G188" s="143" t="s">
        <v>395</v>
      </c>
      <c r="J188" s="147" t="s">
        <v>301</v>
      </c>
      <c r="K188" s="149">
        <f t="shared" si="29"/>
        <v>0</v>
      </c>
      <c r="L188" s="149">
        <f t="shared" si="30"/>
        <v>0</v>
      </c>
      <c r="M188" s="149">
        <f t="shared" si="31"/>
        <v>0</v>
      </c>
      <c r="N188" s="149"/>
      <c r="O188" s="149">
        <f t="shared" si="37"/>
        <v>0</v>
      </c>
      <c r="P188" s="216">
        <f t="shared" si="22"/>
        <v>0</v>
      </c>
      <c r="Q188" s="150">
        <f t="shared" si="35"/>
        <v>0</v>
      </c>
      <c r="S188" s="143">
        <f t="shared" si="32"/>
        <v>0</v>
      </c>
      <c r="X188" s="143">
        <f t="shared" si="33"/>
        <v>0</v>
      </c>
      <c r="Y188" s="143" t="s">
        <v>396</v>
      </c>
    </row>
    <row r="189" spans="1:25" ht="12.75" customHeight="1" x14ac:dyDescent="0.2">
      <c r="A189" s="143" t="s">
        <v>296</v>
      </c>
      <c r="G189" s="143" t="s">
        <v>397</v>
      </c>
      <c r="J189" s="147" t="s">
        <v>301</v>
      </c>
      <c r="K189" s="149">
        <f t="shared" si="29"/>
        <v>0</v>
      </c>
      <c r="L189" s="149">
        <f t="shared" si="30"/>
        <v>0</v>
      </c>
      <c r="M189" s="149">
        <f t="shared" si="31"/>
        <v>0</v>
      </c>
      <c r="N189" s="149"/>
      <c r="O189" s="149">
        <f t="shared" si="37"/>
        <v>0</v>
      </c>
      <c r="P189" s="216">
        <f t="shared" si="22"/>
        <v>0</v>
      </c>
      <c r="Q189" s="150">
        <f t="shared" si="35"/>
        <v>0</v>
      </c>
      <c r="S189" s="143">
        <f t="shared" si="32"/>
        <v>0</v>
      </c>
      <c r="X189" s="143">
        <f t="shared" si="33"/>
        <v>0</v>
      </c>
      <c r="Y189" s="143" t="s">
        <v>398</v>
      </c>
    </row>
    <row r="190" spans="1:25" ht="12.75" customHeight="1" x14ac:dyDescent="0.2">
      <c r="A190" s="143" t="s">
        <v>399</v>
      </c>
      <c r="G190" s="226" t="s">
        <v>400</v>
      </c>
      <c r="K190" s="149">
        <f t="shared" si="29"/>
        <v>0</v>
      </c>
      <c r="L190" s="149">
        <f t="shared" si="30"/>
        <v>0</v>
      </c>
      <c r="M190" s="149">
        <f t="shared" si="31"/>
        <v>0</v>
      </c>
      <c r="N190" s="149"/>
      <c r="O190" s="149">
        <f t="shared" si="37"/>
        <v>0</v>
      </c>
      <c r="P190" s="216">
        <f t="shared" si="22"/>
        <v>0</v>
      </c>
      <c r="Q190" s="150">
        <f t="shared" si="35"/>
        <v>0</v>
      </c>
      <c r="S190" s="143">
        <f t="shared" si="32"/>
        <v>0</v>
      </c>
      <c r="X190" s="143">
        <f t="shared" si="33"/>
        <v>0</v>
      </c>
    </row>
    <row r="191" spans="1:25" ht="12.75" customHeight="1" x14ac:dyDescent="0.2">
      <c r="A191" s="143" t="s">
        <v>296</v>
      </c>
      <c r="G191" s="143" t="s">
        <v>401</v>
      </c>
      <c r="J191" s="147" t="s">
        <v>390</v>
      </c>
      <c r="K191" s="149">
        <f t="shared" si="29"/>
        <v>0</v>
      </c>
      <c r="L191" s="149">
        <f t="shared" si="30"/>
        <v>0</v>
      </c>
      <c r="M191" s="149">
        <f t="shared" si="31"/>
        <v>0</v>
      </c>
      <c r="N191" s="149"/>
      <c r="O191" s="149">
        <f t="shared" si="37"/>
        <v>0</v>
      </c>
      <c r="P191" s="216">
        <f t="shared" ref="P191:P216" si="38">ROUND((O191*I191),0)</f>
        <v>0</v>
      </c>
      <c r="Q191" s="150">
        <f t="shared" si="35"/>
        <v>0</v>
      </c>
      <c r="S191" s="143">
        <f t="shared" si="32"/>
        <v>0</v>
      </c>
      <c r="X191" s="143">
        <f t="shared" si="33"/>
        <v>0</v>
      </c>
      <c r="Y191" s="143" t="s">
        <v>402</v>
      </c>
    </row>
    <row r="192" spans="1:25" ht="12.75" customHeight="1" x14ac:dyDescent="0.2">
      <c r="A192" s="143" t="s">
        <v>296</v>
      </c>
      <c r="G192" s="143" t="s">
        <v>403</v>
      </c>
      <c r="J192" s="147" t="s">
        <v>301</v>
      </c>
      <c r="K192" s="149">
        <f t="shared" si="29"/>
        <v>0</v>
      </c>
      <c r="L192" s="149">
        <f t="shared" si="30"/>
        <v>0</v>
      </c>
      <c r="M192" s="149">
        <f t="shared" si="31"/>
        <v>0</v>
      </c>
      <c r="N192" s="149"/>
      <c r="O192" s="149">
        <f t="shared" si="37"/>
        <v>0</v>
      </c>
      <c r="P192" s="216">
        <f t="shared" si="38"/>
        <v>0</v>
      </c>
      <c r="Q192" s="150">
        <f t="shared" si="35"/>
        <v>0</v>
      </c>
      <c r="S192" s="143">
        <f t="shared" si="32"/>
        <v>0</v>
      </c>
      <c r="X192" s="143">
        <f t="shared" si="33"/>
        <v>0</v>
      </c>
      <c r="Y192" s="143" t="s">
        <v>404</v>
      </c>
    </row>
    <row r="193" spans="1:25" ht="12.75" customHeight="1" x14ac:dyDescent="0.2">
      <c r="A193" s="143" t="s">
        <v>296</v>
      </c>
      <c r="G193" s="143" t="s">
        <v>405</v>
      </c>
      <c r="J193" s="147" t="s">
        <v>309</v>
      </c>
      <c r="K193" s="149">
        <f t="shared" si="29"/>
        <v>0</v>
      </c>
      <c r="L193" s="149">
        <f t="shared" si="30"/>
        <v>0</v>
      </c>
      <c r="M193" s="149">
        <f t="shared" si="31"/>
        <v>0</v>
      </c>
      <c r="N193" s="149"/>
      <c r="O193" s="149">
        <f t="shared" si="36"/>
        <v>0</v>
      </c>
      <c r="P193" s="216">
        <f t="shared" si="38"/>
        <v>0</v>
      </c>
      <c r="Q193" s="150">
        <f t="shared" si="35"/>
        <v>0</v>
      </c>
      <c r="S193" s="143">
        <f t="shared" si="32"/>
        <v>0</v>
      </c>
      <c r="X193" s="143">
        <f t="shared" si="33"/>
        <v>0</v>
      </c>
      <c r="Y193" s="143" t="s">
        <v>406</v>
      </c>
    </row>
    <row r="194" spans="1:25" s="228" customFormat="1" ht="12.75" customHeight="1" x14ac:dyDescent="0.2">
      <c r="A194" s="228" t="s">
        <v>296</v>
      </c>
      <c r="B194" s="229"/>
      <c r="G194" s="228" t="s">
        <v>81</v>
      </c>
      <c r="I194" s="230"/>
      <c r="J194" s="231" t="s">
        <v>390</v>
      </c>
      <c r="K194" s="232">
        <f t="shared" si="29"/>
        <v>0</v>
      </c>
      <c r="L194" s="232">
        <f t="shared" si="30"/>
        <v>0</v>
      </c>
      <c r="M194" s="232">
        <f t="shared" si="31"/>
        <v>0</v>
      </c>
      <c r="N194" s="232"/>
      <c r="O194" s="232">
        <f>SUM(K194:N194)*embed</f>
        <v>0</v>
      </c>
      <c r="P194" s="233">
        <f t="shared" si="38"/>
        <v>0</v>
      </c>
      <c r="Q194" s="234">
        <f t="shared" si="35"/>
        <v>0</v>
      </c>
      <c r="S194" s="228">
        <f t="shared" si="32"/>
        <v>0</v>
      </c>
      <c r="X194" s="228">
        <f t="shared" si="33"/>
        <v>0</v>
      </c>
      <c r="Y194" s="228" t="s">
        <v>407</v>
      </c>
    </row>
    <row r="195" spans="1:25" s="228" customFormat="1" ht="12.75" customHeight="1" x14ac:dyDescent="0.2">
      <c r="A195" s="228" t="s">
        <v>296</v>
      </c>
      <c r="B195" s="229"/>
      <c r="G195" s="228" t="s">
        <v>408</v>
      </c>
      <c r="I195" s="230"/>
      <c r="J195" s="231" t="s">
        <v>390</v>
      </c>
      <c r="K195" s="232">
        <f t="shared" si="29"/>
        <v>0</v>
      </c>
      <c r="L195" s="232">
        <f t="shared" si="30"/>
        <v>0</v>
      </c>
      <c r="M195" s="232">
        <f t="shared" si="31"/>
        <v>0</v>
      </c>
      <c r="N195" s="232"/>
      <c r="O195" s="232">
        <f>SUM(K195:N195)*embed</f>
        <v>0</v>
      </c>
      <c r="P195" s="233">
        <f t="shared" si="38"/>
        <v>0</v>
      </c>
      <c r="Q195" s="234">
        <f t="shared" si="35"/>
        <v>0</v>
      </c>
      <c r="S195" s="228">
        <f t="shared" si="32"/>
        <v>0</v>
      </c>
      <c r="X195" s="228">
        <f t="shared" si="33"/>
        <v>0</v>
      </c>
      <c r="Y195" s="228" t="s">
        <v>409</v>
      </c>
    </row>
    <row r="196" spans="1:25" x14ac:dyDescent="0.2">
      <c r="A196" s="143" t="s">
        <v>296</v>
      </c>
      <c r="K196" s="149">
        <f t="shared" si="29"/>
        <v>0</v>
      </c>
      <c r="L196" s="149">
        <f t="shared" si="30"/>
        <v>0</v>
      </c>
      <c r="M196" s="149">
        <f t="shared" si="31"/>
        <v>0</v>
      </c>
      <c r="N196" s="149"/>
      <c r="O196" s="149">
        <f t="shared" si="36"/>
        <v>0</v>
      </c>
      <c r="P196" s="216">
        <f t="shared" si="38"/>
        <v>0</v>
      </c>
      <c r="Q196" s="150">
        <f>IF(O196=0,0,IF(X196=0,"manual",O196/((R196*tax*markup*IF(Y196&lt;&gt;"",VLOOKUP(LEFT(Y196,2),cityindex,2,0),1))+S196*markup*difficulty*IF(Y196&lt;&gt;"",VLOOKUP(LEFT(Y196,2),cityindex,3,0),1)+W196*markup*difficulty*IF(Y196&lt;&gt;"",VLOOKUP(LEFT(Y196,2),cityindex,3,0),1))))</f>
        <v>0</v>
      </c>
      <c r="S196" s="143">
        <f t="shared" si="32"/>
        <v>0</v>
      </c>
      <c r="X196" s="143">
        <f t="shared" si="33"/>
        <v>0</v>
      </c>
    </row>
    <row r="197" spans="1:25" x14ac:dyDescent="0.2">
      <c r="A197" s="143" t="s">
        <v>330</v>
      </c>
      <c r="E197" s="143" t="s">
        <v>410</v>
      </c>
      <c r="K197" s="149">
        <f t="shared" ref="K197:K216" si="39">R197*tax*markup*IF(Y197&lt;&gt;"",VLOOKUP(LEFT(Y197,2),cityindex,2,0),1)</f>
        <v>0</v>
      </c>
      <c r="L197" s="149">
        <f t="shared" ref="L197:L216" si="40">S197*markup*difficulty*IF(Y197&lt;&gt;"",VLOOKUP(LEFT(Y197,2),cityindex,3,0),1)</f>
        <v>0</v>
      </c>
      <c r="M197" s="149">
        <f t="shared" ref="M197:M216" si="41">W197*markup*difficulty*IF(Y197&lt;&gt;"",VLOOKUP(LEFT(Y197,2),cityindex,3,0),1)</f>
        <v>0</v>
      </c>
      <c r="N197" s="149"/>
      <c r="O197" s="149">
        <f t="shared" si="36"/>
        <v>0</v>
      </c>
      <c r="P197" s="216">
        <f t="shared" si="38"/>
        <v>0</v>
      </c>
      <c r="Q197" s="150">
        <f>IF(O197=0,0,IF(X197=0,"manual",O197/((R197*tax*markup*IF(Y197&lt;&gt;"",VLOOKUP(LEFT(Y197,2),cityindex,2,0),1))+S197*markup*difficulty*IF(Y197&lt;&gt;"",VLOOKUP(LEFT(Y197,2),cityindex,3,0),1)+W197*markup*difficulty*IF(Y197&lt;&gt;"",VLOOKUP(LEFT(Y197,2),cityindex,3,0),1))))</f>
        <v>0</v>
      </c>
      <c r="S197" s="143">
        <f t="shared" si="32"/>
        <v>0</v>
      </c>
      <c r="X197" s="143">
        <f t="shared" si="33"/>
        <v>0</v>
      </c>
    </row>
    <row r="198" spans="1:25" ht="12.75" customHeight="1" x14ac:dyDescent="0.2">
      <c r="A198" s="143" t="s">
        <v>399</v>
      </c>
      <c r="F198" s="226" t="s">
        <v>411</v>
      </c>
      <c r="K198" s="149">
        <f t="shared" si="39"/>
        <v>0</v>
      </c>
      <c r="L198" s="149">
        <f t="shared" si="40"/>
        <v>0</v>
      </c>
      <c r="M198" s="149">
        <f t="shared" si="41"/>
        <v>0</v>
      </c>
      <c r="N198" s="149"/>
      <c r="O198" s="149">
        <f t="shared" si="36"/>
        <v>0</v>
      </c>
      <c r="P198" s="216">
        <f t="shared" si="38"/>
        <v>0</v>
      </c>
      <c r="Q198" s="150">
        <f t="shared" ref="Q198:Q204" si="42">IF(O198=0,0,IF(X198=0,"manual",(O198/(R198*tax*markup*IF(Y198&lt;&gt;"",VLOOKUP(LEFT(Y198,2),cityindex,2,0),1)+S198*markup*difficulty*IF(Y198&lt;&gt;"",VLOOKUP(LEFT(Y198,2),cityindex,3,0),1)+W198*markup*difficulty*IF(Y198&lt;&gt;"",VLOOKUP(LEFT(Y198,2),cityindex,3,0),1)))-1))</f>
        <v>0</v>
      </c>
      <c r="S198" s="143">
        <f t="shared" si="32"/>
        <v>0</v>
      </c>
      <c r="X198" s="143">
        <f t="shared" si="33"/>
        <v>0</v>
      </c>
    </row>
    <row r="199" spans="1:25" ht="12.75" customHeight="1" x14ac:dyDescent="0.2">
      <c r="A199" s="143" t="s">
        <v>330</v>
      </c>
      <c r="F199" s="143" t="s">
        <v>335</v>
      </c>
      <c r="J199" s="147" t="s">
        <v>301</v>
      </c>
      <c r="K199" s="149">
        <f t="shared" si="39"/>
        <v>0</v>
      </c>
      <c r="L199" s="149">
        <f t="shared" si="40"/>
        <v>0</v>
      </c>
      <c r="M199" s="149">
        <f t="shared" si="41"/>
        <v>0</v>
      </c>
      <c r="N199" s="149"/>
      <c r="O199" s="149">
        <f t="shared" si="36"/>
        <v>0</v>
      </c>
      <c r="P199" s="216">
        <f t="shared" si="38"/>
        <v>0</v>
      </c>
      <c r="Q199" s="150">
        <f t="shared" si="42"/>
        <v>0</v>
      </c>
      <c r="S199" s="143">
        <f t="shared" si="32"/>
        <v>0</v>
      </c>
      <c r="X199" s="143">
        <f t="shared" si="33"/>
        <v>0</v>
      </c>
      <c r="Y199" s="143" t="s">
        <v>412</v>
      </c>
    </row>
    <row r="200" spans="1:25" ht="12.75" customHeight="1" x14ac:dyDescent="0.2">
      <c r="A200" s="143" t="s">
        <v>399</v>
      </c>
      <c r="F200" s="226" t="s">
        <v>413</v>
      </c>
      <c r="K200" s="149">
        <f t="shared" si="39"/>
        <v>0</v>
      </c>
      <c r="L200" s="149">
        <f t="shared" si="40"/>
        <v>0</v>
      </c>
      <c r="M200" s="149">
        <f t="shared" si="41"/>
        <v>0</v>
      </c>
      <c r="N200" s="149"/>
      <c r="O200" s="149">
        <f t="shared" si="36"/>
        <v>0</v>
      </c>
      <c r="P200" s="216">
        <f t="shared" si="38"/>
        <v>0</v>
      </c>
      <c r="Q200" s="150">
        <f t="shared" si="42"/>
        <v>0</v>
      </c>
      <c r="S200" s="143">
        <f t="shared" si="32"/>
        <v>0</v>
      </c>
      <c r="X200" s="143">
        <f t="shared" si="33"/>
        <v>0</v>
      </c>
    </row>
    <row r="201" spans="1:25" ht="12.75" customHeight="1" x14ac:dyDescent="0.2">
      <c r="A201" s="143" t="s">
        <v>330</v>
      </c>
      <c r="F201" s="143" t="s">
        <v>340</v>
      </c>
      <c r="J201" s="147" t="s">
        <v>333</v>
      </c>
      <c r="K201" s="149">
        <f t="shared" si="39"/>
        <v>0</v>
      </c>
      <c r="L201" s="149">
        <f t="shared" si="40"/>
        <v>0</v>
      </c>
      <c r="M201" s="149">
        <f t="shared" si="41"/>
        <v>0</v>
      </c>
      <c r="N201" s="149"/>
      <c r="O201" s="149">
        <f t="shared" si="36"/>
        <v>0</v>
      </c>
      <c r="P201" s="216">
        <f t="shared" si="38"/>
        <v>0</v>
      </c>
      <c r="Q201" s="150">
        <f t="shared" si="42"/>
        <v>0</v>
      </c>
      <c r="S201" s="143">
        <f t="shared" si="32"/>
        <v>0</v>
      </c>
      <c r="X201" s="143">
        <f t="shared" si="33"/>
        <v>0</v>
      </c>
      <c r="Y201" s="143" t="s">
        <v>414</v>
      </c>
    </row>
    <row r="202" spans="1:25" ht="12.75" customHeight="1" x14ac:dyDescent="0.2">
      <c r="A202" s="143" t="s">
        <v>399</v>
      </c>
      <c r="F202" s="226" t="s">
        <v>415</v>
      </c>
      <c r="K202" s="149">
        <f t="shared" si="39"/>
        <v>0</v>
      </c>
      <c r="L202" s="149">
        <f t="shared" si="40"/>
        <v>0</v>
      </c>
      <c r="M202" s="149">
        <f t="shared" si="41"/>
        <v>0</v>
      </c>
      <c r="N202" s="149"/>
      <c r="O202" s="149">
        <f t="shared" si="36"/>
        <v>0</v>
      </c>
      <c r="P202" s="216">
        <f t="shared" si="38"/>
        <v>0</v>
      </c>
      <c r="Q202" s="150">
        <f t="shared" si="42"/>
        <v>0</v>
      </c>
      <c r="S202" s="143">
        <f t="shared" si="32"/>
        <v>0</v>
      </c>
      <c r="X202" s="143">
        <f t="shared" si="33"/>
        <v>0</v>
      </c>
    </row>
    <row r="203" spans="1:25" ht="12.75" customHeight="1" x14ac:dyDescent="0.2">
      <c r="A203" s="143" t="s">
        <v>330</v>
      </c>
      <c r="F203" s="143" t="s">
        <v>337</v>
      </c>
      <c r="J203" s="147" t="s">
        <v>361</v>
      </c>
      <c r="K203" s="149">
        <f t="shared" si="39"/>
        <v>0</v>
      </c>
      <c r="L203" s="149">
        <f t="shared" si="40"/>
        <v>0</v>
      </c>
      <c r="M203" s="149">
        <f t="shared" si="41"/>
        <v>0</v>
      </c>
      <c r="N203" s="149"/>
      <c r="O203" s="149">
        <f t="shared" si="36"/>
        <v>0</v>
      </c>
      <c r="P203" s="216">
        <f t="shared" si="38"/>
        <v>0</v>
      </c>
      <c r="Q203" s="150">
        <f t="shared" si="42"/>
        <v>0</v>
      </c>
      <c r="S203" s="143">
        <f t="shared" si="32"/>
        <v>0</v>
      </c>
      <c r="X203" s="143">
        <f t="shared" si="33"/>
        <v>0</v>
      </c>
      <c r="Y203" s="143" t="s">
        <v>339</v>
      </c>
    </row>
    <row r="204" spans="1:25" ht="12.75" customHeight="1" x14ac:dyDescent="0.2">
      <c r="A204" s="143" t="s">
        <v>330</v>
      </c>
      <c r="F204" s="143" t="s">
        <v>416</v>
      </c>
      <c r="J204" s="147" t="s">
        <v>301</v>
      </c>
      <c r="K204" s="149">
        <f t="shared" si="39"/>
        <v>0</v>
      </c>
      <c r="L204" s="149">
        <f t="shared" si="40"/>
        <v>0</v>
      </c>
      <c r="M204" s="149">
        <f t="shared" si="41"/>
        <v>0</v>
      </c>
      <c r="N204" s="149"/>
      <c r="O204" s="149">
        <f t="shared" si="36"/>
        <v>0</v>
      </c>
      <c r="P204" s="216">
        <f t="shared" si="38"/>
        <v>0</v>
      </c>
      <c r="Q204" s="150">
        <f t="shared" si="42"/>
        <v>0</v>
      </c>
      <c r="S204" s="143">
        <f t="shared" si="32"/>
        <v>0</v>
      </c>
      <c r="X204" s="143">
        <f t="shared" si="33"/>
        <v>0</v>
      </c>
      <c r="Y204" s="143" t="s">
        <v>417</v>
      </c>
    </row>
    <row r="205" spans="1:25" ht="12.75" customHeight="1" x14ac:dyDescent="0.2">
      <c r="A205" s="143" t="s">
        <v>330</v>
      </c>
      <c r="F205" s="143" t="s">
        <v>403</v>
      </c>
      <c r="J205" s="147" t="s">
        <v>301</v>
      </c>
      <c r="K205" s="149">
        <f t="shared" si="39"/>
        <v>0</v>
      </c>
      <c r="L205" s="149">
        <f t="shared" si="40"/>
        <v>0</v>
      </c>
      <c r="M205" s="149">
        <f t="shared" si="41"/>
        <v>0</v>
      </c>
      <c r="N205" s="149"/>
      <c r="O205" s="149">
        <f t="shared" si="36"/>
        <v>0</v>
      </c>
      <c r="P205" s="216">
        <f t="shared" si="38"/>
        <v>0</v>
      </c>
      <c r="Q205" s="150">
        <f>IF(O205=0,0,IF(X205=0,"manual",(O205/(R205*tax*markup*IF(Y205&lt;&gt;"",VLOOKUP(LEFT(Y205,2),cityindex,2,0),1)+S205*markup*difficulty*IF(Y205&lt;&gt;"",VLOOKUP(LEFT(Y205,2),cityindex,3,0),1)+W205*markup*difficulty*IF(Y205&lt;&gt;"",VLOOKUP(LEFT(Y205,2),cityindex,3,0),1)))-1))</f>
        <v>0</v>
      </c>
      <c r="S205" s="143">
        <f t="shared" si="32"/>
        <v>0</v>
      </c>
      <c r="X205" s="143">
        <f t="shared" si="33"/>
        <v>0</v>
      </c>
      <c r="Y205" s="143" t="s">
        <v>404</v>
      </c>
    </row>
    <row r="206" spans="1:25" ht="12.75" customHeight="1" x14ac:dyDescent="0.2">
      <c r="A206" s="143" t="s">
        <v>330</v>
      </c>
      <c r="K206" s="149">
        <f>R206*tax*markup*IF(Y206&lt;&gt;"",VLOOKUP(LEFT(Y206,2),cityindex,2,0),1)</f>
        <v>0</v>
      </c>
      <c r="L206" s="149">
        <f>S206*markup*difficulty*IF(Y206&lt;&gt;"",VLOOKUP(LEFT(Y206,2),cityindex,3,0),1)</f>
        <v>0</v>
      </c>
      <c r="M206" s="149">
        <f>W206*markup*difficulty*IF(Y206&lt;&gt;"",VLOOKUP(LEFT(Y206,2),cityindex,3,0),1)</f>
        <v>0</v>
      </c>
      <c r="N206" s="149"/>
      <c r="O206" s="149">
        <f t="shared" si="36"/>
        <v>0</v>
      </c>
      <c r="P206" s="216">
        <f t="shared" si="38"/>
        <v>0</v>
      </c>
      <c r="Q206" s="150">
        <f>IF(O206=0,0,IF(X206=0,"manual",(O206/(R206*tax*markup*IF(Y206&lt;&gt;"",VLOOKUP(LEFT(Y206,2),cityindex,2,0),1)+S206*markup*difficulty*IF(Y206&lt;&gt;"",VLOOKUP(LEFT(Y206,2),cityindex,3,0),1)+W206*markup*difficulty*IF(Y206&lt;&gt;"",VLOOKUP(LEFT(Y206,2),cityindex,3,0),1)))-1))</f>
        <v>0</v>
      </c>
      <c r="S206" s="143">
        <f t="shared" si="32"/>
        <v>0</v>
      </c>
      <c r="X206" s="143">
        <f t="shared" si="33"/>
        <v>0</v>
      </c>
    </row>
    <row r="207" spans="1:25" s="228" customFormat="1" ht="12.75" customHeight="1" x14ac:dyDescent="0.2">
      <c r="A207" s="228" t="s">
        <v>418</v>
      </c>
      <c r="B207" s="229"/>
      <c r="F207" s="236" t="s">
        <v>419</v>
      </c>
      <c r="I207" s="230"/>
      <c r="J207" s="231"/>
      <c r="K207" s="232">
        <f>R207*tax*markup*IF(Y207&lt;&gt;"",VLOOKUP(LEFT(Y207,2),cityindex,2,0),1)</f>
        <v>0</v>
      </c>
      <c r="L207" s="232">
        <f>S207*markup*difficulty*IF(Y207&lt;&gt;"",VLOOKUP(LEFT(Y207,2),cityindex,3,0),1)</f>
        <v>0</v>
      </c>
      <c r="M207" s="232">
        <f>W207*markup*difficulty*IF(Y207&lt;&gt;"",VLOOKUP(LEFT(Y207,2),cityindex,3,0),1)</f>
        <v>0</v>
      </c>
      <c r="N207" s="232"/>
      <c r="O207" s="232">
        <f>SUM(K207:N207)*embed</f>
        <v>0</v>
      </c>
      <c r="P207" s="233">
        <f t="shared" si="38"/>
        <v>0</v>
      </c>
      <c r="Q207" s="234">
        <f>IF(O207=0,0,IF(X207=0,"manual",(O207/(R207*tax*markup*IF(Y207&lt;&gt;"",VLOOKUP(LEFT(Y207,2),cityindex,2,0),1)+S207*markup*difficulty*IF(Y207&lt;&gt;"",VLOOKUP(LEFT(Y207,2),cityindex,3,0),1)+W207*markup*difficulty*IF(Y207&lt;&gt;"",VLOOKUP(LEFT(Y207,2),cityindex,3,0),1)))-1))</f>
        <v>0</v>
      </c>
      <c r="S207" s="228">
        <f t="shared" si="32"/>
        <v>0</v>
      </c>
      <c r="X207" s="228">
        <f t="shared" si="33"/>
        <v>0</v>
      </c>
    </row>
    <row r="208" spans="1:25" ht="12.75" customHeight="1" x14ac:dyDescent="0.2">
      <c r="A208" s="143" t="s">
        <v>351</v>
      </c>
      <c r="F208" s="143" t="s">
        <v>420</v>
      </c>
      <c r="J208" s="147" t="s">
        <v>301</v>
      </c>
      <c r="K208" s="149">
        <f>R208*tax*markup*IF(Y208&lt;&gt;"",VLOOKUP(LEFT(Y208,2),cityindex,2,0),1)</f>
        <v>0</v>
      </c>
      <c r="L208" s="149">
        <f>S208*markup*difficulty*IF(Y208&lt;&gt;"",VLOOKUP(LEFT(Y208,2),cityindex,3,0),1)</f>
        <v>0</v>
      </c>
      <c r="M208" s="149">
        <f>W208*markup*difficulty*IF(Y208&lt;&gt;"",VLOOKUP(LEFT(Y208,2),cityindex,3,0),1)</f>
        <v>0</v>
      </c>
      <c r="N208" s="149"/>
      <c r="O208" s="149">
        <f>SUM(K208:N208)*embed</f>
        <v>0</v>
      </c>
      <c r="P208" s="216">
        <f t="shared" si="38"/>
        <v>0</v>
      </c>
      <c r="Q208" s="150">
        <f>IF(O208=0,0,IF(X208=0,"manual",(O208/(R208*tax*markup*IF(Y208&lt;&gt;"",VLOOKUP(LEFT(Y208,2),cityindex,2,0),1)+S208*markup*difficulty*IF(Y208&lt;&gt;"",VLOOKUP(LEFT(Y208,2),cityindex,3,0),1)+W208*markup*difficulty*IF(Y208&lt;&gt;"",VLOOKUP(LEFT(Y208,2),cityindex,3,0),1)))-1))</f>
        <v>0</v>
      </c>
      <c r="S208" s="143">
        <f t="shared" si="32"/>
        <v>0</v>
      </c>
      <c r="X208" s="143">
        <f t="shared" si="33"/>
        <v>0</v>
      </c>
      <c r="Y208" s="143" t="s">
        <v>421</v>
      </c>
    </row>
    <row r="209" spans="1:26" x14ac:dyDescent="0.2">
      <c r="A209" s="143" t="s">
        <v>351</v>
      </c>
      <c r="K209" s="149">
        <f t="shared" si="39"/>
        <v>0</v>
      </c>
      <c r="L209" s="149">
        <f t="shared" si="40"/>
        <v>0</v>
      </c>
      <c r="M209" s="149">
        <f t="shared" si="41"/>
        <v>0</v>
      </c>
      <c r="N209" s="149"/>
      <c r="O209" s="149">
        <f t="shared" si="36"/>
        <v>0</v>
      </c>
      <c r="P209" s="216">
        <f t="shared" si="38"/>
        <v>0</v>
      </c>
      <c r="Q209" s="150">
        <f>IF(O209=0,0,IF(X209=0,"manual",O209/((R209*tax*markup*IF(Y209&lt;&gt;"",VLOOKUP(LEFT(Y209,2),cityindex,2,0),1))+S209*markup*difficulty*IF(Y209&lt;&gt;"",VLOOKUP(LEFT(Y209,2),cityindex,3,0),1)+W209*markup*difficulty*IF(Y209&lt;&gt;"",VLOOKUP(LEFT(Y209,2),cityindex,3,0),1))))</f>
        <v>0</v>
      </c>
      <c r="S209" s="143">
        <f t="shared" si="32"/>
        <v>0</v>
      </c>
      <c r="X209" s="143">
        <f t="shared" si="33"/>
        <v>0</v>
      </c>
    </row>
    <row r="210" spans="1:26" x14ac:dyDescent="0.2">
      <c r="A210" s="143" t="s">
        <v>330</v>
      </c>
      <c r="E210" s="143" t="s">
        <v>422</v>
      </c>
      <c r="K210" s="149">
        <f t="shared" si="39"/>
        <v>0</v>
      </c>
      <c r="L210" s="149">
        <f t="shared" si="40"/>
        <v>0</v>
      </c>
      <c r="M210" s="149">
        <f t="shared" si="41"/>
        <v>0</v>
      </c>
      <c r="N210" s="149"/>
      <c r="O210" s="149">
        <f t="shared" si="36"/>
        <v>0</v>
      </c>
      <c r="P210" s="216">
        <f t="shared" si="38"/>
        <v>0</v>
      </c>
      <c r="Q210" s="150">
        <f>IF(O210=0,0,IF(X210=0,"manual",O210/((R210*tax*markup*IF(Y210&lt;&gt;"",VLOOKUP(LEFT(Y210,2),cityindex,2,0),1))+S210*markup*difficulty*IF(Y210&lt;&gt;"",VLOOKUP(LEFT(Y210,2),cityindex,3,0),1)+W210*markup*difficulty*IF(Y210&lt;&gt;"",VLOOKUP(LEFT(Y210,2),cityindex,3,0),1))))</f>
        <v>0</v>
      </c>
      <c r="S210" s="143">
        <f t="shared" si="32"/>
        <v>0</v>
      </c>
      <c r="X210" s="143">
        <f t="shared" si="33"/>
        <v>0</v>
      </c>
      <c r="Z210" s="227"/>
    </row>
    <row r="211" spans="1:26" ht="12.75" customHeight="1" x14ac:dyDescent="0.2">
      <c r="A211" s="143" t="s">
        <v>330</v>
      </c>
      <c r="F211" s="143" t="s">
        <v>423</v>
      </c>
      <c r="J211" s="147" t="s">
        <v>333</v>
      </c>
      <c r="K211" s="149">
        <f t="shared" si="39"/>
        <v>0</v>
      </c>
      <c r="L211" s="149">
        <f t="shared" si="40"/>
        <v>0</v>
      </c>
      <c r="M211" s="149">
        <f t="shared" si="41"/>
        <v>0</v>
      </c>
      <c r="N211" s="149"/>
      <c r="O211" s="149">
        <f t="shared" si="36"/>
        <v>0</v>
      </c>
      <c r="P211" s="216">
        <f t="shared" si="38"/>
        <v>0</v>
      </c>
      <c r="Q211" s="150">
        <f>IF(O211=0,0,IF(X211=0,"manual",(O211/(R211*tax*markup*IF(Y211&lt;&gt;"",VLOOKUP(LEFT(Y211,2),cityindex,2,0),1)+S211*markup*difficulty*IF(Y211&lt;&gt;"",VLOOKUP(LEFT(Y211,2),cityindex,3,0),1)+W211*markup*difficulty*IF(Y211&lt;&gt;"",VLOOKUP(LEFT(Y211,2),cityindex,3,0),1)))-1))</f>
        <v>0</v>
      </c>
      <c r="S211" s="143">
        <f t="shared" si="32"/>
        <v>0</v>
      </c>
      <c r="X211" s="143">
        <f t="shared" si="33"/>
        <v>0</v>
      </c>
      <c r="Y211" s="143" t="s">
        <v>424</v>
      </c>
    </row>
    <row r="212" spans="1:26" ht="12.75" customHeight="1" x14ac:dyDescent="0.2">
      <c r="A212" s="143" t="s">
        <v>330</v>
      </c>
      <c r="F212" s="143" t="s">
        <v>423</v>
      </c>
      <c r="J212" s="147" t="s">
        <v>301</v>
      </c>
      <c r="K212" s="149">
        <f t="shared" si="39"/>
        <v>0</v>
      </c>
      <c r="L212" s="149">
        <f t="shared" si="40"/>
        <v>0</v>
      </c>
      <c r="M212" s="149">
        <f t="shared" si="41"/>
        <v>0</v>
      </c>
      <c r="N212" s="149"/>
      <c r="O212" s="149">
        <f t="shared" si="36"/>
        <v>0</v>
      </c>
      <c r="P212" s="216">
        <f t="shared" si="38"/>
        <v>0</v>
      </c>
      <c r="Q212" s="150">
        <f>IF(O212=0,0,IF(X212=0,"manual",(O212/(R212*tax*markup*IF(Y212&lt;&gt;"",VLOOKUP(LEFT(Y212,2),cityindex,2,0),1)+S212*markup*difficulty*IF(Y212&lt;&gt;"",VLOOKUP(LEFT(Y212,2),cityindex,3,0),1)+W212*markup*difficulty*IF(Y212&lt;&gt;"",VLOOKUP(LEFT(Y212,2),cityindex,3,0),1)))-1))</f>
        <v>0</v>
      </c>
      <c r="S212" s="143">
        <f t="shared" si="32"/>
        <v>0</v>
      </c>
      <c r="X212" s="143">
        <f t="shared" si="33"/>
        <v>0</v>
      </c>
      <c r="Y212" s="143" t="s">
        <v>425</v>
      </c>
    </row>
    <row r="213" spans="1:26" ht="12.75" customHeight="1" x14ac:dyDescent="0.2">
      <c r="A213" s="143" t="s">
        <v>330</v>
      </c>
      <c r="G213" s="143" t="s">
        <v>368</v>
      </c>
      <c r="J213" s="147" t="s">
        <v>301</v>
      </c>
      <c r="K213" s="149">
        <f t="shared" si="39"/>
        <v>0</v>
      </c>
      <c r="L213" s="149">
        <f t="shared" si="40"/>
        <v>0</v>
      </c>
      <c r="M213" s="149">
        <f t="shared" si="41"/>
        <v>0</v>
      </c>
      <c r="N213" s="149"/>
      <c r="O213" s="149">
        <f t="shared" si="36"/>
        <v>0</v>
      </c>
      <c r="P213" s="216">
        <f t="shared" si="38"/>
        <v>0</v>
      </c>
      <c r="Q213" s="150">
        <f>IF(O213=0,0,IF(X213=0,"manual",(O213/(R213*tax*markup*IF(Y213&lt;&gt;"",VLOOKUP(LEFT(Y213,2),cityindex,2,0),1)+S213*markup*difficulty*IF(Y213&lt;&gt;"",VLOOKUP(LEFT(Y213,2),cityindex,3,0),1)+W213*markup*difficulty*IF(Y213&lt;&gt;"",VLOOKUP(LEFT(Y213,2),cityindex,3,0),1)))-1))</f>
        <v>0</v>
      </c>
      <c r="S213" s="143">
        <f t="shared" si="32"/>
        <v>0</v>
      </c>
      <c r="X213" s="143">
        <f t="shared" si="33"/>
        <v>0</v>
      </c>
      <c r="Y213" s="143" t="s">
        <v>369</v>
      </c>
    </row>
    <row r="214" spans="1:26" ht="12.75" customHeight="1" x14ac:dyDescent="0.2">
      <c r="A214" s="143" t="s">
        <v>330</v>
      </c>
      <c r="F214" s="143" t="s">
        <v>337</v>
      </c>
      <c r="J214" s="147" t="s">
        <v>361</v>
      </c>
      <c r="K214" s="149">
        <f t="shared" si="39"/>
        <v>0</v>
      </c>
      <c r="L214" s="149">
        <f t="shared" si="40"/>
        <v>0</v>
      </c>
      <c r="M214" s="149">
        <f t="shared" si="41"/>
        <v>0</v>
      </c>
      <c r="N214" s="149"/>
      <c r="O214" s="149">
        <f t="shared" si="36"/>
        <v>0</v>
      </c>
      <c r="P214" s="216">
        <f t="shared" si="38"/>
        <v>0</v>
      </c>
      <c r="Q214" s="150">
        <f>IF(O214=0,0,IF(X214=0,"manual",(O214/(R214*tax*markup*IF(Y214&lt;&gt;"",VLOOKUP(LEFT(Y214,2),cityindex,2,0),1)+S214*markup*difficulty*IF(Y214&lt;&gt;"",VLOOKUP(LEFT(Y214,2),cityindex,3,0),1)+W214*markup*difficulty*IF(Y214&lt;&gt;"",VLOOKUP(LEFT(Y214,2),cityindex,3,0),1)))-1))</f>
        <v>0</v>
      </c>
      <c r="S214" s="143">
        <f t="shared" si="32"/>
        <v>0</v>
      </c>
      <c r="X214" s="143">
        <f t="shared" si="33"/>
        <v>0</v>
      </c>
      <c r="Y214" s="143" t="s">
        <v>339</v>
      </c>
    </row>
    <row r="215" spans="1:26" ht="12.75" customHeight="1" x14ac:dyDescent="0.2">
      <c r="A215" s="143" t="s">
        <v>330</v>
      </c>
      <c r="F215" s="143" t="s">
        <v>426</v>
      </c>
      <c r="J215" s="147" t="s">
        <v>301</v>
      </c>
      <c r="K215" s="149">
        <f t="shared" si="39"/>
        <v>0</v>
      </c>
      <c r="L215" s="149">
        <f t="shared" si="40"/>
        <v>0</v>
      </c>
      <c r="M215" s="149">
        <f t="shared" si="41"/>
        <v>0</v>
      </c>
      <c r="N215" s="149"/>
      <c r="O215" s="149">
        <f t="shared" si="36"/>
        <v>0</v>
      </c>
      <c r="P215" s="216">
        <f t="shared" si="38"/>
        <v>0</v>
      </c>
      <c r="Q215" s="150">
        <f>IF(O215=0,0,IF(X215=0,"manual",(O215/(R215*tax*markup*IF(Y215&lt;&gt;"",VLOOKUP(LEFT(Y215,2),cityindex,2,0),1)+S215*markup*difficulty*IF(Y215&lt;&gt;"",VLOOKUP(LEFT(Y215,2),cityindex,3,0),1)+W215*markup*difficulty*IF(Y215&lt;&gt;"",VLOOKUP(LEFT(Y215,2),cityindex,3,0),1)))-1))</f>
        <v>0</v>
      </c>
      <c r="S215" s="143">
        <f t="shared" si="32"/>
        <v>0</v>
      </c>
      <c r="X215" s="143">
        <f t="shared" si="33"/>
        <v>0</v>
      </c>
      <c r="Y215" s="143" t="s">
        <v>427</v>
      </c>
    </row>
    <row r="216" spans="1:26" x14ac:dyDescent="0.2">
      <c r="A216" s="143" t="s">
        <v>330</v>
      </c>
      <c r="K216" s="149">
        <f t="shared" si="39"/>
        <v>0</v>
      </c>
      <c r="L216" s="149">
        <f t="shared" si="40"/>
        <v>0</v>
      </c>
      <c r="M216" s="149">
        <f t="shared" si="41"/>
        <v>0</v>
      </c>
      <c r="N216" s="149"/>
      <c r="O216" s="149">
        <f t="shared" si="36"/>
        <v>0</v>
      </c>
      <c r="P216" s="216">
        <f t="shared" si="38"/>
        <v>0</v>
      </c>
      <c r="Q216" s="150">
        <f>IF(O216=0,0,IF(X216=0,"manual",O216/((R216*tax*markup*IF(Y216&lt;&gt;"",VLOOKUP(LEFT(Y216,2),cityindex,2,0),1))+S216*markup*difficulty*IF(Y216&lt;&gt;"",VLOOKUP(LEFT(Y216,2),cityindex,3,0),1)+W216*markup*difficulty*IF(Y216&lt;&gt;"",VLOOKUP(LEFT(Y216,2),cityindex,3,0),1))))</f>
        <v>0</v>
      </c>
      <c r="S216" s="143">
        <f t="shared" si="32"/>
        <v>0</v>
      </c>
      <c r="X216" s="143">
        <f t="shared" si="33"/>
        <v>0</v>
      </c>
      <c r="Z216" s="227"/>
    </row>
    <row r="217" spans="1:26" ht="12.75" customHeight="1" x14ac:dyDescent="0.2">
      <c r="A217" s="143" t="s">
        <v>298</v>
      </c>
      <c r="E217" s="226" t="s">
        <v>428</v>
      </c>
      <c r="K217" s="149">
        <f>R217*tax*markup*IF(Y217&lt;&gt;"",VLOOKUP(LEFT(Y217,2),cityindex,2,0),1)</f>
        <v>0</v>
      </c>
      <c r="L217" s="149">
        <f>S217*markup*difficulty*IF(Y217&lt;&gt;"",VLOOKUP(LEFT(Y217,2),cityindex,3,0),1)</f>
        <v>0</v>
      </c>
      <c r="M217" s="149">
        <f>W217*markup*difficulty*IF(Y217&lt;&gt;"",VLOOKUP(LEFT(Y217,2),cityindex,3,0),1)</f>
        <v>0</v>
      </c>
      <c r="N217" s="149"/>
      <c r="O217" s="149">
        <f>SUM(K217:N217)*embed</f>
        <v>0</v>
      </c>
      <c r="P217" s="216">
        <f>ROUND((O217*I217),0)</f>
        <v>0</v>
      </c>
      <c r="Q217" s="150">
        <f>IF(O217=0,0,IF(X217=0,"manual",(O217/(R217*tax*markup*IF(Y217&lt;&gt;"",VLOOKUP(LEFT(Y217,2),cityindex,2,0),1)+S217*markup*difficulty*IF(Y217&lt;&gt;"",VLOOKUP(LEFT(Y217,2),cityindex,3,0),1)+W217*markup*difficulty*IF(Y217&lt;&gt;"",VLOOKUP(LEFT(Y217,2),cityindex,3,0),1)))-1))</f>
        <v>0</v>
      </c>
      <c r="S217" s="143">
        <f t="shared" si="32"/>
        <v>0</v>
      </c>
      <c r="X217" s="143">
        <f t="shared" si="33"/>
        <v>0</v>
      </c>
    </row>
    <row r="218" spans="1:26" ht="12.75" customHeight="1" x14ac:dyDescent="0.2">
      <c r="A218" s="143" t="s">
        <v>330</v>
      </c>
      <c r="E218" s="143" t="s">
        <v>429</v>
      </c>
      <c r="K218" s="149">
        <f t="shared" ref="K218:K225" si="43">R218*tax*markup*IF(Y218&lt;&gt;"",VLOOKUP(LEFT(Y218,2),cityindex,2,0),1)</f>
        <v>0</v>
      </c>
      <c r="L218" s="149">
        <f t="shared" ref="L218:L225" si="44">S218*markup*difficulty*IF(Y218&lt;&gt;"",VLOOKUP(LEFT(Y218,2),cityindex,3,0),1)</f>
        <v>0</v>
      </c>
      <c r="M218" s="149">
        <f t="shared" ref="M218:M225" si="45">W218*markup*difficulty*IF(Y218&lt;&gt;"",VLOOKUP(LEFT(Y218,2),cityindex,3,0),1)</f>
        <v>0</v>
      </c>
      <c r="N218" s="149"/>
      <c r="O218" s="149">
        <f t="shared" ref="O218:O225" si="46">SUM(K218:N218)*embed</f>
        <v>0</v>
      </c>
      <c r="P218" s="216">
        <f t="shared" ref="P218:P225" si="47">ROUND((O218*I218),0)</f>
        <v>0</v>
      </c>
      <c r="Q218" s="150">
        <f t="shared" ref="Q218:Q225" si="48">IF(O218=0,0,IF(X218=0,"manual",(O218/(R218*tax*markup*IF(Y218&lt;&gt;"",VLOOKUP(LEFT(Y218,2),cityindex,2,0),1)+S218*markup*difficulty*IF(Y218&lt;&gt;"",VLOOKUP(LEFT(Y218,2),cityindex,3,0),1)+W218*markup*difficulty*IF(Y218&lt;&gt;"",VLOOKUP(LEFT(Y218,2),cityindex,3,0),1)))-1))</f>
        <v>0</v>
      </c>
      <c r="S218" s="143">
        <f t="shared" si="32"/>
        <v>0</v>
      </c>
      <c r="X218" s="143">
        <f t="shared" si="33"/>
        <v>0</v>
      </c>
    </row>
    <row r="219" spans="1:26" ht="12.75" customHeight="1" x14ac:dyDescent="0.2">
      <c r="A219" s="143" t="s">
        <v>330</v>
      </c>
      <c r="F219" s="143" t="s">
        <v>335</v>
      </c>
      <c r="J219" s="147" t="s">
        <v>301</v>
      </c>
      <c r="K219" s="149">
        <f t="shared" si="43"/>
        <v>0</v>
      </c>
      <c r="L219" s="149">
        <f t="shared" si="44"/>
        <v>0</v>
      </c>
      <c r="M219" s="149">
        <f t="shared" si="45"/>
        <v>0</v>
      </c>
      <c r="N219" s="149"/>
      <c r="O219" s="149">
        <f t="shared" si="46"/>
        <v>0</v>
      </c>
      <c r="P219" s="216">
        <f t="shared" si="47"/>
        <v>0</v>
      </c>
      <c r="Q219" s="150">
        <f t="shared" si="48"/>
        <v>0</v>
      </c>
      <c r="S219" s="143">
        <f t="shared" si="32"/>
        <v>0</v>
      </c>
      <c r="X219" s="143">
        <f t="shared" si="33"/>
        <v>0</v>
      </c>
      <c r="Y219" s="143" t="s">
        <v>430</v>
      </c>
    </row>
    <row r="220" spans="1:26" ht="12.75" customHeight="1" x14ac:dyDescent="0.2">
      <c r="A220" s="143" t="s">
        <v>330</v>
      </c>
      <c r="F220" s="143" t="s">
        <v>340</v>
      </c>
      <c r="J220" s="147" t="s">
        <v>333</v>
      </c>
      <c r="K220" s="149">
        <f t="shared" si="43"/>
        <v>0</v>
      </c>
      <c r="L220" s="149">
        <f t="shared" si="44"/>
        <v>0</v>
      </c>
      <c r="M220" s="149">
        <f t="shared" si="45"/>
        <v>0</v>
      </c>
      <c r="N220" s="149"/>
      <c r="O220" s="149">
        <f t="shared" si="46"/>
        <v>0</v>
      </c>
      <c r="P220" s="216">
        <f t="shared" si="47"/>
        <v>0</v>
      </c>
      <c r="Q220" s="150">
        <f t="shared" si="48"/>
        <v>0</v>
      </c>
      <c r="S220" s="143">
        <f t="shared" si="32"/>
        <v>0</v>
      </c>
      <c r="X220" s="143">
        <f t="shared" si="33"/>
        <v>0</v>
      </c>
      <c r="Y220" s="143" t="s">
        <v>431</v>
      </c>
    </row>
    <row r="221" spans="1:26" ht="12.75" customHeight="1" x14ac:dyDescent="0.2">
      <c r="A221" s="143" t="s">
        <v>330</v>
      </c>
      <c r="G221" s="143" t="s">
        <v>368</v>
      </c>
      <c r="J221" s="147" t="s">
        <v>301</v>
      </c>
      <c r="K221" s="149">
        <f t="shared" si="43"/>
        <v>0</v>
      </c>
      <c r="L221" s="149">
        <f t="shared" si="44"/>
        <v>0</v>
      </c>
      <c r="M221" s="149">
        <f t="shared" si="45"/>
        <v>0</v>
      </c>
      <c r="N221" s="149"/>
      <c r="O221" s="149">
        <f t="shared" si="46"/>
        <v>0</v>
      </c>
      <c r="P221" s="216">
        <f t="shared" si="47"/>
        <v>0</v>
      </c>
      <c r="Q221" s="150">
        <f t="shared" si="48"/>
        <v>0</v>
      </c>
      <c r="S221" s="143">
        <f t="shared" si="32"/>
        <v>0</v>
      </c>
      <c r="X221" s="143">
        <f t="shared" si="33"/>
        <v>0</v>
      </c>
      <c r="Y221" s="143" t="s">
        <v>369</v>
      </c>
    </row>
    <row r="222" spans="1:26" ht="12.75" customHeight="1" x14ac:dyDescent="0.2">
      <c r="A222" s="143" t="s">
        <v>330</v>
      </c>
      <c r="F222" s="143" t="s">
        <v>337</v>
      </c>
      <c r="J222" s="147" t="s">
        <v>361</v>
      </c>
      <c r="K222" s="149">
        <f t="shared" si="43"/>
        <v>0</v>
      </c>
      <c r="L222" s="149">
        <f t="shared" si="44"/>
        <v>0</v>
      </c>
      <c r="M222" s="149">
        <f t="shared" si="45"/>
        <v>0</v>
      </c>
      <c r="N222" s="149"/>
      <c r="O222" s="149">
        <f t="shared" si="46"/>
        <v>0</v>
      </c>
      <c r="P222" s="216">
        <f t="shared" si="47"/>
        <v>0</v>
      </c>
      <c r="Q222" s="150">
        <f t="shared" si="48"/>
        <v>0</v>
      </c>
      <c r="S222" s="143">
        <f t="shared" si="32"/>
        <v>0</v>
      </c>
      <c r="X222" s="143">
        <f t="shared" si="33"/>
        <v>0</v>
      </c>
      <c r="Y222" s="143" t="s">
        <v>339</v>
      </c>
    </row>
    <row r="223" spans="1:26" ht="12.75" customHeight="1" x14ac:dyDescent="0.2">
      <c r="A223" s="143" t="s">
        <v>298</v>
      </c>
      <c r="F223" s="226" t="s">
        <v>432</v>
      </c>
      <c r="K223" s="149">
        <f>R223*tax*markup*IF(Y223&lt;&gt;"",VLOOKUP(LEFT(Y223,2),cityindex,2,0),1)</f>
        <v>0</v>
      </c>
      <c r="L223" s="149">
        <f>S223*markup*difficulty*IF(Y223&lt;&gt;"",VLOOKUP(LEFT(Y223,2),cityindex,3,0),1)</f>
        <v>0</v>
      </c>
      <c r="M223" s="149">
        <f>W223*markup*difficulty*IF(Y223&lt;&gt;"",VLOOKUP(LEFT(Y223,2),cityindex,3,0),1)</f>
        <v>0</v>
      </c>
      <c r="N223" s="149"/>
      <c r="O223" s="149">
        <f>SUM(K223:N223)*embed</f>
        <v>0</v>
      </c>
      <c r="P223" s="216">
        <f>ROUND((O223*I223),0)</f>
        <v>0</v>
      </c>
      <c r="Q223" s="150">
        <f>IF(O223=0,0,IF(X223=0,"manual",(O223/(R223*tax*markup*IF(Y223&lt;&gt;"",VLOOKUP(LEFT(Y223,2),cityindex,2,0),1)+S223*markup*difficulty*IF(Y223&lt;&gt;"",VLOOKUP(LEFT(Y223,2),cityindex,3,0),1)+W223*markup*difficulty*IF(Y223&lt;&gt;"",VLOOKUP(LEFT(Y223,2),cityindex,3,0),1)))-1))</f>
        <v>0</v>
      </c>
      <c r="S223" s="143">
        <f>U223*V223</f>
        <v>0</v>
      </c>
      <c r="X223" s="143">
        <f>SUM(R223,S223,W223)</f>
        <v>0</v>
      </c>
    </row>
    <row r="224" spans="1:26" ht="12.75" customHeight="1" x14ac:dyDescent="0.2">
      <c r="A224" s="143" t="s">
        <v>330</v>
      </c>
      <c r="F224" s="143" t="s">
        <v>433</v>
      </c>
      <c r="J224" s="147" t="s">
        <v>361</v>
      </c>
      <c r="K224" s="149">
        <f t="shared" si="43"/>
        <v>0</v>
      </c>
      <c r="L224" s="149">
        <f t="shared" si="44"/>
        <v>0</v>
      </c>
      <c r="M224" s="149">
        <f t="shared" si="45"/>
        <v>0</v>
      </c>
      <c r="N224" s="149"/>
      <c r="O224" s="149">
        <f t="shared" si="46"/>
        <v>0</v>
      </c>
      <c r="P224" s="216">
        <f t="shared" si="47"/>
        <v>0</v>
      </c>
      <c r="Q224" s="150">
        <f t="shared" si="48"/>
        <v>0</v>
      </c>
      <c r="S224" s="143">
        <f t="shared" si="32"/>
        <v>0</v>
      </c>
      <c r="X224" s="143">
        <f t="shared" si="33"/>
        <v>0</v>
      </c>
      <c r="Y224" s="143" t="s">
        <v>434</v>
      </c>
    </row>
    <row r="225" spans="1:25" ht="12.75" customHeight="1" x14ac:dyDescent="0.2">
      <c r="A225" s="143" t="s">
        <v>330</v>
      </c>
      <c r="K225" s="149">
        <f t="shared" si="43"/>
        <v>0</v>
      </c>
      <c r="L225" s="149">
        <f t="shared" si="44"/>
        <v>0</v>
      </c>
      <c r="M225" s="149">
        <f t="shared" si="45"/>
        <v>0</v>
      </c>
      <c r="N225" s="149"/>
      <c r="O225" s="149">
        <f t="shared" si="46"/>
        <v>0</v>
      </c>
      <c r="P225" s="216">
        <f t="shared" si="47"/>
        <v>0</v>
      </c>
      <c r="Q225" s="150">
        <f t="shared" si="48"/>
        <v>0</v>
      </c>
      <c r="S225" s="143">
        <f t="shared" si="32"/>
        <v>0</v>
      </c>
      <c r="X225" s="143">
        <f t="shared" si="33"/>
        <v>0</v>
      </c>
    </row>
    <row r="226" spans="1:25" s="228" customFormat="1" ht="12.75" customHeight="1" x14ac:dyDescent="0.2">
      <c r="A226" s="228" t="s">
        <v>351</v>
      </c>
      <c r="B226" s="229"/>
      <c r="E226" s="228" t="s">
        <v>429</v>
      </c>
      <c r="I226" s="230"/>
      <c r="J226" s="231" t="s">
        <v>333</v>
      </c>
      <c r="K226" s="232">
        <f>R226*tax*markup*IF(Y226&lt;&gt;"",VLOOKUP(LEFT(Y226,2),cityindex,2,0),1)</f>
        <v>0</v>
      </c>
      <c r="L226" s="232">
        <f>S226*markup*difficulty*IF(Y226&lt;&gt;"",VLOOKUP(LEFT(Y226,2),cityindex,3,0),1)</f>
        <v>0</v>
      </c>
      <c r="M226" s="232">
        <f>W226*markup*difficulty*IF(Y226&lt;&gt;"",VLOOKUP(LEFT(Y226,2),cityindex,3,0),1)</f>
        <v>0</v>
      </c>
      <c r="N226" s="232"/>
      <c r="O226" s="232">
        <f>SUM(K226:N226)*embed</f>
        <v>0</v>
      </c>
      <c r="P226" s="233">
        <f>ROUND((O226*I226),0)</f>
        <v>0</v>
      </c>
      <c r="Q226" s="234">
        <f>IF(O226=0,0,IF(X226=0,"manual",(O226/(R226*tax*markup*IF(Y226&lt;&gt;"",VLOOKUP(LEFT(Y226,2),cityindex,2,0),1)+S226*markup*difficulty*IF(Y226&lt;&gt;"",VLOOKUP(LEFT(Y226,2),cityindex,3,0),1)+W226*markup*difficulty*IF(Y226&lt;&gt;"",VLOOKUP(LEFT(Y226,2),cityindex,3,0),1)))-1))</f>
        <v>0</v>
      </c>
      <c r="S226" s="228">
        <f>U226*V226</f>
        <v>0</v>
      </c>
      <c r="X226" s="228">
        <f>SUM(R226,S226,W226)</f>
        <v>0</v>
      </c>
      <c r="Y226" s="228" t="s">
        <v>435</v>
      </c>
    </row>
    <row r="227" spans="1:25" s="228" customFormat="1" ht="12.75" customHeight="1" x14ac:dyDescent="0.2">
      <c r="A227" s="228" t="s">
        <v>351</v>
      </c>
      <c r="B227" s="229"/>
      <c r="I227" s="230"/>
      <c r="J227" s="231"/>
      <c r="K227" s="232">
        <f>R227*tax*markup*IF(Y227&lt;&gt;"",VLOOKUP(LEFT(Y227,2),cityindex,2,0),1)</f>
        <v>0</v>
      </c>
      <c r="L227" s="232">
        <f>S227*markup*difficulty*IF(Y227&lt;&gt;"",VLOOKUP(LEFT(Y227,2),cityindex,3,0),1)</f>
        <v>0</v>
      </c>
      <c r="M227" s="232">
        <f>W227*markup*difficulty*IF(Y227&lt;&gt;"",VLOOKUP(LEFT(Y227,2),cityindex,3,0),1)</f>
        <v>0</v>
      </c>
      <c r="N227" s="232"/>
      <c r="O227" s="232">
        <f>SUM(K227:N227)*embed</f>
        <v>0</v>
      </c>
      <c r="P227" s="233">
        <f>ROUND((O227*I227),0)</f>
        <v>0</v>
      </c>
      <c r="Q227" s="234">
        <f>IF(O227=0,0,IF(X227=0,"manual",(O227/(R227*tax*markup*IF(Y227&lt;&gt;"",VLOOKUP(LEFT(Y227,2),cityindex,2,0),1)+S227*markup*difficulty*IF(Y227&lt;&gt;"",VLOOKUP(LEFT(Y227,2),cityindex,3,0),1)+W227*markup*difficulty*IF(Y227&lt;&gt;"",VLOOKUP(LEFT(Y227,2),cityindex,3,0),1)))-1))</f>
        <v>0</v>
      </c>
      <c r="S227" s="228">
        <f>U227*V227</f>
        <v>0</v>
      </c>
      <c r="X227" s="228">
        <f>SUM(R227,S227,W227)</f>
        <v>0</v>
      </c>
    </row>
    <row r="228" spans="1:25" ht="12.75" customHeight="1" x14ac:dyDescent="0.2">
      <c r="A228" s="143" t="s">
        <v>330</v>
      </c>
      <c r="E228" s="143" t="s">
        <v>436</v>
      </c>
      <c r="K228" s="149">
        <f t="shared" ref="K228:K242" si="49">R228*tax*markup*IF(Y228&lt;&gt;"",VLOOKUP(LEFT(Y228,2),cityindex,2,0),1)</f>
        <v>0</v>
      </c>
      <c r="L228" s="149">
        <f t="shared" ref="L228:L242" si="50">S228*markup*difficulty*IF(Y228&lt;&gt;"",VLOOKUP(LEFT(Y228,2),cityindex,3,0),1)</f>
        <v>0</v>
      </c>
      <c r="M228" s="149">
        <f t="shared" ref="M228:M242" si="51">W228*markup*difficulty*IF(Y228&lt;&gt;"",VLOOKUP(LEFT(Y228,2),cityindex,3,0),1)</f>
        <v>0</v>
      </c>
      <c r="N228" s="149"/>
      <c r="O228" s="149">
        <f t="shared" ref="O228:O242" si="52">SUM(K228:N228)*embed</f>
        <v>0</v>
      </c>
      <c r="P228" s="216">
        <f t="shared" ref="P228:P261" si="53">ROUND((O228*I228),0)</f>
        <v>0</v>
      </c>
      <c r="Q228" s="150">
        <f t="shared" ref="Q228:Q242" si="54">IF(O228=0,0,IF(X228=0,"manual",(O228/(R228*tax*markup*IF(Y228&lt;&gt;"",VLOOKUP(LEFT(Y228,2),cityindex,2,0),1)+S228*markup*difficulty*IF(Y228&lt;&gt;"",VLOOKUP(LEFT(Y228,2),cityindex,3,0),1)+W228*markup*difficulty*IF(Y228&lt;&gt;"",VLOOKUP(LEFT(Y228,2),cityindex,3,0),1)))-1))</f>
        <v>0</v>
      </c>
      <c r="S228" s="143">
        <f t="shared" ref="S228:S242" si="55">U228*V228</f>
        <v>0</v>
      </c>
      <c r="X228" s="143">
        <f t="shared" ref="X228:X242" si="56">SUM(R228,S228,W228)</f>
        <v>0</v>
      </c>
    </row>
    <row r="229" spans="1:25" ht="12.75" customHeight="1" x14ac:dyDescent="0.2">
      <c r="A229" s="143" t="s">
        <v>330</v>
      </c>
      <c r="F229" s="143" t="s">
        <v>335</v>
      </c>
      <c r="J229" s="147" t="s">
        <v>301</v>
      </c>
      <c r="K229" s="149">
        <f t="shared" si="49"/>
        <v>0</v>
      </c>
      <c r="L229" s="149">
        <f t="shared" si="50"/>
        <v>0</v>
      </c>
      <c r="M229" s="149">
        <f t="shared" si="51"/>
        <v>0</v>
      </c>
      <c r="N229" s="149"/>
      <c r="O229" s="149">
        <f t="shared" si="52"/>
        <v>0</v>
      </c>
      <c r="P229" s="216">
        <f t="shared" si="53"/>
        <v>0</v>
      </c>
      <c r="Q229" s="150">
        <f t="shared" si="54"/>
        <v>0</v>
      </c>
      <c r="S229" s="143">
        <f t="shared" si="55"/>
        <v>0</v>
      </c>
      <c r="X229" s="143">
        <f t="shared" si="56"/>
        <v>0</v>
      </c>
      <c r="Y229" s="143" t="s">
        <v>437</v>
      </c>
    </row>
    <row r="230" spans="1:25" ht="12.75" customHeight="1" x14ac:dyDescent="0.2">
      <c r="A230" s="143" t="s">
        <v>330</v>
      </c>
      <c r="F230" s="143" t="s">
        <v>340</v>
      </c>
      <c r="J230" s="147" t="s">
        <v>333</v>
      </c>
      <c r="K230" s="149">
        <f t="shared" si="49"/>
        <v>0</v>
      </c>
      <c r="L230" s="149">
        <f t="shared" si="50"/>
        <v>0</v>
      </c>
      <c r="M230" s="149">
        <f t="shared" si="51"/>
        <v>0</v>
      </c>
      <c r="N230" s="149"/>
      <c r="O230" s="149">
        <f t="shared" si="52"/>
        <v>0</v>
      </c>
      <c r="P230" s="216">
        <f t="shared" si="53"/>
        <v>0</v>
      </c>
      <c r="Q230" s="150">
        <f t="shared" si="54"/>
        <v>0</v>
      </c>
      <c r="S230" s="143">
        <f t="shared" si="55"/>
        <v>0</v>
      </c>
      <c r="X230" s="143">
        <f t="shared" si="56"/>
        <v>0</v>
      </c>
      <c r="Y230" s="143" t="s">
        <v>438</v>
      </c>
    </row>
    <row r="231" spans="1:25" ht="12.75" customHeight="1" x14ac:dyDescent="0.2">
      <c r="A231" s="143" t="s">
        <v>330</v>
      </c>
      <c r="G231" s="143" t="s">
        <v>416</v>
      </c>
      <c r="J231" s="147" t="s">
        <v>301</v>
      </c>
      <c r="K231" s="149">
        <f t="shared" si="49"/>
        <v>0</v>
      </c>
      <c r="L231" s="149">
        <f t="shared" si="50"/>
        <v>0</v>
      </c>
      <c r="M231" s="149">
        <f t="shared" si="51"/>
        <v>0</v>
      </c>
      <c r="N231" s="149"/>
      <c r="O231" s="149">
        <f t="shared" si="52"/>
        <v>0</v>
      </c>
      <c r="P231" s="216">
        <f t="shared" si="53"/>
        <v>0</v>
      </c>
      <c r="Q231" s="150">
        <f t="shared" si="54"/>
        <v>0</v>
      </c>
      <c r="S231" s="143">
        <f t="shared" si="55"/>
        <v>0</v>
      </c>
      <c r="X231" s="143">
        <f t="shared" si="56"/>
        <v>0</v>
      </c>
      <c r="Y231" s="143" t="s">
        <v>417</v>
      </c>
    </row>
    <row r="232" spans="1:25" ht="12.75" customHeight="1" x14ac:dyDescent="0.2">
      <c r="A232" s="143" t="s">
        <v>330</v>
      </c>
      <c r="F232" s="143" t="s">
        <v>337</v>
      </c>
      <c r="J232" s="147" t="s">
        <v>361</v>
      </c>
      <c r="K232" s="149">
        <f t="shared" si="49"/>
        <v>0</v>
      </c>
      <c r="L232" s="149">
        <f t="shared" si="50"/>
        <v>0</v>
      </c>
      <c r="M232" s="149">
        <f t="shared" si="51"/>
        <v>0</v>
      </c>
      <c r="N232" s="149"/>
      <c r="O232" s="149">
        <f t="shared" si="52"/>
        <v>0</v>
      </c>
      <c r="P232" s="216">
        <f t="shared" si="53"/>
        <v>0</v>
      </c>
      <c r="Q232" s="150">
        <f t="shared" si="54"/>
        <v>0</v>
      </c>
      <c r="S232" s="143">
        <f t="shared" si="55"/>
        <v>0</v>
      </c>
      <c r="X232" s="143">
        <f t="shared" si="56"/>
        <v>0</v>
      </c>
      <c r="Y232" s="143" t="s">
        <v>339</v>
      </c>
    </row>
    <row r="233" spans="1:25" ht="12.75" customHeight="1" x14ac:dyDescent="0.2">
      <c r="A233" s="143" t="s">
        <v>298</v>
      </c>
      <c r="F233" s="226" t="s">
        <v>432</v>
      </c>
      <c r="K233" s="149">
        <f>R233*tax*markup*IF(Y233&lt;&gt;"",VLOOKUP(LEFT(Y233,2),cityindex,2,0),1)</f>
        <v>0</v>
      </c>
      <c r="L233" s="149">
        <f>S233*markup*difficulty*IF(Y233&lt;&gt;"",VLOOKUP(LEFT(Y233,2),cityindex,3,0),1)</f>
        <v>0</v>
      </c>
      <c r="M233" s="149">
        <f>W233*markup*difficulty*IF(Y233&lt;&gt;"",VLOOKUP(LEFT(Y233,2),cityindex,3,0),1)</f>
        <v>0</v>
      </c>
      <c r="N233" s="149"/>
      <c r="O233" s="149">
        <f>SUM(K233:N233)*embed</f>
        <v>0</v>
      </c>
      <c r="P233" s="216">
        <f>ROUND((O233*I233),0)</f>
        <v>0</v>
      </c>
      <c r="Q233" s="150">
        <f>IF(O233=0,0,IF(X233=0,"manual",(O233/(R233*tax*markup*IF(Y233&lt;&gt;"",VLOOKUP(LEFT(Y233,2),cityindex,2,0),1)+S233*markup*difficulty*IF(Y233&lt;&gt;"",VLOOKUP(LEFT(Y233,2),cityindex,3,0),1)+W233*markup*difficulty*IF(Y233&lt;&gt;"",VLOOKUP(LEFT(Y233,2),cityindex,3,0),1)))-1))</f>
        <v>0</v>
      </c>
      <c r="S233" s="143">
        <f>U233*V233</f>
        <v>0</v>
      </c>
      <c r="X233" s="143">
        <f>SUM(R233,S233,W233)</f>
        <v>0</v>
      </c>
    </row>
    <row r="234" spans="1:25" ht="12.75" customHeight="1" x14ac:dyDescent="0.2">
      <c r="A234" s="143" t="s">
        <v>330</v>
      </c>
      <c r="F234" s="143" t="s">
        <v>433</v>
      </c>
      <c r="J234" s="147" t="s">
        <v>361</v>
      </c>
      <c r="K234" s="149">
        <f t="shared" si="49"/>
        <v>0</v>
      </c>
      <c r="L234" s="149">
        <f t="shared" si="50"/>
        <v>0</v>
      </c>
      <c r="M234" s="149">
        <f t="shared" si="51"/>
        <v>0</v>
      </c>
      <c r="N234" s="149"/>
      <c r="O234" s="149">
        <f t="shared" si="52"/>
        <v>0</v>
      </c>
      <c r="P234" s="216">
        <f t="shared" si="53"/>
        <v>0</v>
      </c>
      <c r="Q234" s="150">
        <f t="shared" si="54"/>
        <v>0</v>
      </c>
      <c r="S234" s="143">
        <f t="shared" si="55"/>
        <v>0</v>
      </c>
      <c r="X234" s="143">
        <f t="shared" si="56"/>
        <v>0</v>
      </c>
      <c r="Y234" s="143" t="s">
        <v>434</v>
      </c>
    </row>
    <row r="235" spans="1:25" ht="12.75" customHeight="1" x14ac:dyDescent="0.2">
      <c r="A235" s="143" t="s">
        <v>330</v>
      </c>
      <c r="K235" s="149">
        <f t="shared" si="49"/>
        <v>0</v>
      </c>
      <c r="L235" s="149">
        <f t="shared" si="50"/>
        <v>0</v>
      </c>
      <c r="M235" s="149">
        <f t="shared" si="51"/>
        <v>0</v>
      </c>
      <c r="N235" s="149"/>
      <c r="O235" s="149">
        <f t="shared" si="52"/>
        <v>0</v>
      </c>
      <c r="P235" s="216">
        <f t="shared" si="53"/>
        <v>0</v>
      </c>
      <c r="Q235" s="150">
        <f t="shared" si="54"/>
        <v>0</v>
      </c>
      <c r="S235" s="143">
        <f t="shared" si="55"/>
        <v>0</v>
      </c>
      <c r="X235" s="143">
        <f t="shared" si="56"/>
        <v>0</v>
      </c>
    </row>
    <row r="236" spans="1:25" s="228" customFormat="1" ht="12.75" customHeight="1" x14ac:dyDescent="0.2">
      <c r="A236" s="228" t="s">
        <v>351</v>
      </c>
      <c r="B236" s="229"/>
      <c r="E236" s="228" t="s">
        <v>439</v>
      </c>
      <c r="I236" s="230"/>
      <c r="J236" s="231" t="s">
        <v>333</v>
      </c>
      <c r="K236" s="232">
        <f>R236*tax*markup*IF(Y236&lt;&gt;"",VLOOKUP(LEFT(Y236,2),cityindex,2,0),1)</f>
        <v>0</v>
      </c>
      <c r="L236" s="232">
        <f>S236*markup*difficulty*IF(Y236&lt;&gt;"",VLOOKUP(LEFT(Y236,2),cityindex,3,0),1)</f>
        <v>0</v>
      </c>
      <c r="M236" s="232">
        <f>W236*markup*difficulty*IF(Y236&lt;&gt;"",VLOOKUP(LEFT(Y236,2),cityindex,3,0),1)</f>
        <v>0</v>
      </c>
      <c r="N236" s="232"/>
      <c r="O236" s="232">
        <f>SUM(K236:N236)*embed</f>
        <v>0</v>
      </c>
      <c r="P236" s="233">
        <f>ROUND((O236*I236),0)</f>
        <v>0</v>
      </c>
      <c r="Q236" s="234">
        <f>IF(O236=0,0,IF(X236=0,"manual",(O236/(R236*tax*markup*IF(Y236&lt;&gt;"",VLOOKUP(LEFT(Y236,2),cityindex,2,0),1)+S236*markup*difficulty*IF(Y236&lt;&gt;"",VLOOKUP(LEFT(Y236,2),cityindex,3,0),1)+W236*markup*difficulty*IF(Y236&lt;&gt;"",VLOOKUP(LEFT(Y236,2),cityindex,3,0),1)))-1))</f>
        <v>0</v>
      </c>
      <c r="S236" s="228">
        <f>U236*V236</f>
        <v>0</v>
      </c>
      <c r="X236" s="228">
        <f>SUM(R236,S236,W236)</f>
        <v>0</v>
      </c>
      <c r="Y236" s="228" t="s">
        <v>440</v>
      </c>
    </row>
    <row r="237" spans="1:25" s="228" customFormat="1" ht="12.75" customHeight="1" x14ac:dyDescent="0.2">
      <c r="A237" s="228" t="s">
        <v>351</v>
      </c>
      <c r="B237" s="229"/>
      <c r="I237" s="230"/>
      <c r="J237" s="231"/>
      <c r="K237" s="232">
        <f>R237*tax*markup*IF(Y237&lt;&gt;"",VLOOKUP(LEFT(Y237,2),cityindex,2,0),1)</f>
        <v>0</v>
      </c>
      <c r="L237" s="232">
        <f>S237*markup*difficulty*IF(Y237&lt;&gt;"",VLOOKUP(LEFT(Y237,2),cityindex,3,0),1)</f>
        <v>0</v>
      </c>
      <c r="M237" s="232">
        <f>W237*markup*difficulty*IF(Y237&lt;&gt;"",VLOOKUP(LEFT(Y237,2),cityindex,3,0),1)</f>
        <v>0</v>
      </c>
      <c r="N237" s="232"/>
      <c r="O237" s="232">
        <f>SUM(K237:N237)*embed</f>
        <v>0</v>
      </c>
      <c r="P237" s="233">
        <f>ROUND((O237*I237),0)</f>
        <v>0</v>
      </c>
      <c r="Q237" s="234">
        <f>IF(O237=0,0,IF(X237=0,"manual",(O237/(R237*tax*markup*IF(Y237&lt;&gt;"",VLOOKUP(LEFT(Y237,2),cityindex,2,0),1)+S237*markup*difficulty*IF(Y237&lt;&gt;"",VLOOKUP(LEFT(Y237,2),cityindex,3,0),1)+W237*markup*difficulty*IF(Y237&lt;&gt;"",VLOOKUP(LEFT(Y237,2),cityindex,3,0),1)))-1))</f>
        <v>0</v>
      </c>
      <c r="S237" s="228">
        <f>U237*V237</f>
        <v>0</v>
      </c>
      <c r="X237" s="228">
        <f>SUM(R237,S237,W237)</f>
        <v>0</v>
      </c>
    </row>
    <row r="238" spans="1:25" ht="12.75" customHeight="1" x14ac:dyDescent="0.2">
      <c r="A238" s="143" t="s">
        <v>330</v>
      </c>
      <c r="E238" s="143" t="s">
        <v>441</v>
      </c>
      <c r="K238" s="149">
        <f t="shared" si="49"/>
        <v>0</v>
      </c>
      <c r="L238" s="149">
        <f t="shared" si="50"/>
        <v>0</v>
      </c>
      <c r="M238" s="149">
        <f t="shared" si="51"/>
        <v>0</v>
      </c>
      <c r="N238" s="149"/>
      <c r="O238" s="149">
        <f t="shared" si="52"/>
        <v>0</v>
      </c>
      <c r="P238" s="216">
        <f t="shared" si="53"/>
        <v>0</v>
      </c>
      <c r="Q238" s="150">
        <f t="shared" si="54"/>
        <v>0</v>
      </c>
      <c r="S238" s="143">
        <f t="shared" si="55"/>
        <v>0</v>
      </c>
      <c r="X238" s="143">
        <f t="shared" si="56"/>
        <v>0</v>
      </c>
    </row>
    <row r="239" spans="1:25" ht="12.75" customHeight="1" x14ac:dyDescent="0.2">
      <c r="A239" s="143" t="s">
        <v>330</v>
      </c>
      <c r="F239" s="143" t="s">
        <v>335</v>
      </c>
      <c r="J239" s="147" t="s">
        <v>301</v>
      </c>
      <c r="K239" s="149">
        <f t="shared" si="49"/>
        <v>0</v>
      </c>
      <c r="L239" s="149">
        <f t="shared" si="50"/>
        <v>0</v>
      </c>
      <c r="M239" s="149">
        <f t="shared" si="51"/>
        <v>0</v>
      </c>
      <c r="N239" s="149"/>
      <c r="O239" s="149">
        <f t="shared" si="52"/>
        <v>0</v>
      </c>
      <c r="P239" s="216">
        <f t="shared" si="53"/>
        <v>0</v>
      </c>
      <c r="Q239" s="150">
        <f t="shared" si="54"/>
        <v>0</v>
      </c>
      <c r="S239" s="143">
        <f t="shared" si="55"/>
        <v>0</v>
      </c>
      <c r="X239" s="143">
        <f t="shared" si="56"/>
        <v>0</v>
      </c>
      <c r="Y239" s="143" t="s">
        <v>442</v>
      </c>
    </row>
    <row r="240" spans="1:25" ht="12.75" customHeight="1" x14ac:dyDescent="0.2">
      <c r="A240" s="143" t="s">
        <v>330</v>
      </c>
      <c r="F240" s="143" t="s">
        <v>340</v>
      </c>
      <c r="J240" s="147" t="s">
        <v>333</v>
      </c>
      <c r="K240" s="149">
        <f t="shared" si="49"/>
        <v>0</v>
      </c>
      <c r="L240" s="149">
        <f t="shared" si="50"/>
        <v>0</v>
      </c>
      <c r="M240" s="149">
        <f t="shared" si="51"/>
        <v>0</v>
      </c>
      <c r="N240" s="149"/>
      <c r="O240" s="149">
        <f t="shared" si="52"/>
        <v>0</v>
      </c>
      <c r="P240" s="216">
        <f t="shared" si="53"/>
        <v>0</v>
      </c>
      <c r="Q240" s="150">
        <f t="shared" si="54"/>
        <v>0</v>
      </c>
      <c r="S240" s="143">
        <f t="shared" si="55"/>
        <v>0</v>
      </c>
      <c r="X240" s="143">
        <f t="shared" si="56"/>
        <v>0</v>
      </c>
      <c r="Y240" s="143" t="s">
        <v>443</v>
      </c>
    </row>
    <row r="241" spans="1:26" ht="12.75" customHeight="1" x14ac:dyDescent="0.2">
      <c r="A241" s="143" t="s">
        <v>330</v>
      </c>
      <c r="G241" s="143" t="s">
        <v>416</v>
      </c>
      <c r="J241" s="147" t="s">
        <v>301</v>
      </c>
      <c r="K241" s="149">
        <f t="shared" si="49"/>
        <v>0</v>
      </c>
      <c r="L241" s="149">
        <f t="shared" si="50"/>
        <v>0</v>
      </c>
      <c r="M241" s="149">
        <f t="shared" si="51"/>
        <v>0</v>
      </c>
      <c r="N241" s="149"/>
      <c r="O241" s="149">
        <f t="shared" si="52"/>
        <v>0</v>
      </c>
      <c r="P241" s="216">
        <f t="shared" si="53"/>
        <v>0</v>
      </c>
      <c r="Q241" s="150">
        <f t="shared" si="54"/>
        <v>0</v>
      </c>
      <c r="S241" s="143">
        <f t="shared" si="55"/>
        <v>0</v>
      </c>
      <c r="X241" s="143">
        <f t="shared" si="56"/>
        <v>0</v>
      </c>
      <c r="Y241" s="143" t="s">
        <v>417</v>
      </c>
    </row>
    <row r="242" spans="1:26" ht="12.75" customHeight="1" x14ac:dyDescent="0.2">
      <c r="A242" s="143" t="s">
        <v>330</v>
      </c>
      <c r="F242" s="143" t="s">
        <v>337</v>
      </c>
      <c r="J242" s="147" t="s">
        <v>361</v>
      </c>
      <c r="K242" s="149">
        <f t="shared" si="49"/>
        <v>0</v>
      </c>
      <c r="L242" s="149">
        <f t="shared" si="50"/>
        <v>0</v>
      </c>
      <c r="M242" s="149">
        <f t="shared" si="51"/>
        <v>0</v>
      </c>
      <c r="N242" s="149"/>
      <c r="O242" s="149">
        <f t="shared" si="52"/>
        <v>0</v>
      </c>
      <c r="P242" s="216">
        <f t="shared" si="53"/>
        <v>0</v>
      </c>
      <c r="Q242" s="150">
        <f t="shared" si="54"/>
        <v>0</v>
      </c>
      <c r="S242" s="143">
        <f t="shared" si="55"/>
        <v>0</v>
      </c>
      <c r="X242" s="143">
        <f t="shared" si="56"/>
        <v>0</v>
      </c>
      <c r="Y242" s="143" t="s">
        <v>339</v>
      </c>
    </row>
    <row r="243" spans="1:26" s="228" customFormat="1" ht="12.75" customHeight="1" x14ac:dyDescent="0.2">
      <c r="A243" s="228" t="s">
        <v>330</v>
      </c>
      <c r="B243" s="229"/>
      <c r="I243" s="230"/>
      <c r="J243" s="231"/>
      <c r="K243" s="232">
        <f>R243*tax*markup*IF(Y243&lt;&gt;"",VLOOKUP(LEFT(Y243,2),cityindex,2,0),1)</f>
        <v>0</v>
      </c>
      <c r="L243" s="232">
        <f>S243*markup*difficulty*IF(Y243&lt;&gt;"",VLOOKUP(LEFT(Y243,2),cityindex,3,0),1)</f>
        <v>0</v>
      </c>
      <c r="M243" s="232">
        <f>W243*markup*difficulty*IF(Y243&lt;&gt;"",VLOOKUP(LEFT(Y243,2),cityindex,3,0),1)</f>
        <v>0</v>
      </c>
      <c r="N243" s="232"/>
      <c r="O243" s="232">
        <f>SUM(K243:N243)*embed</f>
        <v>0</v>
      </c>
      <c r="P243" s="233">
        <f t="shared" si="53"/>
        <v>0</v>
      </c>
      <c r="Q243" s="234">
        <f>IF(O243=0,0,IF(X243=0,"manual",(O243/(R243*tax*markup*IF(Y243&lt;&gt;"",VLOOKUP(LEFT(Y243,2),cityindex,2,0),1)+S243*markup*difficulty*IF(Y243&lt;&gt;"",VLOOKUP(LEFT(Y243,2),cityindex,3,0),1)+W243*markup*difficulty*IF(Y243&lt;&gt;"",VLOOKUP(LEFT(Y243,2),cityindex,3,0),1)))-1))</f>
        <v>0</v>
      </c>
      <c r="S243" s="228">
        <f>U243*V243</f>
        <v>0</v>
      </c>
      <c r="X243" s="228">
        <f>SUM(R243,S243,W243)</f>
        <v>0</v>
      </c>
    </row>
    <row r="244" spans="1:26" s="228" customFormat="1" ht="12.75" customHeight="1" x14ac:dyDescent="0.2">
      <c r="A244" s="228" t="s">
        <v>351</v>
      </c>
      <c r="B244" s="229"/>
      <c r="E244" s="228" t="s">
        <v>444</v>
      </c>
      <c r="I244" s="230"/>
      <c r="J244" s="231" t="s">
        <v>333</v>
      </c>
      <c r="K244" s="232">
        <f>R244*tax*markup*IF(Y244&lt;&gt;"",VLOOKUP(LEFT(Y244,2),cityindex,2,0),1)</f>
        <v>0</v>
      </c>
      <c r="L244" s="232">
        <f>S244*markup*difficulty*IF(Y244&lt;&gt;"",VLOOKUP(LEFT(Y244,2),cityindex,3,0),1)</f>
        <v>0</v>
      </c>
      <c r="M244" s="232">
        <f>W244*markup*difficulty*IF(Y244&lt;&gt;"",VLOOKUP(LEFT(Y244,2),cityindex,3,0),1)</f>
        <v>0</v>
      </c>
      <c r="N244" s="232"/>
      <c r="O244" s="232">
        <f>SUM(K244:N244)*embed</f>
        <v>0</v>
      </c>
      <c r="P244" s="233">
        <f t="shared" si="53"/>
        <v>0</v>
      </c>
      <c r="Q244" s="234">
        <f>IF(O244=0,0,IF(X244=0,"manual",(O244/(R244*tax*markup*IF(Y244&lt;&gt;"",VLOOKUP(LEFT(Y244,2),cityindex,2,0),1)+S244*markup*difficulty*IF(Y244&lt;&gt;"",VLOOKUP(LEFT(Y244,2),cityindex,3,0),1)+W244*markup*difficulty*IF(Y244&lt;&gt;"",VLOOKUP(LEFT(Y244,2),cityindex,3,0),1)))-1))</f>
        <v>0</v>
      </c>
      <c r="S244" s="228">
        <f>U244*V244</f>
        <v>0</v>
      </c>
      <c r="X244" s="228">
        <f>SUM(R244,S244,W244)</f>
        <v>0</v>
      </c>
      <c r="Y244" s="228" t="s">
        <v>445</v>
      </c>
    </row>
    <row r="245" spans="1:26" x14ac:dyDescent="0.2">
      <c r="A245" s="143" t="s">
        <v>351</v>
      </c>
      <c r="K245" s="149">
        <f>R245*tax*markup*IF(Y245&lt;&gt;"",VLOOKUP(LEFT(Y245,2),cityindex,2,0),1)</f>
        <v>0</v>
      </c>
      <c r="L245" s="149">
        <f>S245*markup*difficulty*IF(Y245&lt;&gt;"",VLOOKUP(LEFT(Y245,2),cityindex,3,0),1)</f>
        <v>0</v>
      </c>
      <c r="M245" s="149">
        <f>W245*markup*difficulty*IF(Y245&lt;&gt;"",VLOOKUP(LEFT(Y245,2),cityindex,3,0),1)</f>
        <v>0</v>
      </c>
      <c r="N245" s="149"/>
      <c r="O245" s="149">
        <f>SUM(K245:N245)*embed</f>
        <v>0</v>
      </c>
      <c r="P245" s="216">
        <f t="shared" si="53"/>
        <v>0</v>
      </c>
      <c r="Q245" s="150">
        <f>IF(O245=0,0,IF(X245=0,"manual",O245/((R245*tax*markup*IF(Y245&lt;&gt;"",VLOOKUP(LEFT(Y245,2),cityindex,2,0),1))+S245*markup*difficulty*IF(Y245&lt;&gt;"",VLOOKUP(LEFT(Y245,2),cityindex,3,0),1)+W245*markup*difficulty*IF(Y245&lt;&gt;"",VLOOKUP(LEFT(Y245,2),cityindex,3,0),1))))</f>
        <v>0</v>
      </c>
      <c r="S245" s="143">
        <f>U245*V245</f>
        <v>0</v>
      </c>
      <c r="X245" s="143">
        <f>SUM(R245,S245,W245)</f>
        <v>0</v>
      </c>
      <c r="Z245" s="227"/>
    </row>
    <row r="246" spans="1:26" ht="12.75" customHeight="1" x14ac:dyDescent="0.2">
      <c r="A246" s="143" t="s">
        <v>296</v>
      </c>
      <c r="E246" s="143" t="s">
        <v>446</v>
      </c>
      <c r="K246" s="149">
        <f t="shared" ref="K246:K261" si="57">R246*tax*markup*IF(Y246&lt;&gt;"",VLOOKUP(LEFT(Y246,2),cityindex,2,0),1)</f>
        <v>0</v>
      </c>
      <c r="L246" s="149">
        <f t="shared" ref="L246:L261" si="58">S246*markup*difficulty*IF(Y246&lt;&gt;"",VLOOKUP(LEFT(Y246,2),cityindex,3,0),1)</f>
        <v>0</v>
      </c>
      <c r="M246" s="149">
        <f t="shared" ref="M246:M261" si="59">W246*markup*difficulty*IF(Y246&lt;&gt;"",VLOOKUP(LEFT(Y246,2),cityindex,3,0),1)</f>
        <v>0</v>
      </c>
      <c r="N246" s="149"/>
      <c r="O246" s="149">
        <f t="shared" ref="O246:O261" si="60">SUM(K246:N246)*embed</f>
        <v>0</v>
      </c>
      <c r="P246" s="216">
        <f t="shared" si="53"/>
        <v>0</v>
      </c>
      <c r="Q246" s="150">
        <f>IF(O246=0,0,IF(X246=0,"manual",(O246/(R246*tax*markup*IF(Y246&lt;&gt;"",VLOOKUP(LEFT(Y246,2),cityindex,2,0),1)+S246*markup*difficulty*IF(Y246&lt;&gt;"",VLOOKUP(LEFT(Y246,2),cityindex,3,0),1)+W246*markup*difficulty*IF(Y246&lt;&gt;"",VLOOKUP(LEFT(Y246,2),cityindex,3,0),1)))-1))</f>
        <v>0</v>
      </c>
      <c r="S246" s="143">
        <f t="shared" ref="S246:S309" si="61">U246*V246</f>
        <v>0</v>
      </c>
      <c r="X246" s="143">
        <f t="shared" ref="X246:X309" si="62">SUM(R246,S246,W246)</f>
        <v>0</v>
      </c>
    </row>
    <row r="247" spans="1:26" ht="12.75" customHeight="1" x14ac:dyDescent="0.2">
      <c r="A247" s="143" t="s">
        <v>296</v>
      </c>
      <c r="F247" s="143" t="s">
        <v>447</v>
      </c>
      <c r="J247" s="147" t="s">
        <v>448</v>
      </c>
      <c r="K247" s="149">
        <f t="shared" si="57"/>
        <v>0</v>
      </c>
      <c r="L247" s="149">
        <f t="shared" si="58"/>
        <v>0</v>
      </c>
      <c r="M247" s="149">
        <f t="shared" si="59"/>
        <v>0</v>
      </c>
      <c r="N247" s="149"/>
      <c r="O247" s="149">
        <f t="shared" si="60"/>
        <v>0</v>
      </c>
      <c r="P247" s="216">
        <f t="shared" si="53"/>
        <v>0</v>
      </c>
      <c r="Q247" s="150">
        <f>IF(O247=0,0,IF(X247=0,"manual",(O247/(R247*tax*markup*IF(Y247&lt;&gt;"",VLOOKUP(LEFT(Y247,2),cityindex,2,0),1)+S247*markup*difficulty*IF(Y247&lt;&gt;"",VLOOKUP(LEFT(Y247,2),cityindex,3,0),1)+W247*markup*difficulty*IF(Y247&lt;&gt;"",VLOOKUP(LEFT(Y247,2),cityindex,3,0),1)))-1))</f>
        <v>0</v>
      </c>
      <c r="S247" s="143">
        <f t="shared" si="61"/>
        <v>0</v>
      </c>
      <c r="X247" s="143">
        <f t="shared" si="62"/>
        <v>0</v>
      </c>
      <c r="Y247" s="143" t="s">
        <v>449</v>
      </c>
    </row>
    <row r="248" spans="1:26" ht="12.75" customHeight="1" x14ac:dyDescent="0.2">
      <c r="A248" s="143" t="s">
        <v>296</v>
      </c>
      <c r="F248" s="143" t="s">
        <v>450</v>
      </c>
      <c r="J248" s="147" t="s">
        <v>301</v>
      </c>
      <c r="K248" s="149">
        <f t="shared" si="57"/>
        <v>0</v>
      </c>
      <c r="L248" s="149">
        <f t="shared" si="58"/>
        <v>0</v>
      </c>
      <c r="M248" s="149">
        <f t="shared" si="59"/>
        <v>0</v>
      </c>
      <c r="N248" s="149"/>
      <c r="O248" s="149">
        <f t="shared" si="60"/>
        <v>0</v>
      </c>
      <c r="P248" s="216">
        <f t="shared" si="53"/>
        <v>0</v>
      </c>
      <c r="Q248" s="150">
        <f>IF(O248=0,0,IF(X248=0,"manual",(O248/(R248*tax*markup*IF(Y248&lt;&gt;"",VLOOKUP(LEFT(Y248,2),cityindex,2,0),1)+S248*markup*difficulty*IF(Y248&lt;&gt;"",VLOOKUP(LEFT(Y248,2),cityindex,3,0),1)+W248*markup*difficulty*IF(Y248&lt;&gt;"",VLOOKUP(LEFT(Y248,2),cityindex,3,0),1)))-1))</f>
        <v>0</v>
      </c>
      <c r="S248" s="143">
        <f t="shared" si="61"/>
        <v>0</v>
      </c>
      <c r="X248" s="143">
        <f t="shared" si="62"/>
        <v>0</v>
      </c>
      <c r="Y248" s="143" t="s">
        <v>451</v>
      </c>
    </row>
    <row r="249" spans="1:26" x14ac:dyDescent="0.2">
      <c r="A249" s="143" t="s">
        <v>296</v>
      </c>
      <c r="K249" s="149">
        <f t="shared" si="57"/>
        <v>0</v>
      </c>
      <c r="L249" s="149">
        <f t="shared" si="58"/>
        <v>0</v>
      </c>
      <c r="M249" s="149">
        <f t="shared" si="59"/>
        <v>0</v>
      </c>
      <c r="N249" s="149"/>
      <c r="O249" s="149">
        <f t="shared" si="60"/>
        <v>0</v>
      </c>
      <c r="P249" s="216">
        <f t="shared" si="53"/>
        <v>0</v>
      </c>
      <c r="Q249" s="150">
        <f>IF(O249=0,0,IF(X249=0,"manual",O249/((R249*tax*markup*IF(Y249&lt;&gt;"",VLOOKUP(LEFT(Y249,2),cityindex,2,0),1))+S249*markup*difficulty*IF(Y249&lt;&gt;"",VLOOKUP(LEFT(Y249,2),cityindex,3,0),1)+W249*markup*difficulty*IF(Y249&lt;&gt;"",VLOOKUP(LEFT(Y249,2),cityindex,3,0),1))))</f>
        <v>0</v>
      </c>
      <c r="S249" s="143">
        <f t="shared" si="61"/>
        <v>0</v>
      </c>
      <c r="X249" s="143">
        <f t="shared" si="62"/>
        <v>0</v>
      </c>
    </row>
    <row r="250" spans="1:26" x14ac:dyDescent="0.2">
      <c r="A250" s="143" t="s">
        <v>330</v>
      </c>
      <c r="E250" s="143" t="s">
        <v>452</v>
      </c>
      <c r="K250" s="149">
        <f t="shared" si="57"/>
        <v>0</v>
      </c>
      <c r="L250" s="149">
        <f t="shared" si="58"/>
        <v>0</v>
      </c>
      <c r="M250" s="149">
        <f t="shared" si="59"/>
        <v>0</v>
      </c>
      <c r="N250" s="149"/>
      <c r="O250" s="149">
        <f t="shared" si="60"/>
        <v>0</v>
      </c>
      <c r="P250" s="216">
        <f t="shared" si="53"/>
        <v>0</v>
      </c>
      <c r="Q250" s="150">
        <f>IF(O250=0,0,IF(X250=0,"manual",O250/((R250*tax*markup*IF(Y250&lt;&gt;"",VLOOKUP(LEFT(Y250,2),cityindex,2,0),1))+S250*markup*difficulty*IF(Y250&lt;&gt;"",VLOOKUP(LEFT(Y250,2),cityindex,3,0),1)+W250*markup*difficulty*IF(Y250&lt;&gt;"",VLOOKUP(LEFT(Y250,2),cityindex,3,0),1))))</f>
        <v>0</v>
      </c>
      <c r="S250" s="143">
        <f t="shared" si="61"/>
        <v>0</v>
      </c>
      <c r="X250" s="143">
        <f t="shared" si="62"/>
        <v>0</v>
      </c>
    </row>
    <row r="251" spans="1:26" ht="12.75" customHeight="1" x14ac:dyDescent="0.2">
      <c r="A251" s="143" t="s">
        <v>330</v>
      </c>
      <c r="F251" s="143" t="s">
        <v>453</v>
      </c>
      <c r="J251" s="147" t="s">
        <v>301</v>
      </c>
      <c r="K251" s="149">
        <f t="shared" si="57"/>
        <v>0</v>
      </c>
      <c r="L251" s="149">
        <f t="shared" si="58"/>
        <v>0</v>
      </c>
      <c r="M251" s="149">
        <f t="shared" si="59"/>
        <v>0</v>
      </c>
      <c r="N251" s="149"/>
      <c r="O251" s="149">
        <f t="shared" si="60"/>
        <v>0</v>
      </c>
      <c r="P251" s="216">
        <f t="shared" si="53"/>
        <v>0</v>
      </c>
      <c r="Q251" s="150">
        <f>IF(O251=0,0,IF(X251=0,"manual",(O251/(R251*tax*markup*IF(Y251&lt;&gt;"",VLOOKUP(LEFT(Y251,2),cityindex,2,0),1)+S251*markup*difficulty*IF(Y251&lt;&gt;"",VLOOKUP(LEFT(Y251,2),cityindex,3,0),1)+W251*markup*difficulty*IF(Y251&lt;&gt;"",VLOOKUP(LEFT(Y251,2),cityindex,3,0),1)))-1))</f>
        <v>0</v>
      </c>
      <c r="S251" s="143">
        <f t="shared" si="61"/>
        <v>0</v>
      </c>
      <c r="X251" s="143">
        <f t="shared" si="62"/>
        <v>0</v>
      </c>
      <c r="Y251" s="143" t="s">
        <v>454</v>
      </c>
    </row>
    <row r="252" spans="1:26" ht="12.75" customHeight="1" x14ac:dyDescent="0.2">
      <c r="A252" s="143" t="s">
        <v>330</v>
      </c>
      <c r="F252" s="143" t="s">
        <v>455</v>
      </c>
      <c r="J252" s="147" t="s">
        <v>301</v>
      </c>
      <c r="K252" s="149">
        <f t="shared" si="57"/>
        <v>0</v>
      </c>
      <c r="L252" s="149">
        <f t="shared" si="58"/>
        <v>0</v>
      </c>
      <c r="M252" s="149">
        <f t="shared" si="59"/>
        <v>0</v>
      </c>
      <c r="N252" s="149"/>
      <c r="O252" s="149">
        <f t="shared" si="60"/>
        <v>0</v>
      </c>
      <c r="P252" s="216">
        <f t="shared" si="53"/>
        <v>0</v>
      </c>
      <c r="Q252" s="150">
        <f>IF(O252=0,0,IF(X252=0,"manual",(O252/(R252*tax*markup*IF(Y252&lt;&gt;"",VLOOKUP(LEFT(Y252,2),cityindex,2,0),1)+S252*markup*difficulty*IF(Y252&lt;&gt;"",VLOOKUP(LEFT(Y252,2),cityindex,3,0),1)+W252*markup*difficulty*IF(Y252&lt;&gt;"",VLOOKUP(LEFT(Y252,2),cityindex,3,0),1)))-1))</f>
        <v>0</v>
      </c>
      <c r="S252" s="143">
        <f t="shared" si="61"/>
        <v>0</v>
      </c>
      <c r="X252" s="143">
        <f t="shared" si="62"/>
        <v>0</v>
      </c>
      <c r="Y252" s="143" t="s">
        <v>456</v>
      </c>
    </row>
    <row r="253" spans="1:26" ht="12.75" customHeight="1" x14ac:dyDescent="0.2">
      <c r="A253" s="143" t="s">
        <v>330</v>
      </c>
      <c r="F253" s="143" t="s">
        <v>457</v>
      </c>
      <c r="J253" s="147" t="s">
        <v>301</v>
      </c>
      <c r="K253" s="149">
        <f t="shared" si="57"/>
        <v>0</v>
      </c>
      <c r="L253" s="149">
        <f t="shared" si="58"/>
        <v>0</v>
      </c>
      <c r="M253" s="149">
        <f t="shared" si="59"/>
        <v>0</v>
      </c>
      <c r="N253" s="149"/>
      <c r="O253" s="149">
        <f t="shared" si="60"/>
        <v>0</v>
      </c>
      <c r="P253" s="216">
        <f t="shared" si="53"/>
        <v>0</v>
      </c>
      <c r="Q253" s="150">
        <f>IF(O253=0,0,IF(X253=0,"manual",(O253/(R253*tax*markup*IF(Y253&lt;&gt;"",VLOOKUP(LEFT(Y253,2),cityindex,2,0),1)+S253*markup*difficulty*IF(Y253&lt;&gt;"",VLOOKUP(LEFT(Y253,2),cityindex,3,0),1)+W253*markup*difficulty*IF(Y253&lt;&gt;"",VLOOKUP(LEFT(Y253,2),cityindex,3,0),1)))-1))</f>
        <v>0</v>
      </c>
      <c r="S253" s="143">
        <f t="shared" si="61"/>
        <v>0</v>
      </c>
      <c r="X253" s="143">
        <f t="shared" si="62"/>
        <v>0</v>
      </c>
      <c r="Y253" s="143" t="s">
        <v>458</v>
      </c>
    </row>
    <row r="254" spans="1:26" ht="12.75" customHeight="1" x14ac:dyDescent="0.2">
      <c r="A254" s="143" t="s">
        <v>330</v>
      </c>
      <c r="F254" s="143" t="s">
        <v>459</v>
      </c>
      <c r="J254" s="147" t="s">
        <v>301</v>
      </c>
      <c r="K254" s="149">
        <f t="shared" si="57"/>
        <v>0</v>
      </c>
      <c r="L254" s="149">
        <f t="shared" si="58"/>
        <v>0</v>
      </c>
      <c r="M254" s="149">
        <f t="shared" si="59"/>
        <v>0</v>
      </c>
      <c r="N254" s="149"/>
      <c r="O254" s="149">
        <f t="shared" si="60"/>
        <v>0</v>
      </c>
      <c r="P254" s="216">
        <f t="shared" si="53"/>
        <v>0</v>
      </c>
      <c r="Q254" s="150">
        <f>IF(O254=0,0,IF(X254=0,"manual",(O254/(R254*tax*markup*IF(Y254&lt;&gt;"",VLOOKUP(LEFT(Y254,2),cityindex,2,0),1)+S254*markup*difficulty*IF(Y254&lt;&gt;"",VLOOKUP(LEFT(Y254,2),cityindex,3,0),1)+W254*markup*difficulty*IF(Y254&lt;&gt;"",VLOOKUP(LEFT(Y254,2),cityindex,3,0),1)))-1))</f>
        <v>0</v>
      </c>
      <c r="S254" s="143">
        <f t="shared" si="61"/>
        <v>0</v>
      </c>
      <c r="X254" s="143">
        <f t="shared" si="62"/>
        <v>0</v>
      </c>
      <c r="Y254" s="143" t="s">
        <v>460</v>
      </c>
    </row>
    <row r="255" spans="1:26" x14ac:dyDescent="0.2">
      <c r="A255" s="143" t="s">
        <v>330</v>
      </c>
      <c r="K255" s="149">
        <f t="shared" si="57"/>
        <v>0</v>
      </c>
      <c r="L255" s="149">
        <f t="shared" si="58"/>
        <v>0</v>
      </c>
      <c r="M255" s="149">
        <f t="shared" si="59"/>
        <v>0</v>
      </c>
      <c r="N255" s="149"/>
      <c r="O255" s="149">
        <f t="shared" si="60"/>
        <v>0</v>
      </c>
      <c r="P255" s="216">
        <f t="shared" si="53"/>
        <v>0</v>
      </c>
      <c r="Q255" s="150">
        <f>IF(O255=0,0,IF(X255=0,"manual",O255/((R255*tax*markup*IF(Y255&lt;&gt;"",VLOOKUP(LEFT(Y255,2),cityindex,2,0),1))+S255*markup*difficulty*IF(Y255&lt;&gt;"",VLOOKUP(LEFT(Y255,2),cityindex,3,0),1)+W255*markup*difficulty*IF(Y255&lt;&gt;"",VLOOKUP(LEFT(Y255,2),cityindex,3,0),1))))</f>
        <v>0</v>
      </c>
      <c r="S255" s="143">
        <f t="shared" si="61"/>
        <v>0</v>
      </c>
      <c r="X255" s="143">
        <f t="shared" si="62"/>
        <v>0</v>
      </c>
    </row>
    <row r="256" spans="1:26" ht="12.75" customHeight="1" x14ac:dyDescent="0.2">
      <c r="A256" s="143" t="s">
        <v>351</v>
      </c>
      <c r="F256" s="143" t="s">
        <v>461</v>
      </c>
      <c r="J256" s="147" t="s">
        <v>333</v>
      </c>
      <c r="K256" s="149">
        <f t="shared" si="57"/>
        <v>0</v>
      </c>
      <c r="L256" s="149">
        <f t="shared" si="58"/>
        <v>0</v>
      </c>
      <c r="M256" s="149">
        <f t="shared" si="59"/>
        <v>0</v>
      </c>
      <c r="N256" s="149"/>
      <c r="O256" s="149">
        <f t="shared" si="60"/>
        <v>0</v>
      </c>
      <c r="P256" s="216">
        <f t="shared" si="53"/>
        <v>0</v>
      </c>
      <c r="Q256" s="150">
        <f>IF(O256=0,0,IF(X256=0,"manual",(O256/(R256*tax*markup*IF(Y256&lt;&gt;"",VLOOKUP(LEFT(Y256,2),cityindex,2,0),1)+S256*markup*difficulty*IF(Y256&lt;&gt;"",VLOOKUP(LEFT(Y256,2),cityindex,3,0),1)+W256*markup*difficulty*IF(Y256&lt;&gt;"",VLOOKUP(LEFT(Y256,2),cityindex,3,0),1)))-1))</f>
        <v>0</v>
      </c>
      <c r="S256" s="143">
        <f t="shared" si="61"/>
        <v>0</v>
      </c>
      <c r="X256" s="143">
        <f t="shared" si="62"/>
        <v>0</v>
      </c>
      <c r="Y256" s="143" t="s">
        <v>462</v>
      </c>
    </row>
    <row r="257" spans="1:27" ht="12.75" customHeight="1" x14ac:dyDescent="0.2">
      <c r="A257" s="143" t="s">
        <v>351</v>
      </c>
      <c r="F257" s="143" t="s">
        <v>463</v>
      </c>
      <c r="J257" s="147" t="s">
        <v>333</v>
      </c>
      <c r="K257" s="149">
        <f t="shared" si="57"/>
        <v>0</v>
      </c>
      <c r="L257" s="149">
        <f t="shared" si="58"/>
        <v>0</v>
      </c>
      <c r="M257" s="149">
        <f t="shared" si="59"/>
        <v>0</v>
      </c>
      <c r="N257" s="149"/>
      <c r="O257" s="149">
        <f t="shared" si="60"/>
        <v>0</v>
      </c>
      <c r="P257" s="216">
        <f t="shared" si="53"/>
        <v>0</v>
      </c>
      <c r="Q257" s="150">
        <f>IF(O257=0,0,IF(X257=0,"manual",(O257/(R257*tax*markup*IF(Y257&lt;&gt;"",VLOOKUP(LEFT(Y257,2),cityindex,2,0),1)+S257*markup*difficulty*IF(Y257&lt;&gt;"",VLOOKUP(LEFT(Y257,2),cityindex,3,0),1)+W257*markup*difficulty*IF(Y257&lt;&gt;"",VLOOKUP(LEFT(Y257,2),cityindex,3,0),1)))-1))</f>
        <v>0</v>
      </c>
      <c r="S257" s="143">
        <f t="shared" si="61"/>
        <v>0</v>
      </c>
      <c r="X257" s="143">
        <f t="shared" si="62"/>
        <v>0</v>
      </c>
      <c r="Y257" s="143" t="s">
        <v>464</v>
      </c>
    </row>
    <row r="258" spans="1:27" x14ac:dyDescent="0.2">
      <c r="A258" s="143" t="s">
        <v>351</v>
      </c>
      <c r="K258" s="149">
        <f t="shared" si="57"/>
        <v>0</v>
      </c>
      <c r="L258" s="149">
        <f t="shared" si="58"/>
        <v>0</v>
      </c>
      <c r="M258" s="149">
        <f t="shared" si="59"/>
        <v>0</v>
      </c>
      <c r="N258" s="149"/>
      <c r="O258" s="149">
        <f t="shared" si="60"/>
        <v>0</v>
      </c>
      <c r="P258" s="216">
        <f t="shared" si="53"/>
        <v>0</v>
      </c>
      <c r="Q258" s="150">
        <f>IF(O258=0,0,IF(X258=0,"manual",O258/((R258*tax*markup*IF(Y258&lt;&gt;"",VLOOKUP(LEFT(Y258,2),cityindex,2,0),1))+S258*markup*difficulty*IF(Y258&lt;&gt;"",VLOOKUP(LEFT(Y258,2),cityindex,3,0),1)+W258*markup*difficulty*IF(Y258&lt;&gt;"",VLOOKUP(LEFT(Y258,2),cityindex,3,0),1))))</f>
        <v>0</v>
      </c>
      <c r="S258" s="143">
        <f t="shared" si="61"/>
        <v>0</v>
      </c>
      <c r="X258" s="143">
        <f t="shared" si="62"/>
        <v>0</v>
      </c>
    </row>
    <row r="259" spans="1:27" x14ac:dyDescent="0.2">
      <c r="A259" s="143" t="s">
        <v>296</v>
      </c>
      <c r="E259" s="143" t="s">
        <v>378</v>
      </c>
      <c r="K259" s="149">
        <f t="shared" si="57"/>
        <v>0</v>
      </c>
      <c r="L259" s="149">
        <f t="shared" si="58"/>
        <v>0</v>
      </c>
      <c r="M259" s="149">
        <f t="shared" si="59"/>
        <v>0</v>
      </c>
      <c r="N259" s="149"/>
      <c r="O259" s="149">
        <f t="shared" si="60"/>
        <v>0</v>
      </c>
      <c r="P259" s="216">
        <f>ROUND((O259*I259),0)</f>
        <v>0</v>
      </c>
      <c r="Q259" s="150">
        <f>IF(O259=0,0,IF(X259=0,"manual",O259/((R259*tax*markup*IF(Y259&lt;&gt;"",VLOOKUP(LEFT(Y259,2),cityindex,2,0),1))+S259*markup*difficulty*IF(Y259&lt;&gt;"",VLOOKUP(LEFT(Y259,2),cityindex,3,0),1)+W259*markup*difficulty*IF(Y259&lt;&gt;"",VLOOKUP(LEFT(Y259,2),cityindex,3,0),1))))</f>
        <v>0</v>
      </c>
      <c r="S259" s="143">
        <f>U259*V259</f>
        <v>0</v>
      </c>
      <c r="X259" s="143">
        <f>SUM(R259,S259,W259)</f>
        <v>0</v>
      </c>
    </row>
    <row r="260" spans="1:27" ht="12.75" customHeight="1" x14ac:dyDescent="0.2">
      <c r="A260" s="143" t="s">
        <v>296</v>
      </c>
      <c r="F260" s="143" t="s">
        <v>403</v>
      </c>
      <c r="J260" s="147" t="s">
        <v>301</v>
      </c>
      <c r="K260" s="149">
        <f t="shared" si="57"/>
        <v>0</v>
      </c>
      <c r="L260" s="149">
        <f t="shared" si="58"/>
        <v>0</v>
      </c>
      <c r="M260" s="149">
        <f t="shared" si="59"/>
        <v>0</v>
      </c>
      <c r="N260" s="149"/>
      <c r="O260" s="149">
        <f t="shared" si="60"/>
        <v>0</v>
      </c>
      <c r="P260" s="216">
        <f>ROUND((O260*I260),0)</f>
        <v>0</v>
      </c>
      <c r="Q260" s="150">
        <f>IF(O260=0,0,IF(X260=0,"manual",(O260/(R260*tax*markup*IF(Y260&lt;&gt;"",VLOOKUP(LEFT(Y260,2),cityindex,2,0),1)+S260*markup*difficulty*IF(Y260&lt;&gt;"",VLOOKUP(LEFT(Y260,2),cityindex,3,0),1)+W260*markup*difficulty*IF(Y260&lt;&gt;"",VLOOKUP(LEFT(Y260,2),cityindex,3,0),1)))-1))</f>
        <v>0</v>
      </c>
      <c r="S260" s="143">
        <f>U260*V260</f>
        <v>0</v>
      </c>
      <c r="X260" s="143">
        <f>SUM(R260,S260,W260)</f>
        <v>0</v>
      </c>
      <c r="Y260" s="143" t="s">
        <v>404</v>
      </c>
    </row>
    <row r="261" spans="1:27" x14ac:dyDescent="0.2">
      <c r="K261" s="149">
        <f t="shared" si="57"/>
        <v>0</v>
      </c>
      <c r="L261" s="149">
        <f t="shared" si="58"/>
        <v>0</v>
      </c>
      <c r="M261" s="149">
        <f t="shared" si="59"/>
        <v>0</v>
      </c>
      <c r="N261" s="149"/>
      <c r="O261" s="149">
        <f t="shared" si="60"/>
        <v>0</v>
      </c>
      <c r="P261" s="216">
        <f t="shared" si="53"/>
        <v>0</v>
      </c>
      <c r="Q261" s="150">
        <f>IF(O261=0,0,IF(X261=0,"manual",O261/((R261*tax*markup*IF(Y261&lt;&gt;"",VLOOKUP(LEFT(Y261,2),cityindex,2,0),1))+S261*markup*difficulty*IF(Y261&lt;&gt;"",VLOOKUP(LEFT(Y261,2),cityindex,3,0),1)+W261*markup*difficulty*IF(Y261&lt;&gt;"",VLOOKUP(LEFT(Y261,2),cityindex,3,0),1))))</f>
        <v>0</v>
      </c>
      <c r="S261" s="143">
        <f t="shared" si="61"/>
        <v>0</v>
      </c>
      <c r="X261" s="143">
        <f t="shared" si="62"/>
        <v>0</v>
      </c>
    </row>
    <row r="262" spans="1:27" ht="24.75" customHeight="1" x14ac:dyDescent="0.2">
      <c r="D262" s="217" t="str">
        <f>"TOTAL - " &amp; D126</f>
        <v>TOTAL - 03  CONCRETE</v>
      </c>
      <c r="E262" s="217"/>
      <c r="F262" s="217"/>
      <c r="G262" s="217"/>
      <c r="H262" s="217"/>
      <c r="I262" s="218"/>
      <c r="J262" s="219"/>
      <c r="K262" s="220"/>
      <c r="L262" s="220"/>
      <c r="M262" s="220"/>
      <c r="N262" s="220"/>
      <c r="O262" s="221"/>
      <c r="P262" s="222">
        <f>SUM(P126:P261)</f>
        <v>0</v>
      </c>
      <c r="Q262" s="223"/>
      <c r="S262" s="143">
        <f t="shared" si="61"/>
        <v>0</v>
      </c>
      <c r="X262" s="143">
        <f t="shared" si="62"/>
        <v>0</v>
      </c>
      <c r="Z262" s="224">
        <f>P262/GFA</f>
        <v>0</v>
      </c>
      <c r="AA262" s="225" t="s">
        <v>295</v>
      </c>
    </row>
    <row r="263" spans="1:27" x14ac:dyDescent="0.2">
      <c r="K263" s="149"/>
      <c r="L263" s="149"/>
      <c r="M263" s="149"/>
      <c r="N263" s="149"/>
      <c r="P263" s="216"/>
      <c r="Q263" s="150">
        <f>IF(O263=0,0,IF(X263=0,"manual",O263/((R263*tax*markup*IF(Y263&lt;&gt;"",VLOOKUP(LEFT(Y263,2),cityindex,2,0),1))+S263*markup*difficulty*IF(Y263&lt;&gt;"",VLOOKUP(LEFT(Y263,2),cityindex,3,0),1)+W263*markup*difficulty*IF(Y263&lt;&gt;"",VLOOKUP(LEFT(Y263,2),cityindex,3,0),1))))</f>
        <v>0</v>
      </c>
      <c r="S263" s="143">
        <f t="shared" si="61"/>
        <v>0</v>
      </c>
      <c r="X263" s="143">
        <f t="shared" si="62"/>
        <v>0</v>
      </c>
    </row>
    <row r="264" spans="1:27" x14ac:dyDescent="0.2">
      <c r="D264" s="214" t="s">
        <v>270</v>
      </c>
      <c r="E264" s="215"/>
      <c r="F264" s="215"/>
      <c r="G264" s="215"/>
      <c r="H264" s="215"/>
      <c r="K264" s="149"/>
      <c r="L264" s="149"/>
      <c r="M264" s="149"/>
      <c r="N264" s="149"/>
      <c r="P264" s="216"/>
      <c r="Q264" s="150">
        <f>IF(O264=0,0,IF(X264=0,"manual",O264/((R264*tax*markup*IF(Y264&lt;&gt;"",VLOOKUP(LEFT(Y264,2),cityindex,2,0),1))+S264*markup*difficulty*IF(Y264&lt;&gt;"",VLOOKUP(LEFT(Y264,2),cityindex,3,0),1)+W264*markup*difficulty*IF(Y264&lt;&gt;"",VLOOKUP(LEFT(Y264,2),cityindex,3,0),1))))</f>
        <v>0</v>
      </c>
      <c r="S264" s="143">
        <f t="shared" si="61"/>
        <v>0</v>
      </c>
      <c r="X264" s="143">
        <f t="shared" si="62"/>
        <v>0</v>
      </c>
    </row>
    <row r="265" spans="1:27" ht="12.75" customHeight="1" x14ac:dyDescent="0.2">
      <c r="A265" s="143" t="s">
        <v>296</v>
      </c>
      <c r="E265" s="143" t="s">
        <v>465</v>
      </c>
      <c r="K265" s="149">
        <f t="shared" ref="K265:K281" si="63">R265*tax*markup*IF(Y265&lt;&gt;"",VLOOKUP(LEFT(Y265,2),cityindex,2,0),1)</f>
        <v>0</v>
      </c>
      <c r="L265" s="149">
        <f t="shared" ref="L265:L281" si="64">S265*markup*difficulty*IF(Y265&lt;&gt;"",VLOOKUP(LEFT(Y265,2),cityindex,3,0),1)</f>
        <v>0</v>
      </c>
      <c r="M265" s="149">
        <f t="shared" ref="M265:M281" si="65">W265*markup*difficulty*IF(Y265&lt;&gt;"",VLOOKUP(LEFT(Y265,2),cityindex,3,0),1)</f>
        <v>0</v>
      </c>
      <c r="N265" s="149"/>
      <c r="O265" s="149">
        <f t="shared" ref="O265:O281" si="66">SUM(K265:N265)*embed</f>
        <v>0</v>
      </c>
      <c r="P265" s="216">
        <f t="shared" ref="P265:P281" si="67">ROUND((O265*I265),0)</f>
        <v>0</v>
      </c>
      <c r="Q265" s="150">
        <f t="shared" ref="Q265:Q280" si="68">IF(O265=0,0,IF(X265=0,"manual",(O265/(R265*tax*markup*IF(Y265&lt;&gt;"",VLOOKUP(LEFT(Y265,2),cityindex,2,0),1)+S265*markup*difficulty*IF(Y265&lt;&gt;"",VLOOKUP(LEFT(Y265,2),cityindex,3,0),1)+W265*markup*difficulty*IF(Y265&lt;&gt;"",VLOOKUP(LEFT(Y265,2),cityindex,3,0),1)))-1))</f>
        <v>0</v>
      </c>
      <c r="S265" s="143">
        <f t="shared" si="61"/>
        <v>0</v>
      </c>
      <c r="X265" s="143">
        <f t="shared" si="62"/>
        <v>0</v>
      </c>
    </row>
    <row r="266" spans="1:27" ht="12.75" customHeight="1" x14ac:dyDescent="0.2">
      <c r="A266" s="143" t="s">
        <v>296</v>
      </c>
      <c r="F266" s="143" t="s">
        <v>466</v>
      </c>
      <c r="J266" s="147" t="s">
        <v>301</v>
      </c>
      <c r="K266" s="149">
        <f t="shared" si="63"/>
        <v>0</v>
      </c>
      <c r="L266" s="149">
        <f t="shared" si="64"/>
        <v>0</v>
      </c>
      <c r="M266" s="149">
        <f t="shared" si="65"/>
        <v>0</v>
      </c>
      <c r="N266" s="149"/>
      <c r="O266" s="149">
        <f t="shared" si="66"/>
        <v>0</v>
      </c>
      <c r="P266" s="216">
        <f t="shared" si="67"/>
        <v>0</v>
      </c>
      <c r="Q266" s="150">
        <f t="shared" si="68"/>
        <v>0</v>
      </c>
      <c r="S266" s="143">
        <f t="shared" si="61"/>
        <v>0</v>
      </c>
      <c r="X266" s="143">
        <f t="shared" si="62"/>
        <v>0</v>
      </c>
      <c r="Y266" s="143" t="s">
        <v>467</v>
      </c>
    </row>
    <row r="267" spans="1:27" ht="12.75" customHeight="1" x14ac:dyDescent="0.2">
      <c r="A267" s="143" t="s">
        <v>296</v>
      </c>
      <c r="F267" s="143" t="s">
        <v>413</v>
      </c>
      <c r="J267" s="147" t="s">
        <v>301</v>
      </c>
      <c r="K267" s="149">
        <f t="shared" si="63"/>
        <v>0</v>
      </c>
      <c r="L267" s="149">
        <f t="shared" si="64"/>
        <v>0</v>
      </c>
      <c r="M267" s="149">
        <f t="shared" si="65"/>
        <v>0</v>
      </c>
      <c r="N267" s="149"/>
      <c r="O267" s="149">
        <f t="shared" si="66"/>
        <v>0</v>
      </c>
      <c r="P267" s="216">
        <f t="shared" si="67"/>
        <v>0</v>
      </c>
      <c r="Q267" s="150">
        <f t="shared" si="68"/>
        <v>0</v>
      </c>
      <c r="S267" s="143">
        <f t="shared" si="61"/>
        <v>0</v>
      </c>
      <c r="X267" s="143">
        <f t="shared" si="62"/>
        <v>0</v>
      </c>
      <c r="Y267" s="143" t="s">
        <v>468</v>
      </c>
    </row>
    <row r="268" spans="1:27" ht="12.75" customHeight="1" x14ac:dyDescent="0.2">
      <c r="A268" s="143" t="s">
        <v>296</v>
      </c>
      <c r="F268" s="143" t="s">
        <v>469</v>
      </c>
      <c r="J268" s="147" t="s">
        <v>301</v>
      </c>
      <c r="K268" s="149">
        <f t="shared" si="63"/>
        <v>0</v>
      </c>
      <c r="L268" s="149">
        <f t="shared" si="64"/>
        <v>0</v>
      </c>
      <c r="M268" s="149">
        <f t="shared" si="65"/>
        <v>0</v>
      </c>
      <c r="N268" s="149"/>
      <c r="O268" s="149">
        <f t="shared" si="66"/>
        <v>0</v>
      </c>
      <c r="P268" s="216">
        <f t="shared" si="67"/>
        <v>0</v>
      </c>
      <c r="Q268" s="150">
        <f t="shared" si="68"/>
        <v>0</v>
      </c>
      <c r="S268" s="143">
        <f t="shared" si="61"/>
        <v>0</v>
      </c>
      <c r="X268" s="143">
        <f t="shared" si="62"/>
        <v>0</v>
      </c>
      <c r="Y268" s="143" t="s">
        <v>470</v>
      </c>
    </row>
    <row r="269" spans="1:27" ht="12.75" customHeight="1" x14ac:dyDescent="0.2">
      <c r="A269" s="143" t="s">
        <v>296</v>
      </c>
      <c r="E269" s="143" t="s">
        <v>471</v>
      </c>
      <c r="K269" s="149">
        <f t="shared" si="63"/>
        <v>0</v>
      </c>
      <c r="L269" s="149">
        <f t="shared" si="64"/>
        <v>0</v>
      </c>
      <c r="M269" s="149">
        <f t="shared" si="65"/>
        <v>0</v>
      </c>
      <c r="N269" s="149"/>
      <c r="O269" s="149">
        <f t="shared" si="66"/>
        <v>0</v>
      </c>
      <c r="P269" s="216">
        <f t="shared" si="67"/>
        <v>0</v>
      </c>
      <c r="Q269" s="150">
        <f t="shared" si="68"/>
        <v>0</v>
      </c>
      <c r="S269" s="143">
        <f t="shared" si="61"/>
        <v>0</v>
      </c>
      <c r="X269" s="143">
        <f t="shared" si="62"/>
        <v>0</v>
      </c>
    </row>
    <row r="270" spans="1:27" ht="12.75" customHeight="1" x14ac:dyDescent="0.2">
      <c r="A270" s="143" t="s">
        <v>296</v>
      </c>
      <c r="F270" s="143" t="s">
        <v>466</v>
      </c>
      <c r="J270" s="147" t="s">
        <v>301</v>
      </c>
      <c r="K270" s="149">
        <f t="shared" si="63"/>
        <v>0</v>
      </c>
      <c r="L270" s="149">
        <f t="shared" si="64"/>
        <v>0</v>
      </c>
      <c r="M270" s="149">
        <f t="shared" si="65"/>
        <v>0</v>
      </c>
      <c r="N270" s="149"/>
      <c r="O270" s="149">
        <f t="shared" si="66"/>
        <v>0</v>
      </c>
      <c r="P270" s="216">
        <f t="shared" si="67"/>
        <v>0</v>
      </c>
      <c r="Q270" s="150">
        <f t="shared" si="68"/>
        <v>0</v>
      </c>
      <c r="S270" s="143">
        <f t="shared" si="61"/>
        <v>0</v>
      </c>
      <c r="X270" s="143">
        <f t="shared" si="62"/>
        <v>0</v>
      </c>
      <c r="Y270" s="143" t="s">
        <v>472</v>
      </c>
    </row>
    <row r="271" spans="1:27" ht="12.75" customHeight="1" x14ac:dyDescent="0.2">
      <c r="A271" s="143" t="s">
        <v>296</v>
      </c>
      <c r="F271" s="143" t="s">
        <v>413</v>
      </c>
      <c r="J271" s="147" t="s">
        <v>301</v>
      </c>
      <c r="K271" s="149">
        <f t="shared" si="63"/>
        <v>0</v>
      </c>
      <c r="L271" s="149">
        <f t="shared" si="64"/>
        <v>0</v>
      </c>
      <c r="M271" s="149">
        <f t="shared" si="65"/>
        <v>0</v>
      </c>
      <c r="N271" s="149"/>
      <c r="O271" s="149">
        <f t="shared" si="66"/>
        <v>0</v>
      </c>
      <c r="P271" s="216">
        <f t="shared" si="67"/>
        <v>0</v>
      </c>
      <c r="Q271" s="150">
        <f t="shared" si="68"/>
        <v>0</v>
      </c>
      <c r="S271" s="143">
        <f t="shared" si="61"/>
        <v>0</v>
      </c>
      <c r="X271" s="143">
        <f t="shared" si="62"/>
        <v>0</v>
      </c>
      <c r="Y271" s="143" t="s">
        <v>473</v>
      </c>
    </row>
    <row r="272" spans="1:27" ht="12.75" customHeight="1" x14ac:dyDescent="0.2">
      <c r="A272" s="143" t="s">
        <v>296</v>
      </c>
      <c r="F272" s="143" t="s">
        <v>474</v>
      </c>
      <c r="J272" s="147" t="s">
        <v>301</v>
      </c>
      <c r="K272" s="149">
        <f t="shared" si="63"/>
        <v>0</v>
      </c>
      <c r="L272" s="149">
        <f t="shared" si="64"/>
        <v>0</v>
      </c>
      <c r="M272" s="149">
        <f t="shared" si="65"/>
        <v>0</v>
      </c>
      <c r="N272" s="149"/>
      <c r="O272" s="149">
        <f t="shared" si="66"/>
        <v>0</v>
      </c>
      <c r="P272" s="216">
        <f t="shared" si="67"/>
        <v>0</v>
      </c>
      <c r="Q272" s="150">
        <f t="shared" si="68"/>
        <v>0</v>
      </c>
      <c r="S272" s="143">
        <f t="shared" si="61"/>
        <v>0</v>
      </c>
      <c r="X272" s="143">
        <f t="shared" si="62"/>
        <v>0</v>
      </c>
      <c r="Y272" s="143" t="s">
        <v>475</v>
      </c>
      <c r="Z272" s="227"/>
    </row>
    <row r="273" spans="1:27" ht="12.75" customHeight="1" x14ac:dyDescent="0.2">
      <c r="A273" s="143" t="s">
        <v>296</v>
      </c>
      <c r="F273" s="143" t="s">
        <v>469</v>
      </c>
      <c r="J273" s="147" t="s">
        <v>301</v>
      </c>
      <c r="K273" s="149">
        <f t="shared" si="63"/>
        <v>0</v>
      </c>
      <c r="L273" s="149">
        <f t="shared" si="64"/>
        <v>0</v>
      </c>
      <c r="M273" s="149">
        <f t="shared" si="65"/>
        <v>0</v>
      </c>
      <c r="N273" s="149"/>
      <c r="O273" s="149">
        <f t="shared" si="66"/>
        <v>0</v>
      </c>
      <c r="P273" s="216">
        <f t="shared" si="67"/>
        <v>0</v>
      </c>
      <c r="Q273" s="150">
        <f t="shared" si="68"/>
        <v>0</v>
      </c>
      <c r="S273" s="143">
        <f t="shared" si="61"/>
        <v>0</v>
      </c>
      <c r="X273" s="143">
        <f t="shared" si="62"/>
        <v>0</v>
      </c>
      <c r="Y273" s="143" t="s">
        <v>476</v>
      </c>
    </row>
    <row r="274" spans="1:27" ht="12.75" customHeight="1" x14ac:dyDescent="0.2">
      <c r="A274" s="143" t="s">
        <v>296</v>
      </c>
      <c r="E274" s="143" t="s">
        <v>477</v>
      </c>
      <c r="K274" s="149">
        <f t="shared" si="63"/>
        <v>0</v>
      </c>
      <c r="L274" s="149">
        <f t="shared" si="64"/>
        <v>0</v>
      </c>
      <c r="M274" s="149">
        <f t="shared" si="65"/>
        <v>0</v>
      </c>
      <c r="N274" s="149"/>
      <c r="O274" s="149">
        <f t="shared" si="66"/>
        <v>0</v>
      </c>
      <c r="P274" s="216">
        <f t="shared" si="67"/>
        <v>0</v>
      </c>
      <c r="Q274" s="150">
        <f t="shared" si="68"/>
        <v>0</v>
      </c>
      <c r="S274" s="143">
        <f t="shared" si="61"/>
        <v>0</v>
      </c>
      <c r="X274" s="143">
        <f t="shared" si="62"/>
        <v>0</v>
      </c>
    </row>
    <row r="275" spans="1:27" ht="12.75" customHeight="1" x14ac:dyDescent="0.2">
      <c r="A275" s="143" t="s">
        <v>296</v>
      </c>
      <c r="F275" s="143" t="s">
        <v>466</v>
      </c>
      <c r="J275" s="147" t="s">
        <v>301</v>
      </c>
      <c r="K275" s="149">
        <f t="shared" si="63"/>
        <v>0</v>
      </c>
      <c r="L275" s="149">
        <f t="shared" si="64"/>
        <v>0</v>
      </c>
      <c r="M275" s="149">
        <f t="shared" si="65"/>
        <v>0</v>
      </c>
      <c r="N275" s="149"/>
      <c r="O275" s="149">
        <f t="shared" si="66"/>
        <v>0</v>
      </c>
      <c r="P275" s="216">
        <f t="shared" si="67"/>
        <v>0</v>
      </c>
      <c r="Q275" s="150">
        <f t="shared" si="68"/>
        <v>0</v>
      </c>
      <c r="S275" s="143">
        <f t="shared" si="61"/>
        <v>0</v>
      </c>
      <c r="X275" s="143">
        <f t="shared" si="62"/>
        <v>0</v>
      </c>
      <c r="Y275" s="143" t="s">
        <v>478</v>
      </c>
    </row>
    <row r="276" spans="1:27" ht="12.75" customHeight="1" x14ac:dyDescent="0.2">
      <c r="A276" s="143" t="s">
        <v>296</v>
      </c>
      <c r="F276" s="143" t="s">
        <v>413</v>
      </c>
      <c r="J276" s="147" t="s">
        <v>301</v>
      </c>
      <c r="K276" s="149">
        <f t="shared" si="63"/>
        <v>0</v>
      </c>
      <c r="L276" s="149">
        <f t="shared" si="64"/>
        <v>0</v>
      </c>
      <c r="M276" s="149">
        <f t="shared" si="65"/>
        <v>0</v>
      </c>
      <c r="N276" s="149"/>
      <c r="O276" s="149">
        <f t="shared" si="66"/>
        <v>0</v>
      </c>
      <c r="P276" s="216">
        <f t="shared" si="67"/>
        <v>0</v>
      </c>
      <c r="Q276" s="150">
        <f t="shared" si="68"/>
        <v>0</v>
      </c>
      <c r="S276" s="143">
        <f t="shared" si="61"/>
        <v>0</v>
      </c>
      <c r="X276" s="143">
        <f t="shared" si="62"/>
        <v>0</v>
      </c>
      <c r="Y276" s="143" t="s">
        <v>479</v>
      </c>
    </row>
    <row r="277" spans="1:27" s="228" customFormat="1" ht="12.75" customHeight="1" x14ac:dyDescent="0.2">
      <c r="A277" s="228" t="s">
        <v>296</v>
      </c>
      <c r="B277" s="229"/>
      <c r="E277" s="228" t="s">
        <v>378</v>
      </c>
      <c r="I277" s="230"/>
      <c r="J277" s="231"/>
      <c r="K277" s="232">
        <f t="shared" si="63"/>
        <v>0</v>
      </c>
      <c r="L277" s="232">
        <f t="shared" si="64"/>
        <v>0</v>
      </c>
      <c r="M277" s="232">
        <f t="shared" si="65"/>
        <v>0</v>
      </c>
      <c r="N277" s="232"/>
      <c r="O277" s="232">
        <f t="shared" si="66"/>
        <v>0</v>
      </c>
      <c r="P277" s="233">
        <f t="shared" si="67"/>
        <v>0</v>
      </c>
      <c r="Q277" s="234">
        <f t="shared" si="68"/>
        <v>0</v>
      </c>
      <c r="S277" s="228">
        <f t="shared" si="61"/>
        <v>0</v>
      </c>
      <c r="X277" s="228">
        <f t="shared" si="62"/>
        <v>0</v>
      </c>
    </row>
    <row r="278" spans="1:27" ht="12.75" customHeight="1" x14ac:dyDescent="0.2">
      <c r="A278" s="143" t="s">
        <v>296</v>
      </c>
      <c r="F278" s="143" t="s">
        <v>480</v>
      </c>
      <c r="J278" s="147" t="s">
        <v>309</v>
      </c>
      <c r="K278" s="149">
        <f t="shared" si="63"/>
        <v>0</v>
      </c>
      <c r="L278" s="149">
        <f t="shared" si="64"/>
        <v>0</v>
      </c>
      <c r="M278" s="149">
        <f t="shared" si="65"/>
        <v>0</v>
      </c>
      <c r="N278" s="149"/>
      <c r="O278" s="149">
        <f t="shared" si="66"/>
        <v>0</v>
      </c>
      <c r="P278" s="216">
        <f t="shared" si="67"/>
        <v>0</v>
      </c>
      <c r="Q278" s="150">
        <f t="shared" si="68"/>
        <v>0</v>
      </c>
      <c r="S278" s="143">
        <f t="shared" si="61"/>
        <v>0</v>
      </c>
      <c r="X278" s="143">
        <f t="shared" si="62"/>
        <v>0</v>
      </c>
      <c r="Y278" s="143" t="s">
        <v>481</v>
      </c>
    </row>
    <row r="279" spans="1:27" ht="12.75" customHeight="1" x14ac:dyDescent="0.2">
      <c r="A279" s="143" t="s">
        <v>296</v>
      </c>
      <c r="F279" s="143" t="s">
        <v>403</v>
      </c>
      <c r="J279" s="147" t="s">
        <v>301</v>
      </c>
      <c r="K279" s="149">
        <f t="shared" si="63"/>
        <v>0</v>
      </c>
      <c r="L279" s="149">
        <f t="shared" si="64"/>
        <v>0</v>
      </c>
      <c r="M279" s="149">
        <f t="shared" si="65"/>
        <v>0</v>
      </c>
      <c r="N279" s="149"/>
      <c r="O279" s="149">
        <f t="shared" si="66"/>
        <v>0</v>
      </c>
      <c r="P279" s="216">
        <f t="shared" si="67"/>
        <v>0</v>
      </c>
      <c r="Q279" s="150">
        <f t="shared" si="68"/>
        <v>0</v>
      </c>
      <c r="S279" s="143">
        <f t="shared" si="61"/>
        <v>0</v>
      </c>
      <c r="X279" s="143">
        <f t="shared" si="62"/>
        <v>0</v>
      </c>
      <c r="Y279" s="143" t="s">
        <v>404</v>
      </c>
    </row>
    <row r="280" spans="1:27" ht="12.75" customHeight="1" x14ac:dyDescent="0.2">
      <c r="A280" s="143" t="s">
        <v>296</v>
      </c>
      <c r="F280" s="143" t="s">
        <v>482</v>
      </c>
      <c r="J280" s="147" t="s">
        <v>301</v>
      </c>
      <c r="K280" s="149">
        <f t="shared" si="63"/>
        <v>0</v>
      </c>
      <c r="L280" s="149">
        <f t="shared" si="64"/>
        <v>0</v>
      </c>
      <c r="M280" s="149">
        <f t="shared" si="65"/>
        <v>0</v>
      </c>
      <c r="N280" s="149"/>
      <c r="O280" s="149">
        <f t="shared" si="66"/>
        <v>0</v>
      </c>
      <c r="P280" s="216">
        <f t="shared" si="67"/>
        <v>0</v>
      </c>
      <c r="Q280" s="150">
        <f t="shared" si="68"/>
        <v>0</v>
      </c>
      <c r="S280" s="143">
        <f t="shared" si="61"/>
        <v>0</v>
      </c>
      <c r="X280" s="143">
        <f t="shared" si="62"/>
        <v>0</v>
      </c>
      <c r="Y280" s="143" t="s">
        <v>483</v>
      </c>
    </row>
    <row r="281" spans="1:27" x14ac:dyDescent="0.2">
      <c r="K281" s="149">
        <f t="shared" si="63"/>
        <v>0</v>
      </c>
      <c r="L281" s="149">
        <f t="shared" si="64"/>
        <v>0</v>
      </c>
      <c r="M281" s="149">
        <f t="shared" si="65"/>
        <v>0</v>
      </c>
      <c r="N281" s="149"/>
      <c r="O281" s="149">
        <f t="shared" si="66"/>
        <v>0</v>
      </c>
      <c r="P281" s="216">
        <f t="shared" si="67"/>
        <v>0</v>
      </c>
      <c r="Q281" s="150">
        <f>IF(O281=0,0,IF(X281=0,"manual",O281/((R281*tax*markup*IF(Y281&lt;&gt;"",VLOOKUP(LEFT(Y281,2),cityindex,2,0),1))+S281*markup*difficulty*IF(Y281&lt;&gt;"",VLOOKUP(LEFT(Y281,2),cityindex,3,0),1)+W281*markup*difficulty*IF(Y281&lt;&gt;"",VLOOKUP(LEFT(Y281,2),cityindex,3,0),1))))</f>
        <v>0</v>
      </c>
      <c r="S281" s="143">
        <f t="shared" si="61"/>
        <v>0</v>
      </c>
      <c r="X281" s="143">
        <f t="shared" si="62"/>
        <v>0</v>
      </c>
    </row>
    <row r="282" spans="1:27" ht="24.75" customHeight="1" x14ac:dyDescent="0.2">
      <c r="D282" s="217" t="str">
        <f>"TOTAL - " &amp; D264</f>
        <v>TOTAL - 04  MASONRY</v>
      </c>
      <c r="E282" s="217"/>
      <c r="F282" s="217"/>
      <c r="G282" s="217"/>
      <c r="H282" s="217"/>
      <c r="I282" s="218"/>
      <c r="J282" s="219"/>
      <c r="K282" s="220"/>
      <c r="L282" s="220"/>
      <c r="M282" s="220"/>
      <c r="N282" s="220"/>
      <c r="O282" s="221"/>
      <c r="P282" s="222">
        <f>SUM(P264:P281)</f>
        <v>0</v>
      </c>
      <c r="Q282" s="223"/>
      <c r="S282" s="143">
        <f t="shared" si="61"/>
        <v>0</v>
      </c>
      <c r="X282" s="143">
        <f t="shared" si="62"/>
        <v>0</v>
      </c>
      <c r="Z282" s="224">
        <f>P282/GFA</f>
        <v>0</v>
      </c>
      <c r="AA282" s="225" t="s">
        <v>295</v>
      </c>
    </row>
    <row r="283" spans="1:27" x14ac:dyDescent="0.2">
      <c r="K283" s="149"/>
      <c r="L283" s="149"/>
      <c r="M283" s="149"/>
      <c r="N283" s="149"/>
      <c r="P283" s="216"/>
      <c r="Q283" s="150">
        <f>IF(O283=0,0,IF(X283=0,"manual",O283/((R283*tax*markup*IF(Y283&lt;&gt;"",VLOOKUP(LEFT(Y283,2),cityindex,2,0),1))+S283*markup*difficulty*IF(Y283&lt;&gt;"",VLOOKUP(LEFT(Y283,2),cityindex,3,0),1)+W283*markup*difficulty*IF(Y283&lt;&gt;"",VLOOKUP(LEFT(Y283,2),cityindex,3,0),1))))</f>
        <v>0</v>
      </c>
      <c r="S283" s="143">
        <f t="shared" si="61"/>
        <v>0</v>
      </c>
      <c r="X283" s="143">
        <f t="shared" si="62"/>
        <v>0</v>
      </c>
      <c r="Z283" s="227"/>
    </row>
    <row r="284" spans="1:27" x14ac:dyDescent="0.2">
      <c r="D284" s="214" t="s">
        <v>271</v>
      </c>
      <c r="E284" s="215"/>
      <c r="F284" s="215"/>
      <c r="G284" s="215"/>
      <c r="H284" s="215"/>
      <c r="K284" s="149"/>
      <c r="L284" s="149"/>
      <c r="M284" s="149"/>
      <c r="N284" s="149"/>
      <c r="P284" s="216"/>
      <c r="Q284" s="150">
        <f>IF(O284=0,0,IF(X284=0,"manual",O284/((R284*tax*markup*IF(Y284&lt;&gt;"",VLOOKUP(LEFT(Y284,2),cityindex,2,0),1))+S284*markup*difficulty*IF(Y284&lt;&gt;"",VLOOKUP(LEFT(Y284,2),cityindex,3,0),1)+W284*markup*difficulty*IF(Y284&lt;&gt;"",VLOOKUP(LEFT(Y284,2),cityindex,3,0),1))))</f>
        <v>0</v>
      </c>
      <c r="S284" s="143">
        <f t="shared" si="61"/>
        <v>0</v>
      </c>
      <c r="X284" s="143">
        <f t="shared" si="62"/>
        <v>0</v>
      </c>
      <c r="Z284" s="227"/>
    </row>
    <row r="285" spans="1:27" s="228" customFormat="1" ht="12.75" customHeight="1" x14ac:dyDescent="0.2">
      <c r="A285" s="228" t="s">
        <v>330</v>
      </c>
      <c r="B285" s="229"/>
      <c r="E285" s="228" t="s">
        <v>484</v>
      </c>
      <c r="I285" s="230"/>
      <c r="J285" s="231"/>
      <c r="K285" s="232">
        <f t="shared" ref="K285:K292" si="69">R285*tax*markup*IF(Y285&lt;&gt;"",VLOOKUP(LEFT(Y285,2),cityindex,2,0),1)</f>
        <v>0</v>
      </c>
      <c r="L285" s="232">
        <f t="shared" ref="L285:L292" si="70">S285*markup*difficulty*IF(Y285&lt;&gt;"",VLOOKUP(LEFT(Y285,2),cityindex,3,0),1)</f>
        <v>0</v>
      </c>
      <c r="M285" s="232">
        <f t="shared" ref="M285:M292" si="71">W285*markup*difficulty*IF(Y285&lt;&gt;"",VLOOKUP(LEFT(Y285,2),cityindex,3,0),1)</f>
        <v>0</v>
      </c>
      <c r="N285" s="232"/>
      <c r="O285" s="232">
        <f t="shared" ref="O285:O291" si="72">SUM(K285:N285)*embed</f>
        <v>0</v>
      </c>
      <c r="P285" s="233">
        <f t="shared" ref="P285:P337" si="73">ROUND((O285*I285),0)</f>
        <v>0</v>
      </c>
      <c r="Q285" s="234">
        <f t="shared" ref="Q285:Q292" si="74">IF(O285=0,0,IF(X285=0,"manual",(O285/(R285*tax*markup*IF(Y285&lt;&gt;"",VLOOKUP(LEFT(Y285,2),cityindex,2,0),1)+S285*markup*difficulty*IF(Y285&lt;&gt;"",VLOOKUP(LEFT(Y285,2),cityindex,3,0),1)+W285*markup*difficulty*IF(Y285&lt;&gt;"",VLOOKUP(LEFT(Y285,2),cityindex,3,0),1)))-1))</f>
        <v>0</v>
      </c>
      <c r="S285" s="228">
        <f t="shared" si="61"/>
        <v>0</v>
      </c>
      <c r="X285" s="228">
        <f t="shared" si="62"/>
        <v>0</v>
      </c>
    </row>
    <row r="286" spans="1:27" s="228" customFormat="1" ht="12.75" customHeight="1" x14ac:dyDescent="0.2">
      <c r="A286" s="228" t="s">
        <v>330</v>
      </c>
      <c r="B286" s="229"/>
      <c r="F286" s="228" t="s">
        <v>485</v>
      </c>
      <c r="I286" s="230"/>
      <c r="J286" s="231" t="s">
        <v>486</v>
      </c>
      <c r="K286" s="232">
        <f t="shared" si="69"/>
        <v>0</v>
      </c>
      <c r="L286" s="232">
        <f t="shared" si="70"/>
        <v>0</v>
      </c>
      <c r="M286" s="232">
        <f t="shared" si="71"/>
        <v>0</v>
      </c>
      <c r="N286" s="232"/>
      <c r="O286" s="232">
        <f t="shared" si="72"/>
        <v>0</v>
      </c>
      <c r="P286" s="233">
        <f t="shared" si="73"/>
        <v>0</v>
      </c>
      <c r="Q286" s="234">
        <f t="shared" si="74"/>
        <v>0</v>
      </c>
      <c r="S286" s="228">
        <f t="shared" si="61"/>
        <v>0</v>
      </c>
      <c r="X286" s="228">
        <f t="shared" si="62"/>
        <v>0</v>
      </c>
      <c r="Y286" s="228" t="s">
        <v>487</v>
      </c>
    </row>
    <row r="287" spans="1:27" s="228" customFormat="1" ht="12.75" customHeight="1" x14ac:dyDescent="0.2">
      <c r="A287" s="228" t="s">
        <v>330</v>
      </c>
      <c r="B287" s="229"/>
      <c r="F287" s="228" t="s">
        <v>488</v>
      </c>
      <c r="I287" s="230"/>
      <c r="J287" s="231" t="s">
        <v>486</v>
      </c>
      <c r="K287" s="232">
        <f t="shared" si="69"/>
        <v>0</v>
      </c>
      <c r="L287" s="232">
        <f t="shared" si="70"/>
        <v>0</v>
      </c>
      <c r="M287" s="232">
        <f t="shared" si="71"/>
        <v>0</v>
      </c>
      <c r="N287" s="232"/>
      <c r="O287" s="232">
        <f t="shared" si="72"/>
        <v>0</v>
      </c>
      <c r="P287" s="233">
        <f t="shared" si="73"/>
        <v>0</v>
      </c>
      <c r="Q287" s="234">
        <f t="shared" si="74"/>
        <v>0</v>
      </c>
      <c r="S287" s="228">
        <f t="shared" si="61"/>
        <v>0</v>
      </c>
      <c r="X287" s="228">
        <f t="shared" si="62"/>
        <v>0</v>
      </c>
      <c r="Y287" s="228" t="s">
        <v>489</v>
      </c>
    </row>
    <row r="288" spans="1:27" s="228" customFormat="1" ht="12.75" customHeight="1" x14ac:dyDescent="0.2">
      <c r="A288" s="228" t="s">
        <v>330</v>
      </c>
      <c r="B288" s="229"/>
      <c r="F288" s="228" t="s">
        <v>490</v>
      </c>
      <c r="I288" s="230"/>
      <c r="J288" s="231" t="s">
        <v>486</v>
      </c>
      <c r="K288" s="232">
        <f t="shared" si="69"/>
        <v>0</v>
      </c>
      <c r="L288" s="232">
        <f t="shared" si="70"/>
        <v>0</v>
      </c>
      <c r="M288" s="232">
        <f t="shared" si="71"/>
        <v>0</v>
      </c>
      <c r="N288" s="232"/>
      <c r="O288" s="232">
        <f t="shared" si="72"/>
        <v>0</v>
      </c>
      <c r="P288" s="233">
        <f t="shared" si="73"/>
        <v>0</v>
      </c>
      <c r="Q288" s="234">
        <f t="shared" si="74"/>
        <v>0</v>
      </c>
      <c r="S288" s="228">
        <f t="shared" si="61"/>
        <v>0</v>
      </c>
      <c r="X288" s="228">
        <f t="shared" si="62"/>
        <v>0</v>
      </c>
      <c r="Y288" s="228" t="s">
        <v>491</v>
      </c>
    </row>
    <row r="289" spans="1:26" s="228" customFormat="1" ht="12.75" customHeight="1" x14ac:dyDescent="0.2">
      <c r="A289" s="228" t="s">
        <v>330</v>
      </c>
      <c r="B289" s="229"/>
      <c r="F289" s="228" t="s">
        <v>492</v>
      </c>
      <c r="I289" s="230"/>
      <c r="J289" s="231" t="s">
        <v>390</v>
      </c>
      <c r="K289" s="232">
        <f t="shared" si="69"/>
        <v>0</v>
      </c>
      <c r="L289" s="232">
        <f t="shared" si="70"/>
        <v>0</v>
      </c>
      <c r="M289" s="232">
        <f t="shared" si="71"/>
        <v>0</v>
      </c>
      <c r="N289" s="232"/>
      <c r="O289" s="232">
        <f t="shared" si="72"/>
        <v>0</v>
      </c>
      <c r="P289" s="233">
        <f t="shared" si="73"/>
        <v>0</v>
      </c>
      <c r="Q289" s="234">
        <f t="shared" si="74"/>
        <v>0</v>
      </c>
      <c r="S289" s="228">
        <f t="shared" si="61"/>
        <v>0</v>
      </c>
      <c r="X289" s="228">
        <f t="shared" si="62"/>
        <v>0</v>
      </c>
      <c r="Y289" s="228" t="s">
        <v>493</v>
      </c>
    </row>
    <row r="290" spans="1:26" s="228" customFormat="1" ht="12.75" customHeight="1" x14ac:dyDescent="0.2">
      <c r="A290" s="228" t="s">
        <v>330</v>
      </c>
      <c r="B290" s="229"/>
      <c r="F290" s="228" t="s">
        <v>494</v>
      </c>
      <c r="I290" s="230"/>
      <c r="J290" s="231" t="s">
        <v>390</v>
      </c>
      <c r="K290" s="232">
        <f t="shared" si="69"/>
        <v>0</v>
      </c>
      <c r="L290" s="232">
        <f t="shared" si="70"/>
        <v>0</v>
      </c>
      <c r="M290" s="232">
        <f t="shared" si="71"/>
        <v>0</v>
      </c>
      <c r="N290" s="232"/>
      <c r="O290" s="232">
        <f t="shared" si="72"/>
        <v>0</v>
      </c>
      <c r="P290" s="233">
        <f t="shared" si="73"/>
        <v>0</v>
      </c>
      <c r="Q290" s="234">
        <f t="shared" si="74"/>
        <v>0</v>
      </c>
      <c r="S290" s="228">
        <f t="shared" si="61"/>
        <v>0</v>
      </c>
      <c r="X290" s="228">
        <f t="shared" si="62"/>
        <v>0</v>
      </c>
      <c r="Y290" s="228" t="s">
        <v>495</v>
      </c>
    </row>
    <row r="291" spans="1:26" s="228" customFormat="1" ht="12.75" customHeight="1" x14ac:dyDescent="0.2">
      <c r="A291" s="228" t="s">
        <v>330</v>
      </c>
      <c r="B291" s="229"/>
      <c r="I291" s="230"/>
      <c r="J291" s="231"/>
      <c r="K291" s="232">
        <f t="shared" si="69"/>
        <v>0</v>
      </c>
      <c r="L291" s="232">
        <f t="shared" si="70"/>
        <v>0</v>
      </c>
      <c r="M291" s="232">
        <f t="shared" si="71"/>
        <v>0</v>
      </c>
      <c r="N291" s="232"/>
      <c r="O291" s="232">
        <f t="shared" si="72"/>
        <v>0</v>
      </c>
      <c r="P291" s="233">
        <f t="shared" si="73"/>
        <v>0</v>
      </c>
      <c r="Q291" s="234">
        <f t="shared" si="74"/>
        <v>0</v>
      </c>
      <c r="S291" s="228">
        <f t="shared" si="61"/>
        <v>0</v>
      </c>
      <c r="X291" s="228">
        <f t="shared" si="62"/>
        <v>0</v>
      </c>
    </row>
    <row r="292" spans="1:26" ht="12.75" customHeight="1" x14ac:dyDescent="0.2">
      <c r="A292" s="143" t="s">
        <v>351</v>
      </c>
      <c r="E292" s="143" t="s">
        <v>484</v>
      </c>
      <c r="J292" s="147" t="s">
        <v>486</v>
      </c>
      <c r="K292" s="149">
        <f t="shared" si="69"/>
        <v>0</v>
      </c>
      <c r="L292" s="149">
        <f t="shared" si="70"/>
        <v>0</v>
      </c>
      <c r="M292" s="149">
        <f t="shared" si="71"/>
        <v>0</v>
      </c>
      <c r="N292" s="149"/>
      <c r="O292" s="149">
        <f t="shared" ref="O292:O337" si="75">SUM(K292:N292)*embed</f>
        <v>0</v>
      </c>
      <c r="P292" s="216">
        <f t="shared" si="73"/>
        <v>0</v>
      </c>
      <c r="Q292" s="150">
        <f t="shared" si="74"/>
        <v>0</v>
      </c>
      <c r="S292" s="143">
        <f t="shared" si="61"/>
        <v>0</v>
      </c>
      <c r="X292" s="143">
        <f t="shared" si="62"/>
        <v>0</v>
      </c>
      <c r="Y292" s="143" t="s">
        <v>496</v>
      </c>
    </row>
    <row r="293" spans="1:26" x14ac:dyDescent="0.2">
      <c r="A293" s="143" t="s">
        <v>351</v>
      </c>
      <c r="K293" s="149">
        <f t="shared" ref="K293:K326" si="76">R293*tax*markup*IF(Y293&lt;&gt;"",VLOOKUP(LEFT(Y293,2),cityindex,2,0),1)</f>
        <v>0</v>
      </c>
      <c r="L293" s="149">
        <f t="shared" ref="L293:L326" si="77">S293*markup*difficulty*IF(Y293&lt;&gt;"",VLOOKUP(LEFT(Y293,2),cityindex,3,0),1)</f>
        <v>0</v>
      </c>
      <c r="M293" s="149">
        <f t="shared" ref="M293:M326" si="78">W293*markup*difficulty*IF(Y293&lt;&gt;"",VLOOKUP(LEFT(Y293,2),cityindex,3,0),1)</f>
        <v>0</v>
      </c>
      <c r="N293" s="149"/>
      <c r="O293" s="149">
        <f t="shared" si="75"/>
        <v>0</v>
      </c>
      <c r="P293" s="216">
        <f t="shared" si="73"/>
        <v>0</v>
      </c>
      <c r="Q293" s="150">
        <f>IF(O293=0,0,IF(X293=0,"manual",O293/((R293*tax*markup*IF(Y293&lt;&gt;"",VLOOKUP(LEFT(Y293,2),cityindex,2,0),1))+S293*markup*difficulty*IF(Y293&lt;&gt;"",VLOOKUP(LEFT(Y293,2),cityindex,3,0),1)+W293*markup*difficulty*IF(Y293&lt;&gt;"",VLOOKUP(LEFT(Y293,2),cityindex,3,0),1))))</f>
        <v>0</v>
      </c>
      <c r="S293" s="143">
        <f t="shared" si="61"/>
        <v>0</v>
      </c>
      <c r="X293" s="143">
        <f t="shared" si="62"/>
        <v>0</v>
      </c>
      <c r="Z293" s="227"/>
    </row>
    <row r="294" spans="1:26" x14ac:dyDescent="0.2">
      <c r="A294" s="143" t="s">
        <v>296</v>
      </c>
      <c r="E294" s="143" t="s">
        <v>497</v>
      </c>
      <c r="K294" s="149">
        <f t="shared" si="76"/>
        <v>0</v>
      </c>
      <c r="L294" s="149">
        <f t="shared" si="77"/>
        <v>0</v>
      </c>
      <c r="M294" s="149">
        <f t="shared" si="78"/>
        <v>0</v>
      </c>
      <c r="N294" s="149"/>
      <c r="O294" s="149">
        <f t="shared" si="75"/>
        <v>0</v>
      </c>
      <c r="P294" s="216">
        <f t="shared" si="73"/>
        <v>0</v>
      </c>
      <c r="Q294" s="150">
        <f>IF(O294=0,0,IF(X294=0,"manual",O294/((R294*tax*markup*IF(Y294&lt;&gt;"",VLOOKUP(LEFT(Y294,2),cityindex,2,0),1))+S294*markup*difficulty*IF(Y294&lt;&gt;"",VLOOKUP(LEFT(Y294,2),cityindex,3,0),1)+W294*markup*difficulty*IF(Y294&lt;&gt;"",VLOOKUP(LEFT(Y294,2),cityindex,3,0),1))))</f>
        <v>0</v>
      </c>
      <c r="S294" s="143">
        <f t="shared" si="61"/>
        <v>0</v>
      </c>
      <c r="X294" s="143">
        <f t="shared" si="62"/>
        <v>0</v>
      </c>
      <c r="Z294" s="227"/>
    </row>
    <row r="295" spans="1:26" s="228" customFormat="1" ht="12.75" customHeight="1" x14ac:dyDescent="0.2">
      <c r="A295" s="228" t="s">
        <v>296</v>
      </c>
      <c r="B295" s="229"/>
      <c r="F295" s="228" t="s">
        <v>498</v>
      </c>
      <c r="I295" s="230"/>
      <c r="J295" s="231"/>
      <c r="K295" s="232">
        <f>R295*tax*markup*IF(Y295&lt;&gt;"",VLOOKUP(LEFT(Y295,2),cityindex,2,0),1)</f>
        <v>0</v>
      </c>
      <c r="L295" s="232">
        <f>S295*markup*difficulty*IF(Y295&lt;&gt;"",VLOOKUP(LEFT(Y295,2),cityindex,3,0),1)</f>
        <v>0</v>
      </c>
      <c r="M295" s="232">
        <f>W295*markup*difficulty*IF(Y295&lt;&gt;"",VLOOKUP(LEFT(Y295,2),cityindex,3,0),1)</f>
        <v>0</v>
      </c>
      <c r="N295" s="232"/>
      <c r="O295" s="232">
        <f>SUM(K295:N295)*embed</f>
        <v>0</v>
      </c>
      <c r="P295" s="233">
        <f>ROUND((O295*I295),0)</f>
        <v>0</v>
      </c>
      <c r="Q295" s="234">
        <f>IF(O295=0,0,IF(X295=0,"manual",(O295/(R295*tax*markup*IF(Y295&lt;&gt;"",VLOOKUP(LEFT(Y295,2),cityindex,2,0),1)+S295*markup*difficulty*IF(Y295&lt;&gt;"",VLOOKUP(LEFT(Y295,2),cityindex,3,0),1)+W295*markup*difficulty*IF(Y295&lt;&gt;"",VLOOKUP(LEFT(Y295,2),cityindex,3,0),1)))-1))</f>
        <v>0</v>
      </c>
      <c r="S295" s="228">
        <f>U295*V295</f>
        <v>0</v>
      </c>
      <c r="X295" s="228">
        <f>SUM(R295,S295,W295)</f>
        <v>0</v>
      </c>
    </row>
    <row r="296" spans="1:26" ht="12.75" customHeight="1" x14ac:dyDescent="0.2">
      <c r="A296" s="143" t="s">
        <v>296</v>
      </c>
      <c r="G296" s="143" t="s">
        <v>499</v>
      </c>
      <c r="J296" s="147" t="s">
        <v>301</v>
      </c>
      <c r="K296" s="149">
        <f>R296*tax*markup*IF(Y296&lt;&gt;"",VLOOKUP(LEFT(Y296,2),cityindex,2,0),1)</f>
        <v>0</v>
      </c>
      <c r="L296" s="149">
        <f>S296*markup*difficulty*IF(Y296&lt;&gt;"",VLOOKUP(LEFT(Y296,2),cityindex,3,0),1)</f>
        <v>0</v>
      </c>
      <c r="M296" s="149">
        <f>W296*markup*difficulty*IF(Y296&lt;&gt;"",VLOOKUP(LEFT(Y296,2),cityindex,3,0),1)</f>
        <v>0</v>
      </c>
      <c r="N296" s="149"/>
      <c r="O296" s="149">
        <f>SUM(K296:N296)*embed</f>
        <v>0</v>
      </c>
      <c r="P296" s="216">
        <f>ROUND((O296*I296),0)</f>
        <v>0</v>
      </c>
      <c r="Q296" s="150">
        <f>IF(O296=0,0,IF(X296=0,"manual",(O296/(R296*tax*markup*IF(Y296&lt;&gt;"",VLOOKUP(LEFT(Y296,2),cityindex,2,0),1)+S296*markup*difficulty*IF(Y296&lt;&gt;"",VLOOKUP(LEFT(Y296,2),cityindex,3,0),1)+W296*markup*difficulty*IF(Y296&lt;&gt;"",VLOOKUP(LEFT(Y296,2),cityindex,3,0),1)))-1))</f>
        <v>0</v>
      </c>
      <c r="S296" s="143">
        <f>U296*V296</f>
        <v>0</v>
      </c>
      <c r="X296" s="143">
        <f>SUM(R296,S296,W296)</f>
        <v>0</v>
      </c>
      <c r="Y296" s="143" t="s">
        <v>500</v>
      </c>
    </row>
    <row r="297" spans="1:26" ht="12.75" customHeight="1" x14ac:dyDescent="0.2">
      <c r="A297" s="143" t="s">
        <v>296</v>
      </c>
      <c r="G297" s="143" t="s">
        <v>382</v>
      </c>
      <c r="J297" s="147" t="s">
        <v>301</v>
      </c>
      <c r="K297" s="149">
        <f>R297*tax*markup*IF(Y297&lt;&gt;"",VLOOKUP(LEFT(Y297,2),cityindex,2,0),1)</f>
        <v>0</v>
      </c>
      <c r="L297" s="149">
        <f>S297*markup*difficulty*IF(Y297&lt;&gt;"",VLOOKUP(LEFT(Y297,2),cityindex,3,0),1)</f>
        <v>0</v>
      </c>
      <c r="M297" s="149">
        <f>W297*markup*difficulty*IF(Y297&lt;&gt;"",VLOOKUP(LEFT(Y297,2),cityindex,3,0),1)</f>
        <v>0</v>
      </c>
      <c r="N297" s="149"/>
      <c r="O297" s="149">
        <f>SUM(K297:N297)*embed</f>
        <v>0</v>
      </c>
      <c r="P297" s="216">
        <f>ROUND((O297*I297),0)</f>
        <v>0</v>
      </c>
      <c r="Q297" s="150">
        <f>IF(O297=0,0,IF(X297=0,"manual",(O297/(R297*tax*markup*IF(Y297&lt;&gt;"",VLOOKUP(LEFT(Y297,2),cityindex,2,0),1)+S297*markup*difficulty*IF(Y297&lt;&gt;"",VLOOKUP(LEFT(Y297,2),cityindex,3,0),1)+W297*markup*difficulty*IF(Y297&lt;&gt;"",VLOOKUP(LEFT(Y297,2),cityindex,3,0),1)))-1))</f>
        <v>0</v>
      </c>
      <c r="S297" s="143">
        <f>U297*V297</f>
        <v>0</v>
      </c>
      <c r="X297" s="143">
        <f>SUM(R297,S297,W297)</f>
        <v>0</v>
      </c>
      <c r="Y297" s="143" t="s">
        <v>501</v>
      </c>
    </row>
    <row r="298" spans="1:26" ht="12.75" customHeight="1" x14ac:dyDescent="0.2">
      <c r="A298" s="143" t="s">
        <v>296</v>
      </c>
      <c r="G298" s="143" t="s">
        <v>384</v>
      </c>
      <c r="J298" s="147" t="s">
        <v>301</v>
      </c>
      <c r="K298" s="149">
        <f>R298*tax*markup*IF(Y298&lt;&gt;"",VLOOKUP(LEFT(Y298,2),cityindex,2,0),1)</f>
        <v>0</v>
      </c>
      <c r="L298" s="149">
        <f>S298*markup*difficulty*IF(Y298&lt;&gt;"",VLOOKUP(LEFT(Y298,2),cityindex,3,0),1)</f>
        <v>0</v>
      </c>
      <c r="M298" s="149">
        <f>W298*markup*difficulty*IF(Y298&lt;&gt;"",VLOOKUP(LEFT(Y298,2),cityindex,3,0),1)</f>
        <v>0</v>
      </c>
      <c r="N298" s="149"/>
      <c r="O298" s="149">
        <f>SUM(K298:N298)*embed</f>
        <v>0</v>
      </c>
      <c r="P298" s="216">
        <f>ROUND((O298*I298),0)</f>
        <v>0</v>
      </c>
      <c r="Q298" s="150">
        <f>IF(O298=0,0,IF(X298=0,"manual",(O298/(R298*tax*markup*IF(Y298&lt;&gt;"",VLOOKUP(LEFT(Y298,2),cityindex,2,0),1)+S298*markup*difficulty*IF(Y298&lt;&gt;"",VLOOKUP(LEFT(Y298,2),cityindex,3,0),1)+W298*markup*difficulty*IF(Y298&lt;&gt;"",VLOOKUP(LEFT(Y298,2),cityindex,3,0),1)))-1))</f>
        <v>0</v>
      </c>
      <c r="S298" s="143">
        <f>U298*V298</f>
        <v>0</v>
      </c>
      <c r="X298" s="143">
        <f>SUM(R298,S298,W298)</f>
        <v>0</v>
      </c>
      <c r="Y298" s="143" t="s">
        <v>502</v>
      </c>
    </row>
    <row r="299" spans="1:26" ht="12.75" customHeight="1" x14ac:dyDescent="0.2">
      <c r="A299" s="143" t="s">
        <v>296</v>
      </c>
      <c r="F299" s="143" t="s">
        <v>503</v>
      </c>
      <c r="J299" s="147" t="s">
        <v>301</v>
      </c>
      <c r="K299" s="149">
        <f t="shared" si="76"/>
        <v>0</v>
      </c>
      <c r="L299" s="149">
        <f t="shared" si="77"/>
        <v>0</v>
      </c>
      <c r="M299" s="149">
        <f t="shared" si="78"/>
        <v>0</v>
      </c>
      <c r="N299" s="149"/>
      <c r="O299" s="149">
        <f t="shared" si="75"/>
        <v>0</v>
      </c>
      <c r="P299" s="216">
        <f t="shared" si="73"/>
        <v>0</v>
      </c>
      <c r="Q299" s="150">
        <f>IF(O299=0,0,IF(X299=0,"manual",(O299/(R299*tax*markup*IF(Y299&lt;&gt;"",VLOOKUP(LEFT(Y299,2),cityindex,2,0),1)+S299*markup*difficulty*IF(Y299&lt;&gt;"",VLOOKUP(LEFT(Y299,2),cityindex,3,0),1)+W299*markup*difficulty*IF(Y299&lt;&gt;"",VLOOKUP(LEFT(Y299,2),cityindex,3,0),1)))-1))</f>
        <v>0</v>
      </c>
      <c r="S299" s="143">
        <f t="shared" si="61"/>
        <v>0</v>
      </c>
      <c r="X299" s="143">
        <f t="shared" si="62"/>
        <v>0</v>
      </c>
      <c r="Y299" s="143" t="s">
        <v>504</v>
      </c>
    </row>
    <row r="300" spans="1:26" x14ac:dyDescent="0.2">
      <c r="A300" s="143" t="s">
        <v>296</v>
      </c>
      <c r="K300" s="149">
        <f t="shared" si="76"/>
        <v>0</v>
      </c>
      <c r="L300" s="149">
        <f t="shared" si="77"/>
        <v>0</v>
      </c>
      <c r="M300" s="149">
        <f t="shared" si="78"/>
        <v>0</v>
      </c>
      <c r="N300" s="149"/>
      <c r="O300" s="149">
        <f t="shared" si="75"/>
        <v>0</v>
      </c>
      <c r="P300" s="216">
        <f t="shared" si="73"/>
        <v>0</v>
      </c>
      <c r="Q300" s="150">
        <f>IF(O300=0,0,IF(X300=0,"manual",O300/((R300*tax*markup*IF(Y300&lt;&gt;"",VLOOKUP(LEFT(Y300,2),cityindex,2,0),1))+S300*markup*difficulty*IF(Y300&lt;&gt;"",VLOOKUP(LEFT(Y300,2),cityindex,3,0),1)+W300*markup*difficulty*IF(Y300&lt;&gt;"",VLOOKUP(LEFT(Y300,2),cityindex,3,0),1))))</f>
        <v>0</v>
      </c>
      <c r="S300" s="143">
        <f t="shared" si="61"/>
        <v>0</v>
      </c>
      <c r="X300" s="143">
        <f t="shared" si="62"/>
        <v>0</v>
      </c>
      <c r="Z300" s="227"/>
    </row>
    <row r="301" spans="1:26" x14ac:dyDescent="0.2">
      <c r="A301" s="143" t="s">
        <v>296</v>
      </c>
      <c r="E301" s="143" t="s">
        <v>505</v>
      </c>
      <c r="K301" s="149">
        <f t="shared" si="76"/>
        <v>0</v>
      </c>
      <c r="L301" s="149">
        <f t="shared" si="77"/>
        <v>0</v>
      </c>
      <c r="M301" s="149">
        <f t="shared" si="78"/>
        <v>0</v>
      </c>
      <c r="N301" s="149"/>
      <c r="O301" s="149">
        <f t="shared" si="75"/>
        <v>0</v>
      </c>
      <c r="P301" s="216">
        <f t="shared" si="73"/>
        <v>0</v>
      </c>
      <c r="Q301" s="150">
        <f>IF(O301=0,0,IF(X301=0,"manual",O301/((R301*tax*markup*IF(Y301&lt;&gt;"",VLOOKUP(LEFT(Y301,2),cityindex,2,0),1))+S301*markup*difficulty*IF(Y301&lt;&gt;"",VLOOKUP(LEFT(Y301,2),cityindex,3,0),1)+W301*markup*difficulty*IF(Y301&lt;&gt;"",VLOOKUP(LEFT(Y301,2),cityindex,3,0),1))))</f>
        <v>0</v>
      </c>
      <c r="S301" s="143">
        <f t="shared" si="61"/>
        <v>0</v>
      </c>
      <c r="X301" s="143">
        <f t="shared" si="62"/>
        <v>0</v>
      </c>
      <c r="Z301" s="227"/>
    </row>
    <row r="302" spans="1:26" s="228" customFormat="1" ht="12.75" customHeight="1" x14ac:dyDescent="0.2">
      <c r="A302" s="228" t="s">
        <v>296</v>
      </c>
      <c r="B302" s="229"/>
      <c r="F302" s="228" t="s">
        <v>498</v>
      </c>
      <c r="I302" s="230"/>
      <c r="J302" s="231"/>
      <c r="K302" s="232">
        <f>R302*tax*markup*IF(Y302&lt;&gt;"",VLOOKUP(LEFT(Y302,2),cityindex,2,0),1)</f>
        <v>0</v>
      </c>
      <c r="L302" s="232">
        <f>S302*markup*difficulty*IF(Y302&lt;&gt;"",VLOOKUP(LEFT(Y302,2),cityindex,3,0),1)</f>
        <v>0</v>
      </c>
      <c r="M302" s="232">
        <f>W302*markup*difficulty*IF(Y302&lt;&gt;"",VLOOKUP(LEFT(Y302,2),cityindex,3,0),1)</f>
        <v>0</v>
      </c>
      <c r="N302" s="232"/>
      <c r="O302" s="232">
        <f>SUM(K302:N302)*embed</f>
        <v>0</v>
      </c>
      <c r="P302" s="233">
        <f>ROUND((O302*I302),0)</f>
        <v>0</v>
      </c>
      <c r="Q302" s="234">
        <f>IF(O302=0,0,IF(X302=0,"manual",(O302/(R302*tax*markup*IF(Y302&lt;&gt;"",VLOOKUP(LEFT(Y302,2),cityindex,2,0),1)+S302*markup*difficulty*IF(Y302&lt;&gt;"",VLOOKUP(LEFT(Y302,2),cityindex,3,0),1)+W302*markup*difficulty*IF(Y302&lt;&gt;"",VLOOKUP(LEFT(Y302,2),cityindex,3,0),1)))-1))</f>
        <v>0</v>
      </c>
      <c r="S302" s="228">
        <f>U302*V302</f>
        <v>0</v>
      </c>
      <c r="X302" s="228">
        <f>SUM(R302,S302,W302)</f>
        <v>0</v>
      </c>
    </row>
    <row r="303" spans="1:26" ht="12.75" customHeight="1" x14ac:dyDescent="0.2">
      <c r="A303" s="143" t="s">
        <v>296</v>
      </c>
      <c r="G303" s="143" t="s">
        <v>499</v>
      </c>
      <c r="J303" s="147" t="s">
        <v>301</v>
      </c>
      <c r="K303" s="149">
        <f>R303*tax*markup*IF(Y303&lt;&gt;"",VLOOKUP(LEFT(Y303,2),cityindex,2,0),1)</f>
        <v>0</v>
      </c>
      <c r="L303" s="149">
        <f>S303*markup*difficulty*IF(Y303&lt;&gt;"",VLOOKUP(LEFT(Y303,2),cityindex,3,0),1)</f>
        <v>0</v>
      </c>
      <c r="M303" s="149">
        <f>W303*markup*difficulty*IF(Y303&lt;&gt;"",VLOOKUP(LEFT(Y303,2),cityindex,3,0),1)</f>
        <v>0</v>
      </c>
      <c r="N303" s="149"/>
      <c r="O303" s="149">
        <f>SUM(K303:N303)*embed</f>
        <v>0</v>
      </c>
      <c r="P303" s="216">
        <f>ROUND((O303*I303),0)</f>
        <v>0</v>
      </c>
      <c r="Q303" s="150">
        <f>IF(O303=0,0,IF(X303=0,"manual",(O303/(R303*tax*markup*IF(Y303&lt;&gt;"",VLOOKUP(LEFT(Y303,2),cityindex,2,0),1)+S303*markup*difficulty*IF(Y303&lt;&gt;"",VLOOKUP(LEFT(Y303,2),cityindex,3,0),1)+W303*markup*difficulty*IF(Y303&lt;&gt;"",VLOOKUP(LEFT(Y303,2),cityindex,3,0),1)))-1))</f>
        <v>0</v>
      </c>
      <c r="S303" s="143">
        <f>U303*V303</f>
        <v>0</v>
      </c>
      <c r="X303" s="143">
        <f>SUM(R303,S303,W303)</f>
        <v>0</v>
      </c>
      <c r="Y303" s="143" t="s">
        <v>506</v>
      </c>
    </row>
    <row r="304" spans="1:26" ht="12.75" customHeight="1" x14ac:dyDescent="0.2">
      <c r="A304" s="143" t="s">
        <v>296</v>
      </c>
      <c r="G304" s="143" t="s">
        <v>382</v>
      </c>
      <c r="J304" s="147" t="s">
        <v>301</v>
      </c>
      <c r="K304" s="149">
        <f>R304*tax*markup*IF(Y304&lt;&gt;"",VLOOKUP(LEFT(Y304,2),cityindex,2,0),1)</f>
        <v>0</v>
      </c>
      <c r="L304" s="149">
        <f>S304*markup*difficulty*IF(Y304&lt;&gt;"",VLOOKUP(LEFT(Y304,2),cityindex,3,0),1)</f>
        <v>0</v>
      </c>
      <c r="M304" s="149">
        <f>W304*markup*difficulty*IF(Y304&lt;&gt;"",VLOOKUP(LEFT(Y304,2),cityindex,3,0),1)</f>
        <v>0</v>
      </c>
      <c r="N304" s="149"/>
      <c r="O304" s="149">
        <f>SUM(K304:N304)*embed</f>
        <v>0</v>
      </c>
      <c r="P304" s="216">
        <f>ROUND((O304*I304),0)</f>
        <v>0</v>
      </c>
      <c r="Q304" s="150">
        <f>IF(O304=0,0,IF(X304=0,"manual",(O304/(R304*tax*markup*IF(Y304&lt;&gt;"",VLOOKUP(LEFT(Y304,2),cityindex,2,0),1)+S304*markup*difficulty*IF(Y304&lt;&gt;"",VLOOKUP(LEFT(Y304,2),cityindex,3,0),1)+W304*markup*difficulty*IF(Y304&lt;&gt;"",VLOOKUP(LEFT(Y304,2),cityindex,3,0),1)))-1))</f>
        <v>0</v>
      </c>
      <c r="S304" s="143">
        <f>U304*V304</f>
        <v>0</v>
      </c>
      <c r="X304" s="143">
        <f>SUM(R304,S304,W304)</f>
        <v>0</v>
      </c>
      <c r="Y304" s="143" t="s">
        <v>507</v>
      </c>
    </row>
    <row r="305" spans="1:26" ht="12.75" customHeight="1" x14ac:dyDescent="0.2">
      <c r="A305" s="143" t="s">
        <v>296</v>
      </c>
      <c r="F305" s="143" t="s">
        <v>503</v>
      </c>
      <c r="J305" s="147" t="s">
        <v>301</v>
      </c>
      <c r="K305" s="149">
        <f t="shared" si="76"/>
        <v>0</v>
      </c>
      <c r="L305" s="149">
        <f t="shared" si="77"/>
        <v>0</v>
      </c>
      <c r="M305" s="149">
        <f t="shared" si="78"/>
        <v>0</v>
      </c>
      <c r="N305" s="149"/>
      <c r="O305" s="149">
        <f t="shared" si="75"/>
        <v>0</v>
      </c>
      <c r="P305" s="216">
        <f t="shared" si="73"/>
        <v>0</v>
      </c>
      <c r="Q305" s="150">
        <f>IF(O305=0,0,IF(X305=0,"manual",(O305/(R305*tax*markup*IF(Y305&lt;&gt;"",VLOOKUP(LEFT(Y305,2),cityindex,2,0),1)+S305*markup*difficulty*IF(Y305&lt;&gt;"",VLOOKUP(LEFT(Y305,2),cityindex,3,0),1)+W305*markup*difficulty*IF(Y305&lt;&gt;"",VLOOKUP(LEFT(Y305,2),cityindex,3,0),1)))-1))</f>
        <v>0</v>
      </c>
      <c r="S305" s="143">
        <f t="shared" si="61"/>
        <v>0</v>
      </c>
      <c r="X305" s="143">
        <f t="shared" si="62"/>
        <v>0</v>
      </c>
      <c r="Y305" s="143" t="s">
        <v>504</v>
      </c>
    </row>
    <row r="306" spans="1:26" x14ac:dyDescent="0.2">
      <c r="A306" s="143" t="s">
        <v>296</v>
      </c>
      <c r="K306" s="149">
        <f t="shared" si="76"/>
        <v>0</v>
      </c>
      <c r="L306" s="149">
        <f t="shared" si="77"/>
        <v>0</v>
      </c>
      <c r="M306" s="149">
        <f t="shared" si="78"/>
        <v>0</v>
      </c>
      <c r="N306" s="149"/>
      <c r="O306" s="149">
        <f t="shared" si="75"/>
        <v>0</v>
      </c>
      <c r="P306" s="216">
        <f t="shared" si="73"/>
        <v>0</v>
      </c>
      <c r="Q306" s="150">
        <f>IF(O306=0,0,IF(X306=0,"manual",O306/((R306*tax*markup*IF(Y306&lt;&gt;"",VLOOKUP(LEFT(Y306,2),cityindex,2,0),1))+S306*markup*difficulty*IF(Y306&lt;&gt;"",VLOOKUP(LEFT(Y306,2),cityindex,3,0),1)+W306*markup*difficulty*IF(Y306&lt;&gt;"",VLOOKUP(LEFT(Y306,2),cityindex,3,0),1))))</f>
        <v>0</v>
      </c>
      <c r="S306" s="143">
        <f t="shared" si="61"/>
        <v>0</v>
      </c>
      <c r="X306" s="143">
        <f t="shared" si="62"/>
        <v>0</v>
      </c>
      <c r="Z306" s="227"/>
    </row>
    <row r="307" spans="1:26" ht="12.75" customHeight="1" x14ac:dyDescent="0.2">
      <c r="A307" s="143" t="s">
        <v>399</v>
      </c>
      <c r="F307" s="226" t="s">
        <v>508</v>
      </c>
      <c r="K307" s="149">
        <f t="shared" si="76"/>
        <v>0</v>
      </c>
      <c r="L307" s="149">
        <f t="shared" si="77"/>
        <v>0</v>
      </c>
      <c r="M307" s="149">
        <f t="shared" si="78"/>
        <v>0</v>
      </c>
      <c r="N307" s="149"/>
      <c r="O307" s="149">
        <f t="shared" si="75"/>
        <v>0</v>
      </c>
      <c r="P307" s="216">
        <f t="shared" si="73"/>
        <v>0</v>
      </c>
      <c r="Q307" s="150">
        <f t="shared" ref="Q307:Q326" si="79">IF(O307=0,0,IF(X307=0,"manual",(O307/(R307*tax*markup*IF(Y307&lt;&gt;"",VLOOKUP(LEFT(Y307,2),cityindex,2,0),1)+S307*markup*difficulty*IF(Y307&lt;&gt;"",VLOOKUP(LEFT(Y307,2),cityindex,3,0),1)+W307*markup*difficulty*IF(Y307&lt;&gt;"",VLOOKUP(LEFT(Y307,2),cityindex,3,0),1)))-1))</f>
        <v>0</v>
      </c>
      <c r="S307" s="143">
        <f t="shared" si="61"/>
        <v>0</v>
      </c>
      <c r="X307" s="143">
        <f t="shared" si="62"/>
        <v>0</v>
      </c>
    </row>
    <row r="308" spans="1:26" ht="12.75" customHeight="1" x14ac:dyDescent="0.2">
      <c r="A308" s="143" t="s">
        <v>330</v>
      </c>
      <c r="F308" s="143" t="s">
        <v>509</v>
      </c>
      <c r="J308" s="147" t="s">
        <v>309</v>
      </c>
      <c r="K308" s="149">
        <f t="shared" si="76"/>
        <v>0</v>
      </c>
      <c r="L308" s="149">
        <f t="shared" si="77"/>
        <v>0</v>
      </c>
      <c r="M308" s="149">
        <f t="shared" si="78"/>
        <v>0</v>
      </c>
      <c r="N308" s="149"/>
      <c r="O308" s="149">
        <f t="shared" si="75"/>
        <v>0</v>
      </c>
      <c r="P308" s="216">
        <f t="shared" si="73"/>
        <v>0</v>
      </c>
      <c r="Q308" s="150">
        <f t="shared" si="79"/>
        <v>0</v>
      </c>
      <c r="S308" s="143">
        <f t="shared" si="61"/>
        <v>0</v>
      </c>
      <c r="X308" s="143">
        <f t="shared" si="62"/>
        <v>0</v>
      </c>
      <c r="Y308" s="143" t="s">
        <v>510</v>
      </c>
    </row>
    <row r="309" spans="1:26" ht="12.75" customHeight="1" x14ac:dyDescent="0.2">
      <c r="A309" s="143" t="s">
        <v>330</v>
      </c>
      <c r="F309" s="143" t="s">
        <v>511</v>
      </c>
      <c r="J309" s="147" t="s">
        <v>309</v>
      </c>
      <c r="K309" s="149">
        <f t="shared" si="76"/>
        <v>0</v>
      </c>
      <c r="L309" s="149">
        <f t="shared" si="77"/>
        <v>0</v>
      </c>
      <c r="M309" s="149">
        <f t="shared" si="78"/>
        <v>0</v>
      </c>
      <c r="N309" s="149"/>
      <c r="O309" s="149">
        <f t="shared" si="75"/>
        <v>0</v>
      </c>
      <c r="P309" s="216">
        <f t="shared" si="73"/>
        <v>0</v>
      </c>
      <c r="Q309" s="150">
        <f t="shared" si="79"/>
        <v>0</v>
      </c>
      <c r="S309" s="143">
        <f t="shared" si="61"/>
        <v>0</v>
      </c>
      <c r="X309" s="143">
        <f t="shared" si="62"/>
        <v>0</v>
      </c>
      <c r="Y309" s="143" t="s">
        <v>512</v>
      </c>
    </row>
    <row r="310" spans="1:26" ht="12.75" customHeight="1" x14ac:dyDescent="0.2">
      <c r="A310" s="143" t="s">
        <v>330</v>
      </c>
      <c r="F310" s="143" t="s">
        <v>513</v>
      </c>
      <c r="J310" s="147" t="s">
        <v>309</v>
      </c>
      <c r="K310" s="149">
        <f t="shared" si="76"/>
        <v>0</v>
      </c>
      <c r="L310" s="149">
        <f t="shared" si="77"/>
        <v>0</v>
      </c>
      <c r="M310" s="149">
        <f t="shared" si="78"/>
        <v>0</v>
      </c>
      <c r="N310" s="149"/>
      <c r="O310" s="149">
        <f t="shared" si="75"/>
        <v>0</v>
      </c>
      <c r="P310" s="216">
        <f t="shared" si="73"/>
        <v>0</v>
      </c>
      <c r="Q310" s="150">
        <f t="shared" si="79"/>
        <v>0</v>
      </c>
      <c r="S310" s="143">
        <f t="shared" ref="S310:S372" si="80">U310*V310</f>
        <v>0</v>
      </c>
      <c r="X310" s="143">
        <f t="shared" ref="X310:X372" si="81">SUM(R310,S310,W310)</f>
        <v>0</v>
      </c>
      <c r="Y310" s="143" t="s">
        <v>514</v>
      </c>
    </row>
    <row r="311" spans="1:26" ht="12.75" customHeight="1" x14ac:dyDescent="0.2">
      <c r="A311" s="143" t="s">
        <v>330</v>
      </c>
      <c r="F311" s="143" t="s">
        <v>515</v>
      </c>
      <c r="J311" s="147" t="s">
        <v>309</v>
      </c>
      <c r="K311" s="149">
        <f t="shared" si="76"/>
        <v>0</v>
      </c>
      <c r="L311" s="149">
        <f t="shared" si="77"/>
        <v>0</v>
      </c>
      <c r="M311" s="149">
        <f t="shared" si="78"/>
        <v>0</v>
      </c>
      <c r="N311" s="149"/>
      <c r="O311" s="149">
        <f t="shared" si="75"/>
        <v>0</v>
      </c>
      <c r="P311" s="216">
        <f t="shared" si="73"/>
        <v>0</v>
      </c>
      <c r="Q311" s="150">
        <f t="shared" si="79"/>
        <v>0</v>
      </c>
      <c r="S311" s="143">
        <f t="shared" si="80"/>
        <v>0</v>
      </c>
      <c r="X311" s="143">
        <f t="shared" si="81"/>
        <v>0</v>
      </c>
      <c r="Y311" s="143" t="s">
        <v>516</v>
      </c>
    </row>
    <row r="312" spans="1:26" ht="12.75" customHeight="1" x14ac:dyDescent="0.2">
      <c r="A312" s="143" t="s">
        <v>330</v>
      </c>
      <c r="F312" s="143" t="s">
        <v>517</v>
      </c>
      <c r="J312" s="147" t="s">
        <v>309</v>
      </c>
      <c r="K312" s="149">
        <f t="shared" si="76"/>
        <v>0</v>
      </c>
      <c r="L312" s="149">
        <f t="shared" si="77"/>
        <v>0</v>
      </c>
      <c r="M312" s="149">
        <f t="shared" si="78"/>
        <v>0</v>
      </c>
      <c r="N312" s="149"/>
      <c r="O312" s="149">
        <f t="shared" si="75"/>
        <v>0</v>
      </c>
      <c r="P312" s="216">
        <f t="shared" si="73"/>
        <v>0</v>
      </c>
      <c r="Q312" s="150">
        <f t="shared" si="79"/>
        <v>0</v>
      </c>
      <c r="S312" s="143">
        <f t="shared" si="80"/>
        <v>0</v>
      </c>
      <c r="X312" s="143">
        <f t="shared" si="81"/>
        <v>0</v>
      </c>
      <c r="Y312" s="143" t="s">
        <v>518</v>
      </c>
    </row>
    <row r="313" spans="1:26" ht="12.75" customHeight="1" x14ac:dyDescent="0.2">
      <c r="A313" s="143" t="s">
        <v>330</v>
      </c>
      <c r="F313" s="143" t="s">
        <v>519</v>
      </c>
      <c r="J313" s="147" t="s">
        <v>309</v>
      </c>
      <c r="K313" s="149">
        <f t="shared" si="76"/>
        <v>0</v>
      </c>
      <c r="L313" s="149">
        <f t="shared" si="77"/>
        <v>0</v>
      </c>
      <c r="M313" s="149">
        <f t="shared" si="78"/>
        <v>0</v>
      </c>
      <c r="N313" s="149"/>
      <c r="O313" s="149">
        <f t="shared" si="75"/>
        <v>0</v>
      </c>
      <c r="P313" s="216">
        <f t="shared" si="73"/>
        <v>0</v>
      </c>
      <c r="Q313" s="150">
        <f t="shared" si="79"/>
        <v>0</v>
      </c>
      <c r="S313" s="143">
        <f t="shared" si="80"/>
        <v>0</v>
      </c>
      <c r="X313" s="143">
        <f t="shared" si="81"/>
        <v>0</v>
      </c>
      <c r="Y313" s="143" t="s">
        <v>520</v>
      </c>
    </row>
    <row r="314" spans="1:26" ht="12.75" customHeight="1" x14ac:dyDescent="0.2">
      <c r="A314" s="143" t="s">
        <v>330</v>
      </c>
      <c r="F314" s="143" t="s">
        <v>521</v>
      </c>
      <c r="J314" s="147" t="s">
        <v>309</v>
      </c>
      <c r="K314" s="149">
        <f t="shared" si="76"/>
        <v>0</v>
      </c>
      <c r="L314" s="149">
        <f t="shared" si="77"/>
        <v>0</v>
      </c>
      <c r="M314" s="149">
        <f t="shared" si="78"/>
        <v>0</v>
      </c>
      <c r="N314" s="149"/>
      <c r="O314" s="149">
        <f t="shared" si="75"/>
        <v>0</v>
      </c>
      <c r="P314" s="216">
        <f t="shared" si="73"/>
        <v>0</v>
      </c>
      <c r="Q314" s="150">
        <f t="shared" si="79"/>
        <v>0</v>
      </c>
      <c r="S314" s="143">
        <f t="shared" si="80"/>
        <v>0</v>
      </c>
      <c r="X314" s="143">
        <f t="shared" si="81"/>
        <v>0</v>
      </c>
      <c r="Y314" s="143" t="s">
        <v>522</v>
      </c>
    </row>
    <row r="315" spans="1:26" ht="12.75" customHeight="1" x14ac:dyDescent="0.2">
      <c r="A315" s="143" t="s">
        <v>330</v>
      </c>
      <c r="F315" s="143" t="s">
        <v>523</v>
      </c>
      <c r="J315" s="147" t="s">
        <v>309</v>
      </c>
      <c r="K315" s="149">
        <f t="shared" si="76"/>
        <v>0</v>
      </c>
      <c r="L315" s="149">
        <f t="shared" si="77"/>
        <v>0</v>
      </c>
      <c r="M315" s="149">
        <f t="shared" si="78"/>
        <v>0</v>
      </c>
      <c r="N315" s="149"/>
      <c r="O315" s="149">
        <f t="shared" si="75"/>
        <v>0</v>
      </c>
      <c r="P315" s="216">
        <f t="shared" si="73"/>
        <v>0</v>
      </c>
      <c r="Q315" s="150">
        <f t="shared" si="79"/>
        <v>0</v>
      </c>
      <c r="S315" s="143">
        <f t="shared" si="80"/>
        <v>0</v>
      </c>
      <c r="X315" s="143">
        <f t="shared" si="81"/>
        <v>0</v>
      </c>
      <c r="Y315" s="143" t="s">
        <v>524</v>
      </c>
    </row>
    <row r="316" spans="1:26" ht="12.75" customHeight="1" x14ac:dyDescent="0.2">
      <c r="A316" s="143" t="s">
        <v>330</v>
      </c>
      <c r="F316" s="143" t="s">
        <v>525</v>
      </c>
      <c r="J316" s="147" t="s">
        <v>301</v>
      </c>
      <c r="K316" s="149">
        <f t="shared" si="76"/>
        <v>0</v>
      </c>
      <c r="L316" s="149">
        <f t="shared" si="77"/>
        <v>0</v>
      </c>
      <c r="M316" s="149">
        <f t="shared" si="78"/>
        <v>0</v>
      </c>
      <c r="N316" s="149"/>
      <c r="O316" s="149">
        <f t="shared" si="75"/>
        <v>0</v>
      </c>
      <c r="P316" s="216">
        <f t="shared" si="73"/>
        <v>0</v>
      </c>
      <c r="Q316" s="150">
        <f t="shared" si="79"/>
        <v>0</v>
      </c>
      <c r="S316" s="143">
        <f t="shared" si="80"/>
        <v>0</v>
      </c>
      <c r="X316" s="143">
        <f t="shared" si="81"/>
        <v>0</v>
      </c>
      <c r="Y316" s="143" t="s">
        <v>526</v>
      </c>
    </row>
    <row r="317" spans="1:26" ht="12.75" customHeight="1" x14ac:dyDescent="0.2">
      <c r="A317" s="143" t="s">
        <v>330</v>
      </c>
      <c r="K317" s="149">
        <f t="shared" si="76"/>
        <v>0</v>
      </c>
      <c r="L317" s="149">
        <f t="shared" si="77"/>
        <v>0</v>
      </c>
      <c r="M317" s="149">
        <f t="shared" si="78"/>
        <v>0</v>
      </c>
      <c r="N317" s="149"/>
      <c r="O317" s="149">
        <f t="shared" si="75"/>
        <v>0</v>
      </c>
      <c r="P317" s="216">
        <f t="shared" si="73"/>
        <v>0</v>
      </c>
      <c r="Q317" s="150">
        <f t="shared" si="79"/>
        <v>0</v>
      </c>
      <c r="S317" s="143">
        <f t="shared" si="80"/>
        <v>0</v>
      </c>
      <c r="X317" s="143">
        <f t="shared" si="81"/>
        <v>0</v>
      </c>
    </row>
    <row r="318" spans="1:26" ht="12.75" customHeight="1" x14ac:dyDescent="0.2">
      <c r="A318" s="143" t="s">
        <v>399</v>
      </c>
      <c r="F318" s="226" t="s">
        <v>527</v>
      </c>
      <c r="K318" s="149">
        <f t="shared" si="76"/>
        <v>0</v>
      </c>
      <c r="L318" s="149">
        <f t="shared" si="77"/>
        <v>0</v>
      </c>
      <c r="M318" s="149">
        <f t="shared" si="78"/>
        <v>0</v>
      </c>
      <c r="N318" s="149"/>
      <c r="O318" s="149">
        <f t="shared" si="75"/>
        <v>0</v>
      </c>
      <c r="P318" s="216">
        <f t="shared" si="73"/>
        <v>0</v>
      </c>
      <c r="Q318" s="150">
        <f t="shared" si="79"/>
        <v>0</v>
      </c>
      <c r="S318" s="143">
        <f t="shared" si="80"/>
        <v>0</v>
      </c>
      <c r="X318" s="143">
        <f t="shared" si="81"/>
        <v>0</v>
      </c>
    </row>
    <row r="319" spans="1:26" ht="12.75" customHeight="1" x14ac:dyDescent="0.2">
      <c r="A319" s="143" t="s">
        <v>330</v>
      </c>
      <c r="F319" s="143" t="s">
        <v>528</v>
      </c>
      <c r="J319" s="147" t="s">
        <v>309</v>
      </c>
      <c r="K319" s="149">
        <f t="shared" si="76"/>
        <v>0</v>
      </c>
      <c r="L319" s="149">
        <f t="shared" si="77"/>
        <v>0</v>
      </c>
      <c r="M319" s="149">
        <f t="shared" si="78"/>
        <v>0</v>
      </c>
      <c r="N319" s="149"/>
      <c r="O319" s="149">
        <f t="shared" si="75"/>
        <v>0</v>
      </c>
      <c r="P319" s="216">
        <f t="shared" si="73"/>
        <v>0</v>
      </c>
      <c r="Q319" s="150">
        <f t="shared" si="79"/>
        <v>0</v>
      </c>
      <c r="S319" s="143">
        <f t="shared" si="80"/>
        <v>0</v>
      </c>
      <c r="X319" s="143">
        <f t="shared" si="81"/>
        <v>0</v>
      </c>
      <c r="Y319" s="143" t="s">
        <v>529</v>
      </c>
    </row>
    <row r="320" spans="1:26" ht="12.75" customHeight="1" x14ac:dyDescent="0.2">
      <c r="A320" s="143" t="s">
        <v>330</v>
      </c>
      <c r="F320" s="143" t="s">
        <v>530</v>
      </c>
      <c r="J320" s="147" t="s">
        <v>309</v>
      </c>
      <c r="K320" s="149">
        <f t="shared" si="76"/>
        <v>0</v>
      </c>
      <c r="L320" s="149">
        <f t="shared" si="77"/>
        <v>0</v>
      </c>
      <c r="M320" s="149">
        <f t="shared" si="78"/>
        <v>0</v>
      </c>
      <c r="N320" s="149"/>
      <c r="O320" s="149">
        <f t="shared" si="75"/>
        <v>0</v>
      </c>
      <c r="P320" s="216">
        <f t="shared" si="73"/>
        <v>0</v>
      </c>
      <c r="Q320" s="150">
        <f t="shared" si="79"/>
        <v>0</v>
      </c>
      <c r="S320" s="143">
        <f t="shared" si="80"/>
        <v>0</v>
      </c>
      <c r="X320" s="143">
        <f t="shared" si="81"/>
        <v>0</v>
      </c>
      <c r="Y320" s="143" t="s">
        <v>531</v>
      </c>
    </row>
    <row r="321" spans="1:26" ht="12.75" customHeight="1" x14ac:dyDescent="0.2">
      <c r="A321" s="143" t="s">
        <v>330</v>
      </c>
      <c r="F321" s="143" t="s">
        <v>532</v>
      </c>
      <c r="J321" s="147" t="s">
        <v>309</v>
      </c>
      <c r="K321" s="149">
        <f t="shared" si="76"/>
        <v>0</v>
      </c>
      <c r="L321" s="149">
        <f t="shared" si="77"/>
        <v>0</v>
      </c>
      <c r="M321" s="149">
        <f t="shared" si="78"/>
        <v>0</v>
      </c>
      <c r="N321" s="149"/>
      <c r="O321" s="149">
        <f t="shared" si="75"/>
        <v>0</v>
      </c>
      <c r="P321" s="216">
        <f t="shared" si="73"/>
        <v>0</v>
      </c>
      <c r="Q321" s="150">
        <f t="shared" si="79"/>
        <v>0</v>
      </c>
      <c r="S321" s="143">
        <f t="shared" si="80"/>
        <v>0</v>
      </c>
      <c r="X321" s="143">
        <f t="shared" si="81"/>
        <v>0</v>
      </c>
      <c r="Y321" s="143" t="s">
        <v>533</v>
      </c>
    </row>
    <row r="322" spans="1:26" ht="12.75" customHeight="1" x14ac:dyDescent="0.2">
      <c r="A322" s="143" t="s">
        <v>330</v>
      </c>
      <c r="F322" s="143" t="s">
        <v>534</v>
      </c>
      <c r="J322" s="147" t="s">
        <v>309</v>
      </c>
      <c r="K322" s="149">
        <f t="shared" si="76"/>
        <v>0</v>
      </c>
      <c r="L322" s="149">
        <f t="shared" si="77"/>
        <v>0</v>
      </c>
      <c r="M322" s="149">
        <f t="shared" si="78"/>
        <v>0</v>
      </c>
      <c r="N322" s="149"/>
      <c r="O322" s="149">
        <f t="shared" si="75"/>
        <v>0</v>
      </c>
      <c r="P322" s="216">
        <f t="shared" si="73"/>
        <v>0</v>
      </c>
      <c r="Q322" s="150">
        <f t="shared" si="79"/>
        <v>0</v>
      </c>
      <c r="S322" s="143">
        <f t="shared" si="80"/>
        <v>0</v>
      </c>
      <c r="X322" s="143">
        <f t="shared" si="81"/>
        <v>0</v>
      </c>
      <c r="Y322" s="143" t="s">
        <v>535</v>
      </c>
    </row>
    <row r="323" spans="1:26" ht="12.75" customHeight="1" x14ac:dyDescent="0.2">
      <c r="A323" s="143" t="s">
        <v>330</v>
      </c>
      <c r="F323" s="143" t="s">
        <v>536</v>
      </c>
      <c r="J323" s="147" t="s">
        <v>309</v>
      </c>
      <c r="K323" s="149">
        <f t="shared" si="76"/>
        <v>0</v>
      </c>
      <c r="L323" s="149">
        <f t="shared" si="77"/>
        <v>0</v>
      </c>
      <c r="M323" s="149">
        <f t="shared" si="78"/>
        <v>0</v>
      </c>
      <c r="N323" s="149"/>
      <c r="O323" s="149">
        <f t="shared" si="75"/>
        <v>0</v>
      </c>
      <c r="P323" s="216">
        <f t="shared" si="73"/>
        <v>0</v>
      </c>
      <c r="Q323" s="150">
        <f t="shared" si="79"/>
        <v>0</v>
      </c>
      <c r="S323" s="143">
        <f t="shared" si="80"/>
        <v>0</v>
      </c>
      <c r="X323" s="143">
        <f t="shared" si="81"/>
        <v>0</v>
      </c>
      <c r="Y323" s="143" t="s">
        <v>537</v>
      </c>
    </row>
    <row r="324" spans="1:26" ht="12.75" customHeight="1" x14ac:dyDescent="0.2">
      <c r="A324" s="143" t="s">
        <v>330</v>
      </c>
      <c r="F324" s="143" t="s">
        <v>525</v>
      </c>
      <c r="J324" s="147" t="s">
        <v>301</v>
      </c>
      <c r="K324" s="149">
        <f t="shared" si="76"/>
        <v>0</v>
      </c>
      <c r="L324" s="149">
        <f t="shared" si="77"/>
        <v>0</v>
      </c>
      <c r="M324" s="149">
        <f t="shared" si="78"/>
        <v>0</v>
      </c>
      <c r="N324" s="149"/>
      <c r="O324" s="149">
        <f t="shared" si="75"/>
        <v>0</v>
      </c>
      <c r="P324" s="216">
        <f t="shared" si="73"/>
        <v>0</v>
      </c>
      <c r="Q324" s="150">
        <f t="shared" si="79"/>
        <v>0</v>
      </c>
      <c r="S324" s="143">
        <f t="shared" si="80"/>
        <v>0</v>
      </c>
      <c r="X324" s="143">
        <f t="shared" si="81"/>
        <v>0</v>
      </c>
      <c r="Y324" s="143" t="s">
        <v>526</v>
      </c>
    </row>
    <row r="325" spans="1:26" ht="12.75" customHeight="1" x14ac:dyDescent="0.2">
      <c r="A325" s="143" t="s">
        <v>330</v>
      </c>
      <c r="K325" s="149">
        <f t="shared" si="76"/>
        <v>0</v>
      </c>
      <c r="L325" s="149">
        <f t="shared" si="77"/>
        <v>0</v>
      </c>
      <c r="M325" s="149">
        <f t="shared" si="78"/>
        <v>0</v>
      </c>
      <c r="N325" s="149"/>
      <c r="O325" s="149">
        <f t="shared" si="75"/>
        <v>0</v>
      </c>
      <c r="P325" s="216">
        <f t="shared" si="73"/>
        <v>0</v>
      </c>
      <c r="Q325" s="150">
        <f t="shared" si="79"/>
        <v>0</v>
      </c>
      <c r="S325" s="143">
        <f t="shared" si="80"/>
        <v>0</v>
      </c>
      <c r="X325" s="143">
        <f t="shared" si="81"/>
        <v>0</v>
      </c>
    </row>
    <row r="326" spans="1:26" ht="12.75" customHeight="1" x14ac:dyDescent="0.2">
      <c r="A326" s="143" t="s">
        <v>351</v>
      </c>
      <c r="F326" s="143" t="s">
        <v>538</v>
      </c>
      <c r="J326" s="147" t="s">
        <v>309</v>
      </c>
      <c r="K326" s="149">
        <f t="shared" si="76"/>
        <v>0</v>
      </c>
      <c r="L326" s="149">
        <f t="shared" si="77"/>
        <v>0</v>
      </c>
      <c r="M326" s="149">
        <f t="shared" si="78"/>
        <v>0</v>
      </c>
      <c r="N326" s="149"/>
      <c r="O326" s="149">
        <f t="shared" si="75"/>
        <v>0</v>
      </c>
      <c r="P326" s="216">
        <f t="shared" si="73"/>
        <v>0</v>
      </c>
      <c r="Q326" s="150">
        <f t="shared" si="79"/>
        <v>0</v>
      </c>
      <c r="S326" s="143">
        <f t="shared" si="80"/>
        <v>0</v>
      </c>
      <c r="X326" s="143">
        <f t="shared" si="81"/>
        <v>0</v>
      </c>
      <c r="Y326" s="143" t="s">
        <v>529</v>
      </c>
    </row>
    <row r="327" spans="1:26" x14ac:dyDescent="0.2">
      <c r="A327" s="143" t="s">
        <v>351</v>
      </c>
      <c r="K327" s="149">
        <f t="shared" ref="K327:K337" si="82">R327*tax*markup*IF(Y327&lt;&gt;"",VLOOKUP(LEFT(Y327,2),cityindex,2,0),1)</f>
        <v>0</v>
      </c>
      <c r="L327" s="149">
        <f t="shared" ref="L327:L337" si="83">S327*markup*difficulty*IF(Y327&lt;&gt;"",VLOOKUP(LEFT(Y327,2),cityindex,3,0),1)</f>
        <v>0</v>
      </c>
      <c r="M327" s="149">
        <f t="shared" ref="M327:M337" si="84">W327*markup*difficulty*IF(Y327&lt;&gt;"",VLOOKUP(LEFT(Y327,2),cityindex,3,0),1)</f>
        <v>0</v>
      </c>
      <c r="N327" s="149"/>
      <c r="O327" s="149">
        <f t="shared" si="75"/>
        <v>0</v>
      </c>
      <c r="P327" s="216">
        <f t="shared" si="73"/>
        <v>0</v>
      </c>
      <c r="Q327" s="150">
        <f>IF(O327=0,0,IF(X327=0,"manual",O327/((R327*tax*markup*IF(Y327&lt;&gt;"",VLOOKUP(LEFT(Y327,2),cityindex,2,0),1))+S327*markup*difficulty*IF(Y327&lt;&gt;"",VLOOKUP(LEFT(Y327,2),cityindex,3,0),1)+W327*markup*difficulty*IF(Y327&lt;&gt;"",VLOOKUP(LEFT(Y327,2),cityindex,3,0),1))))</f>
        <v>0</v>
      </c>
      <c r="S327" s="143">
        <f t="shared" si="80"/>
        <v>0</v>
      </c>
      <c r="X327" s="143">
        <f t="shared" si="81"/>
        <v>0</v>
      </c>
      <c r="Z327" s="227"/>
    </row>
    <row r="328" spans="1:26" ht="12.75" customHeight="1" x14ac:dyDescent="0.2">
      <c r="A328" s="143" t="s">
        <v>296</v>
      </c>
      <c r="E328" s="143" t="s">
        <v>539</v>
      </c>
      <c r="K328" s="149">
        <f t="shared" si="82"/>
        <v>0</v>
      </c>
      <c r="L328" s="149">
        <f t="shared" si="83"/>
        <v>0</v>
      </c>
      <c r="M328" s="149">
        <f t="shared" si="84"/>
        <v>0</v>
      </c>
      <c r="N328" s="149"/>
      <c r="O328" s="149">
        <f t="shared" si="75"/>
        <v>0</v>
      </c>
      <c r="P328" s="216">
        <f t="shared" si="73"/>
        <v>0</v>
      </c>
      <c r="Q328" s="150">
        <f t="shared" ref="Q328:Q333" si="85">IF(O328=0,0,IF(X328=0,"manual",(O328/(R328*tax*markup*IF(Y328&lt;&gt;"",VLOOKUP(LEFT(Y328,2),cityindex,2,0),1)+S328*markup*difficulty*IF(Y328&lt;&gt;"",VLOOKUP(LEFT(Y328,2),cityindex,3,0),1)+W328*markup*difficulty*IF(Y328&lt;&gt;"",VLOOKUP(LEFT(Y328,2),cityindex,3,0),1)))-1))</f>
        <v>0</v>
      </c>
      <c r="S328" s="143">
        <f t="shared" si="80"/>
        <v>0</v>
      </c>
      <c r="X328" s="143">
        <f t="shared" si="81"/>
        <v>0</v>
      </c>
    </row>
    <row r="329" spans="1:26" ht="12.75" customHeight="1" x14ac:dyDescent="0.2">
      <c r="A329" s="143" t="s">
        <v>296</v>
      </c>
      <c r="F329" s="143" t="s">
        <v>447</v>
      </c>
      <c r="J329" s="147" t="s">
        <v>448</v>
      </c>
      <c r="K329" s="149">
        <f t="shared" si="82"/>
        <v>0</v>
      </c>
      <c r="L329" s="149">
        <f t="shared" si="83"/>
        <v>0</v>
      </c>
      <c r="M329" s="149">
        <f t="shared" si="84"/>
        <v>0</v>
      </c>
      <c r="N329" s="149"/>
      <c r="O329" s="149">
        <f t="shared" si="75"/>
        <v>0</v>
      </c>
      <c r="P329" s="216">
        <f t="shared" si="73"/>
        <v>0</v>
      </c>
      <c r="Q329" s="150">
        <f t="shared" si="85"/>
        <v>0</v>
      </c>
      <c r="S329" s="143">
        <f t="shared" si="80"/>
        <v>0</v>
      </c>
      <c r="X329" s="143">
        <f t="shared" si="81"/>
        <v>0</v>
      </c>
      <c r="Y329" s="143" t="s">
        <v>540</v>
      </c>
    </row>
    <row r="330" spans="1:26" ht="12.75" customHeight="1" x14ac:dyDescent="0.2">
      <c r="A330" s="143" t="s">
        <v>296</v>
      </c>
      <c r="F330" s="143" t="s">
        <v>450</v>
      </c>
      <c r="J330" s="147" t="s">
        <v>301</v>
      </c>
      <c r="K330" s="149">
        <f t="shared" si="82"/>
        <v>0</v>
      </c>
      <c r="L330" s="149">
        <f t="shared" si="83"/>
        <v>0</v>
      </c>
      <c r="M330" s="149">
        <f t="shared" si="84"/>
        <v>0</v>
      </c>
      <c r="N330" s="149"/>
      <c r="O330" s="149">
        <f t="shared" si="75"/>
        <v>0</v>
      </c>
      <c r="P330" s="216">
        <f t="shared" si="73"/>
        <v>0</v>
      </c>
      <c r="Q330" s="150">
        <f t="shared" si="85"/>
        <v>0</v>
      </c>
      <c r="S330" s="143">
        <f t="shared" si="80"/>
        <v>0</v>
      </c>
      <c r="X330" s="143">
        <f t="shared" si="81"/>
        <v>0</v>
      </c>
      <c r="Y330" s="143" t="s">
        <v>541</v>
      </c>
    </row>
    <row r="331" spans="1:26" ht="12.75" customHeight="1" x14ac:dyDescent="0.2">
      <c r="A331" s="143" t="s">
        <v>296</v>
      </c>
      <c r="F331" s="143" t="s">
        <v>542</v>
      </c>
      <c r="J331" s="147" t="s">
        <v>309</v>
      </c>
      <c r="K331" s="149">
        <f t="shared" si="82"/>
        <v>0</v>
      </c>
      <c r="L331" s="149">
        <f t="shared" si="83"/>
        <v>0</v>
      </c>
      <c r="M331" s="149">
        <f t="shared" si="84"/>
        <v>0</v>
      </c>
      <c r="N331" s="149"/>
      <c r="O331" s="149">
        <f t="shared" si="75"/>
        <v>0</v>
      </c>
      <c r="P331" s="216">
        <f t="shared" si="73"/>
        <v>0</v>
      </c>
      <c r="Q331" s="150">
        <f t="shared" si="85"/>
        <v>0</v>
      </c>
      <c r="S331" s="143">
        <f t="shared" si="80"/>
        <v>0</v>
      </c>
      <c r="X331" s="143">
        <f t="shared" si="81"/>
        <v>0</v>
      </c>
      <c r="Y331" s="143" t="s">
        <v>543</v>
      </c>
    </row>
    <row r="332" spans="1:26" ht="12.75" customHeight="1" x14ac:dyDescent="0.2">
      <c r="A332" s="143" t="s">
        <v>296</v>
      </c>
      <c r="F332" s="143" t="s">
        <v>544</v>
      </c>
      <c r="J332" s="147" t="s">
        <v>309</v>
      </c>
      <c r="K332" s="149">
        <f t="shared" si="82"/>
        <v>0</v>
      </c>
      <c r="L332" s="149">
        <f t="shared" si="83"/>
        <v>0</v>
      </c>
      <c r="M332" s="149">
        <f t="shared" si="84"/>
        <v>0</v>
      </c>
      <c r="N332" s="149"/>
      <c r="O332" s="149">
        <f t="shared" si="75"/>
        <v>0</v>
      </c>
      <c r="P332" s="216">
        <f t="shared" si="73"/>
        <v>0</v>
      </c>
      <c r="Q332" s="150">
        <f t="shared" si="85"/>
        <v>0</v>
      </c>
      <c r="S332" s="143">
        <f t="shared" si="80"/>
        <v>0</v>
      </c>
      <c r="X332" s="143">
        <f t="shared" si="81"/>
        <v>0</v>
      </c>
      <c r="Y332" s="143" t="s">
        <v>545</v>
      </c>
    </row>
    <row r="333" spans="1:26" ht="12.75" customHeight="1" x14ac:dyDescent="0.2">
      <c r="A333" s="143" t="s">
        <v>296</v>
      </c>
      <c r="F333" s="143" t="s">
        <v>546</v>
      </c>
      <c r="J333" s="147" t="s">
        <v>309</v>
      </c>
      <c r="K333" s="149">
        <f t="shared" si="82"/>
        <v>0</v>
      </c>
      <c r="L333" s="149">
        <f t="shared" si="83"/>
        <v>0</v>
      </c>
      <c r="M333" s="149">
        <f t="shared" si="84"/>
        <v>0</v>
      </c>
      <c r="N333" s="149"/>
      <c r="O333" s="149">
        <f t="shared" si="75"/>
        <v>0</v>
      </c>
      <c r="P333" s="216">
        <f t="shared" si="73"/>
        <v>0</v>
      </c>
      <c r="Q333" s="150">
        <f t="shared" si="85"/>
        <v>0</v>
      </c>
      <c r="S333" s="143">
        <f t="shared" si="80"/>
        <v>0</v>
      </c>
      <c r="X333" s="143">
        <f t="shared" si="81"/>
        <v>0</v>
      </c>
      <c r="Y333" s="143" t="s">
        <v>547</v>
      </c>
    </row>
    <row r="334" spans="1:26" x14ac:dyDescent="0.2">
      <c r="A334" s="143" t="s">
        <v>296</v>
      </c>
      <c r="K334" s="149">
        <f t="shared" si="82"/>
        <v>0</v>
      </c>
      <c r="L334" s="149">
        <f t="shared" si="83"/>
        <v>0</v>
      </c>
      <c r="M334" s="149">
        <f t="shared" si="84"/>
        <v>0</v>
      </c>
      <c r="N334" s="149"/>
      <c r="O334" s="149">
        <f t="shared" si="75"/>
        <v>0</v>
      </c>
      <c r="P334" s="216">
        <f t="shared" si="73"/>
        <v>0</v>
      </c>
      <c r="Q334" s="150">
        <f>IF(O334=0,0,IF(X334=0,"manual",O334/((R334*tax*markup*IF(Y334&lt;&gt;"",VLOOKUP(LEFT(Y334,2),cityindex,2,0),1))+S334*markup*difficulty*IF(Y334&lt;&gt;"",VLOOKUP(LEFT(Y334,2),cityindex,3,0),1)+W334*markup*difficulty*IF(Y334&lt;&gt;"",VLOOKUP(LEFT(Y334,2),cityindex,3,0),1))))</f>
        <v>0</v>
      </c>
      <c r="S334" s="143">
        <f t="shared" si="80"/>
        <v>0</v>
      </c>
      <c r="X334" s="143">
        <f t="shared" si="81"/>
        <v>0</v>
      </c>
    </row>
    <row r="335" spans="1:26" ht="12.75" customHeight="1" x14ac:dyDescent="0.2">
      <c r="A335" s="143" t="s">
        <v>296</v>
      </c>
      <c r="E335" s="143" t="s">
        <v>548</v>
      </c>
      <c r="K335" s="149">
        <f t="shared" si="82"/>
        <v>0</v>
      </c>
      <c r="L335" s="149">
        <f t="shared" si="83"/>
        <v>0</v>
      </c>
      <c r="M335" s="149">
        <f t="shared" si="84"/>
        <v>0</v>
      </c>
      <c r="N335" s="149"/>
      <c r="O335" s="149">
        <f t="shared" si="75"/>
        <v>0</v>
      </c>
      <c r="P335" s="216">
        <f t="shared" si="73"/>
        <v>0</v>
      </c>
      <c r="Q335" s="150">
        <f>IF(O335=0,0,IF(X335=0,"manual",(O335/(R335*tax*markup*IF(Y335&lt;&gt;"",VLOOKUP(LEFT(Y335,2),cityindex,2,0),1)+S335*markup*difficulty*IF(Y335&lt;&gt;"",VLOOKUP(LEFT(Y335,2),cityindex,3,0),1)+W335*markup*difficulty*IF(Y335&lt;&gt;"",VLOOKUP(LEFT(Y335,2),cityindex,3,0),1)))-1))</f>
        <v>0</v>
      </c>
      <c r="S335" s="143">
        <f t="shared" si="80"/>
        <v>0</v>
      </c>
      <c r="X335" s="143">
        <f t="shared" si="81"/>
        <v>0</v>
      </c>
    </row>
    <row r="336" spans="1:26" ht="12.75" customHeight="1" x14ac:dyDescent="0.2">
      <c r="A336" s="143" t="s">
        <v>296</v>
      </c>
      <c r="F336" s="143" t="s">
        <v>549</v>
      </c>
      <c r="J336" s="147" t="s">
        <v>550</v>
      </c>
      <c r="K336" s="149">
        <f t="shared" si="82"/>
        <v>0</v>
      </c>
      <c r="L336" s="149">
        <f t="shared" si="83"/>
        <v>0</v>
      </c>
      <c r="M336" s="149">
        <f t="shared" si="84"/>
        <v>0</v>
      </c>
      <c r="N336" s="149"/>
      <c r="O336" s="149">
        <f t="shared" si="75"/>
        <v>0</v>
      </c>
      <c r="P336" s="216">
        <f t="shared" si="73"/>
        <v>0</v>
      </c>
      <c r="Q336" s="150">
        <f>IF(O336=0,0,IF(X336=0,"manual",(O336/(R336*tax*markup*IF(Y336&lt;&gt;"",VLOOKUP(LEFT(Y336,2),cityindex,2,0),1)+S336*markup*difficulty*IF(Y336&lt;&gt;"",VLOOKUP(LEFT(Y336,2),cityindex,3,0),1)+W336*markup*difficulty*IF(Y336&lt;&gt;"",VLOOKUP(LEFT(Y336,2),cityindex,3,0),1)))-1))</f>
        <v>0</v>
      </c>
      <c r="S336" s="143">
        <f t="shared" si="80"/>
        <v>0</v>
      </c>
      <c r="X336" s="143">
        <f t="shared" si="81"/>
        <v>0</v>
      </c>
      <c r="Y336" s="143" t="s">
        <v>551</v>
      </c>
    </row>
    <row r="337" spans="1:27" x14ac:dyDescent="0.2">
      <c r="K337" s="149">
        <f t="shared" si="82"/>
        <v>0</v>
      </c>
      <c r="L337" s="149">
        <f t="shared" si="83"/>
        <v>0</v>
      </c>
      <c r="M337" s="149">
        <f t="shared" si="84"/>
        <v>0</v>
      </c>
      <c r="N337" s="149"/>
      <c r="O337" s="149">
        <f t="shared" si="75"/>
        <v>0</v>
      </c>
      <c r="P337" s="216">
        <f t="shared" si="73"/>
        <v>0</v>
      </c>
      <c r="Q337" s="150">
        <f>IF(O337=0,0,IF(X337=0,"manual",O337/((R337*tax*markup*IF(Y337&lt;&gt;"",VLOOKUP(LEFT(Y337,2),cityindex,2,0),1))+S337*markup*difficulty*IF(Y337&lt;&gt;"",VLOOKUP(LEFT(Y337,2),cityindex,3,0),1)+W337*markup*difficulty*IF(Y337&lt;&gt;"",VLOOKUP(LEFT(Y337,2),cityindex,3,0),1))))</f>
        <v>0</v>
      </c>
      <c r="S337" s="143">
        <f t="shared" si="80"/>
        <v>0</v>
      </c>
      <c r="X337" s="143">
        <f t="shared" si="81"/>
        <v>0</v>
      </c>
      <c r="Z337" s="227"/>
    </row>
    <row r="338" spans="1:27" ht="24.75" customHeight="1" x14ac:dyDescent="0.2">
      <c r="D338" s="217" t="str">
        <f>"TOTAL - " &amp; D284</f>
        <v>TOTAL - 05  METALS</v>
      </c>
      <c r="E338" s="217"/>
      <c r="F338" s="217"/>
      <c r="G338" s="217"/>
      <c r="H338" s="217"/>
      <c r="I338" s="218"/>
      <c r="J338" s="219"/>
      <c r="K338" s="220"/>
      <c r="L338" s="220"/>
      <c r="M338" s="220"/>
      <c r="N338" s="220"/>
      <c r="O338" s="221"/>
      <c r="P338" s="222">
        <f>SUM(P284:P337)</f>
        <v>0</v>
      </c>
      <c r="Q338" s="223"/>
      <c r="S338" s="143">
        <f t="shared" si="80"/>
        <v>0</v>
      </c>
      <c r="X338" s="143">
        <f t="shared" si="81"/>
        <v>0</v>
      </c>
      <c r="Z338" s="224">
        <f>P338/GFA</f>
        <v>0</v>
      </c>
      <c r="AA338" s="225" t="s">
        <v>295</v>
      </c>
    </row>
    <row r="339" spans="1:27" x14ac:dyDescent="0.2">
      <c r="K339" s="149"/>
      <c r="L339" s="149"/>
      <c r="M339" s="149"/>
      <c r="N339" s="149"/>
      <c r="P339" s="216"/>
      <c r="Q339" s="150">
        <f>IF(O339=0,0,IF(X339=0,"manual",O339/((R339*tax*markup*IF(Y339&lt;&gt;"",VLOOKUP(LEFT(Y339,2),cityindex,2,0),1))+S339*markup*difficulty*IF(Y339&lt;&gt;"",VLOOKUP(LEFT(Y339,2),cityindex,3,0),1)+W339*markup*difficulty*IF(Y339&lt;&gt;"",VLOOKUP(LEFT(Y339,2),cityindex,3,0),1))))</f>
        <v>0</v>
      </c>
      <c r="S339" s="143">
        <f t="shared" si="80"/>
        <v>0</v>
      </c>
      <c r="X339" s="143">
        <f t="shared" si="81"/>
        <v>0</v>
      </c>
      <c r="Z339" s="227"/>
    </row>
    <row r="340" spans="1:27" x14ac:dyDescent="0.2">
      <c r="D340" s="214" t="s">
        <v>272</v>
      </c>
      <c r="E340" s="215"/>
      <c r="F340" s="215"/>
      <c r="G340" s="215"/>
      <c r="H340" s="215"/>
      <c r="K340" s="149"/>
      <c r="L340" s="149"/>
      <c r="M340" s="149"/>
      <c r="N340" s="149"/>
      <c r="P340" s="216"/>
      <c r="Q340" s="150">
        <f>IF(O340=0,0,IF(X340=0,"manual",O340/((R340*tax*markup*IF(Y340&lt;&gt;"",VLOOKUP(LEFT(Y340,2),cityindex,2,0),1))+S340*markup*difficulty*IF(Y340&lt;&gt;"",VLOOKUP(LEFT(Y340,2),cityindex,3,0),1)+W340*markup*difficulty*IF(Y340&lt;&gt;"",VLOOKUP(LEFT(Y340,2),cityindex,3,0),1))))</f>
        <v>0</v>
      </c>
      <c r="S340" s="143">
        <f t="shared" si="80"/>
        <v>0</v>
      </c>
      <c r="X340" s="143">
        <f t="shared" si="81"/>
        <v>0</v>
      </c>
      <c r="Z340" s="227"/>
    </row>
    <row r="341" spans="1:27" x14ac:dyDescent="0.2">
      <c r="A341" s="143" t="s">
        <v>296</v>
      </c>
      <c r="E341" s="143" t="s">
        <v>505</v>
      </c>
      <c r="K341" s="149">
        <f t="shared" ref="K341:K362" si="86">R341*tax*markup*IF(Y341&lt;&gt;"",VLOOKUP(LEFT(Y341,2),cityindex,2,0),1)</f>
        <v>0</v>
      </c>
      <c r="L341" s="149">
        <f>S341*markup*difficulty*IF(Y341&lt;&gt;"",VLOOKUP(LEFT(Y341,2),cityindex,3,0),1)</f>
        <v>0</v>
      </c>
      <c r="M341" s="149">
        <f>W341*markup*difficulty*IF(Y341&lt;&gt;"",VLOOKUP(LEFT(Y341,2),cityindex,3,0),1)</f>
        <v>0</v>
      </c>
      <c r="N341" s="149"/>
      <c r="O341" s="149">
        <f t="shared" ref="O341:O364" si="87">SUM(K341:N341)*embed</f>
        <v>0</v>
      </c>
      <c r="P341" s="216">
        <f t="shared" ref="P341:P395" si="88">ROUND((O341*I341),0)</f>
        <v>0</v>
      </c>
      <c r="Q341" s="150">
        <f>IF(O341=0,0,IF(X341=0,"manual",O341/((R341*tax*markup*IF(Y341&lt;&gt;"",VLOOKUP(LEFT(Y341,2),cityindex,2,0),1))+S341*markup*difficulty*IF(Y341&lt;&gt;"",VLOOKUP(LEFT(Y341,2),cityindex,3,0),1)+W341*markup*difficulty*IF(Y341&lt;&gt;"",VLOOKUP(LEFT(Y341,2),cityindex,3,0),1))))</f>
        <v>0</v>
      </c>
      <c r="S341" s="143">
        <f t="shared" si="80"/>
        <v>0</v>
      </c>
      <c r="X341" s="143">
        <f t="shared" si="81"/>
        <v>0</v>
      </c>
      <c r="Z341" s="227"/>
    </row>
    <row r="342" spans="1:27" ht="12.75" customHeight="1" x14ac:dyDescent="0.2">
      <c r="A342" s="143" t="s">
        <v>298</v>
      </c>
      <c r="F342" s="226" t="s">
        <v>552</v>
      </c>
      <c r="K342" s="149">
        <f t="shared" si="86"/>
        <v>0</v>
      </c>
      <c r="L342" s="149">
        <f>S342*markup*difficulty*IF(Y342&lt;&gt;"",VLOOKUP(LEFT(Y342,2),cityindex,3,0),1)</f>
        <v>0</v>
      </c>
      <c r="M342" s="149">
        <f>W342*markup*difficulty*IF(Y342&lt;&gt;"",VLOOKUP(LEFT(Y342,2),cityindex,3,0),1)</f>
        <v>0</v>
      </c>
      <c r="N342" s="149"/>
      <c r="O342" s="149">
        <f t="shared" si="87"/>
        <v>0</v>
      </c>
      <c r="P342" s="216">
        <f t="shared" si="88"/>
        <v>0</v>
      </c>
      <c r="Q342" s="150">
        <f>IF(O342=0,0,IF(X342=0,"manual",(O342/(R342*tax*markup*IF(Y342&lt;&gt;"",VLOOKUP(LEFT(Y342,2),cityindex,2,0),1)+S342*markup*difficulty*IF(Y342&lt;&gt;"",VLOOKUP(LEFT(Y342,2),cityindex,3,0),1)+W342*markup*difficulty*IF(Y342&lt;&gt;"",VLOOKUP(LEFT(Y342,2),cityindex,3,0),1)))-1))</f>
        <v>0</v>
      </c>
      <c r="S342" s="143">
        <f t="shared" si="80"/>
        <v>0</v>
      </c>
      <c r="X342" s="143">
        <f t="shared" si="81"/>
        <v>0</v>
      </c>
    </row>
    <row r="343" spans="1:27" s="228" customFormat="1" ht="12.75" customHeight="1" x14ac:dyDescent="0.2">
      <c r="A343" s="228" t="s">
        <v>298</v>
      </c>
      <c r="B343" s="229"/>
      <c r="F343" s="236" t="s">
        <v>553</v>
      </c>
      <c r="I343" s="230"/>
      <c r="J343" s="231"/>
      <c r="K343" s="232">
        <f t="shared" si="86"/>
        <v>0</v>
      </c>
      <c r="L343" s="232">
        <f>S343*markup*difficulty*IF(Y343&lt;&gt;"",VLOOKUP(LEFT(Y343,2),cityindex,3,0),1)</f>
        <v>0</v>
      </c>
      <c r="M343" s="232">
        <f>W343*markup*difficulty*IF(Y343&lt;&gt;"",VLOOKUP(LEFT(Y343,2),cityindex,3,0),1)</f>
        <v>0</v>
      </c>
      <c r="N343" s="232"/>
      <c r="O343" s="232">
        <f t="shared" si="87"/>
        <v>0</v>
      </c>
      <c r="P343" s="233">
        <f t="shared" si="88"/>
        <v>0</v>
      </c>
      <c r="Q343" s="234">
        <f>IF(O343=0,0,IF(X343=0,"manual",(O343/(R343*tax*markup*IF(Y343&lt;&gt;"",VLOOKUP(LEFT(Y343,2),cityindex,2,0),1)+S343*markup*difficulty*IF(Y343&lt;&gt;"",VLOOKUP(LEFT(Y343,2),cityindex,3,0),1)+W343*markup*difficulty*IF(Y343&lt;&gt;"",VLOOKUP(LEFT(Y343,2),cityindex,3,0),1)))-1))</f>
        <v>0</v>
      </c>
      <c r="S343" s="228">
        <f t="shared" si="80"/>
        <v>0</v>
      </c>
      <c r="X343" s="228">
        <f t="shared" si="81"/>
        <v>0</v>
      </c>
    </row>
    <row r="344" spans="1:27" ht="12.75" customHeight="1" x14ac:dyDescent="0.2">
      <c r="A344" s="143" t="s">
        <v>296</v>
      </c>
      <c r="F344" s="143" t="s">
        <v>554</v>
      </c>
      <c r="J344" s="147" t="s">
        <v>301</v>
      </c>
      <c r="K344" s="149">
        <f t="shared" si="86"/>
        <v>0</v>
      </c>
      <c r="L344" s="149">
        <f t="shared" ref="L344:L380" si="89">S344*markup*difficulty*IF(Y344&lt;&gt;"",VLOOKUP(LEFT(Y344,2),cityindex,3,0),1)</f>
        <v>0</v>
      </c>
      <c r="M344" s="149">
        <f t="shared" ref="M344:M380" si="90">W344*markup*difficulty*IF(Y344&lt;&gt;"",VLOOKUP(LEFT(Y344,2),cityindex,3,0),1)</f>
        <v>0</v>
      </c>
      <c r="N344" s="149"/>
      <c r="O344" s="149">
        <f t="shared" si="87"/>
        <v>0</v>
      </c>
      <c r="P344" s="216">
        <f t="shared" si="88"/>
        <v>0</v>
      </c>
      <c r="Q344" s="150">
        <f t="shared" ref="Q344:Q380" si="91">IF(O344=0,0,IF(X344=0,"manual",(O344/(R344*tax*markup*IF(Y344&lt;&gt;"",VLOOKUP(LEFT(Y344,2),cityindex,2,0),1)+S344*markup*difficulty*IF(Y344&lt;&gt;"",VLOOKUP(LEFT(Y344,2),cityindex,3,0),1)+W344*markup*difficulty*IF(Y344&lt;&gt;"",VLOOKUP(LEFT(Y344,2),cityindex,3,0),1)))-1))</f>
        <v>0</v>
      </c>
      <c r="S344" s="143">
        <f t="shared" si="80"/>
        <v>0</v>
      </c>
      <c r="X344" s="143">
        <f t="shared" si="81"/>
        <v>0</v>
      </c>
      <c r="Y344" s="143" t="s">
        <v>555</v>
      </c>
    </row>
    <row r="345" spans="1:27" s="228" customFormat="1" ht="12.75" customHeight="1" x14ac:dyDescent="0.2">
      <c r="A345" s="228" t="s">
        <v>298</v>
      </c>
      <c r="B345" s="229"/>
      <c r="F345" s="236" t="s">
        <v>556</v>
      </c>
      <c r="I345" s="230"/>
      <c r="J345" s="231"/>
      <c r="K345" s="232">
        <f t="shared" si="86"/>
        <v>0</v>
      </c>
      <c r="L345" s="232">
        <f>S345*markup*difficulty*IF(Y345&lt;&gt;"",VLOOKUP(LEFT(Y345,2),cityindex,3,0),1)</f>
        <v>0</v>
      </c>
      <c r="M345" s="232">
        <f>W345*markup*difficulty*IF(Y345&lt;&gt;"",VLOOKUP(LEFT(Y345,2),cityindex,3,0),1)</f>
        <v>0</v>
      </c>
      <c r="N345" s="232"/>
      <c r="O345" s="232">
        <f t="shared" si="87"/>
        <v>0</v>
      </c>
      <c r="P345" s="233">
        <f t="shared" si="88"/>
        <v>0</v>
      </c>
      <c r="Q345" s="234">
        <f>IF(O345=0,0,IF(X345=0,"manual",(O345/(R345*tax*markup*IF(Y345&lt;&gt;"",VLOOKUP(LEFT(Y345,2),cityindex,2,0),1)+S345*markup*difficulty*IF(Y345&lt;&gt;"",VLOOKUP(LEFT(Y345,2),cityindex,3,0),1)+W345*markup*difficulty*IF(Y345&lt;&gt;"",VLOOKUP(LEFT(Y345,2),cityindex,3,0),1)))-1))</f>
        <v>0</v>
      </c>
      <c r="S345" s="228">
        <f>U345*V345</f>
        <v>0</v>
      </c>
      <c r="X345" s="228">
        <f>SUM(R345,S345,W345)</f>
        <v>0</v>
      </c>
    </row>
    <row r="346" spans="1:27" ht="12.75" customHeight="1" x14ac:dyDescent="0.2">
      <c r="A346" s="143" t="s">
        <v>296</v>
      </c>
      <c r="F346" s="143" t="s">
        <v>554</v>
      </c>
      <c r="J346" s="147" t="s">
        <v>301</v>
      </c>
      <c r="K346" s="149">
        <f t="shared" si="86"/>
        <v>0</v>
      </c>
      <c r="L346" s="149">
        <f t="shared" si="89"/>
        <v>0</v>
      </c>
      <c r="M346" s="149">
        <f t="shared" si="90"/>
        <v>0</v>
      </c>
      <c r="N346" s="149"/>
      <c r="O346" s="149">
        <f t="shared" si="87"/>
        <v>0</v>
      </c>
      <c r="P346" s="216">
        <f t="shared" si="88"/>
        <v>0</v>
      </c>
      <c r="Q346" s="150">
        <f t="shared" si="91"/>
        <v>0</v>
      </c>
      <c r="S346" s="143">
        <f t="shared" si="80"/>
        <v>0</v>
      </c>
      <c r="X346" s="143">
        <f t="shared" si="81"/>
        <v>0</v>
      </c>
      <c r="Y346" s="143" t="s">
        <v>557</v>
      </c>
    </row>
    <row r="347" spans="1:27" s="228" customFormat="1" ht="12.75" customHeight="1" x14ac:dyDescent="0.2">
      <c r="A347" s="228" t="s">
        <v>298</v>
      </c>
      <c r="B347" s="229"/>
      <c r="F347" s="236" t="s">
        <v>558</v>
      </c>
      <c r="I347" s="230"/>
      <c r="J347" s="231"/>
      <c r="K347" s="232">
        <f t="shared" si="86"/>
        <v>0</v>
      </c>
      <c r="L347" s="232">
        <f>S347*markup*difficulty*IF(Y347&lt;&gt;"",VLOOKUP(LEFT(Y347,2),cityindex,3,0),1)</f>
        <v>0</v>
      </c>
      <c r="M347" s="232">
        <f>W347*markup*difficulty*IF(Y347&lt;&gt;"",VLOOKUP(LEFT(Y347,2),cityindex,3,0),1)</f>
        <v>0</v>
      </c>
      <c r="N347" s="232"/>
      <c r="O347" s="232">
        <f t="shared" si="87"/>
        <v>0</v>
      </c>
      <c r="P347" s="233">
        <f t="shared" si="88"/>
        <v>0</v>
      </c>
      <c r="Q347" s="234">
        <f>IF(O347=0,0,IF(X347=0,"manual",(O347/(R347*tax*markup*IF(Y347&lt;&gt;"",VLOOKUP(LEFT(Y347,2),cityindex,2,0),1)+S347*markup*difficulty*IF(Y347&lt;&gt;"",VLOOKUP(LEFT(Y347,2),cityindex,3,0),1)+W347*markup*difficulty*IF(Y347&lt;&gt;"",VLOOKUP(LEFT(Y347,2),cityindex,3,0),1)))-1))</f>
        <v>0</v>
      </c>
      <c r="S347" s="228">
        <f>U347*V347</f>
        <v>0</v>
      </c>
      <c r="X347" s="228">
        <f>SUM(R347,S347,W347)</f>
        <v>0</v>
      </c>
    </row>
    <row r="348" spans="1:27" ht="12.75" customHeight="1" x14ac:dyDescent="0.2">
      <c r="A348" s="143" t="s">
        <v>296</v>
      </c>
      <c r="F348" s="143" t="s">
        <v>554</v>
      </c>
      <c r="J348" s="147" t="s">
        <v>301</v>
      </c>
      <c r="K348" s="149">
        <f t="shared" si="86"/>
        <v>0</v>
      </c>
      <c r="L348" s="149">
        <f t="shared" si="89"/>
        <v>0</v>
      </c>
      <c r="M348" s="149">
        <f t="shared" si="90"/>
        <v>0</v>
      </c>
      <c r="N348" s="149"/>
      <c r="O348" s="149">
        <f t="shared" si="87"/>
        <v>0</v>
      </c>
      <c r="P348" s="216">
        <f t="shared" si="88"/>
        <v>0</v>
      </c>
      <c r="Q348" s="150">
        <f t="shared" si="91"/>
        <v>0</v>
      </c>
      <c r="S348" s="143">
        <f t="shared" si="80"/>
        <v>0</v>
      </c>
      <c r="X348" s="143">
        <f t="shared" si="81"/>
        <v>0</v>
      </c>
      <c r="Y348" s="143" t="s">
        <v>559</v>
      </c>
    </row>
    <row r="349" spans="1:27" s="228" customFormat="1" ht="12.75" customHeight="1" x14ac:dyDescent="0.2">
      <c r="A349" s="228" t="s">
        <v>298</v>
      </c>
      <c r="B349" s="229"/>
      <c r="F349" s="236" t="s">
        <v>560</v>
      </c>
      <c r="I349" s="230"/>
      <c r="J349" s="231"/>
      <c r="K349" s="232">
        <f t="shared" si="86"/>
        <v>0</v>
      </c>
      <c r="L349" s="232">
        <f>S349*markup*difficulty*IF(Y349&lt;&gt;"",VLOOKUP(LEFT(Y349,2),cityindex,3,0),1)</f>
        <v>0</v>
      </c>
      <c r="M349" s="232">
        <f>W349*markup*difficulty*IF(Y349&lt;&gt;"",VLOOKUP(LEFT(Y349,2),cityindex,3,0),1)</f>
        <v>0</v>
      </c>
      <c r="N349" s="232"/>
      <c r="O349" s="232">
        <f t="shared" si="87"/>
        <v>0</v>
      </c>
      <c r="P349" s="233">
        <f t="shared" si="88"/>
        <v>0</v>
      </c>
      <c r="Q349" s="234">
        <f>IF(O349=0,0,IF(X349=0,"manual",(O349/(R349*tax*markup*IF(Y349&lt;&gt;"",VLOOKUP(LEFT(Y349,2),cityindex,2,0),1)+S349*markup*difficulty*IF(Y349&lt;&gt;"",VLOOKUP(LEFT(Y349,2),cityindex,3,0),1)+W349*markup*difficulty*IF(Y349&lt;&gt;"",VLOOKUP(LEFT(Y349,2),cityindex,3,0),1)))-1))</f>
        <v>0</v>
      </c>
      <c r="S349" s="228">
        <f>U349*V349</f>
        <v>0</v>
      </c>
      <c r="X349" s="228">
        <f>SUM(R349,S349,W349)</f>
        <v>0</v>
      </c>
    </row>
    <row r="350" spans="1:27" ht="12.75" customHeight="1" x14ac:dyDescent="0.2">
      <c r="A350" s="143" t="s">
        <v>296</v>
      </c>
      <c r="F350" s="143" t="s">
        <v>554</v>
      </c>
      <c r="J350" s="147" t="s">
        <v>301</v>
      </c>
      <c r="K350" s="149">
        <f t="shared" si="86"/>
        <v>0</v>
      </c>
      <c r="L350" s="149">
        <f t="shared" si="89"/>
        <v>0</v>
      </c>
      <c r="M350" s="149">
        <f t="shared" si="90"/>
        <v>0</v>
      </c>
      <c r="N350" s="149"/>
      <c r="O350" s="149">
        <f t="shared" si="87"/>
        <v>0</v>
      </c>
      <c r="P350" s="216">
        <f t="shared" si="88"/>
        <v>0</v>
      </c>
      <c r="Q350" s="150">
        <f t="shared" si="91"/>
        <v>0</v>
      </c>
      <c r="S350" s="143">
        <f t="shared" si="80"/>
        <v>0</v>
      </c>
      <c r="X350" s="143">
        <f t="shared" si="81"/>
        <v>0</v>
      </c>
      <c r="Y350" s="143" t="s">
        <v>561</v>
      </c>
    </row>
    <row r="351" spans="1:27" s="228" customFormat="1" ht="12.75" customHeight="1" x14ac:dyDescent="0.2">
      <c r="A351" s="228" t="s">
        <v>298</v>
      </c>
      <c r="B351" s="229"/>
      <c r="F351" s="236" t="s">
        <v>562</v>
      </c>
      <c r="I351" s="230"/>
      <c r="J351" s="231"/>
      <c r="K351" s="232">
        <f t="shared" si="86"/>
        <v>0</v>
      </c>
      <c r="L351" s="232">
        <f>S351*markup*difficulty*IF(Y351&lt;&gt;"",VLOOKUP(LEFT(Y351,2),cityindex,3,0),1)</f>
        <v>0</v>
      </c>
      <c r="M351" s="232">
        <f>W351*markup*difficulty*IF(Y351&lt;&gt;"",VLOOKUP(LEFT(Y351,2),cityindex,3,0),1)</f>
        <v>0</v>
      </c>
      <c r="N351" s="232"/>
      <c r="O351" s="232">
        <f t="shared" si="87"/>
        <v>0</v>
      </c>
      <c r="P351" s="233">
        <f t="shared" si="88"/>
        <v>0</v>
      </c>
      <c r="Q351" s="234">
        <f>IF(O351=0,0,IF(X351=0,"manual",(O351/(R351*tax*markup*IF(Y351&lt;&gt;"",VLOOKUP(LEFT(Y351,2),cityindex,2,0),1)+S351*markup*difficulty*IF(Y351&lt;&gt;"",VLOOKUP(LEFT(Y351,2),cityindex,3,0),1)+W351*markup*difficulty*IF(Y351&lt;&gt;"",VLOOKUP(LEFT(Y351,2),cityindex,3,0),1)))-1))</f>
        <v>0</v>
      </c>
      <c r="S351" s="228">
        <f>U351*V351</f>
        <v>0</v>
      </c>
      <c r="X351" s="228">
        <f>SUM(R351,S351,W351)</f>
        <v>0</v>
      </c>
    </row>
    <row r="352" spans="1:27" ht="12.75" customHeight="1" x14ac:dyDescent="0.2">
      <c r="A352" s="143" t="s">
        <v>296</v>
      </c>
      <c r="F352" s="143" t="s">
        <v>554</v>
      </c>
      <c r="J352" s="147" t="s">
        <v>301</v>
      </c>
      <c r="K352" s="149">
        <f t="shared" si="86"/>
        <v>0</v>
      </c>
      <c r="L352" s="149">
        <f t="shared" si="89"/>
        <v>0</v>
      </c>
      <c r="M352" s="149">
        <f t="shared" si="90"/>
        <v>0</v>
      </c>
      <c r="N352" s="149"/>
      <c r="O352" s="149">
        <f t="shared" si="87"/>
        <v>0</v>
      </c>
      <c r="P352" s="216">
        <f t="shared" si="88"/>
        <v>0</v>
      </c>
      <c r="Q352" s="150">
        <f t="shared" si="91"/>
        <v>0</v>
      </c>
      <c r="S352" s="143">
        <f t="shared" si="80"/>
        <v>0</v>
      </c>
      <c r="X352" s="143">
        <f t="shared" si="81"/>
        <v>0</v>
      </c>
      <c r="Y352" s="143" t="s">
        <v>563</v>
      </c>
    </row>
    <row r="353" spans="1:25" s="228" customFormat="1" ht="12.75" customHeight="1" x14ac:dyDescent="0.2">
      <c r="A353" s="228" t="s">
        <v>298</v>
      </c>
      <c r="B353" s="229"/>
      <c r="F353" s="236" t="s">
        <v>564</v>
      </c>
      <c r="I353" s="230"/>
      <c r="J353" s="231"/>
      <c r="K353" s="232">
        <f t="shared" si="86"/>
        <v>0</v>
      </c>
      <c r="L353" s="232">
        <f>S353*markup*difficulty*IF(Y353&lt;&gt;"",VLOOKUP(LEFT(Y353,2),cityindex,3,0),1)</f>
        <v>0</v>
      </c>
      <c r="M353" s="232">
        <f>W353*markup*difficulty*IF(Y353&lt;&gt;"",VLOOKUP(LEFT(Y353,2),cityindex,3,0),1)</f>
        <v>0</v>
      </c>
      <c r="N353" s="232"/>
      <c r="O353" s="232">
        <f t="shared" si="87"/>
        <v>0</v>
      </c>
      <c r="P353" s="233">
        <f t="shared" si="88"/>
        <v>0</v>
      </c>
      <c r="Q353" s="234">
        <f>IF(O353=0,0,IF(X353=0,"manual",(O353/(R353*tax*markup*IF(Y353&lt;&gt;"",VLOOKUP(LEFT(Y353,2),cityindex,2,0),1)+S353*markup*difficulty*IF(Y353&lt;&gt;"",VLOOKUP(LEFT(Y353,2),cityindex,3,0),1)+W353*markup*difficulty*IF(Y353&lt;&gt;"",VLOOKUP(LEFT(Y353,2),cityindex,3,0),1)))-1))</f>
        <v>0</v>
      </c>
      <c r="S353" s="228">
        <f>U353*V353</f>
        <v>0</v>
      </c>
      <c r="X353" s="228">
        <f>SUM(R353,S353,W353)</f>
        <v>0</v>
      </c>
    </row>
    <row r="354" spans="1:25" ht="12.75" customHeight="1" x14ac:dyDescent="0.2">
      <c r="A354" s="143" t="s">
        <v>296</v>
      </c>
      <c r="F354" s="143" t="s">
        <v>554</v>
      </c>
      <c r="J354" s="147" t="s">
        <v>301</v>
      </c>
      <c r="K354" s="149">
        <f t="shared" si="86"/>
        <v>0</v>
      </c>
      <c r="L354" s="149">
        <f t="shared" si="89"/>
        <v>0</v>
      </c>
      <c r="M354" s="149">
        <f t="shared" si="90"/>
        <v>0</v>
      </c>
      <c r="N354" s="149"/>
      <c r="O354" s="149">
        <f t="shared" si="87"/>
        <v>0</v>
      </c>
      <c r="P354" s="216">
        <f t="shared" si="88"/>
        <v>0</v>
      </c>
      <c r="Q354" s="150">
        <f t="shared" si="91"/>
        <v>0</v>
      </c>
      <c r="S354" s="143">
        <f t="shared" si="80"/>
        <v>0</v>
      </c>
      <c r="X354" s="143">
        <f t="shared" si="81"/>
        <v>0</v>
      </c>
      <c r="Y354" s="143" t="s">
        <v>565</v>
      </c>
    </row>
    <row r="355" spans="1:25" ht="12.75" customHeight="1" x14ac:dyDescent="0.2">
      <c r="A355" s="143" t="s">
        <v>296</v>
      </c>
      <c r="F355" s="143" t="s">
        <v>525</v>
      </c>
      <c r="J355" s="147" t="s">
        <v>301</v>
      </c>
      <c r="K355" s="149">
        <f t="shared" si="86"/>
        <v>0</v>
      </c>
      <c r="L355" s="149">
        <f t="shared" si="89"/>
        <v>0</v>
      </c>
      <c r="M355" s="149">
        <f t="shared" si="90"/>
        <v>0</v>
      </c>
      <c r="N355" s="149"/>
      <c r="O355" s="149">
        <f t="shared" si="87"/>
        <v>0</v>
      </c>
      <c r="P355" s="216">
        <f t="shared" si="88"/>
        <v>0</v>
      </c>
      <c r="Q355" s="150">
        <f t="shared" si="91"/>
        <v>0</v>
      </c>
      <c r="S355" s="143">
        <f t="shared" si="80"/>
        <v>0</v>
      </c>
      <c r="X355" s="143">
        <f t="shared" si="81"/>
        <v>0</v>
      </c>
      <c r="Y355" s="143" t="s">
        <v>566</v>
      </c>
    </row>
    <row r="356" spans="1:25" ht="12.75" customHeight="1" x14ac:dyDescent="0.2">
      <c r="A356" s="143" t="s">
        <v>296</v>
      </c>
      <c r="K356" s="149">
        <f t="shared" si="86"/>
        <v>0</v>
      </c>
      <c r="L356" s="149">
        <f t="shared" si="89"/>
        <v>0</v>
      </c>
      <c r="M356" s="149">
        <f t="shared" si="90"/>
        <v>0</v>
      </c>
      <c r="N356" s="149"/>
      <c r="O356" s="149">
        <f t="shared" si="87"/>
        <v>0</v>
      </c>
      <c r="P356" s="216">
        <f t="shared" si="88"/>
        <v>0</v>
      </c>
      <c r="Q356" s="150">
        <f t="shared" si="91"/>
        <v>0</v>
      </c>
      <c r="S356" s="143">
        <f t="shared" si="80"/>
        <v>0</v>
      </c>
      <c r="X356" s="143">
        <f t="shared" si="81"/>
        <v>0</v>
      </c>
    </row>
    <row r="357" spans="1:25" ht="12.75" customHeight="1" x14ac:dyDescent="0.2">
      <c r="A357" s="143" t="s">
        <v>298</v>
      </c>
      <c r="F357" s="226" t="s">
        <v>567</v>
      </c>
      <c r="K357" s="149">
        <f t="shared" si="86"/>
        <v>0</v>
      </c>
      <c r="L357" s="149">
        <f>S357*markup*difficulty*IF(Y357&lt;&gt;"",VLOOKUP(LEFT(Y357,2),cityindex,3,0),1)</f>
        <v>0</v>
      </c>
      <c r="M357" s="149">
        <f>W357*markup*difficulty*IF(Y357&lt;&gt;"",VLOOKUP(LEFT(Y357,2),cityindex,3,0),1)</f>
        <v>0</v>
      </c>
      <c r="N357" s="149"/>
      <c r="O357" s="149">
        <f t="shared" si="87"/>
        <v>0</v>
      </c>
      <c r="P357" s="216">
        <f t="shared" si="88"/>
        <v>0</v>
      </c>
      <c r="Q357" s="150">
        <f>IF(O357=0,0,IF(X357=0,"manual",(O357/(R357*tax*markup*IF(Y357&lt;&gt;"",VLOOKUP(LEFT(Y357,2),cityindex,2,0),1)+S357*markup*difficulty*IF(Y357&lt;&gt;"",VLOOKUP(LEFT(Y357,2),cityindex,3,0),1)+W357*markup*difficulty*IF(Y357&lt;&gt;"",VLOOKUP(LEFT(Y357,2),cityindex,3,0),1)))-1))</f>
        <v>0</v>
      </c>
      <c r="S357" s="143">
        <f>U357*V357</f>
        <v>0</v>
      </c>
      <c r="X357" s="143">
        <f>SUM(R357,S357,W357)</f>
        <v>0</v>
      </c>
    </row>
    <row r="358" spans="1:25" s="228" customFormat="1" ht="12.75" customHeight="1" x14ac:dyDescent="0.2">
      <c r="A358" s="228" t="s">
        <v>298</v>
      </c>
      <c r="B358" s="229"/>
      <c r="F358" s="236" t="s">
        <v>568</v>
      </c>
      <c r="I358" s="230"/>
      <c r="J358" s="231"/>
      <c r="K358" s="232">
        <f t="shared" si="86"/>
        <v>0</v>
      </c>
      <c r="L358" s="232">
        <f>S358*markup*difficulty*IF(Y358&lt;&gt;"",VLOOKUP(LEFT(Y358,2),cityindex,3,0),1)</f>
        <v>0</v>
      </c>
      <c r="M358" s="232">
        <f>W358*markup*difficulty*IF(Y358&lt;&gt;"",VLOOKUP(LEFT(Y358,2),cityindex,3,0),1)</f>
        <v>0</v>
      </c>
      <c r="N358" s="232"/>
      <c r="O358" s="232">
        <f t="shared" si="87"/>
        <v>0</v>
      </c>
      <c r="P358" s="233">
        <f t="shared" si="88"/>
        <v>0</v>
      </c>
      <c r="Q358" s="234">
        <f>IF(O358=0,0,IF(X358=0,"manual",(O358/(R358*tax*markup*IF(Y358&lt;&gt;"",VLOOKUP(LEFT(Y358,2),cityindex,2,0),1)+S358*markup*difficulty*IF(Y358&lt;&gt;"",VLOOKUP(LEFT(Y358,2),cityindex,3,0),1)+W358*markup*difficulty*IF(Y358&lt;&gt;"",VLOOKUP(LEFT(Y358,2),cityindex,3,0),1)))-1))</f>
        <v>0</v>
      </c>
      <c r="S358" s="228">
        <f>U358*V358</f>
        <v>0</v>
      </c>
      <c r="X358" s="228">
        <f>SUM(R358,S358,W358)</f>
        <v>0</v>
      </c>
    </row>
    <row r="359" spans="1:25" ht="12.75" customHeight="1" x14ac:dyDescent="0.2">
      <c r="A359" s="143" t="s">
        <v>296</v>
      </c>
      <c r="F359" s="143" t="s">
        <v>569</v>
      </c>
      <c r="J359" s="147" t="s">
        <v>301</v>
      </c>
      <c r="K359" s="149">
        <f t="shared" si="86"/>
        <v>0</v>
      </c>
      <c r="L359" s="149">
        <f t="shared" si="89"/>
        <v>0</v>
      </c>
      <c r="M359" s="149">
        <f t="shared" si="90"/>
        <v>0</v>
      </c>
      <c r="N359" s="149"/>
      <c r="O359" s="149">
        <f t="shared" si="87"/>
        <v>0</v>
      </c>
      <c r="P359" s="216">
        <f t="shared" si="88"/>
        <v>0</v>
      </c>
      <c r="Q359" s="150">
        <f t="shared" si="91"/>
        <v>0</v>
      </c>
      <c r="S359" s="143">
        <f t="shared" si="80"/>
        <v>0</v>
      </c>
      <c r="X359" s="143">
        <f t="shared" si="81"/>
        <v>0</v>
      </c>
      <c r="Y359" s="143" t="s">
        <v>570</v>
      </c>
    </row>
    <row r="360" spans="1:25" s="228" customFormat="1" ht="12.75" customHeight="1" x14ac:dyDescent="0.2">
      <c r="A360" s="228" t="s">
        <v>298</v>
      </c>
      <c r="B360" s="229"/>
      <c r="F360" s="236" t="s">
        <v>571</v>
      </c>
      <c r="I360" s="230"/>
      <c r="J360" s="231"/>
      <c r="K360" s="232">
        <f t="shared" si="86"/>
        <v>0</v>
      </c>
      <c r="L360" s="232">
        <f>S360*markup*difficulty*IF(Y360&lt;&gt;"",VLOOKUP(LEFT(Y360,2),cityindex,3,0),1)</f>
        <v>0</v>
      </c>
      <c r="M360" s="232">
        <f>W360*markup*difficulty*IF(Y360&lt;&gt;"",VLOOKUP(LEFT(Y360,2),cityindex,3,0),1)</f>
        <v>0</v>
      </c>
      <c r="N360" s="232"/>
      <c r="O360" s="232">
        <f t="shared" si="87"/>
        <v>0</v>
      </c>
      <c r="P360" s="233">
        <f t="shared" si="88"/>
        <v>0</v>
      </c>
      <c r="Q360" s="234">
        <f>IF(O360=0,0,IF(X360=0,"manual",(O360/(R360*tax*markup*IF(Y360&lt;&gt;"",VLOOKUP(LEFT(Y360,2),cityindex,2,0),1)+S360*markup*difficulty*IF(Y360&lt;&gt;"",VLOOKUP(LEFT(Y360,2),cityindex,3,0),1)+W360*markup*difficulty*IF(Y360&lt;&gt;"",VLOOKUP(LEFT(Y360,2),cityindex,3,0),1)))-1))</f>
        <v>0</v>
      </c>
      <c r="S360" s="228">
        <f>U360*V360</f>
        <v>0</v>
      </c>
      <c r="X360" s="228">
        <f>SUM(R360,S360,W360)</f>
        <v>0</v>
      </c>
    </row>
    <row r="361" spans="1:25" ht="12.75" customHeight="1" x14ac:dyDescent="0.2">
      <c r="A361" s="143" t="s">
        <v>296</v>
      </c>
      <c r="F361" s="143" t="s">
        <v>569</v>
      </c>
      <c r="J361" s="147" t="s">
        <v>301</v>
      </c>
      <c r="K361" s="149">
        <f t="shared" si="86"/>
        <v>0</v>
      </c>
      <c r="L361" s="149">
        <f t="shared" si="89"/>
        <v>0</v>
      </c>
      <c r="M361" s="149">
        <f t="shared" si="90"/>
        <v>0</v>
      </c>
      <c r="N361" s="149"/>
      <c r="O361" s="149">
        <f t="shared" si="87"/>
        <v>0</v>
      </c>
      <c r="P361" s="216">
        <f t="shared" si="88"/>
        <v>0</v>
      </c>
      <c r="Q361" s="150">
        <f t="shared" si="91"/>
        <v>0</v>
      </c>
      <c r="S361" s="143">
        <f t="shared" si="80"/>
        <v>0</v>
      </c>
      <c r="X361" s="143">
        <f t="shared" si="81"/>
        <v>0</v>
      </c>
      <c r="Y361" s="143" t="s">
        <v>572</v>
      </c>
    </row>
    <row r="362" spans="1:25" s="228" customFormat="1" ht="12.75" customHeight="1" x14ac:dyDescent="0.2">
      <c r="A362" s="228" t="s">
        <v>298</v>
      </c>
      <c r="B362" s="229"/>
      <c r="F362" s="236" t="s">
        <v>573</v>
      </c>
      <c r="I362" s="230"/>
      <c r="J362" s="231"/>
      <c r="K362" s="232">
        <f t="shared" si="86"/>
        <v>0</v>
      </c>
      <c r="L362" s="232">
        <f>S362*markup*difficulty*IF(Y362&lt;&gt;"",VLOOKUP(LEFT(Y362,2),cityindex,3,0),1)</f>
        <v>0</v>
      </c>
      <c r="M362" s="232">
        <f>W362*markup*difficulty*IF(Y362&lt;&gt;"",VLOOKUP(LEFT(Y362,2),cityindex,3,0),1)</f>
        <v>0</v>
      </c>
      <c r="N362" s="232"/>
      <c r="O362" s="232">
        <f t="shared" si="87"/>
        <v>0</v>
      </c>
      <c r="P362" s="233">
        <f t="shared" si="88"/>
        <v>0</v>
      </c>
      <c r="Q362" s="234">
        <f>IF(O362=0,0,IF(X362=0,"manual",(O362/(R362*tax*markup*IF(Y362&lt;&gt;"",VLOOKUP(LEFT(Y362,2),cityindex,2,0),1)+S362*markup*difficulty*IF(Y362&lt;&gt;"",VLOOKUP(LEFT(Y362,2),cityindex,3,0),1)+W362*markup*difficulty*IF(Y362&lt;&gt;"",VLOOKUP(LEFT(Y362,2),cityindex,3,0),1)))-1))</f>
        <v>0</v>
      </c>
      <c r="S362" s="228">
        <f>U362*V362</f>
        <v>0</v>
      </c>
      <c r="X362" s="228">
        <f>SUM(R362,S362,W362)</f>
        <v>0</v>
      </c>
    </row>
    <row r="363" spans="1:25" ht="12.75" customHeight="1" x14ac:dyDescent="0.2">
      <c r="A363" s="143" t="s">
        <v>296</v>
      </c>
      <c r="F363" s="143" t="s">
        <v>569</v>
      </c>
      <c r="J363" s="147" t="s">
        <v>301</v>
      </c>
      <c r="K363" s="149">
        <f t="shared" ref="K363:K380" si="92">R363*tax*markup*IF(Y363&lt;&gt;"",VLOOKUP(LEFT(Y363,2),cityindex,2,0),1)</f>
        <v>0</v>
      </c>
      <c r="L363" s="149">
        <f t="shared" si="89"/>
        <v>0</v>
      </c>
      <c r="M363" s="149">
        <f t="shared" si="90"/>
        <v>0</v>
      </c>
      <c r="N363" s="149"/>
      <c r="O363" s="149">
        <f t="shared" si="87"/>
        <v>0</v>
      </c>
      <c r="P363" s="216">
        <f t="shared" si="88"/>
        <v>0</v>
      </c>
      <c r="Q363" s="150">
        <f t="shared" si="91"/>
        <v>0</v>
      </c>
      <c r="S363" s="143">
        <f t="shared" si="80"/>
        <v>0</v>
      </c>
      <c r="X363" s="143">
        <f t="shared" si="81"/>
        <v>0</v>
      </c>
      <c r="Y363" s="143" t="s">
        <v>574</v>
      </c>
    </row>
    <row r="364" spans="1:25" s="228" customFormat="1" ht="12.75" customHeight="1" x14ac:dyDescent="0.2">
      <c r="A364" s="228" t="s">
        <v>298</v>
      </c>
      <c r="B364" s="229"/>
      <c r="F364" s="236" t="s">
        <v>568</v>
      </c>
      <c r="I364" s="230"/>
      <c r="J364" s="231"/>
      <c r="K364" s="232">
        <f>R364*tax*markup*IF(Y364&lt;&gt;"",VLOOKUP(LEFT(Y364,2),cityindex,2,0),1)</f>
        <v>0</v>
      </c>
      <c r="L364" s="232">
        <f>S364*markup*difficulty*IF(Y364&lt;&gt;"",VLOOKUP(LEFT(Y364,2),cityindex,3,0),1)</f>
        <v>0</v>
      </c>
      <c r="M364" s="232">
        <f>W364*markup*difficulty*IF(Y364&lt;&gt;"",VLOOKUP(LEFT(Y364,2),cityindex,3,0),1)</f>
        <v>0</v>
      </c>
      <c r="N364" s="232"/>
      <c r="O364" s="232">
        <f t="shared" si="87"/>
        <v>0</v>
      </c>
      <c r="P364" s="233">
        <f>ROUND((O364*I364),0)</f>
        <v>0</v>
      </c>
      <c r="Q364" s="234">
        <f>IF(O364=0,0,IF(X364=0,"manual",(O364/(R364*tax*markup*IF(Y364&lt;&gt;"",VLOOKUP(LEFT(Y364,2),cityindex,2,0),1)+S364*markup*difficulty*IF(Y364&lt;&gt;"",VLOOKUP(LEFT(Y364,2),cityindex,3,0),1)+W364*markup*difficulty*IF(Y364&lt;&gt;"",VLOOKUP(LEFT(Y364,2),cityindex,3,0),1)))-1))</f>
        <v>0</v>
      </c>
      <c r="S364" s="228">
        <f>U364*V364</f>
        <v>0</v>
      </c>
      <c r="X364" s="228">
        <f>SUM(R364,S364,W364)</f>
        <v>0</v>
      </c>
    </row>
    <row r="365" spans="1:25" ht="12.75" customHeight="1" x14ac:dyDescent="0.2">
      <c r="A365" s="143" t="s">
        <v>296</v>
      </c>
      <c r="F365" s="143" t="s">
        <v>575</v>
      </c>
      <c r="J365" s="147" t="s">
        <v>301</v>
      </c>
      <c r="K365" s="149">
        <f t="shared" si="92"/>
        <v>0</v>
      </c>
      <c r="L365" s="149">
        <f t="shared" si="89"/>
        <v>0</v>
      </c>
      <c r="M365" s="149">
        <f t="shared" si="90"/>
        <v>0</v>
      </c>
      <c r="N365" s="149"/>
      <c r="O365" s="149">
        <f t="shared" ref="O365:O380" si="93">SUM(K365:N365)*embed</f>
        <v>0</v>
      </c>
      <c r="P365" s="216">
        <f t="shared" si="88"/>
        <v>0</v>
      </c>
      <c r="Q365" s="150">
        <f t="shared" si="91"/>
        <v>0</v>
      </c>
      <c r="S365" s="143">
        <f t="shared" si="80"/>
        <v>0</v>
      </c>
      <c r="X365" s="143">
        <f t="shared" si="81"/>
        <v>0</v>
      </c>
      <c r="Y365" s="143" t="s">
        <v>576</v>
      </c>
    </row>
    <row r="366" spans="1:25" s="228" customFormat="1" ht="12.75" customHeight="1" x14ac:dyDescent="0.2">
      <c r="A366" s="228" t="s">
        <v>298</v>
      </c>
      <c r="B366" s="229"/>
      <c r="F366" s="236" t="s">
        <v>571</v>
      </c>
      <c r="I366" s="230"/>
      <c r="J366" s="231"/>
      <c r="K366" s="232">
        <f>R366*tax*markup*IF(Y366&lt;&gt;"",VLOOKUP(LEFT(Y366,2),cityindex,2,0),1)</f>
        <v>0</v>
      </c>
      <c r="L366" s="232">
        <f>S366*markup*difficulty*IF(Y366&lt;&gt;"",VLOOKUP(LEFT(Y366,2),cityindex,3,0),1)</f>
        <v>0</v>
      </c>
      <c r="M366" s="232">
        <f>W366*markup*difficulty*IF(Y366&lt;&gt;"",VLOOKUP(LEFT(Y366,2),cityindex,3,0),1)</f>
        <v>0</v>
      </c>
      <c r="N366" s="232"/>
      <c r="O366" s="232">
        <f>SUM(K366:N366)*embed</f>
        <v>0</v>
      </c>
      <c r="P366" s="233">
        <f>ROUND((O366*I366),0)</f>
        <v>0</v>
      </c>
      <c r="Q366" s="234">
        <f>IF(O366=0,0,IF(X366=0,"manual",(O366/(R366*tax*markup*IF(Y366&lt;&gt;"",VLOOKUP(LEFT(Y366,2),cityindex,2,0),1)+S366*markup*difficulty*IF(Y366&lt;&gt;"",VLOOKUP(LEFT(Y366,2),cityindex,3,0),1)+W366*markup*difficulty*IF(Y366&lt;&gt;"",VLOOKUP(LEFT(Y366,2),cityindex,3,0),1)))-1))</f>
        <v>0</v>
      </c>
      <c r="S366" s="228">
        <f>U366*V366</f>
        <v>0</v>
      </c>
      <c r="X366" s="228">
        <f>SUM(R366,S366,W366)</f>
        <v>0</v>
      </c>
    </row>
    <row r="367" spans="1:25" ht="12.75" customHeight="1" x14ac:dyDescent="0.2">
      <c r="A367" s="143" t="s">
        <v>296</v>
      </c>
      <c r="F367" s="143" t="s">
        <v>575</v>
      </c>
      <c r="J367" s="147" t="s">
        <v>301</v>
      </c>
      <c r="K367" s="149">
        <f t="shared" si="92"/>
        <v>0</v>
      </c>
      <c r="L367" s="149">
        <f t="shared" si="89"/>
        <v>0</v>
      </c>
      <c r="M367" s="149">
        <f t="shared" si="90"/>
        <v>0</v>
      </c>
      <c r="N367" s="149"/>
      <c r="O367" s="149">
        <f t="shared" si="93"/>
        <v>0</v>
      </c>
      <c r="P367" s="216">
        <f t="shared" si="88"/>
        <v>0</v>
      </c>
      <c r="Q367" s="150">
        <f t="shared" si="91"/>
        <v>0</v>
      </c>
      <c r="S367" s="143">
        <f t="shared" si="80"/>
        <v>0</v>
      </c>
      <c r="X367" s="143">
        <f t="shared" si="81"/>
        <v>0</v>
      </c>
      <c r="Y367" s="143" t="s">
        <v>577</v>
      </c>
    </row>
    <row r="368" spans="1:25" s="228" customFormat="1" ht="12.75" customHeight="1" x14ac:dyDescent="0.2">
      <c r="A368" s="228" t="s">
        <v>298</v>
      </c>
      <c r="B368" s="229"/>
      <c r="F368" s="236" t="s">
        <v>573</v>
      </c>
      <c r="I368" s="230"/>
      <c r="J368" s="231"/>
      <c r="K368" s="232">
        <f>R368*tax*markup*IF(Y368&lt;&gt;"",VLOOKUP(LEFT(Y368,2),cityindex,2,0),1)</f>
        <v>0</v>
      </c>
      <c r="L368" s="232">
        <f>S368*markup*difficulty*IF(Y368&lt;&gt;"",VLOOKUP(LEFT(Y368,2),cityindex,3,0),1)</f>
        <v>0</v>
      </c>
      <c r="M368" s="232">
        <f>W368*markup*difficulty*IF(Y368&lt;&gt;"",VLOOKUP(LEFT(Y368,2),cityindex,3,0),1)</f>
        <v>0</v>
      </c>
      <c r="N368" s="232"/>
      <c r="O368" s="232">
        <f>SUM(K368:N368)*embed</f>
        <v>0</v>
      </c>
      <c r="P368" s="233">
        <f>ROUND((O368*I368),0)</f>
        <v>0</v>
      </c>
      <c r="Q368" s="234">
        <f>IF(O368=0,0,IF(X368=0,"manual",(O368/(R368*tax*markup*IF(Y368&lt;&gt;"",VLOOKUP(LEFT(Y368,2),cityindex,2,0),1)+S368*markup*difficulty*IF(Y368&lt;&gt;"",VLOOKUP(LEFT(Y368,2),cityindex,3,0),1)+W368*markup*difficulty*IF(Y368&lt;&gt;"",VLOOKUP(LEFT(Y368,2),cityindex,3,0),1)))-1))</f>
        <v>0</v>
      </c>
      <c r="S368" s="228">
        <f>U368*V368</f>
        <v>0</v>
      </c>
      <c r="X368" s="228">
        <f>SUM(R368,S368,W368)</f>
        <v>0</v>
      </c>
    </row>
    <row r="369" spans="1:25" ht="12.75" customHeight="1" x14ac:dyDescent="0.2">
      <c r="A369" s="143" t="s">
        <v>296</v>
      </c>
      <c r="F369" s="143" t="s">
        <v>575</v>
      </c>
      <c r="J369" s="147" t="s">
        <v>301</v>
      </c>
      <c r="K369" s="149">
        <f t="shared" si="92"/>
        <v>0</v>
      </c>
      <c r="L369" s="149">
        <f t="shared" si="89"/>
        <v>0</v>
      </c>
      <c r="M369" s="149">
        <f t="shared" si="90"/>
        <v>0</v>
      </c>
      <c r="N369" s="149"/>
      <c r="O369" s="149">
        <f t="shared" si="93"/>
        <v>0</v>
      </c>
      <c r="P369" s="216">
        <f t="shared" si="88"/>
        <v>0</v>
      </c>
      <c r="Q369" s="150">
        <f t="shared" si="91"/>
        <v>0</v>
      </c>
      <c r="S369" s="143">
        <f t="shared" si="80"/>
        <v>0</v>
      </c>
      <c r="X369" s="143">
        <f t="shared" si="81"/>
        <v>0</v>
      </c>
      <c r="Y369" s="143" t="s">
        <v>578</v>
      </c>
    </row>
    <row r="370" spans="1:25" ht="12.75" customHeight="1" x14ac:dyDescent="0.2">
      <c r="A370" s="143" t="s">
        <v>296</v>
      </c>
      <c r="F370" s="143" t="s">
        <v>525</v>
      </c>
      <c r="J370" s="147" t="s">
        <v>301</v>
      </c>
      <c r="K370" s="149">
        <f t="shared" si="92"/>
        <v>0</v>
      </c>
      <c r="L370" s="149">
        <f t="shared" si="89"/>
        <v>0</v>
      </c>
      <c r="M370" s="149">
        <f t="shared" si="90"/>
        <v>0</v>
      </c>
      <c r="N370" s="149"/>
      <c r="O370" s="149">
        <f t="shared" si="93"/>
        <v>0</v>
      </c>
      <c r="P370" s="216">
        <f t="shared" si="88"/>
        <v>0</v>
      </c>
      <c r="Q370" s="150">
        <f t="shared" si="91"/>
        <v>0</v>
      </c>
      <c r="S370" s="143">
        <f t="shared" si="80"/>
        <v>0</v>
      </c>
      <c r="X370" s="143">
        <f t="shared" si="81"/>
        <v>0</v>
      </c>
      <c r="Y370" s="143" t="s">
        <v>566</v>
      </c>
    </row>
    <row r="371" spans="1:25" ht="12.75" customHeight="1" x14ac:dyDescent="0.2">
      <c r="A371" s="143" t="s">
        <v>296</v>
      </c>
      <c r="K371" s="149">
        <f t="shared" si="92"/>
        <v>0</v>
      </c>
      <c r="L371" s="149">
        <f t="shared" si="89"/>
        <v>0</v>
      </c>
      <c r="M371" s="149">
        <f t="shared" si="90"/>
        <v>0</v>
      </c>
      <c r="N371" s="149"/>
      <c r="O371" s="149">
        <f t="shared" si="93"/>
        <v>0</v>
      </c>
      <c r="P371" s="216">
        <f t="shared" si="88"/>
        <v>0</v>
      </c>
      <c r="Q371" s="150">
        <f t="shared" si="91"/>
        <v>0</v>
      </c>
      <c r="S371" s="143">
        <f t="shared" si="80"/>
        <v>0</v>
      </c>
      <c r="X371" s="143">
        <f t="shared" si="81"/>
        <v>0</v>
      </c>
    </row>
    <row r="372" spans="1:25" ht="12.75" customHeight="1" x14ac:dyDescent="0.2">
      <c r="A372" s="143" t="s">
        <v>296</v>
      </c>
      <c r="F372" s="143" t="s">
        <v>579</v>
      </c>
      <c r="K372" s="149">
        <f t="shared" si="92"/>
        <v>0</v>
      </c>
      <c r="L372" s="149">
        <f t="shared" si="89"/>
        <v>0</v>
      </c>
      <c r="M372" s="149">
        <f t="shared" si="90"/>
        <v>0</v>
      </c>
      <c r="N372" s="149"/>
      <c r="O372" s="149">
        <f t="shared" si="93"/>
        <v>0</v>
      </c>
      <c r="P372" s="216">
        <f t="shared" si="88"/>
        <v>0</v>
      </c>
      <c r="Q372" s="150">
        <f t="shared" si="91"/>
        <v>0</v>
      </c>
      <c r="S372" s="143">
        <f t="shared" si="80"/>
        <v>0</v>
      </c>
      <c r="X372" s="143">
        <f t="shared" si="81"/>
        <v>0</v>
      </c>
    </row>
    <row r="373" spans="1:25" s="228" customFormat="1" ht="12.75" customHeight="1" x14ac:dyDescent="0.2">
      <c r="A373" s="228" t="s">
        <v>298</v>
      </c>
      <c r="B373" s="229"/>
      <c r="G373" s="236" t="s">
        <v>580</v>
      </c>
      <c r="I373" s="230"/>
      <c r="J373" s="231"/>
      <c r="K373" s="232">
        <f>R373*tax*markup*IF(Y373&lt;&gt;"",VLOOKUP(LEFT(Y373,2),cityindex,2,0),1)</f>
        <v>0</v>
      </c>
      <c r="L373" s="232">
        <f>S373*markup*difficulty*IF(Y373&lt;&gt;"",VLOOKUP(LEFT(Y373,2),cityindex,3,0),1)</f>
        <v>0</v>
      </c>
      <c r="M373" s="232">
        <f>W373*markup*difficulty*IF(Y373&lt;&gt;"",VLOOKUP(LEFT(Y373,2),cityindex,3,0),1)</f>
        <v>0</v>
      </c>
      <c r="N373" s="232"/>
      <c r="O373" s="232">
        <f>SUM(K373:N373)*embed</f>
        <v>0</v>
      </c>
      <c r="P373" s="233">
        <f>ROUND((O373*I373),0)</f>
        <v>0</v>
      </c>
      <c r="Q373" s="234">
        <f>IF(O373=0,0,IF(X373=0,"manual",(O373/(R373*tax*markup*IF(Y373&lt;&gt;"",VLOOKUP(LEFT(Y373,2),cityindex,2,0),1)+S373*markup*difficulty*IF(Y373&lt;&gt;"",VLOOKUP(LEFT(Y373,2),cityindex,3,0),1)+W373*markup*difficulty*IF(Y373&lt;&gt;"",VLOOKUP(LEFT(Y373,2),cityindex,3,0),1)))-1))</f>
        <v>0</v>
      </c>
      <c r="S373" s="228">
        <f>U373*V373</f>
        <v>0</v>
      </c>
      <c r="X373" s="228">
        <f>SUM(R373,S373,W373)</f>
        <v>0</v>
      </c>
    </row>
    <row r="374" spans="1:25" ht="12.75" customHeight="1" x14ac:dyDescent="0.2">
      <c r="A374" s="143" t="s">
        <v>296</v>
      </c>
      <c r="G374" s="143" t="s">
        <v>581</v>
      </c>
      <c r="J374" s="147" t="s">
        <v>301</v>
      </c>
      <c r="K374" s="149">
        <f t="shared" si="92"/>
        <v>0</v>
      </c>
      <c r="L374" s="149">
        <f t="shared" si="89"/>
        <v>0</v>
      </c>
      <c r="M374" s="149">
        <f t="shared" si="90"/>
        <v>0</v>
      </c>
      <c r="N374" s="149"/>
      <c r="O374" s="149">
        <f t="shared" si="93"/>
        <v>0</v>
      </c>
      <c r="P374" s="216">
        <f t="shared" si="88"/>
        <v>0</v>
      </c>
      <c r="Q374" s="150">
        <f t="shared" si="91"/>
        <v>0</v>
      </c>
      <c r="S374" s="143">
        <f t="shared" ref="S374:S437" si="94">U374*V374</f>
        <v>0</v>
      </c>
      <c r="X374" s="143">
        <f t="shared" ref="X374:X437" si="95">SUM(R374,S374,W374)</f>
        <v>0</v>
      </c>
      <c r="Y374" s="143" t="s">
        <v>582</v>
      </c>
    </row>
    <row r="375" spans="1:25" s="228" customFormat="1" ht="12.75" customHeight="1" x14ac:dyDescent="0.2">
      <c r="A375" s="228" t="s">
        <v>298</v>
      </c>
      <c r="B375" s="229"/>
      <c r="G375" s="236" t="s">
        <v>583</v>
      </c>
      <c r="I375" s="230"/>
      <c r="J375" s="231"/>
      <c r="K375" s="232">
        <f>R375*tax*markup*IF(Y375&lt;&gt;"",VLOOKUP(LEFT(Y375,2),cityindex,2,0),1)</f>
        <v>0</v>
      </c>
      <c r="L375" s="232">
        <f>S375*markup*difficulty*IF(Y375&lt;&gt;"",VLOOKUP(LEFT(Y375,2),cityindex,3,0),1)</f>
        <v>0</v>
      </c>
      <c r="M375" s="232">
        <f>W375*markup*difficulty*IF(Y375&lt;&gt;"",VLOOKUP(LEFT(Y375,2),cityindex,3,0),1)</f>
        <v>0</v>
      </c>
      <c r="N375" s="232"/>
      <c r="O375" s="232">
        <f>SUM(K375:N375)*embed</f>
        <v>0</v>
      </c>
      <c r="P375" s="233">
        <f>ROUND((O375*I375),0)</f>
        <v>0</v>
      </c>
      <c r="Q375" s="234">
        <f>IF(O375=0,0,IF(X375=0,"manual",(O375/(R375*tax*markup*IF(Y375&lt;&gt;"",VLOOKUP(LEFT(Y375,2),cityindex,2,0),1)+S375*markup*difficulty*IF(Y375&lt;&gt;"",VLOOKUP(LEFT(Y375,2),cityindex,3,0),1)+W375*markup*difficulty*IF(Y375&lt;&gt;"",VLOOKUP(LEFT(Y375,2),cityindex,3,0),1)))-1))</f>
        <v>0</v>
      </c>
      <c r="S375" s="228">
        <f>U375*V375</f>
        <v>0</v>
      </c>
      <c r="X375" s="228">
        <f>SUM(R375,S375,W375)</f>
        <v>0</v>
      </c>
    </row>
    <row r="376" spans="1:25" ht="12.75" customHeight="1" x14ac:dyDescent="0.2">
      <c r="A376" s="143" t="s">
        <v>296</v>
      </c>
      <c r="G376" s="143" t="s">
        <v>581</v>
      </c>
      <c r="J376" s="147" t="s">
        <v>301</v>
      </c>
      <c r="K376" s="149">
        <f t="shared" si="92"/>
        <v>0</v>
      </c>
      <c r="L376" s="149">
        <f t="shared" si="89"/>
        <v>0</v>
      </c>
      <c r="M376" s="149">
        <f t="shared" si="90"/>
        <v>0</v>
      </c>
      <c r="N376" s="149"/>
      <c r="O376" s="149">
        <f t="shared" si="93"/>
        <v>0</v>
      </c>
      <c r="P376" s="216">
        <f t="shared" si="88"/>
        <v>0</v>
      </c>
      <c r="Q376" s="150">
        <f t="shared" si="91"/>
        <v>0</v>
      </c>
      <c r="S376" s="143">
        <f t="shared" si="94"/>
        <v>0</v>
      </c>
      <c r="X376" s="143">
        <f t="shared" si="95"/>
        <v>0</v>
      </c>
      <c r="Y376" s="143" t="s">
        <v>584</v>
      </c>
    </row>
    <row r="377" spans="1:25" s="228" customFormat="1" ht="12.75" customHeight="1" x14ac:dyDescent="0.2">
      <c r="A377" s="228" t="s">
        <v>298</v>
      </c>
      <c r="B377" s="229"/>
      <c r="G377" s="236" t="s">
        <v>585</v>
      </c>
      <c r="I377" s="230"/>
      <c r="J377" s="231"/>
      <c r="K377" s="232">
        <f>R377*tax*markup*IF(Y377&lt;&gt;"",VLOOKUP(LEFT(Y377,2),cityindex,2,0),1)</f>
        <v>0</v>
      </c>
      <c r="L377" s="232">
        <f>S377*markup*difficulty*IF(Y377&lt;&gt;"",VLOOKUP(LEFT(Y377,2),cityindex,3,0),1)</f>
        <v>0</v>
      </c>
      <c r="M377" s="232">
        <f>W377*markup*difficulty*IF(Y377&lt;&gt;"",VLOOKUP(LEFT(Y377,2),cityindex,3,0),1)</f>
        <v>0</v>
      </c>
      <c r="N377" s="232"/>
      <c r="O377" s="232">
        <f>SUM(K377:N377)*embed</f>
        <v>0</v>
      </c>
      <c r="P377" s="233">
        <f>ROUND((O377*I377),0)</f>
        <v>0</v>
      </c>
      <c r="Q377" s="234">
        <f>IF(O377=0,0,IF(X377=0,"manual",(O377/(R377*tax*markup*IF(Y377&lt;&gt;"",VLOOKUP(LEFT(Y377,2),cityindex,2,0),1)+S377*markup*difficulty*IF(Y377&lt;&gt;"",VLOOKUP(LEFT(Y377,2),cityindex,3,0),1)+W377*markup*difficulty*IF(Y377&lt;&gt;"",VLOOKUP(LEFT(Y377,2),cityindex,3,0),1)))-1))</f>
        <v>0</v>
      </c>
      <c r="S377" s="228">
        <f>U377*V377</f>
        <v>0</v>
      </c>
      <c r="X377" s="228">
        <f>SUM(R377,S377,W377)</f>
        <v>0</v>
      </c>
    </row>
    <row r="378" spans="1:25" ht="12.75" customHeight="1" x14ac:dyDescent="0.2">
      <c r="A378" s="143" t="s">
        <v>296</v>
      </c>
      <c r="G378" s="143" t="s">
        <v>581</v>
      </c>
      <c r="J378" s="147" t="s">
        <v>301</v>
      </c>
      <c r="K378" s="149">
        <f t="shared" si="92"/>
        <v>0</v>
      </c>
      <c r="L378" s="149">
        <f t="shared" si="89"/>
        <v>0</v>
      </c>
      <c r="M378" s="149">
        <f t="shared" si="90"/>
        <v>0</v>
      </c>
      <c r="N378" s="149"/>
      <c r="O378" s="149">
        <f t="shared" si="93"/>
        <v>0</v>
      </c>
      <c r="P378" s="216">
        <f t="shared" si="88"/>
        <v>0</v>
      </c>
      <c r="Q378" s="150">
        <f t="shared" si="91"/>
        <v>0</v>
      </c>
      <c r="S378" s="143">
        <f t="shared" si="94"/>
        <v>0</v>
      </c>
      <c r="X378" s="143">
        <f t="shared" si="95"/>
        <v>0</v>
      </c>
      <c r="Y378" s="143" t="s">
        <v>586</v>
      </c>
    </row>
    <row r="379" spans="1:25" ht="12.75" customHeight="1" x14ac:dyDescent="0.2">
      <c r="A379" s="143" t="s">
        <v>296</v>
      </c>
      <c r="G379" s="143" t="s">
        <v>525</v>
      </c>
      <c r="J379" s="147" t="s">
        <v>301</v>
      </c>
      <c r="K379" s="149">
        <f t="shared" si="92"/>
        <v>0</v>
      </c>
      <c r="L379" s="149">
        <f t="shared" si="89"/>
        <v>0</v>
      </c>
      <c r="M379" s="149">
        <f t="shared" si="90"/>
        <v>0</v>
      </c>
      <c r="N379" s="149"/>
      <c r="O379" s="149">
        <f t="shared" si="93"/>
        <v>0</v>
      </c>
      <c r="P379" s="216">
        <f t="shared" si="88"/>
        <v>0</v>
      </c>
      <c r="Q379" s="150">
        <f t="shared" si="91"/>
        <v>0</v>
      </c>
      <c r="S379" s="143">
        <f t="shared" si="94"/>
        <v>0</v>
      </c>
      <c r="X379" s="143">
        <f t="shared" si="95"/>
        <v>0</v>
      </c>
      <c r="Y379" s="143" t="s">
        <v>566</v>
      </c>
    </row>
    <row r="380" spans="1:25" ht="12.75" customHeight="1" x14ac:dyDescent="0.2">
      <c r="A380" s="143" t="s">
        <v>296</v>
      </c>
      <c r="K380" s="149">
        <f t="shared" si="92"/>
        <v>0</v>
      </c>
      <c r="L380" s="149">
        <f t="shared" si="89"/>
        <v>0</v>
      </c>
      <c r="M380" s="149">
        <f t="shared" si="90"/>
        <v>0</v>
      </c>
      <c r="N380" s="149"/>
      <c r="O380" s="149">
        <f t="shared" si="93"/>
        <v>0</v>
      </c>
      <c r="P380" s="216">
        <f t="shared" si="88"/>
        <v>0</v>
      </c>
      <c r="Q380" s="150">
        <f t="shared" si="91"/>
        <v>0</v>
      </c>
      <c r="S380" s="143">
        <f t="shared" si="94"/>
        <v>0</v>
      </c>
      <c r="X380" s="143">
        <f t="shared" si="95"/>
        <v>0</v>
      </c>
    </row>
    <row r="381" spans="1:25" ht="12.75" customHeight="1" x14ac:dyDescent="0.2">
      <c r="A381" s="143" t="s">
        <v>296</v>
      </c>
      <c r="F381" s="143" t="s">
        <v>587</v>
      </c>
      <c r="J381" s="147" t="s">
        <v>588</v>
      </c>
      <c r="K381" s="149">
        <f t="shared" ref="K381:K395" si="96">R381*tax*markup*IF(Y381&lt;&gt;"",VLOOKUP(LEFT(Y381,2),cityindex,2,0),1)</f>
        <v>0</v>
      </c>
      <c r="L381" s="149">
        <f t="shared" ref="L381:L395" si="97">S381*markup*difficulty*IF(Y381&lt;&gt;"",VLOOKUP(LEFT(Y381,2),cityindex,3,0),1)</f>
        <v>0</v>
      </c>
      <c r="M381" s="149">
        <f t="shared" ref="M381:M395" si="98">W381*markup*difficulty*IF(Y381&lt;&gt;"",VLOOKUP(LEFT(Y381,2),cityindex,3,0),1)</f>
        <v>0</v>
      </c>
      <c r="N381" s="149"/>
      <c r="O381" s="149">
        <f t="shared" ref="O381:O395" si="99">SUM(K381:N381)*embed</f>
        <v>0</v>
      </c>
      <c r="P381" s="216">
        <f t="shared" si="88"/>
        <v>0</v>
      </c>
      <c r="Q381" s="150">
        <f t="shared" ref="Q381:Q387" si="100">IF(O381=0,0,IF(X381=0,"manual",(O381/(R381*tax*markup*IF(Y381&lt;&gt;"",VLOOKUP(LEFT(Y381,2),cityindex,2,0),1)+S381*markup*difficulty*IF(Y381&lt;&gt;"",VLOOKUP(LEFT(Y381,2),cityindex,3,0),1)+W381*markup*difficulty*IF(Y381&lt;&gt;"",VLOOKUP(LEFT(Y381,2),cityindex,3,0),1)))-1))</f>
        <v>0</v>
      </c>
      <c r="S381" s="143">
        <f t="shared" si="94"/>
        <v>0</v>
      </c>
      <c r="X381" s="143">
        <f t="shared" si="95"/>
        <v>0</v>
      </c>
      <c r="Y381" s="143" t="s">
        <v>589</v>
      </c>
    </row>
    <row r="382" spans="1:25" ht="12.75" customHeight="1" x14ac:dyDescent="0.2">
      <c r="A382" s="143" t="s">
        <v>298</v>
      </c>
      <c r="G382" s="226" t="s">
        <v>590</v>
      </c>
      <c r="K382" s="149">
        <f t="shared" si="96"/>
        <v>0</v>
      </c>
      <c r="L382" s="149">
        <f t="shared" si="97"/>
        <v>0</v>
      </c>
      <c r="M382" s="149">
        <f t="shared" si="98"/>
        <v>0</v>
      </c>
      <c r="N382" s="149"/>
      <c r="O382" s="149">
        <f t="shared" si="99"/>
        <v>0</v>
      </c>
      <c r="P382" s="216">
        <f t="shared" si="88"/>
        <v>0</v>
      </c>
      <c r="Q382" s="150">
        <f t="shared" si="100"/>
        <v>0</v>
      </c>
      <c r="S382" s="143">
        <f t="shared" si="94"/>
        <v>0</v>
      </c>
      <c r="X382" s="143">
        <f t="shared" si="95"/>
        <v>0</v>
      </c>
    </row>
    <row r="383" spans="1:25" ht="12.75" customHeight="1" x14ac:dyDescent="0.2">
      <c r="A383" s="143" t="s">
        <v>296</v>
      </c>
      <c r="G383" s="143" t="s">
        <v>591</v>
      </c>
      <c r="J383" s="147" t="s">
        <v>390</v>
      </c>
      <c r="K383" s="149">
        <f t="shared" si="96"/>
        <v>0</v>
      </c>
      <c r="L383" s="149">
        <f t="shared" si="97"/>
        <v>0</v>
      </c>
      <c r="M383" s="149">
        <f t="shared" si="98"/>
        <v>0</v>
      </c>
      <c r="N383" s="149"/>
      <c r="O383" s="149">
        <f t="shared" si="99"/>
        <v>0</v>
      </c>
      <c r="P383" s="216">
        <f t="shared" si="88"/>
        <v>0</v>
      </c>
      <c r="Q383" s="150">
        <f t="shared" si="100"/>
        <v>0</v>
      </c>
      <c r="S383" s="143">
        <f t="shared" si="94"/>
        <v>0</v>
      </c>
      <c r="X383" s="143">
        <f t="shared" si="95"/>
        <v>0</v>
      </c>
      <c r="Y383" s="143" t="s">
        <v>592</v>
      </c>
    </row>
    <row r="384" spans="1:25" ht="12.75" customHeight="1" x14ac:dyDescent="0.2">
      <c r="A384" s="143" t="s">
        <v>296</v>
      </c>
      <c r="F384" s="143" t="s">
        <v>593</v>
      </c>
      <c r="J384" s="147" t="s">
        <v>588</v>
      </c>
      <c r="K384" s="149">
        <f t="shared" si="96"/>
        <v>0</v>
      </c>
      <c r="L384" s="149">
        <f t="shared" si="97"/>
        <v>0</v>
      </c>
      <c r="M384" s="149">
        <f t="shared" si="98"/>
        <v>0</v>
      </c>
      <c r="N384" s="149"/>
      <c r="O384" s="149">
        <f t="shared" si="99"/>
        <v>0</v>
      </c>
      <c r="P384" s="216">
        <f t="shared" si="88"/>
        <v>0</v>
      </c>
      <c r="Q384" s="150">
        <f t="shared" si="100"/>
        <v>0</v>
      </c>
      <c r="S384" s="143">
        <f t="shared" si="94"/>
        <v>0</v>
      </c>
      <c r="X384" s="143">
        <f t="shared" si="95"/>
        <v>0</v>
      </c>
      <c r="Y384" s="143" t="s">
        <v>594</v>
      </c>
    </row>
    <row r="385" spans="1:27" ht="12.75" customHeight="1" x14ac:dyDescent="0.2">
      <c r="A385" s="143" t="s">
        <v>298</v>
      </c>
      <c r="G385" s="226" t="s">
        <v>590</v>
      </c>
      <c r="K385" s="149">
        <f t="shared" si="96"/>
        <v>0</v>
      </c>
      <c r="L385" s="149">
        <f t="shared" si="97"/>
        <v>0</v>
      </c>
      <c r="M385" s="149">
        <f t="shared" si="98"/>
        <v>0</v>
      </c>
      <c r="N385" s="149"/>
      <c r="O385" s="149">
        <f t="shared" si="99"/>
        <v>0</v>
      </c>
      <c r="P385" s="216">
        <f t="shared" si="88"/>
        <v>0</v>
      </c>
      <c r="Q385" s="150">
        <f t="shared" si="100"/>
        <v>0</v>
      </c>
      <c r="S385" s="143">
        <f t="shared" si="94"/>
        <v>0</v>
      </c>
      <c r="X385" s="143">
        <f t="shared" si="95"/>
        <v>0</v>
      </c>
    </row>
    <row r="386" spans="1:27" ht="12.75" customHeight="1" x14ac:dyDescent="0.2">
      <c r="A386" s="143" t="s">
        <v>296</v>
      </c>
      <c r="G386" s="143" t="s">
        <v>591</v>
      </c>
      <c r="J386" s="147" t="s">
        <v>390</v>
      </c>
      <c r="K386" s="149">
        <f t="shared" si="96"/>
        <v>0</v>
      </c>
      <c r="L386" s="149">
        <f t="shared" si="97"/>
        <v>0</v>
      </c>
      <c r="M386" s="149">
        <f t="shared" si="98"/>
        <v>0</v>
      </c>
      <c r="N386" s="149"/>
      <c r="O386" s="149">
        <f t="shared" si="99"/>
        <v>0</v>
      </c>
      <c r="P386" s="216">
        <f t="shared" si="88"/>
        <v>0</v>
      </c>
      <c r="Q386" s="150">
        <f t="shared" si="100"/>
        <v>0</v>
      </c>
      <c r="S386" s="143">
        <f t="shared" si="94"/>
        <v>0</v>
      </c>
      <c r="X386" s="143">
        <f t="shared" si="95"/>
        <v>0</v>
      </c>
      <c r="Y386" s="143" t="s">
        <v>592</v>
      </c>
    </row>
    <row r="387" spans="1:27" ht="12.75" customHeight="1" x14ac:dyDescent="0.2">
      <c r="A387" s="143" t="s">
        <v>296</v>
      </c>
      <c r="F387" s="143" t="s">
        <v>595</v>
      </c>
      <c r="J387" s="147" t="s">
        <v>588</v>
      </c>
      <c r="K387" s="149">
        <f t="shared" si="96"/>
        <v>0</v>
      </c>
      <c r="L387" s="149">
        <f t="shared" si="97"/>
        <v>0</v>
      </c>
      <c r="M387" s="149">
        <f t="shared" si="98"/>
        <v>0</v>
      </c>
      <c r="N387" s="149"/>
      <c r="O387" s="149">
        <f t="shared" si="99"/>
        <v>0</v>
      </c>
      <c r="P387" s="216">
        <f t="shared" si="88"/>
        <v>0</v>
      </c>
      <c r="Q387" s="150">
        <f t="shared" si="100"/>
        <v>0</v>
      </c>
      <c r="S387" s="143">
        <f t="shared" si="94"/>
        <v>0</v>
      </c>
      <c r="X387" s="143">
        <f t="shared" si="95"/>
        <v>0</v>
      </c>
      <c r="Y387" s="143" t="s">
        <v>596</v>
      </c>
    </row>
    <row r="388" spans="1:27" x14ac:dyDescent="0.2">
      <c r="A388" s="143" t="s">
        <v>296</v>
      </c>
      <c r="K388" s="149">
        <f t="shared" si="96"/>
        <v>0</v>
      </c>
      <c r="L388" s="149">
        <f t="shared" si="97"/>
        <v>0</v>
      </c>
      <c r="M388" s="149">
        <f t="shared" si="98"/>
        <v>0</v>
      </c>
      <c r="N388" s="149"/>
      <c r="O388" s="149">
        <f t="shared" si="99"/>
        <v>0</v>
      </c>
      <c r="P388" s="216">
        <f t="shared" si="88"/>
        <v>0</v>
      </c>
      <c r="Q388" s="150">
        <f>IF(O388=0,0,IF(X388=0,"manual",O388/((R388*tax*markup*IF(Y388&lt;&gt;"",VLOOKUP(LEFT(Y388,2),cityindex,2,0),1))+S388*markup*difficulty*IF(Y388&lt;&gt;"",VLOOKUP(LEFT(Y388,2),cityindex,3,0),1)+W388*markup*difficulty*IF(Y388&lt;&gt;"",VLOOKUP(LEFT(Y388,2),cityindex,3,0),1))))</f>
        <v>0</v>
      </c>
      <c r="S388" s="143">
        <f t="shared" si="94"/>
        <v>0</v>
      </c>
      <c r="X388" s="143">
        <f t="shared" si="95"/>
        <v>0</v>
      </c>
      <c r="Z388" s="227"/>
    </row>
    <row r="389" spans="1:27" x14ac:dyDescent="0.2">
      <c r="A389" s="143" t="s">
        <v>296</v>
      </c>
      <c r="E389" s="143" t="s">
        <v>597</v>
      </c>
      <c r="K389" s="149">
        <f t="shared" si="96"/>
        <v>0</v>
      </c>
      <c r="L389" s="149">
        <f t="shared" si="97"/>
        <v>0</v>
      </c>
      <c r="M389" s="149">
        <f t="shared" si="98"/>
        <v>0</v>
      </c>
      <c r="N389" s="149"/>
      <c r="O389" s="149">
        <f t="shared" si="99"/>
        <v>0</v>
      </c>
      <c r="P389" s="216">
        <f t="shared" si="88"/>
        <v>0</v>
      </c>
      <c r="Q389" s="150">
        <f>IF(O389=0,0,IF(X389=0,"manual",O389/((R389*tax*markup*IF(Y389&lt;&gt;"",VLOOKUP(LEFT(Y389,2),cityindex,2,0),1))+S389*markup*difficulty*IF(Y389&lt;&gt;"",VLOOKUP(LEFT(Y389,2),cityindex,3,0),1)+W389*markup*difficulty*IF(Y389&lt;&gt;"",VLOOKUP(LEFT(Y389,2),cityindex,3,0),1))))</f>
        <v>0</v>
      </c>
      <c r="S389" s="143">
        <f t="shared" si="94"/>
        <v>0</v>
      </c>
      <c r="X389" s="143">
        <f t="shared" si="95"/>
        <v>0</v>
      </c>
      <c r="Z389" s="227"/>
    </row>
    <row r="390" spans="1:27" s="228" customFormat="1" ht="12.75" customHeight="1" x14ac:dyDescent="0.2">
      <c r="A390" s="228" t="s">
        <v>296</v>
      </c>
      <c r="B390" s="229"/>
      <c r="F390" s="143" t="s">
        <v>598</v>
      </c>
      <c r="I390" s="230"/>
      <c r="J390" s="231"/>
      <c r="K390" s="232">
        <f t="shared" si="96"/>
        <v>0</v>
      </c>
      <c r="L390" s="232">
        <f t="shared" si="97"/>
        <v>0</v>
      </c>
      <c r="M390" s="232">
        <f t="shared" si="98"/>
        <v>0</v>
      </c>
      <c r="N390" s="232"/>
      <c r="O390" s="232">
        <f t="shared" si="99"/>
        <v>0</v>
      </c>
      <c r="P390" s="233">
        <f t="shared" si="88"/>
        <v>0</v>
      </c>
      <c r="Q390" s="234">
        <f>IF(O390=0,0,IF(X390=0,"manual",(O390/(R390*tax*markup*IF(Y390&lt;&gt;"",VLOOKUP(LEFT(Y390,2),cityindex,2,0),1)+S390*markup*difficulty*IF(Y390&lt;&gt;"",VLOOKUP(LEFT(Y390,2),cityindex,3,0),1)+W390*markup*difficulty*IF(Y390&lt;&gt;"",VLOOKUP(LEFT(Y390,2),cityindex,3,0),1)))-1))</f>
        <v>0</v>
      </c>
      <c r="S390" s="228">
        <f t="shared" si="94"/>
        <v>0</v>
      </c>
      <c r="X390" s="228">
        <f t="shared" si="95"/>
        <v>0</v>
      </c>
    </row>
    <row r="391" spans="1:27" s="228" customFormat="1" ht="12.75" customHeight="1" x14ac:dyDescent="0.2">
      <c r="A391" s="228" t="s">
        <v>296</v>
      </c>
      <c r="B391" s="229"/>
      <c r="G391" s="228" t="s">
        <v>599</v>
      </c>
      <c r="I391" s="230"/>
      <c r="J391" s="231" t="s">
        <v>301</v>
      </c>
      <c r="K391" s="232">
        <f t="shared" si="96"/>
        <v>0</v>
      </c>
      <c r="L391" s="232">
        <f t="shared" si="97"/>
        <v>0</v>
      </c>
      <c r="M391" s="232">
        <f t="shared" si="98"/>
        <v>0</v>
      </c>
      <c r="N391" s="232"/>
      <c r="O391" s="232">
        <f t="shared" si="99"/>
        <v>0</v>
      </c>
      <c r="P391" s="233">
        <f t="shared" si="88"/>
        <v>0</v>
      </c>
      <c r="Q391" s="234">
        <f>IF(O391=0,0,IF(X391=0,"manual",(O391/(R391*tax*markup*IF(Y391&lt;&gt;"",VLOOKUP(LEFT(Y391,2),cityindex,2,0),1)+S391*markup*difficulty*IF(Y391&lt;&gt;"",VLOOKUP(LEFT(Y391,2),cityindex,3,0),1)+W391*markup*difficulty*IF(Y391&lt;&gt;"",VLOOKUP(LEFT(Y391,2),cityindex,3,0),1)))-1))</f>
        <v>0</v>
      </c>
      <c r="S391" s="228">
        <f t="shared" si="94"/>
        <v>0</v>
      </c>
      <c r="X391" s="228">
        <f t="shared" si="95"/>
        <v>0</v>
      </c>
      <c r="Y391" s="228" t="s">
        <v>600</v>
      </c>
    </row>
    <row r="392" spans="1:27" s="228" customFormat="1" ht="12.75" customHeight="1" x14ac:dyDescent="0.2">
      <c r="A392" s="228" t="s">
        <v>296</v>
      </c>
      <c r="B392" s="229"/>
      <c r="G392" s="228" t="s">
        <v>601</v>
      </c>
      <c r="I392" s="230"/>
      <c r="J392" s="231" t="s">
        <v>301</v>
      </c>
      <c r="K392" s="232">
        <f t="shared" si="96"/>
        <v>0</v>
      </c>
      <c r="L392" s="232">
        <f t="shared" si="97"/>
        <v>0</v>
      </c>
      <c r="M392" s="232">
        <f t="shared" si="98"/>
        <v>0</v>
      </c>
      <c r="N392" s="232"/>
      <c r="O392" s="232">
        <f t="shared" si="99"/>
        <v>0</v>
      </c>
      <c r="P392" s="233">
        <f t="shared" si="88"/>
        <v>0</v>
      </c>
      <c r="Q392" s="234">
        <f>IF(O392=0,0,IF(X392=0,"manual",(O392/(R392*tax*markup*IF(Y392&lt;&gt;"",VLOOKUP(LEFT(Y392,2),cityindex,2,0),1)+S392*markup*difficulty*IF(Y392&lt;&gt;"",VLOOKUP(LEFT(Y392,2),cityindex,3,0),1)+W392*markup*difficulty*IF(Y392&lt;&gt;"",VLOOKUP(LEFT(Y392,2),cityindex,3,0),1)))-1))</f>
        <v>0</v>
      </c>
      <c r="S392" s="228">
        <f t="shared" si="94"/>
        <v>0</v>
      </c>
      <c r="X392" s="228">
        <f t="shared" si="95"/>
        <v>0</v>
      </c>
      <c r="Y392" s="228" t="s">
        <v>602</v>
      </c>
    </row>
    <row r="393" spans="1:27" ht="12.75" customHeight="1" x14ac:dyDescent="0.2">
      <c r="A393" s="143" t="s">
        <v>296</v>
      </c>
      <c r="F393" s="143" t="s">
        <v>603</v>
      </c>
      <c r="J393" s="147" t="s">
        <v>301</v>
      </c>
      <c r="K393" s="149">
        <f t="shared" si="96"/>
        <v>0</v>
      </c>
      <c r="L393" s="149">
        <f t="shared" si="97"/>
        <v>0</v>
      </c>
      <c r="M393" s="149">
        <f t="shared" si="98"/>
        <v>0</v>
      </c>
      <c r="N393" s="149"/>
      <c r="O393" s="149">
        <f t="shared" si="99"/>
        <v>0</v>
      </c>
      <c r="P393" s="216">
        <f t="shared" si="88"/>
        <v>0</v>
      </c>
      <c r="Q393" s="150">
        <f>IF(O393=0,0,IF(X393=0,"manual",(O393/(R393*tax*markup*IF(Y393&lt;&gt;"",VLOOKUP(LEFT(Y393,2),cityindex,2,0),1)+S393*markup*difficulty*IF(Y393&lt;&gt;"",VLOOKUP(LEFT(Y393,2),cityindex,3,0),1)+W393*markup*difficulty*IF(Y393&lt;&gt;"",VLOOKUP(LEFT(Y393,2),cityindex,3,0),1)))-1))</f>
        <v>0</v>
      </c>
      <c r="S393" s="143">
        <f t="shared" si="94"/>
        <v>0</v>
      </c>
      <c r="X393" s="143">
        <f t="shared" si="95"/>
        <v>0</v>
      </c>
      <c r="Y393" s="143" t="s">
        <v>604</v>
      </c>
    </row>
    <row r="394" spans="1:27" ht="12.75" customHeight="1" x14ac:dyDescent="0.2">
      <c r="A394" s="143" t="s">
        <v>296</v>
      </c>
      <c r="F394" s="143" t="s">
        <v>605</v>
      </c>
      <c r="J394" s="147" t="s">
        <v>301</v>
      </c>
      <c r="K394" s="149">
        <f t="shared" si="96"/>
        <v>0</v>
      </c>
      <c r="L394" s="149">
        <f t="shared" si="97"/>
        <v>0</v>
      </c>
      <c r="M394" s="149">
        <f t="shared" si="98"/>
        <v>0</v>
      </c>
      <c r="N394" s="149"/>
      <c r="O394" s="149">
        <f t="shared" si="99"/>
        <v>0</v>
      </c>
      <c r="P394" s="216">
        <f t="shared" si="88"/>
        <v>0</v>
      </c>
      <c r="Q394" s="150">
        <f>IF(O394=0,0,IF(X394=0,"manual",(O394/(R394*tax*markup*IF(Y394&lt;&gt;"",VLOOKUP(LEFT(Y394,2),cityindex,2,0),1)+S394*markup*difficulty*IF(Y394&lt;&gt;"",VLOOKUP(LEFT(Y394,2),cityindex,3,0),1)+W394*markup*difficulty*IF(Y394&lt;&gt;"",VLOOKUP(LEFT(Y394,2),cityindex,3,0),1)))-1))</f>
        <v>0</v>
      </c>
      <c r="S394" s="143">
        <f t="shared" si="94"/>
        <v>0</v>
      </c>
      <c r="X394" s="143">
        <f t="shared" si="95"/>
        <v>0</v>
      </c>
      <c r="Y394" s="143" t="s">
        <v>606</v>
      </c>
    </row>
    <row r="395" spans="1:27" x14ac:dyDescent="0.2">
      <c r="K395" s="149">
        <f t="shared" si="96"/>
        <v>0</v>
      </c>
      <c r="L395" s="149">
        <f t="shared" si="97"/>
        <v>0</v>
      </c>
      <c r="M395" s="149">
        <f t="shared" si="98"/>
        <v>0</v>
      </c>
      <c r="N395" s="149"/>
      <c r="O395" s="149">
        <f t="shared" si="99"/>
        <v>0</v>
      </c>
      <c r="P395" s="216">
        <f t="shared" si="88"/>
        <v>0</v>
      </c>
      <c r="Q395" s="150">
        <f>IF(O395=0,0,IF(X395=0,"manual",O395/((R395*tax*markup*IF(Y395&lt;&gt;"",VLOOKUP(LEFT(Y395,2),cityindex,2,0),1))+S395*markup*difficulty*IF(Y395&lt;&gt;"",VLOOKUP(LEFT(Y395,2),cityindex,3,0),1)+W395*markup*difficulty*IF(Y395&lt;&gt;"",VLOOKUP(LEFT(Y395,2),cityindex,3,0),1))))</f>
        <v>0</v>
      </c>
      <c r="S395" s="143">
        <f t="shared" si="94"/>
        <v>0</v>
      </c>
      <c r="X395" s="143">
        <f t="shared" si="95"/>
        <v>0</v>
      </c>
      <c r="Z395" s="227"/>
    </row>
    <row r="396" spans="1:27" ht="24.75" customHeight="1" x14ac:dyDescent="0.2">
      <c r="D396" s="217" t="str">
        <f>"TOTAL - " &amp; D340</f>
        <v>TOTAL - 06  WOOD, PLASTICS, AND COMPOSITES</v>
      </c>
      <c r="E396" s="217"/>
      <c r="F396" s="217"/>
      <c r="G396" s="217"/>
      <c r="H396" s="217"/>
      <c r="I396" s="218"/>
      <c r="J396" s="219"/>
      <c r="K396" s="220"/>
      <c r="L396" s="220"/>
      <c r="M396" s="220"/>
      <c r="N396" s="220"/>
      <c r="O396" s="221"/>
      <c r="P396" s="222">
        <f>SUM(P340:P395)</f>
        <v>0</v>
      </c>
      <c r="Q396" s="223"/>
      <c r="S396" s="143">
        <f t="shared" si="94"/>
        <v>0</v>
      </c>
      <c r="X396" s="143">
        <f t="shared" si="95"/>
        <v>0</v>
      </c>
      <c r="Z396" s="224">
        <f>P396/GFA</f>
        <v>0</v>
      </c>
      <c r="AA396" s="225" t="s">
        <v>295</v>
      </c>
    </row>
    <row r="397" spans="1:27" x14ac:dyDescent="0.2">
      <c r="K397" s="149"/>
      <c r="L397" s="149"/>
      <c r="M397" s="149"/>
      <c r="N397" s="149"/>
      <c r="P397" s="216"/>
      <c r="Q397" s="150">
        <f>IF(O397=0,0,IF(X397=0,"manual",O397/((R397*tax*markup*IF(Y397&lt;&gt;"",VLOOKUP(LEFT(Y397,2),cityindex,2,0),1))+S397*markup*difficulty*IF(Y397&lt;&gt;"",VLOOKUP(LEFT(Y397,2),cityindex,3,0),1)+W397*markup*difficulty*IF(Y397&lt;&gt;"",VLOOKUP(LEFT(Y397,2),cityindex,3,0),1))))</f>
        <v>0</v>
      </c>
      <c r="S397" s="143">
        <f t="shared" si="94"/>
        <v>0</v>
      </c>
      <c r="X397" s="143">
        <f t="shared" si="95"/>
        <v>0</v>
      </c>
      <c r="Z397" s="227"/>
    </row>
    <row r="398" spans="1:27" x14ac:dyDescent="0.2">
      <c r="D398" s="214" t="s">
        <v>273</v>
      </c>
      <c r="E398" s="215"/>
      <c r="F398" s="215"/>
      <c r="G398" s="215"/>
      <c r="H398" s="215"/>
      <c r="K398" s="149"/>
      <c r="L398" s="149"/>
      <c r="M398" s="149"/>
      <c r="N398" s="149"/>
      <c r="P398" s="216"/>
      <c r="Q398" s="150">
        <f>IF(O398=0,0,IF(X398=0,"manual",O398/((R398*tax*markup*IF(Y398&lt;&gt;"",VLOOKUP(LEFT(Y398,2),cityindex,2,0),1))+S398*markup*difficulty*IF(Y398&lt;&gt;"",VLOOKUP(LEFT(Y398,2),cityindex,3,0),1)+W398*markup*difficulty*IF(Y398&lt;&gt;"",VLOOKUP(LEFT(Y398,2),cityindex,3,0),1))))</f>
        <v>0</v>
      </c>
      <c r="S398" s="143">
        <f t="shared" si="94"/>
        <v>0</v>
      </c>
      <c r="X398" s="143">
        <f t="shared" si="95"/>
        <v>0</v>
      </c>
      <c r="Z398" s="227"/>
    </row>
    <row r="399" spans="1:27" x14ac:dyDescent="0.2">
      <c r="A399" s="143" t="s">
        <v>296</v>
      </c>
      <c r="E399" s="143" t="s">
        <v>607</v>
      </c>
      <c r="K399" s="149">
        <f t="shared" ref="K399:K430" si="101">R399*tax*markup*IF(Y399&lt;&gt;"",VLOOKUP(LEFT(Y399,2),cityindex,2,0),1)</f>
        <v>0</v>
      </c>
      <c r="L399" s="149">
        <f t="shared" ref="L399:L430" si="102">S399*markup*difficulty*IF(Y399&lt;&gt;"",VLOOKUP(LEFT(Y399,2),cityindex,3,0),1)</f>
        <v>0</v>
      </c>
      <c r="M399" s="149">
        <f t="shared" ref="M399:M430" si="103">W399*markup*difficulty*IF(Y399&lt;&gt;"",VLOOKUP(LEFT(Y399,2),cityindex,3,0),1)</f>
        <v>0</v>
      </c>
      <c r="N399" s="149"/>
      <c r="O399" s="149">
        <f t="shared" ref="O399:O408" si="104">SUM(K399:N399)*embed</f>
        <v>0</v>
      </c>
      <c r="P399" s="216">
        <f t="shared" ref="P399:P430" si="105">ROUND((O399*I399),0)</f>
        <v>0</v>
      </c>
      <c r="Q399" s="150">
        <f>IF(O399=0,0,IF(X399=0,"manual",O399/((R399*tax*markup*IF(Y399&lt;&gt;"",VLOOKUP(LEFT(Y399,2),cityindex,2,0),1))+S399*markup*difficulty*IF(Y399&lt;&gt;"",VLOOKUP(LEFT(Y399,2),cityindex,3,0),1)+W399*markup*difficulty*IF(Y399&lt;&gt;"",VLOOKUP(LEFT(Y399,2),cityindex,3,0),1))))</f>
        <v>0</v>
      </c>
      <c r="S399" s="143">
        <f t="shared" si="94"/>
        <v>0</v>
      </c>
      <c r="X399" s="143">
        <f t="shared" si="95"/>
        <v>0</v>
      </c>
      <c r="Z399" s="227"/>
    </row>
    <row r="400" spans="1:27" ht="12.75" customHeight="1" x14ac:dyDescent="0.2">
      <c r="A400" s="143" t="s">
        <v>296</v>
      </c>
      <c r="F400" s="143" t="s">
        <v>608</v>
      </c>
      <c r="J400" s="147" t="s">
        <v>301</v>
      </c>
      <c r="K400" s="149">
        <f t="shared" si="101"/>
        <v>0</v>
      </c>
      <c r="L400" s="149">
        <f t="shared" si="102"/>
        <v>0</v>
      </c>
      <c r="M400" s="149">
        <f t="shared" si="103"/>
        <v>0</v>
      </c>
      <c r="N400" s="149"/>
      <c r="O400" s="149">
        <f t="shared" si="104"/>
        <v>0</v>
      </c>
      <c r="P400" s="216">
        <f t="shared" si="105"/>
        <v>0</v>
      </c>
      <c r="Q400" s="150">
        <f t="shared" ref="Q400:Q406" si="106">IF(O400=0,0,IF(X400=0,"manual",(O400/(R400*tax*markup*IF(Y400&lt;&gt;"",VLOOKUP(LEFT(Y400,2),cityindex,2,0),1)+S400*markup*difficulty*IF(Y400&lt;&gt;"",VLOOKUP(LEFT(Y400,2),cityindex,3,0),1)+W400*markup*difficulty*IF(Y400&lt;&gt;"",VLOOKUP(LEFT(Y400,2),cityindex,3,0),1)))-1))</f>
        <v>0</v>
      </c>
      <c r="S400" s="143">
        <f t="shared" si="94"/>
        <v>0</v>
      </c>
      <c r="X400" s="143">
        <f t="shared" si="95"/>
        <v>0</v>
      </c>
      <c r="Y400" s="143" t="s">
        <v>609</v>
      </c>
    </row>
    <row r="401" spans="1:26" ht="12.75" customHeight="1" x14ac:dyDescent="0.2">
      <c r="A401" s="143" t="s">
        <v>296</v>
      </c>
      <c r="F401" s="143" t="s">
        <v>610</v>
      </c>
      <c r="J401" s="147" t="s">
        <v>301</v>
      </c>
      <c r="K401" s="149">
        <f t="shared" si="101"/>
        <v>0</v>
      </c>
      <c r="L401" s="149">
        <f t="shared" si="102"/>
        <v>0</v>
      </c>
      <c r="M401" s="149">
        <f t="shared" si="103"/>
        <v>0</v>
      </c>
      <c r="N401" s="149"/>
      <c r="O401" s="149">
        <f t="shared" si="104"/>
        <v>0</v>
      </c>
      <c r="P401" s="216">
        <f t="shared" si="105"/>
        <v>0</v>
      </c>
      <c r="Q401" s="150">
        <f t="shared" si="106"/>
        <v>0</v>
      </c>
      <c r="S401" s="143">
        <f t="shared" si="94"/>
        <v>0</v>
      </c>
      <c r="X401" s="143">
        <f t="shared" si="95"/>
        <v>0</v>
      </c>
      <c r="Y401" s="143" t="s">
        <v>611</v>
      </c>
    </row>
    <row r="402" spans="1:26" s="228" customFormat="1" ht="12.75" customHeight="1" x14ac:dyDescent="0.2">
      <c r="A402" s="228" t="s">
        <v>296</v>
      </c>
      <c r="B402" s="229"/>
      <c r="F402" s="228" t="s">
        <v>612</v>
      </c>
      <c r="I402" s="230"/>
      <c r="J402" s="231"/>
      <c r="K402" s="232">
        <f>R402*tax*markup*IF(Y402&lt;&gt;"",VLOOKUP(LEFT(Y402,2),cityindex,2,0),1)</f>
        <v>0</v>
      </c>
      <c r="L402" s="232">
        <f>S402*markup*difficulty*IF(Y402&lt;&gt;"",VLOOKUP(LEFT(Y402,2),cityindex,3,0),1)</f>
        <v>0</v>
      </c>
      <c r="M402" s="232">
        <f>W402*markup*difficulty*IF(Y402&lt;&gt;"",VLOOKUP(LEFT(Y402,2),cityindex,3,0),1)</f>
        <v>0</v>
      </c>
      <c r="N402" s="232"/>
      <c r="O402" s="232">
        <f t="shared" si="104"/>
        <v>0</v>
      </c>
      <c r="P402" s="233">
        <f>ROUND((O402*I402),0)</f>
        <v>0</v>
      </c>
      <c r="Q402" s="234">
        <f>IF(O402=0,0,IF(X402=0,"manual",(O402/(R402*tax*markup*IF(Y402&lt;&gt;"",VLOOKUP(LEFT(Y402,2),cityindex,2,0),1)+S402*markup*difficulty*IF(Y402&lt;&gt;"",VLOOKUP(LEFT(Y402,2),cityindex,3,0),1)+W402*markup*difficulty*IF(Y402&lt;&gt;"",VLOOKUP(LEFT(Y402,2),cityindex,3,0),1)))-1))</f>
        <v>0</v>
      </c>
      <c r="S402" s="228">
        <f>U402*V402</f>
        <v>0</v>
      </c>
      <c r="X402" s="228">
        <f>SUM(R402,S402,W402)</f>
        <v>0</v>
      </c>
    </row>
    <row r="403" spans="1:26" ht="12.75" customHeight="1" x14ac:dyDescent="0.2">
      <c r="A403" s="143" t="s">
        <v>296</v>
      </c>
      <c r="G403" s="143" t="s">
        <v>599</v>
      </c>
      <c r="J403" s="147" t="s">
        <v>301</v>
      </c>
      <c r="K403" s="149">
        <f t="shared" si="101"/>
        <v>0</v>
      </c>
      <c r="L403" s="149">
        <f t="shared" si="102"/>
        <v>0</v>
      </c>
      <c r="M403" s="149">
        <f t="shared" si="103"/>
        <v>0</v>
      </c>
      <c r="N403" s="149"/>
      <c r="O403" s="149">
        <f t="shared" si="104"/>
        <v>0</v>
      </c>
      <c r="P403" s="216">
        <f t="shared" si="105"/>
        <v>0</v>
      </c>
      <c r="Q403" s="150">
        <f t="shared" si="106"/>
        <v>0</v>
      </c>
      <c r="S403" s="143">
        <f t="shared" si="94"/>
        <v>0</v>
      </c>
      <c r="X403" s="143">
        <f t="shared" si="95"/>
        <v>0</v>
      </c>
      <c r="Y403" s="143" t="s">
        <v>613</v>
      </c>
    </row>
    <row r="404" spans="1:26" ht="12.75" customHeight="1" x14ac:dyDescent="0.2">
      <c r="A404" s="143" t="s">
        <v>296</v>
      </c>
      <c r="G404" s="143" t="s">
        <v>601</v>
      </c>
      <c r="J404" s="147" t="s">
        <v>301</v>
      </c>
      <c r="K404" s="149">
        <f t="shared" si="101"/>
        <v>0</v>
      </c>
      <c r="L404" s="149">
        <f t="shared" si="102"/>
        <v>0</v>
      </c>
      <c r="M404" s="149">
        <f t="shared" si="103"/>
        <v>0</v>
      </c>
      <c r="N404" s="149"/>
      <c r="O404" s="149">
        <f t="shared" si="104"/>
        <v>0</v>
      </c>
      <c r="P404" s="216">
        <f t="shared" si="105"/>
        <v>0</v>
      </c>
      <c r="Q404" s="150">
        <f t="shared" si="106"/>
        <v>0</v>
      </c>
      <c r="S404" s="143">
        <f t="shared" si="94"/>
        <v>0</v>
      </c>
      <c r="X404" s="143">
        <f t="shared" si="95"/>
        <v>0</v>
      </c>
      <c r="Y404" s="143" t="s">
        <v>614</v>
      </c>
    </row>
    <row r="405" spans="1:26" ht="12.75" customHeight="1" x14ac:dyDescent="0.2">
      <c r="A405" s="143" t="s">
        <v>296</v>
      </c>
      <c r="F405" s="143" t="s">
        <v>615</v>
      </c>
      <c r="J405" s="147" t="s">
        <v>301</v>
      </c>
      <c r="K405" s="149">
        <f t="shared" si="101"/>
        <v>0</v>
      </c>
      <c r="L405" s="149">
        <f t="shared" si="102"/>
        <v>0</v>
      </c>
      <c r="M405" s="149">
        <f t="shared" si="103"/>
        <v>0</v>
      </c>
      <c r="N405" s="149"/>
      <c r="O405" s="149">
        <f t="shared" si="104"/>
        <v>0</v>
      </c>
      <c r="P405" s="216">
        <f t="shared" si="105"/>
        <v>0</v>
      </c>
      <c r="Q405" s="150">
        <f t="shared" si="106"/>
        <v>0</v>
      </c>
      <c r="S405" s="143">
        <f t="shared" si="94"/>
        <v>0</v>
      </c>
      <c r="X405" s="143">
        <f t="shared" si="95"/>
        <v>0</v>
      </c>
      <c r="Y405" s="143" t="s">
        <v>616</v>
      </c>
    </row>
    <row r="406" spans="1:26" ht="12.75" customHeight="1" x14ac:dyDescent="0.2">
      <c r="A406" s="143" t="s">
        <v>296</v>
      </c>
      <c r="F406" s="143" t="s">
        <v>617</v>
      </c>
      <c r="J406" s="147" t="s">
        <v>301</v>
      </c>
      <c r="K406" s="149">
        <f t="shared" si="101"/>
        <v>0</v>
      </c>
      <c r="L406" s="149">
        <f t="shared" si="102"/>
        <v>0</v>
      </c>
      <c r="M406" s="149">
        <f t="shared" si="103"/>
        <v>0</v>
      </c>
      <c r="N406" s="149"/>
      <c r="O406" s="149">
        <f t="shared" si="104"/>
        <v>0</v>
      </c>
      <c r="P406" s="216">
        <f t="shared" si="105"/>
        <v>0</v>
      </c>
      <c r="Q406" s="150">
        <f t="shared" si="106"/>
        <v>0</v>
      </c>
      <c r="S406" s="143">
        <f t="shared" si="94"/>
        <v>0</v>
      </c>
      <c r="X406" s="143">
        <f t="shared" si="95"/>
        <v>0</v>
      </c>
      <c r="Y406" s="143" t="s">
        <v>618</v>
      </c>
    </row>
    <row r="407" spans="1:26" x14ac:dyDescent="0.2">
      <c r="A407" s="143" t="s">
        <v>296</v>
      </c>
      <c r="K407" s="149">
        <f t="shared" si="101"/>
        <v>0</v>
      </c>
      <c r="L407" s="149">
        <f t="shared" si="102"/>
        <v>0</v>
      </c>
      <c r="M407" s="149">
        <f t="shared" si="103"/>
        <v>0</v>
      </c>
      <c r="N407" s="149"/>
      <c r="O407" s="149">
        <f t="shared" si="104"/>
        <v>0</v>
      </c>
      <c r="P407" s="216">
        <f t="shared" si="105"/>
        <v>0</v>
      </c>
      <c r="Q407" s="150">
        <f>IF(O407=0,0,IF(X407=0,"manual",O407/((R407*tax*markup*IF(Y407&lt;&gt;"",VLOOKUP(LEFT(Y407,2),cityindex,2,0),1))+S407*markup*difficulty*IF(Y407&lt;&gt;"",VLOOKUP(LEFT(Y407,2),cityindex,3,0),1)+W407*markup*difficulty*IF(Y407&lt;&gt;"",VLOOKUP(LEFT(Y407,2),cityindex,3,0),1))))</f>
        <v>0</v>
      </c>
      <c r="S407" s="143">
        <f t="shared" si="94"/>
        <v>0</v>
      </c>
      <c r="X407" s="143">
        <f t="shared" si="95"/>
        <v>0</v>
      </c>
    </row>
    <row r="408" spans="1:26" x14ac:dyDescent="0.2">
      <c r="A408" s="143" t="s">
        <v>296</v>
      </c>
      <c r="E408" s="143" t="s">
        <v>619</v>
      </c>
      <c r="K408" s="149">
        <f t="shared" si="101"/>
        <v>0</v>
      </c>
      <c r="L408" s="149">
        <f t="shared" si="102"/>
        <v>0</v>
      </c>
      <c r="M408" s="149">
        <f t="shared" si="103"/>
        <v>0</v>
      </c>
      <c r="N408" s="149"/>
      <c r="O408" s="149">
        <f t="shared" si="104"/>
        <v>0</v>
      </c>
      <c r="P408" s="216">
        <f t="shared" si="105"/>
        <v>0</v>
      </c>
      <c r="Q408" s="150">
        <f>IF(O408=0,0,IF(X408=0,"manual",O408/((R408*tax*markup*IF(Y408&lt;&gt;"",VLOOKUP(LEFT(Y408,2),cityindex,2,0),1))+S408*markup*difficulty*IF(Y408&lt;&gt;"",VLOOKUP(LEFT(Y408,2),cityindex,3,0),1)+W408*markup*difficulty*IF(Y408&lt;&gt;"",VLOOKUP(LEFT(Y408,2),cityindex,3,0),1))))</f>
        <v>0</v>
      </c>
      <c r="S408" s="143">
        <f t="shared" si="94"/>
        <v>0</v>
      </c>
      <c r="X408" s="143">
        <f t="shared" si="95"/>
        <v>0</v>
      </c>
      <c r="Z408" s="227"/>
    </row>
    <row r="409" spans="1:26" ht="12.75" customHeight="1" x14ac:dyDescent="0.2">
      <c r="A409" s="143" t="s">
        <v>296</v>
      </c>
      <c r="F409" s="143" t="s">
        <v>620</v>
      </c>
      <c r="J409" s="147" t="s">
        <v>301</v>
      </c>
      <c r="K409" s="149">
        <f t="shared" si="101"/>
        <v>0</v>
      </c>
      <c r="L409" s="149">
        <f t="shared" si="102"/>
        <v>0</v>
      </c>
      <c r="M409" s="149">
        <f t="shared" si="103"/>
        <v>0</v>
      </c>
      <c r="N409" s="149"/>
      <c r="O409" s="149">
        <f t="shared" ref="O409:O419" si="107">SUM(K409:N409)*embed</f>
        <v>0</v>
      </c>
      <c r="P409" s="216">
        <f t="shared" si="105"/>
        <v>0</v>
      </c>
      <c r="Q409" s="150">
        <f t="shared" ref="Q409:Q419" si="108">IF(O409=0,0,IF(X409=0,"manual",(O409/(R409*tax*markup*IF(Y409&lt;&gt;"",VLOOKUP(LEFT(Y409,2),cityindex,2,0),1)+S409*markup*difficulty*IF(Y409&lt;&gt;"",VLOOKUP(LEFT(Y409,2),cityindex,3,0),1)+W409*markup*difficulty*IF(Y409&lt;&gt;"",VLOOKUP(LEFT(Y409,2),cityindex,3,0),1)))-1))</f>
        <v>0</v>
      </c>
      <c r="S409" s="143">
        <f t="shared" si="94"/>
        <v>0</v>
      </c>
      <c r="X409" s="143">
        <f t="shared" si="95"/>
        <v>0</v>
      </c>
      <c r="Y409" s="143" t="s">
        <v>621</v>
      </c>
    </row>
    <row r="410" spans="1:26" ht="12.75" customHeight="1" x14ac:dyDescent="0.2">
      <c r="A410" s="143" t="s">
        <v>296</v>
      </c>
      <c r="F410" s="143" t="s">
        <v>622</v>
      </c>
      <c r="J410" s="147" t="s">
        <v>301</v>
      </c>
      <c r="K410" s="149">
        <f t="shared" si="101"/>
        <v>0</v>
      </c>
      <c r="L410" s="149">
        <f t="shared" si="102"/>
        <v>0</v>
      </c>
      <c r="M410" s="149">
        <f t="shared" si="103"/>
        <v>0</v>
      </c>
      <c r="N410" s="149"/>
      <c r="O410" s="149">
        <f t="shared" si="107"/>
        <v>0</v>
      </c>
      <c r="P410" s="216">
        <f t="shared" si="105"/>
        <v>0</v>
      </c>
      <c r="Q410" s="150">
        <f t="shared" si="108"/>
        <v>0</v>
      </c>
      <c r="S410" s="143">
        <f t="shared" si="94"/>
        <v>0</v>
      </c>
      <c r="X410" s="143">
        <f t="shared" si="95"/>
        <v>0</v>
      </c>
      <c r="Y410" s="143" t="s">
        <v>623</v>
      </c>
    </row>
    <row r="411" spans="1:26" ht="12.75" customHeight="1" x14ac:dyDescent="0.2">
      <c r="A411" s="143" t="s">
        <v>296</v>
      </c>
      <c r="F411" s="143" t="s">
        <v>624</v>
      </c>
      <c r="J411" s="147" t="s">
        <v>301</v>
      </c>
      <c r="K411" s="149">
        <f>R411*tax*markup*IF(Y411&lt;&gt;"",VLOOKUP(LEFT(Y411,2),cityindex,2,0),1)</f>
        <v>0</v>
      </c>
      <c r="L411" s="149">
        <f>S411*markup*difficulty*IF(Y411&lt;&gt;"",VLOOKUP(LEFT(Y411,2),cityindex,3,0),1)</f>
        <v>0</v>
      </c>
      <c r="M411" s="149">
        <f>W411*markup*difficulty*IF(Y411&lt;&gt;"",VLOOKUP(LEFT(Y411,2),cityindex,3,0),1)</f>
        <v>0</v>
      </c>
      <c r="N411" s="149"/>
      <c r="O411" s="149">
        <f>SUM(K411:N411)*embed</f>
        <v>0</v>
      </c>
      <c r="P411" s="216">
        <f>ROUND((O411*I411),0)</f>
        <v>0</v>
      </c>
      <c r="Q411" s="150">
        <f>IF(O411=0,0,IF(X411=0,"manual",(O411/(R411*tax*markup*IF(Y411&lt;&gt;"",VLOOKUP(LEFT(Y411,2),cityindex,2,0),1)+S411*markup*difficulty*IF(Y411&lt;&gt;"",VLOOKUP(LEFT(Y411,2),cityindex,3,0),1)+W411*markup*difficulty*IF(Y411&lt;&gt;"",VLOOKUP(LEFT(Y411,2),cityindex,3,0),1)))-1))</f>
        <v>0</v>
      </c>
      <c r="S411" s="143">
        <f>U411*V411</f>
        <v>0</v>
      </c>
      <c r="X411" s="143">
        <f>SUM(R411,S411,W411)</f>
        <v>0</v>
      </c>
      <c r="Y411" s="143" t="s">
        <v>625</v>
      </c>
    </row>
    <row r="412" spans="1:26" ht="12.75" customHeight="1" x14ac:dyDescent="0.2">
      <c r="A412" s="143" t="s">
        <v>296</v>
      </c>
      <c r="F412" s="143" t="s">
        <v>626</v>
      </c>
      <c r="J412" s="147" t="s">
        <v>309</v>
      </c>
      <c r="K412" s="149">
        <f>R412*tax*markup*IF(Y412&lt;&gt;"",VLOOKUP(LEFT(Y412,2),cityindex,2,0),1)</f>
        <v>0</v>
      </c>
      <c r="L412" s="149">
        <f>S412*markup*difficulty*IF(Y412&lt;&gt;"",VLOOKUP(LEFT(Y412,2),cityindex,3,0),1)</f>
        <v>0</v>
      </c>
      <c r="M412" s="149">
        <f>W412*markup*difficulty*IF(Y412&lt;&gt;"",VLOOKUP(LEFT(Y412,2),cityindex,3,0),1)</f>
        <v>0</v>
      </c>
      <c r="N412" s="149"/>
      <c r="O412" s="149">
        <f>SUM(K412:N412)*embed</f>
        <v>0</v>
      </c>
      <c r="P412" s="216">
        <f>ROUND((O412*I412),0)</f>
        <v>0</v>
      </c>
      <c r="Q412" s="150">
        <f>IF(O412=0,0,IF(X412=0,"manual",(O412/(R412*tax*markup*IF(Y412&lt;&gt;"",VLOOKUP(LEFT(Y412,2),cityindex,2,0),1)+S412*markup*difficulty*IF(Y412&lt;&gt;"",VLOOKUP(LEFT(Y412,2),cityindex,3,0),1)+W412*markup*difficulty*IF(Y412&lt;&gt;"",VLOOKUP(LEFT(Y412,2),cityindex,3,0),1)))-1))</f>
        <v>0</v>
      </c>
      <c r="S412" s="143">
        <f>U412*V412</f>
        <v>0</v>
      </c>
      <c r="X412" s="143">
        <f>SUM(R412,S412,W412)</f>
        <v>0</v>
      </c>
      <c r="Y412" s="143" t="s">
        <v>627</v>
      </c>
    </row>
    <row r="413" spans="1:26" ht="12.75" customHeight="1" x14ac:dyDescent="0.2">
      <c r="A413" s="143" t="s">
        <v>296</v>
      </c>
      <c r="F413" s="143" t="s">
        <v>628</v>
      </c>
      <c r="J413" s="147" t="s">
        <v>301</v>
      </c>
      <c r="K413" s="149">
        <f>R413*tax*markup*IF(Y413&lt;&gt;"",VLOOKUP(LEFT(Y413,2),cityindex,2,0),1)</f>
        <v>0</v>
      </c>
      <c r="L413" s="149">
        <f>S413*markup*difficulty*IF(Y413&lt;&gt;"",VLOOKUP(LEFT(Y413,2),cityindex,3,0),1)</f>
        <v>0</v>
      </c>
      <c r="M413" s="149">
        <f>W413*markup*difficulty*IF(Y413&lt;&gt;"",VLOOKUP(LEFT(Y413,2),cityindex,3,0),1)</f>
        <v>0</v>
      </c>
      <c r="N413" s="149"/>
      <c r="O413" s="149">
        <f>SUM(K413:N413)*embed</f>
        <v>0</v>
      </c>
      <c r="P413" s="216">
        <f>ROUND((O413*I413),0)</f>
        <v>0</v>
      </c>
      <c r="Q413" s="150">
        <f>IF(O413=0,0,IF(X413=0,"manual",(O413/(R413*tax*markup*IF(Y413&lt;&gt;"",VLOOKUP(LEFT(Y413,2),cityindex,2,0),1)+S413*markup*difficulty*IF(Y413&lt;&gt;"",VLOOKUP(LEFT(Y413,2),cityindex,3,0),1)+W413*markup*difficulty*IF(Y413&lt;&gt;"",VLOOKUP(LEFT(Y413,2),cityindex,3,0),1)))-1))</f>
        <v>0</v>
      </c>
      <c r="S413" s="143">
        <f>U413*V413</f>
        <v>0</v>
      </c>
      <c r="X413" s="143">
        <f>SUM(R413,S413,W413)</f>
        <v>0</v>
      </c>
      <c r="Y413" s="143" t="s">
        <v>629</v>
      </c>
    </row>
    <row r="414" spans="1:26" s="228" customFormat="1" ht="12.75" customHeight="1" x14ac:dyDescent="0.2">
      <c r="A414" s="228" t="s">
        <v>296</v>
      </c>
      <c r="B414" s="229"/>
      <c r="F414" s="228" t="s">
        <v>630</v>
      </c>
      <c r="I414" s="230"/>
      <c r="J414" s="231"/>
      <c r="K414" s="232">
        <f>R414*tax*markup*IF(Y414&lt;&gt;"",VLOOKUP(LEFT(Y414,2),cityindex,2,0),1)</f>
        <v>0</v>
      </c>
      <c r="L414" s="232">
        <f>S414*markup*difficulty*IF(Y414&lt;&gt;"",VLOOKUP(LEFT(Y414,2),cityindex,3,0),1)</f>
        <v>0</v>
      </c>
      <c r="M414" s="232">
        <f>W414*markup*difficulty*IF(Y414&lt;&gt;"",VLOOKUP(LEFT(Y414,2),cityindex,3,0),1)</f>
        <v>0</v>
      </c>
      <c r="N414" s="232"/>
      <c r="O414" s="232">
        <f>SUM(K414:N414)*embed</f>
        <v>0</v>
      </c>
      <c r="P414" s="233">
        <f>ROUND((O414*I414),0)</f>
        <v>0</v>
      </c>
      <c r="Q414" s="234">
        <f>IF(O414=0,0,IF(X414=0,"manual",(O414/(R414*tax*markup*IF(Y414&lt;&gt;"",VLOOKUP(LEFT(Y414,2),cityindex,2,0),1)+S414*markup*difficulty*IF(Y414&lt;&gt;"",VLOOKUP(LEFT(Y414,2),cityindex,3,0),1)+W414*markup*difficulty*IF(Y414&lt;&gt;"",VLOOKUP(LEFT(Y414,2),cityindex,3,0),1)))-1))</f>
        <v>0</v>
      </c>
      <c r="S414" s="228">
        <f>U414*V414</f>
        <v>0</v>
      </c>
      <c r="X414" s="228">
        <f>SUM(R414,S414,W414)</f>
        <v>0</v>
      </c>
    </row>
    <row r="415" spans="1:26" ht="12.75" customHeight="1" x14ac:dyDescent="0.2">
      <c r="A415" s="143" t="s">
        <v>296</v>
      </c>
      <c r="G415" s="143" t="s">
        <v>631</v>
      </c>
      <c r="J415" s="147" t="s">
        <v>309</v>
      </c>
      <c r="K415" s="149">
        <f t="shared" si="101"/>
        <v>0</v>
      </c>
      <c r="L415" s="149">
        <f t="shared" si="102"/>
        <v>0</v>
      </c>
      <c r="M415" s="149">
        <f t="shared" si="103"/>
        <v>0</v>
      </c>
      <c r="N415" s="149"/>
      <c r="O415" s="149">
        <f t="shared" si="107"/>
        <v>0</v>
      </c>
      <c r="P415" s="216">
        <f t="shared" si="105"/>
        <v>0</v>
      </c>
      <c r="Q415" s="150">
        <f t="shared" si="108"/>
        <v>0</v>
      </c>
      <c r="S415" s="143">
        <f t="shared" si="94"/>
        <v>0</v>
      </c>
      <c r="X415" s="143">
        <f t="shared" si="95"/>
        <v>0</v>
      </c>
      <c r="Y415" s="143" t="s">
        <v>632</v>
      </c>
    </row>
    <row r="416" spans="1:26" ht="12.75" customHeight="1" x14ac:dyDescent="0.2">
      <c r="A416" s="143" t="s">
        <v>296</v>
      </c>
      <c r="G416" s="143" t="s">
        <v>633</v>
      </c>
      <c r="J416" s="147" t="s">
        <v>309</v>
      </c>
      <c r="K416" s="149">
        <f t="shared" si="101"/>
        <v>0</v>
      </c>
      <c r="L416" s="149">
        <f t="shared" si="102"/>
        <v>0</v>
      </c>
      <c r="M416" s="149">
        <f t="shared" si="103"/>
        <v>0</v>
      </c>
      <c r="N416" s="149"/>
      <c r="O416" s="149">
        <f t="shared" si="107"/>
        <v>0</v>
      </c>
      <c r="P416" s="216">
        <f t="shared" si="105"/>
        <v>0</v>
      </c>
      <c r="Q416" s="150">
        <f t="shared" si="108"/>
        <v>0</v>
      </c>
      <c r="S416" s="143">
        <f t="shared" si="94"/>
        <v>0</v>
      </c>
      <c r="X416" s="143">
        <f t="shared" si="95"/>
        <v>0</v>
      </c>
      <c r="Y416" s="143" t="s">
        <v>634</v>
      </c>
    </row>
    <row r="417" spans="1:27" ht="12.75" customHeight="1" x14ac:dyDescent="0.2">
      <c r="A417" s="143" t="s">
        <v>296</v>
      </c>
      <c r="G417" s="143" t="s">
        <v>635</v>
      </c>
      <c r="J417" s="147" t="s">
        <v>309</v>
      </c>
      <c r="K417" s="149">
        <f>R417*tax*markup*IF(Y417&lt;&gt;"",VLOOKUP(LEFT(Y417,2),cityindex,2,0),1)</f>
        <v>0</v>
      </c>
      <c r="L417" s="149">
        <f>S417*markup*difficulty*IF(Y417&lt;&gt;"",VLOOKUP(LEFT(Y417,2),cityindex,3,0),1)</f>
        <v>0</v>
      </c>
      <c r="M417" s="149">
        <f>W417*markup*difficulty*IF(Y417&lt;&gt;"",VLOOKUP(LEFT(Y417,2),cityindex,3,0),1)</f>
        <v>0</v>
      </c>
      <c r="N417" s="149"/>
      <c r="O417" s="149">
        <f>SUM(K417:N417)*embed</f>
        <v>0</v>
      </c>
      <c r="P417" s="216">
        <f>ROUND((O417*I417),0)</f>
        <v>0</v>
      </c>
      <c r="Q417" s="150">
        <f>IF(O417=0,0,IF(X417=0,"manual",(O417/(R417*tax*markup*IF(Y417&lt;&gt;"",VLOOKUP(LEFT(Y417,2),cityindex,2,0),1)+S417*markup*difficulty*IF(Y417&lt;&gt;"",VLOOKUP(LEFT(Y417,2),cityindex,3,0),1)+W417*markup*difficulty*IF(Y417&lt;&gt;"",VLOOKUP(LEFT(Y417,2),cityindex,3,0),1)))-1))</f>
        <v>0</v>
      </c>
      <c r="S417" s="143">
        <f>U417*V417</f>
        <v>0</v>
      </c>
      <c r="X417" s="143">
        <f>SUM(R417,S417,W417)</f>
        <v>0</v>
      </c>
      <c r="Y417" s="143" t="s">
        <v>636</v>
      </c>
    </row>
    <row r="418" spans="1:27" ht="12.75" customHeight="1" x14ac:dyDescent="0.2">
      <c r="A418" s="143" t="s">
        <v>296</v>
      </c>
      <c r="G418" s="143" t="s">
        <v>637</v>
      </c>
      <c r="J418" s="147" t="s">
        <v>309</v>
      </c>
      <c r="K418" s="149">
        <f>R418*tax*markup*IF(Y418&lt;&gt;"",VLOOKUP(LEFT(Y418,2),cityindex,2,0),1)</f>
        <v>0</v>
      </c>
      <c r="L418" s="149">
        <f>S418*markup*difficulty*IF(Y418&lt;&gt;"",VLOOKUP(LEFT(Y418,2),cityindex,3,0),1)</f>
        <v>0</v>
      </c>
      <c r="M418" s="149">
        <f>W418*markup*difficulty*IF(Y418&lt;&gt;"",VLOOKUP(LEFT(Y418,2),cityindex,3,0),1)</f>
        <v>0</v>
      </c>
      <c r="N418" s="149"/>
      <c r="O418" s="149">
        <f>SUM(K418:N418)*embed</f>
        <v>0</v>
      </c>
      <c r="P418" s="216">
        <f>ROUND((O418*I418),0)</f>
        <v>0</v>
      </c>
      <c r="Q418" s="150">
        <f>IF(O418=0,0,IF(X418=0,"manual",(O418/(R418*tax*markup*IF(Y418&lt;&gt;"",VLOOKUP(LEFT(Y418,2),cityindex,2,0),1)+S418*markup*difficulty*IF(Y418&lt;&gt;"",VLOOKUP(LEFT(Y418,2),cityindex,3,0),1)+W418*markup*difficulty*IF(Y418&lt;&gt;"",VLOOKUP(LEFT(Y418,2),cityindex,3,0),1)))-1))</f>
        <v>0</v>
      </c>
      <c r="S418" s="143">
        <f>U418*V418</f>
        <v>0</v>
      </c>
      <c r="X418" s="143">
        <f>SUM(R418,S418,W418)</f>
        <v>0</v>
      </c>
      <c r="Y418" s="143" t="s">
        <v>638</v>
      </c>
    </row>
    <row r="419" spans="1:27" ht="12.75" customHeight="1" x14ac:dyDescent="0.2">
      <c r="A419" s="143" t="s">
        <v>296</v>
      </c>
      <c r="F419" s="143" t="s">
        <v>639</v>
      </c>
      <c r="J419" s="147" t="s">
        <v>390</v>
      </c>
      <c r="K419" s="149">
        <f t="shared" si="101"/>
        <v>0</v>
      </c>
      <c r="L419" s="149">
        <f t="shared" si="102"/>
        <v>0</v>
      </c>
      <c r="M419" s="149">
        <f t="shared" si="103"/>
        <v>0</v>
      </c>
      <c r="N419" s="149"/>
      <c r="O419" s="149">
        <f t="shared" si="107"/>
        <v>0</v>
      </c>
      <c r="P419" s="216">
        <f t="shared" si="105"/>
        <v>0</v>
      </c>
      <c r="Q419" s="150">
        <f t="shared" si="108"/>
        <v>0</v>
      </c>
      <c r="S419" s="143">
        <f t="shared" si="94"/>
        <v>0</v>
      </c>
      <c r="X419" s="143">
        <f t="shared" si="95"/>
        <v>0</v>
      </c>
      <c r="Y419" s="143" t="s">
        <v>640</v>
      </c>
    </row>
    <row r="420" spans="1:27" x14ac:dyDescent="0.2">
      <c r="A420" s="143" t="s">
        <v>296</v>
      </c>
      <c r="K420" s="149">
        <f t="shared" si="101"/>
        <v>0</v>
      </c>
      <c r="L420" s="149">
        <f t="shared" si="102"/>
        <v>0</v>
      </c>
      <c r="M420" s="149">
        <f t="shared" si="103"/>
        <v>0</v>
      </c>
      <c r="N420" s="149"/>
      <c r="O420" s="149">
        <f t="shared" ref="O420:O430" si="109">SUM(K420:N420)*embed</f>
        <v>0</v>
      </c>
      <c r="P420" s="216">
        <f t="shared" si="105"/>
        <v>0</v>
      </c>
      <c r="Q420" s="150">
        <f>IF(O420=0,0,IF(X420=0,"manual",O420/((R420*tax*markup*IF(Y420&lt;&gt;"",VLOOKUP(LEFT(Y420,2),cityindex,2,0),1))+S420*markup*difficulty*IF(Y420&lt;&gt;"",VLOOKUP(LEFT(Y420,2),cityindex,3,0),1)+W420*markup*difficulty*IF(Y420&lt;&gt;"",VLOOKUP(LEFT(Y420,2),cityindex,3,0),1))))</f>
        <v>0</v>
      </c>
      <c r="S420" s="143">
        <f t="shared" si="94"/>
        <v>0</v>
      </c>
      <c r="X420" s="143">
        <f t="shared" si="95"/>
        <v>0</v>
      </c>
    </row>
    <row r="421" spans="1:27" x14ac:dyDescent="0.2">
      <c r="A421" s="143" t="s">
        <v>296</v>
      </c>
      <c r="E421" s="143" t="s">
        <v>597</v>
      </c>
      <c r="K421" s="149">
        <f t="shared" si="101"/>
        <v>0</v>
      </c>
      <c r="L421" s="149">
        <f t="shared" si="102"/>
        <v>0</v>
      </c>
      <c r="M421" s="149">
        <f t="shared" si="103"/>
        <v>0</v>
      </c>
      <c r="N421" s="149"/>
      <c r="O421" s="149">
        <f t="shared" si="109"/>
        <v>0</v>
      </c>
      <c r="P421" s="216">
        <f t="shared" si="105"/>
        <v>0</v>
      </c>
      <c r="Q421" s="150">
        <f>IF(O421=0,0,IF(X421=0,"manual",O421/((R421*tax*markup*IF(Y421&lt;&gt;"",VLOOKUP(LEFT(Y421,2),cityindex,2,0),1))+S421*markup*difficulty*IF(Y421&lt;&gt;"",VLOOKUP(LEFT(Y421,2),cityindex,3,0),1)+W421*markup*difficulty*IF(Y421&lt;&gt;"",VLOOKUP(LEFT(Y421,2),cityindex,3,0),1))))</f>
        <v>0</v>
      </c>
      <c r="S421" s="143">
        <f t="shared" si="94"/>
        <v>0</v>
      </c>
      <c r="X421" s="143">
        <f t="shared" si="95"/>
        <v>0</v>
      </c>
      <c r="Z421" s="227"/>
    </row>
    <row r="422" spans="1:27" s="228" customFormat="1" ht="12.75" customHeight="1" x14ac:dyDescent="0.2">
      <c r="A422" s="228" t="s">
        <v>296</v>
      </c>
      <c r="B422" s="229"/>
      <c r="F422" s="143" t="s">
        <v>612</v>
      </c>
      <c r="I422" s="230"/>
      <c r="J422" s="231"/>
      <c r="K422" s="232">
        <f>R422*tax*markup*IF(Y422&lt;&gt;"",VLOOKUP(LEFT(Y422,2),cityindex,2,0),1)</f>
        <v>0</v>
      </c>
      <c r="L422" s="232">
        <f>S422*markup*difficulty*IF(Y422&lt;&gt;"",VLOOKUP(LEFT(Y422,2),cityindex,3,0),1)</f>
        <v>0</v>
      </c>
      <c r="M422" s="232">
        <f>W422*markup*difficulty*IF(Y422&lt;&gt;"",VLOOKUP(LEFT(Y422,2),cityindex,3,0),1)</f>
        <v>0</v>
      </c>
      <c r="N422" s="232"/>
      <c r="O422" s="232">
        <f t="shared" si="109"/>
        <v>0</v>
      </c>
      <c r="P422" s="233">
        <f>ROUND((O422*I422),0)</f>
        <v>0</v>
      </c>
      <c r="Q422" s="234">
        <f>IF(O422=0,0,IF(X422=0,"manual",(O422/(R422*tax*markup*IF(Y422&lt;&gt;"",VLOOKUP(LEFT(Y422,2),cityindex,2,0),1)+S422*markup*difficulty*IF(Y422&lt;&gt;"",VLOOKUP(LEFT(Y422,2),cityindex,3,0),1)+W422*markup*difficulty*IF(Y422&lt;&gt;"",VLOOKUP(LEFT(Y422,2),cityindex,3,0),1)))-1))</f>
        <v>0</v>
      </c>
      <c r="S422" s="228">
        <f>U422*V422</f>
        <v>0</v>
      </c>
      <c r="X422" s="228">
        <f>SUM(R422,S422,W422)</f>
        <v>0</v>
      </c>
    </row>
    <row r="423" spans="1:27" s="228" customFormat="1" ht="12.75" customHeight="1" x14ac:dyDescent="0.2">
      <c r="A423" s="228" t="s">
        <v>296</v>
      </c>
      <c r="B423" s="229"/>
      <c r="G423" s="228" t="s">
        <v>599</v>
      </c>
      <c r="I423" s="230"/>
      <c r="J423" s="147" t="s">
        <v>301</v>
      </c>
      <c r="K423" s="232">
        <f>R423*tax*markup*IF(Y423&lt;&gt;"",VLOOKUP(LEFT(Y423,2),cityindex,2,0),1)</f>
        <v>0</v>
      </c>
      <c r="L423" s="232">
        <f>S423*markup*difficulty*IF(Y423&lt;&gt;"",VLOOKUP(LEFT(Y423,2),cityindex,3,0),1)</f>
        <v>0</v>
      </c>
      <c r="M423" s="232">
        <f>W423*markup*difficulty*IF(Y423&lt;&gt;"",VLOOKUP(LEFT(Y423,2),cityindex,3,0),1)</f>
        <v>0</v>
      </c>
      <c r="N423" s="232"/>
      <c r="O423" s="232">
        <f t="shared" si="109"/>
        <v>0</v>
      </c>
      <c r="P423" s="233">
        <f>ROUND((O423*I423),0)</f>
        <v>0</v>
      </c>
      <c r="Q423" s="234">
        <f>IF(O423=0,0,IF(X423=0,"manual",(O423/(R423*tax*markup*IF(Y423&lt;&gt;"",VLOOKUP(LEFT(Y423,2),cityindex,2,0),1)+S423*markup*difficulty*IF(Y423&lt;&gt;"",VLOOKUP(LEFT(Y423,2),cityindex,3,0),1)+W423*markup*difficulty*IF(Y423&lt;&gt;"",VLOOKUP(LEFT(Y423,2),cityindex,3,0),1)))-1))</f>
        <v>0</v>
      </c>
      <c r="S423" s="228">
        <f>U423*V423</f>
        <v>0</v>
      </c>
      <c r="X423" s="228">
        <f>SUM(R423,S423,W423)</f>
        <v>0</v>
      </c>
      <c r="Y423" s="228" t="s">
        <v>613</v>
      </c>
    </row>
    <row r="424" spans="1:27" s="228" customFormat="1" ht="12.75" customHeight="1" x14ac:dyDescent="0.2">
      <c r="A424" s="228" t="s">
        <v>296</v>
      </c>
      <c r="B424" s="229"/>
      <c r="G424" s="228" t="s">
        <v>601</v>
      </c>
      <c r="I424" s="230"/>
      <c r="J424" s="147" t="s">
        <v>301</v>
      </c>
      <c r="K424" s="232">
        <f>R424*tax*markup*IF(Y424&lt;&gt;"",VLOOKUP(LEFT(Y424,2),cityindex,2,0),1)</f>
        <v>0</v>
      </c>
      <c r="L424" s="232">
        <f>S424*markup*difficulty*IF(Y424&lt;&gt;"",VLOOKUP(LEFT(Y424,2),cityindex,3,0),1)</f>
        <v>0</v>
      </c>
      <c r="M424" s="232">
        <f>W424*markup*difficulty*IF(Y424&lt;&gt;"",VLOOKUP(LEFT(Y424,2),cityindex,3,0),1)</f>
        <v>0</v>
      </c>
      <c r="N424" s="232"/>
      <c r="O424" s="232">
        <f t="shared" si="109"/>
        <v>0</v>
      </c>
      <c r="P424" s="233">
        <f>ROUND((O424*I424),0)</f>
        <v>0</v>
      </c>
      <c r="Q424" s="234">
        <f>IF(O424=0,0,IF(X424=0,"manual",(O424/(R424*tax*markup*IF(Y424&lt;&gt;"",VLOOKUP(LEFT(Y424,2),cityindex,2,0),1)+S424*markup*difficulty*IF(Y424&lt;&gt;"",VLOOKUP(LEFT(Y424,2),cityindex,3,0),1)+W424*markup*difficulty*IF(Y424&lt;&gt;"",VLOOKUP(LEFT(Y424,2),cityindex,3,0),1)))-1))</f>
        <v>0</v>
      </c>
      <c r="S424" s="228">
        <f>U424*V424</f>
        <v>0</v>
      </c>
      <c r="X424" s="228">
        <f>SUM(R424,S424,W424)</f>
        <v>0</v>
      </c>
      <c r="Y424" s="228" t="s">
        <v>614</v>
      </c>
    </row>
    <row r="425" spans="1:27" x14ac:dyDescent="0.2">
      <c r="A425" s="143" t="s">
        <v>296</v>
      </c>
      <c r="K425" s="149">
        <f t="shared" si="101"/>
        <v>0</v>
      </c>
      <c r="L425" s="149">
        <f t="shared" si="102"/>
        <v>0</v>
      </c>
      <c r="M425" s="149">
        <f t="shared" si="103"/>
        <v>0</v>
      </c>
      <c r="N425" s="149"/>
      <c r="O425" s="149">
        <f t="shared" si="109"/>
        <v>0</v>
      </c>
      <c r="P425" s="216">
        <f t="shared" si="105"/>
        <v>0</v>
      </c>
      <c r="Q425" s="150">
        <f>IF(O425=0,0,IF(X425=0,"manual",O425/((R425*tax*markup*IF(Y425&lt;&gt;"",VLOOKUP(LEFT(Y425,2),cityindex,2,0),1))+S425*markup*difficulty*IF(Y425&lt;&gt;"",VLOOKUP(LEFT(Y425,2),cityindex,3,0),1)+W425*markup*difficulty*IF(Y425&lt;&gt;"",VLOOKUP(LEFT(Y425,2),cityindex,3,0),1))))</f>
        <v>0</v>
      </c>
      <c r="S425" s="143">
        <f t="shared" si="94"/>
        <v>0</v>
      </c>
      <c r="X425" s="143">
        <f t="shared" si="95"/>
        <v>0</v>
      </c>
      <c r="Z425" s="227"/>
    </row>
    <row r="426" spans="1:27" x14ac:dyDescent="0.2">
      <c r="A426" s="143" t="s">
        <v>296</v>
      </c>
      <c r="E426" s="143" t="s">
        <v>378</v>
      </c>
      <c r="K426" s="149">
        <f t="shared" si="101"/>
        <v>0</v>
      </c>
      <c r="L426" s="149">
        <f t="shared" si="102"/>
        <v>0</v>
      </c>
      <c r="M426" s="149">
        <f t="shared" si="103"/>
        <v>0</v>
      </c>
      <c r="N426" s="149"/>
      <c r="O426" s="149">
        <f t="shared" si="109"/>
        <v>0</v>
      </c>
      <c r="P426" s="216">
        <f t="shared" si="105"/>
        <v>0</v>
      </c>
      <c r="Q426" s="150">
        <f>IF(O426=0,0,IF(X426=0,"manual",O426/((R426*tax*markup*IF(Y426&lt;&gt;"",VLOOKUP(LEFT(Y426,2),cityindex,2,0),1))+S426*markup*difficulty*IF(Y426&lt;&gt;"",VLOOKUP(LEFT(Y426,2),cityindex,3,0),1)+W426*markup*difficulty*IF(Y426&lt;&gt;"",VLOOKUP(LEFT(Y426,2),cityindex,3,0),1))))</f>
        <v>0</v>
      </c>
      <c r="S426" s="143">
        <f t="shared" si="94"/>
        <v>0</v>
      </c>
      <c r="X426" s="143">
        <f t="shared" si="95"/>
        <v>0</v>
      </c>
      <c r="Z426" s="227"/>
    </row>
    <row r="427" spans="1:27" s="228" customFormat="1" x14ac:dyDescent="0.2">
      <c r="A427" s="228" t="s">
        <v>296</v>
      </c>
      <c r="B427" s="229"/>
      <c r="F427" s="228" t="s">
        <v>641</v>
      </c>
      <c r="I427" s="230"/>
      <c r="J427" s="231"/>
      <c r="K427" s="232">
        <f>R427*tax*markup*IF(Y427&lt;&gt;"",VLOOKUP(LEFT(Y427,2),cityindex,2,0),1)</f>
        <v>0</v>
      </c>
      <c r="L427" s="232">
        <f>S427*markup*difficulty*IF(Y427&lt;&gt;"",VLOOKUP(LEFT(Y427,2),cityindex,3,0),1)</f>
        <v>0</v>
      </c>
      <c r="M427" s="232">
        <f>W427*markup*difficulty*IF(Y427&lt;&gt;"",VLOOKUP(LEFT(Y427,2),cityindex,3,0),1)</f>
        <v>0</v>
      </c>
      <c r="N427" s="232"/>
      <c r="O427" s="232">
        <f t="shared" si="109"/>
        <v>0</v>
      </c>
      <c r="P427" s="233">
        <f>ROUND((O427*I427),0)</f>
        <v>0</v>
      </c>
      <c r="Q427" s="234">
        <f>IF(O427=0,0,IF(X427=0,"manual",(O427/(R427*tax*markup*IF(Y427&lt;&gt;"",VLOOKUP(LEFT(Y427,2),cityindex,2,0),1)+S427*markup*difficulty*IF(Y427&lt;&gt;"",VLOOKUP(LEFT(Y427,2),cityindex,3,0),1)+W427*markup*difficulty*IF(Y427&lt;&gt;"",VLOOKUP(LEFT(Y427,2),cityindex,3,0),1)))-1))</f>
        <v>0</v>
      </c>
      <c r="S427" s="228">
        <f t="shared" si="94"/>
        <v>0</v>
      </c>
      <c r="X427" s="228">
        <f t="shared" si="95"/>
        <v>0</v>
      </c>
    </row>
    <row r="428" spans="1:27" ht="12.75" customHeight="1" x14ac:dyDescent="0.2">
      <c r="A428" s="143" t="s">
        <v>296</v>
      </c>
      <c r="G428" s="143" t="s">
        <v>484</v>
      </c>
      <c r="J428" s="147" t="s">
        <v>486</v>
      </c>
      <c r="K428" s="149">
        <f>R428*tax*markup*IF(Y428&lt;&gt;"",VLOOKUP(LEFT(Y428,2),cityindex,2,0),1)</f>
        <v>0</v>
      </c>
      <c r="L428" s="149">
        <f>S428*markup*difficulty*IF(Y428&lt;&gt;"",VLOOKUP(LEFT(Y428,2),cityindex,3,0),1)</f>
        <v>0</v>
      </c>
      <c r="M428" s="149">
        <f>W428*markup*difficulty*IF(Y428&lt;&gt;"",VLOOKUP(LEFT(Y428,2),cityindex,3,0),1)</f>
        <v>0</v>
      </c>
      <c r="N428" s="149"/>
      <c r="O428" s="149">
        <f t="shared" si="109"/>
        <v>0</v>
      </c>
      <c r="P428" s="216">
        <f>ROUND((O428*I428),0)</f>
        <v>0</v>
      </c>
      <c r="Q428" s="150">
        <f>IF(O428=0,0,IF(X428=0,"manual",(O428/(R428*tax*markup*IF(Y428&lt;&gt;"",VLOOKUP(LEFT(Y428,2),cityindex,2,0),1)+S428*markup*difficulty*IF(Y428&lt;&gt;"",VLOOKUP(LEFT(Y428,2),cityindex,3,0),1)+W428*markup*difficulty*IF(Y428&lt;&gt;"",VLOOKUP(LEFT(Y428,2),cityindex,3,0),1)))-1))</f>
        <v>0</v>
      </c>
      <c r="S428" s="143">
        <f t="shared" si="94"/>
        <v>0</v>
      </c>
      <c r="X428" s="143">
        <f t="shared" si="95"/>
        <v>0</v>
      </c>
      <c r="Y428" s="143" t="s">
        <v>642</v>
      </c>
    </row>
    <row r="429" spans="1:27" ht="12.75" customHeight="1" x14ac:dyDescent="0.2">
      <c r="A429" s="143" t="s">
        <v>296</v>
      </c>
      <c r="G429" s="143" t="s">
        <v>643</v>
      </c>
      <c r="J429" s="147" t="s">
        <v>301</v>
      </c>
      <c r="K429" s="149">
        <f>R429*tax*markup*IF(Y429&lt;&gt;"",VLOOKUP(LEFT(Y429,2),cityindex,2,0),1)</f>
        <v>0</v>
      </c>
      <c r="L429" s="149">
        <f>S429*markup*difficulty*IF(Y429&lt;&gt;"",VLOOKUP(LEFT(Y429,2),cityindex,3,0),1)</f>
        <v>0</v>
      </c>
      <c r="M429" s="149">
        <f>W429*markup*difficulty*IF(Y429&lt;&gt;"",VLOOKUP(LEFT(Y429,2),cityindex,3,0),1)</f>
        <v>0</v>
      </c>
      <c r="N429" s="149"/>
      <c r="O429" s="149">
        <f t="shared" si="109"/>
        <v>0</v>
      </c>
      <c r="P429" s="216">
        <f>ROUND((O429*I429),0)</f>
        <v>0</v>
      </c>
      <c r="Q429" s="150">
        <f>IF(O429=0,0,IF(X429=0,"manual",(O429/(R429*tax*markup*IF(Y429&lt;&gt;"",VLOOKUP(LEFT(Y429,2),cityindex,2,0),1)+S429*markup*difficulty*IF(Y429&lt;&gt;"",VLOOKUP(LEFT(Y429,2),cityindex,3,0),1)+W429*markup*difficulty*IF(Y429&lt;&gt;"",VLOOKUP(LEFT(Y429,2),cityindex,3,0),1)))-1))</f>
        <v>0</v>
      </c>
      <c r="S429" s="143">
        <f t="shared" si="94"/>
        <v>0</v>
      </c>
      <c r="X429" s="143">
        <f t="shared" si="95"/>
        <v>0</v>
      </c>
      <c r="Y429" s="143" t="s">
        <v>644</v>
      </c>
    </row>
    <row r="430" spans="1:27" x14ac:dyDescent="0.2">
      <c r="K430" s="149">
        <f t="shared" si="101"/>
        <v>0</v>
      </c>
      <c r="L430" s="149">
        <f t="shared" si="102"/>
        <v>0</v>
      </c>
      <c r="M430" s="149">
        <f t="shared" si="103"/>
        <v>0</v>
      </c>
      <c r="N430" s="149"/>
      <c r="O430" s="149">
        <f t="shared" si="109"/>
        <v>0</v>
      </c>
      <c r="P430" s="216">
        <f t="shared" si="105"/>
        <v>0</v>
      </c>
      <c r="Q430" s="150">
        <f>IF(O430=0,0,IF(X430=0,"manual",O430/((R430*tax*markup*IF(Y430&lt;&gt;"",VLOOKUP(LEFT(Y430,2),cityindex,2,0),1))+S430*markup*difficulty*IF(Y430&lt;&gt;"",VLOOKUP(LEFT(Y430,2),cityindex,3,0),1)+W430*markup*difficulty*IF(Y430&lt;&gt;"",VLOOKUP(LEFT(Y430,2),cityindex,3,0),1))))</f>
        <v>0</v>
      </c>
      <c r="S430" s="143">
        <f t="shared" si="94"/>
        <v>0</v>
      </c>
      <c r="X430" s="143">
        <f t="shared" si="95"/>
        <v>0</v>
      </c>
      <c r="Z430" s="227"/>
    </row>
    <row r="431" spans="1:27" ht="24.75" customHeight="1" x14ac:dyDescent="0.2">
      <c r="D431" s="217" t="str">
        <f>"TOTAL - " &amp; D398</f>
        <v>TOTAL - 07  THERMAL AND MOISTURE PROTECTION</v>
      </c>
      <c r="E431" s="217"/>
      <c r="F431" s="217"/>
      <c r="G431" s="217"/>
      <c r="H431" s="217"/>
      <c r="I431" s="218"/>
      <c r="J431" s="219"/>
      <c r="K431" s="220"/>
      <c r="L431" s="220"/>
      <c r="M431" s="220"/>
      <c r="N431" s="220"/>
      <c r="O431" s="221"/>
      <c r="P431" s="222">
        <f>SUM(P398:P430)</f>
        <v>0</v>
      </c>
      <c r="Q431" s="223"/>
      <c r="S431" s="143">
        <f t="shared" si="94"/>
        <v>0</v>
      </c>
      <c r="X431" s="143">
        <f t="shared" si="95"/>
        <v>0</v>
      </c>
      <c r="Z431" s="224">
        <f>P431/GFA</f>
        <v>0</v>
      </c>
      <c r="AA431" s="225" t="s">
        <v>295</v>
      </c>
    </row>
    <row r="432" spans="1:27" x14ac:dyDescent="0.2">
      <c r="K432" s="149"/>
      <c r="L432" s="149"/>
      <c r="M432" s="149"/>
      <c r="N432" s="149"/>
      <c r="P432" s="216"/>
      <c r="Q432" s="150">
        <f>IF(O432=0,0,IF(X432=0,"manual",O432/((R432*tax*markup*IF(Y432&lt;&gt;"",VLOOKUP(LEFT(Y432,2),cityindex,2,0),1))+S432*markup*difficulty*IF(Y432&lt;&gt;"",VLOOKUP(LEFT(Y432,2),cityindex,3,0),1)+W432*markup*difficulty*IF(Y432&lt;&gt;"",VLOOKUP(LEFT(Y432,2),cityindex,3,0),1))))</f>
        <v>0</v>
      </c>
      <c r="S432" s="143">
        <f t="shared" si="94"/>
        <v>0</v>
      </c>
      <c r="X432" s="143">
        <f t="shared" si="95"/>
        <v>0</v>
      </c>
      <c r="Z432" s="227"/>
    </row>
    <row r="433" spans="1:26" x14ac:dyDescent="0.2">
      <c r="D433" s="214" t="s">
        <v>274</v>
      </c>
      <c r="E433" s="215"/>
      <c r="F433" s="215"/>
      <c r="G433" s="215"/>
      <c r="H433" s="215"/>
      <c r="K433" s="149"/>
      <c r="L433" s="149"/>
      <c r="M433" s="149"/>
      <c r="N433" s="149"/>
      <c r="P433" s="216"/>
      <c r="Q433" s="150">
        <f>IF(O433=0,0,IF(X433=0,"manual",O433/((R433*tax*markup*IF(Y433&lt;&gt;"",VLOOKUP(LEFT(Y433,2),cityindex,2,0),1))+S433*markup*difficulty*IF(Y433&lt;&gt;"",VLOOKUP(LEFT(Y433,2),cityindex,3,0),1)+W433*markup*difficulty*IF(Y433&lt;&gt;"",VLOOKUP(LEFT(Y433,2),cityindex,3,0),1))))</f>
        <v>0</v>
      </c>
      <c r="S433" s="143">
        <f t="shared" si="94"/>
        <v>0</v>
      </c>
      <c r="X433" s="143">
        <f t="shared" si="95"/>
        <v>0</v>
      </c>
      <c r="Z433" s="227"/>
    </row>
    <row r="434" spans="1:26" x14ac:dyDescent="0.2">
      <c r="A434" s="143" t="s">
        <v>296</v>
      </c>
      <c r="E434" s="143" t="s">
        <v>645</v>
      </c>
      <c r="K434" s="149">
        <f t="shared" ref="K434:K478" si="110">R434*tax*markup*IF(Y434&lt;&gt;"",VLOOKUP(LEFT(Y434,2),cityindex,2,0),1)</f>
        <v>0</v>
      </c>
      <c r="L434" s="149">
        <f t="shared" ref="L434:L478" si="111">S434*markup*difficulty*IF(Y434&lt;&gt;"",VLOOKUP(LEFT(Y434,2),cityindex,3,0),1)</f>
        <v>0</v>
      </c>
      <c r="M434" s="149">
        <f t="shared" ref="M434:M478" si="112">W434*markup*difficulty*IF(Y434&lt;&gt;"",VLOOKUP(LEFT(Y434,2),cityindex,3,0),1)</f>
        <v>0</v>
      </c>
      <c r="N434" s="149"/>
      <c r="O434" s="149">
        <f t="shared" ref="O434:O478" si="113">SUM(K434:N434)*embed</f>
        <v>0</v>
      </c>
      <c r="P434" s="216">
        <f t="shared" ref="P434:P478" si="114">ROUND((O434*I434),0)</f>
        <v>0</v>
      </c>
      <c r="Q434" s="150">
        <f>IF(O434=0,0,IF(X434=0,"manual",O434/((R434*tax*markup*IF(Y434&lt;&gt;"",VLOOKUP(LEFT(Y434,2),cityindex,2,0),1))+S434*markup*difficulty*IF(Y434&lt;&gt;"",VLOOKUP(LEFT(Y434,2),cityindex,3,0),1)+W434*markup*difficulty*IF(Y434&lt;&gt;"",VLOOKUP(LEFT(Y434,2),cityindex,3,0),1))))</f>
        <v>0</v>
      </c>
      <c r="S434" s="143">
        <f t="shared" si="94"/>
        <v>0</v>
      </c>
      <c r="X434" s="143">
        <f t="shared" si="95"/>
        <v>0</v>
      </c>
      <c r="Z434" s="227"/>
    </row>
    <row r="435" spans="1:26" ht="12.75" customHeight="1" x14ac:dyDescent="0.2">
      <c r="A435" s="143" t="s">
        <v>296</v>
      </c>
      <c r="F435" s="143" t="s">
        <v>646</v>
      </c>
      <c r="K435" s="149">
        <f t="shared" si="110"/>
        <v>0</v>
      </c>
      <c r="L435" s="149">
        <f t="shared" si="111"/>
        <v>0</v>
      </c>
      <c r="M435" s="149">
        <f t="shared" si="112"/>
        <v>0</v>
      </c>
      <c r="N435" s="149"/>
      <c r="O435" s="149">
        <f t="shared" si="113"/>
        <v>0</v>
      </c>
      <c r="P435" s="216">
        <f t="shared" si="114"/>
        <v>0</v>
      </c>
      <c r="Q435" s="150">
        <f t="shared" ref="Q435:Q445" si="115">IF(O435=0,0,IF(X435=0,"manual",(O435/(R435*tax*markup*IF(Y435&lt;&gt;"",VLOOKUP(LEFT(Y435,2),cityindex,2,0),1)+S435*markup*difficulty*IF(Y435&lt;&gt;"",VLOOKUP(LEFT(Y435,2),cityindex,3,0),1)+W435*markup*difficulty*IF(Y435&lt;&gt;"",VLOOKUP(LEFT(Y435,2),cityindex,3,0),1)))-1))</f>
        <v>0</v>
      </c>
      <c r="S435" s="143">
        <f t="shared" si="94"/>
        <v>0</v>
      </c>
      <c r="X435" s="143">
        <f t="shared" si="95"/>
        <v>0</v>
      </c>
    </row>
    <row r="436" spans="1:26" ht="12.75" customHeight="1" x14ac:dyDescent="0.2">
      <c r="A436" s="143" t="s">
        <v>296</v>
      </c>
      <c r="G436" s="143" t="s">
        <v>389</v>
      </c>
      <c r="J436" s="147" t="s">
        <v>390</v>
      </c>
      <c r="K436" s="149">
        <f t="shared" si="110"/>
        <v>0</v>
      </c>
      <c r="L436" s="149">
        <f t="shared" si="111"/>
        <v>0</v>
      </c>
      <c r="M436" s="149">
        <f t="shared" si="112"/>
        <v>0</v>
      </c>
      <c r="N436" s="149"/>
      <c r="O436" s="149">
        <f t="shared" si="113"/>
        <v>0</v>
      </c>
      <c r="P436" s="216">
        <f t="shared" si="114"/>
        <v>0</v>
      </c>
      <c r="Q436" s="150">
        <f t="shared" si="115"/>
        <v>0</v>
      </c>
      <c r="S436" s="143">
        <f t="shared" si="94"/>
        <v>0</v>
      </c>
      <c r="X436" s="143">
        <f t="shared" si="95"/>
        <v>0</v>
      </c>
      <c r="Y436" s="143" t="s">
        <v>647</v>
      </c>
    </row>
    <row r="437" spans="1:26" ht="12.75" customHeight="1" x14ac:dyDescent="0.2">
      <c r="A437" s="143" t="s">
        <v>296</v>
      </c>
      <c r="G437" s="143" t="s">
        <v>392</v>
      </c>
      <c r="J437" s="147" t="s">
        <v>648</v>
      </c>
      <c r="K437" s="149">
        <f t="shared" si="110"/>
        <v>0</v>
      </c>
      <c r="L437" s="149">
        <f t="shared" si="111"/>
        <v>0</v>
      </c>
      <c r="M437" s="149">
        <f t="shared" si="112"/>
        <v>0</v>
      </c>
      <c r="N437" s="149"/>
      <c r="O437" s="149">
        <f t="shared" si="113"/>
        <v>0</v>
      </c>
      <c r="P437" s="216">
        <f t="shared" si="114"/>
        <v>0</v>
      </c>
      <c r="Q437" s="150">
        <f t="shared" si="115"/>
        <v>0</v>
      </c>
      <c r="S437" s="143">
        <f t="shared" si="94"/>
        <v>0</v>
      </c>
      <c r="X437" s="143">
        <f t="shared" si="95"/>
        <v>0</v>
      </c>
      <c r="Y437" s="143" t="s">
        <v>649</v>
      </c>
    </row>
    <row r="438" spans="1:26" ht="12.75" customHeight="1" x14ac:dyDescent="0.2">
      <c r="A438" s="143" t="s">
        <v>296</v>
      </c>
      <c r="F438" s="143" t="s">
        <v>650</v>
      </c>
      <c r="K438" s="149">
        <f t="shared" si="110"/>
        <v>0</v>
      </c>
      <c r="L438" s="149">
        <f t="shared" si="111"/>
        <v>0</v>
      </c>
      <c r="M438" s="149">
        <f t="shared" si="112"/>
        <v>0</v>
      </c>
      <c r="N438" s="149"/>
      <c r="O438" s="149">
        <f t="shared" si="113"/>
        <v>0</v>
      </c>
      <c r="P438" s="216">
        <f t="shared" si="114"/>
        <v>0</v>
      </c>
      <c r="Q438" s="150">
        <f t="shared" si="115"/>
        <v>0</v>
      </c>
      <c r="S438" s="143">
        <f t="shared" ref="S438:S480" si="116">U438*V438</f>
        <v>0</v>
      </c>
      <c r="X438" s="143">
        <f t="shared" ref="X438:X480" si="117">SUM(R438,S438,W438)</f>
        <v>0</v>
      </c>
    </row>
    <row r="439" spans="1:26" ht="12.75" customHeight="1" x14ac:dyDescent="0.2">
      <c r="A439" s="143" t="s">
        <v>296</v>
      </c>
      <c r="G439" s="143" t="s">
        <v>389</v>
      </c>
      <c r="J439" s="147" t="s">
        <v>390</v>
      </c>
      <c r="K439" s="149">
        <f t="shared" si="110"/>
        <v>0</v>
      </c>
      <c r="L439" s="149">
        <f t="shared" si="111"/>
        <v>0</v>
      </c>
      <c r="M439" s="149">
        <f t="shared" si="112"/>
        <v>0</v>
      </c>
      <c r="N439" s="149"/>
      <c r="O439" s="149">
        <f t="shared" si="113"/>
        <v>0</v>
      </c>
      <c r="P439" s="216">
        <f t="shared" si="114"/>
        <v>0</v>
      </c>
      <c r="Q439" s="150">
        <f t="shared" si="115"/>
        <v>0</v>
      </c>
      <c r="S439" s="143">
        <f t="shared" si="116"/>
        <v>0</v>
      </c>
      <c r="X439" s="143">
        <f t="shared" si="117"/>
        <v>0</v>
      </c>
      <c r="Y439" s="143" t="s">
        <v>651</v>
      </c>
    </row>
    <row r="440" spans="1:26" ht="12.75" customHeight="1" x14ac:dyDescent="0.2">
      <c r="A440" s="143" t="s">
        <v>296</v>
      </c>
      <c r="G440" s="143" t="s">
        <v>392</v>
      </c>
      <c r="J440" s="147" t="s">
        <v>648</v>
      </c>
      <c r="K440" s="149">
        <f t="shared" si="110"/>
        <v>0</v>
      </c>
      <c r="L440" s="149">
        <f t="shared" si="111"/>
        <v>0</v>
      </c>
      <c r="M440" s="149">
        <f t="shared" si="112"/>
        <v>0</v>
      </c>
      <c r="N440" s="149"/>
      <c r="O440" s="149">
        <f t="shared" si="113"/>
        <v>0</v>
      </c>
      <c r="P440" s="216">
        <f t="shared" si="114"/>
        <v>0</v>
      </c>
      <c r="Q440" s="150">
        <f t="shared" si="115"/>
        <v>0</v>
      </c>
      <c r="S440" s="143">
        <f t="shared" si="116"/>
        <v>0</v>
      </c>
      <c r="X440" s="143">
        <f t="shared" si="117"/>
        <v>0</v>
      </c>
      <c r="Y440" s="143" t="s">
        <v>652</v>
      </c>
    </row>
    <row r="441" spans="1:26" ht="12.75" customHeight="1" x14ac:dyDescent="0.2">
      <c r="A441" s="143" t="s">
        <v>296</v>
      </c>
      <c r="F441" s="143" t="s">
        <v>653</v>
      </c>
      <c r="K441" s="149">
        <f t="shared" si="110"/>
        <v>0</v>
      </c>
      <c r="L441" s="149">
        <f t="shared" si="111"/>
        <v>0</v>
      </c>
      <c r="M441" s="149">
        <f t="shared" si="112"/>
        <v>0</v>
      </c>
      <c r="N441" s="149"/>
      <c r="O441" s="149">
        <f t="shared" si="113"/>
        <v>0</v>
      </c>
      <c r="P441" s="216">
        <f t="shared" si="114"/>
        <v>0</v>
      </c>
      <c r="Q441" s="150">
        <f t="shared" si="115"/>
        <v>0</v>
      </c>
      <c r="S441" s="143">
        <f t="shared" si="116"/>
        <v>0</v>
      </c>
      <c r="X441" s="143">
        <f t="shared" si="117"/>
        <v>0</v>
      </c>
    </row>
    <row r="442" spans="1:26" ht="12.75" customHeight="1" x14ac:dyDescent="0.2">
      <c r="A442" s="143" t="s">
        <v>296</v>
      </c>
      <c r="G442" s="143" t="s">
        <v>389</v>
      </c>
      <c r="J442" s="147" t="s">
        <v>390</v>
      </c>
      <c r="K442" s="149">
        <f t="shared" si="110"/>
        <v>0</v>
      </c>
      <c r="L442" s="149">
        <f t="shared" si="111"/>
        <v>0</v>
      </c>
      <c r="M442" s="149">
        <f t="shared" si="112"/>
        <v>0</v>
      </c>
      <c r="N442" s="149"/>
      <c r="O442" s="149">
        <f t="shared" si="113"/>
        <v>0</v>
      </c>
      <c r="P442" s="216">
        <f t="shared" si="114"/>
        <v>0</v>
      </c>
      <c r="Q442" s="150">
        <f t="shared" si="115"/>
        <v>0</v>
      </c>
      <c r="S442" s="143">
        <f t="shared" si="116"/>
        <v>0</v>
      </c>
      <c r="X442" s="143">
        <f t="shared" si="117"/>
        <v>0</v>
      </c>
      <c r="Y442" s="143" t="s">
        <v>654</v>
      </c>
    </row>
    <row r="443" spans="1:26" ht="12.75" customHeight="1" x14ac:dyDescent="0.2">
      <c r="A443" s="143" t="s">
        <v>296</v>
      </c>
      <c r="G443" s="143" t="s">
        <v>392</v>
      </c>
      <c r="J443" s="147" t="s">
        <v>648</v>
      </c>
      <c r="K443" s="149">
        <f t="shared" si="110"/>
        <v>0</v>
      </c>
      <c r="L443" s="149">
        <f t="shared" si="111"/>
        <v>0</v>
      </c>
      <c r="M443" s="149">
        <f t="shared" si="112"/>
        <v>0</v>
      </c>
      <c r="N443" s="149"/>
      <c r="O443" s="149">
        <f t="shared" si="113"/>
        <v>0</v>
      </c>
      <c r="P443" s="216">
        <f t="shared" si="114"/>
        <v>0</v>
      </c>
      <c r="Q443" s="150">
        <f t="shared" si="115"/>
        <v>0</v>
      </c>
      <c r="S443" s="143">
        <f t="shared" si="116"/>
        <v>0</v>
      </c>
      <c r="X443" s="143">
        <f t="shared" si="117"/>
        <v>0</v>
      </c>
      <c r="Y443" s="143" t="s">
        <v>655</v>
      </c>
    </row>
    <row r="444" spans="1:26" ht="12.75" customHeight="1" x14ac:dyDescent="0.2">
      <c r="A444" s="143" t="s">
        <v>296</v>
      </c>
      <c r="F444" s="143" t="s">
        <v>656</v>
      </c>
      <c r="J444" s="147" t="s">
        <v>390</v>
      </c>
      <c r="K444" s="149">
        <f t="shared" si="110"/>
        <v>0</v>
      </c>
      <c r="L444" s="149">
        <f>S444*markup*difficulty*IF(Y444&lt;&gt;"",VLOOKUP(LEFT(Y444,2),cityindex,3,0),1)</f>
        <v>0</v>
      </c>
      <c r="M444" s="149">
        <f>W444*markup*difficulty*IF(Y444&lt;&gt;"",VLOOKUP(LEFT(Y444,2),cityindex,3,0),1)</f>
        <v>0</v>
      </c>
      <c r="N444" s="149"/>
      <c r="O444" s="149">
        <f t="shared" si="113"/>
        <v>0</v>
      </c>
      <c r="P444" s="216">
        <f t="shared" si="114"/>
        <v>0</v>
      </c>
      <c r="Q444" s="150">
        <f t="shared" si="115"/>
        <v>0</v>
      </c>
      <c r="S444" s="143">
        <f t="shared" si="116"/>
        <v>0</v>
      </c>
      <c r="X444" s="143">
        <f t="shared" si="117"/>
        <v>0</v>
      </c>
      <c r="Y444" s="143" t="s">
        <v>657</v>
      </c>
    </row>
    <row r="445" spans="1:26" ht="12.75" customHeight="1" x14ac:dyDescent="0.2">
      <c r="A445" s="143" t="s">
        <v>296</v>
      </c>
      <c r="F445" s="143" t="s">
        <v>658</v>
      </c>
      <c r="J445" s="147" t="s">
        <v>390</v>
      </c>
      <c r="K445" s="149">
        <f t="shared" si="110"/>
        <v>0</v>
      </c>
      <c r="L445" s="149">
        <f t="shared" si="111"/>
        <v>0</v>
      </c>
      <c r="M445" s="149">
        <f t="shared" si="112"/>
        <v>0</v>
      </c>
      <c r="N445" s="149"/>
      <c r="O445" s="149">
        <f t="shared" si="113"/>
        <v>0</v>
      </c>
      <c r="P445" s="216">
        <f t="shared" si="114"/>
        <v>0</v>
      </c>
      <c r="Q445" s="150">
        <f t="shared" si="115"/>
        <v>0</v>
      </c>
      <c r="S445" s="143">
        <f t="shared" si="116"/>
        <v>0</v>
      </c>
      <c r="X445" s="143">
        <f t="shared" si="117"/>
        <v>0</v>
      </c>
      <c r="Y445" s="143" t="s">
        <v>659</v>
      </c>
    </row>
    <row r="446" spans="1:26" x14ac:dyDescent="0.2">
      <c r="A446" s="143" t="s">
        <v>296</v>
      </c>
      <c r="F446" s="143" t="s">
        <v>378</v>
      </c>
      <c r="K446" s="149">
        <f t="shared" si="110"/>
        <v>0</v>
      </c>
      <c r="L446" s="149">
        <f t="shared" si="111"/>
        <v>0</v>
      </c>
      <c r="M446" s="149">
        <f t="shared" si="112"/>
        <v>0</v>
      </c>
      <c r="N446" s="149"/>
      <c r="O446" s="149">
        <f t="shared" si="113"/>
        <v>0</v>
      </c>
      <c r="P446" s="216">
        <f t="shared" si="114"/>
        <v>0</v>
      </c>
      <c r="Q446" s="150">
        <f>IF(O446=0,0,IF(X446=0,"manual",O446/((R446*tax*markup*IF(Y446&lt;&gt;"",VLOOKUP(LEFT(Y446,2),cityindex,2,0),1))+S446*markup*difficulty*IF(Y446&lt;&gt;"",VLOOKUP(LEFT(Y446,2),cityindex,3,0),1)+W446*markup*difficulty*IF(Y446&lt;&gt;"",VLOOKUP(LEFT(Y446,2),cityindex,3,0),1))))</f>
        <v>0</v>
      </c>
      <c r="S446" s="143">
        <f t="shared" si="116"/>
        <v>0</v>
      </c>
      <c r="X446" s="143">
        <f t="shared" si="117"/>
        <v>0</v>
      </c>
    </row>
    <row r="447" spans="1:26" ht="12.75" customHeight="1" x14ac:dyDescent="0.2">
      <c r="A447" s="143" t="s">
        <v>296</v>
      </c>
      <c r="G447" s="143" t="s">
        <v>660</v>
      </c>
      <c r="J447" s="147" t="s">
        <v>390</v>
      </c>
      <c r="K447" s="149">
        <f>R447*tax*markup*IF(Y447&lt;&gt;"",VLOOKUP(LEFT(Y447,2),cityindex,2,0),1)</f>
        <v>0</v>
      </c>
      <c r="L447" s="149">
        <f>S447*markup*difficulty*IF(Y447&lt;&gt;"",VLOOKUP(LEFT(Y447,2),cityindex,3,0),1)</f>
        <v>0</v>
      </c>
      <c r="M447" s="149">
        <f>W447*markup*difficulty*IF(Y447&lt;&gt;"",VLOOKUP(LEFT(Y447,2),cityindex,3,0),1)</f>
        <v>0</v>
      </c>
      <c r="N447" s="149"/>
      <c r="O447" s="149">
        <f>SUM(K447:N447)*embed</f>
        <v>0</v>
      </c>
      <c r="P447" s="216">
        <f>ROUND((O447*I447),0)</f>
        <v>0</v>
      </c>
      <c r="Q447" s="150">
        <f>IF(O447=0,0,IF(X447=0,"manual",(O447/(R447*tax*markup*IF(Y447&lt;&gt;"",VLOOKUP(LEFT(Y447,2),cityindex,2,0),1)+S447*markup*difficulty*IF(Y447&lt;&gt;"",VLOOKUP(LEFT(Y447,2),cityindex,3,0),1)+W447*markup*difficulty*IF(Y447&lt;&gt;"",VLOOKUP(LEFT(Y447,2),cityindex,3,0),1)))-1))</f>
        <v>0</v>
      </c>
      <c r="S447" s="143">
        <f t="shared" si="116"/>
        <v>0</v>
      </c>
      <c r="X447" s="143">
        <f t="shared" si="117"/>
        <v>0</v>
      </c>
      <c r="Y447" s="143" t="s">
        <v>661</v>
      </c>
    </row>
    <row r="448" spans="1:26" ht="12.75" customHeight="1" x14ac:dyDescent="0.2">
      <c r="A448" s="143" t="s">
        <v>296</v>
      </c>
      <c r="G448" s="143" t="s">
        <v>662</v>
      </c>
      <c r="J448" s="147" t="s">
        <v>390</v>
      </c>
      <c r="K448" s="149">
        <f t="shared" si="110"/>
        <v>0</v>
      </c>
      <c r="L448" s="149">
        <f t="shared" si="111"/>
        <v>0</v>
      </c>
      <c r="M448" s="149">
        <f t="shared" si="112"/>
        <v>0</v>
      </c>
      <c r="N448" s="149"/>
      <c r="O448" s="149">
        <f t="shared" si="113"/>
        <v>0</v>
      </c>
      <c r="P448" s="216">
        <f t="shared" si="114"/>
        <v>0</v>
      </c>
      <c r="Q448" s="150">
        <f>IF(O448=0,0,IF(X448=0,"manual",(O448/(R448*tax*markup*IF(Y448&lt;&gt;"",VLOOKUP(LEFT(Y448,2),cityindex,2,0),1)+S448*markup*difficulty*IF(Y448&lt;&gt;"",VLOOKUP(LEFT(Y448,2),cityindex,3,0),1)+W448*markup*difficulty*IF(Y448&lt;&gt;"",VLOOKUP(LEFT(Y448,2),cityindex,3,0),1)))-1))</f>
        <v>0</v>
      </c>
      <c r="S448" s="143">
        <f t="shared" si="116"/>
        <v>0</v>
      </c>
      <c r="X448" s="143">
        <f t="shared" si="117"/>
        <v>0</v>
      </c>
      <c r="Y448" s="143" t="s">
        <v>663</v>
      </c>
    </row>
    <row r="449" spans="1:26" ht="12.75" customHeight="1" x14ac:dyDescent="0.2">
      <c r="A449" s="143" t="s">
        <v>296</v>
      </c>
      <c r="G449" s="143" t="s">
        <v>664</v>
      </c>
      <c r="J449" s="147" t="s">
        <v>390</v>
      </c>
      <c r="K449" s="149">
        <f t="shared" si="110"/>
        <v>0</v>
      </c>
      <c r="L449" s="149">
        <f t="shared" si="111"/>
        <v>0</v>
      </c>
      <c r="M449" s="149">
        <f t="shared" si="112"/>
        <v>0</v>
      </c>
      <c r="N449" s="149"/>
      <c r="O449" s="149">
        <f t="shared" si="113"/>
        <v>0</v>
      </c>
      <c r="P449" s="216">
        <f t="shared" si="114"/>
        <v>0</v>
      </c>
      <c r="Q449" s="150">
        <f>IF(O449=0,0,IF(X449=0,"manual",(O449/(R449*tax*markup*IF(Y449&lt;&gt;"",VLOOKUP(LEFT(Y449,2),cityindex,2,0),1)+S449*markup*difficulty*IF(Y449&lt;&gt;"",VLOOKUP(LEFT(Y449,2),cityindex,3,0),1)+W449*markup*difficulty*IF(Y449&lt;&gt;"",VLOOKUP(LEFT(Y449,2),cityindex,3,0),1)))-1))</f>
        <v>0</v>
      </c>
      <c r="S449" s="143">
        <f t="shared" si="116"/>
        <v>0</v>
      </c>
      <c r="X449" s="143">
        <f t="shared" si="117"/>
        <v>0</v>
      </c>
      <c r="Y449" s="143" t="s">
        <v>665</v>
      </c>
    </row>
    <row r="450" spans="1:26" ht="12.75" customHeight="1" x14ac:dyDescent="0.2">
      <c r="A450" s="143" t="s">
        <v>296</v>
      </c>
      <c r="G450" s="143" t="s">
        <v>666</v>
      </c>
      <c r="J450" s="147" t="s">
        <v>390</v>
      </c>
      <c r="K450" s="149">
        <f t="shared" si="110"/>
        <v>0</v>
      </c>
      <c r="L450" s="149">
        <f t="shared" si="111"/>
        <v>0</v>
      </c>
      <c r="M450" s="149">
        <f t="shared" si="112"/>
        <v>0</v>
      </c>
      <c r="N450" s="149"/>
      <c r="O450" s="149">
        <f t="shared" si="113"/>
        <v>0</v>
      </c>
      <c r="P450" s="216">
        <f t="shared" si="114"/>
        <v>0</v>
      </c>
      <c r="Q450" s="150">
        <f>IF(O450=0,0,IF(X450=0,"manual",(O450/(R450*tax*markup*IF(Y450&lt;&gt;"",VLOOKUP(LEFT(Y450,2),cityindex,2,0),1)+S450*markup*difficulty*IF(Y450&lt;&gt;"",VLOOKUP(LEFT(Y450,2),cityindex,3,0),1)+W450*markup*difficulty*IF(Y450&lt;&gt;"",VLOOKUP(LEFT(Y450,2),cityindex,3,0),1)))-1))</f>
        <v>0</v>
      </c>
      <c r="S450" s="143">
        <f t="shared" si="116"/>
        <v>0</v>
      </c>
      <c r="X450" s="143">
        <f t="shared" si="117"/>
        <v>0</v>
      </c>
      <c r="Y450" s="143" t="s">
        <v>667</v>
      </c>
    </row>
    <row r="451" spans="1:26" x14ac:dyDescent="0.2">
      <c r="A451" s="143" t="s">
        <v>296</v>
      </c>
      <c r="K451" s="149">
        <f t="shared" si="110"/>
        <v>0</v>
      </c>
      <c r="L451" s="149">
        <f t="shared" si="111"/>
        <v>0</v>
      </c>
      <c r="M451" s="149">
        <f t="shared" si="112"/>
        <v>0</v>
      </c>
      <c r="N451" s="149"/>
      <c r="O451" s="149">
        <f t="shared" si="113"/>
        <v>0</v>
      </c>
      <c r="P451" s="216">
        <f t="shared" si="114"/>
        <v>0</v>
      </c>
      <c r="Q451" s="150">
        <f>IF(O451=0,0,IF(X451=0,"manual",O451/((R451*tax*markup*IF(Y451&lt;&gt;"",VLOOKUP(LEFT(Y451,2),cityindex,2,0),1))+S451*markup*difficulty*IF(Y451&lt;&gt;"",VLOOKUP(LEFT(Y451,2),cityindex,3,0),1)+W451*markup*difficulty*IF(Y451&lt;&gt;"",VLOOKUP(LEFT(Y451,2),cityindex,3,0),1))))</f>
        <v>0</v>
      </c>
      <c r="S451" s="143">
        <f t="shared" si="116"/>
        <v>0</v>
      </c>
      <c r="X451" s="143">
        <f t="shared" si="117"/>
        <v>0</v>
      </c>
    </row>
    <row r="452" spans="1:26" x14ac:dyDescent="0.2">
      <c r="A452" s="143" t="s">
        <v>296</v>
      </c>
      <c r="E452" s="143" t="s">
        <v>668</v>
      </c>
      <c r="K452" s="149">
        <f t="shared" si="110"/>
        <v>0</v>
      </c>
      <c r="L452" s="149">
        <f t="shared" si="111"/>
        <v>0</v>
      </c>
      <c r="M452" s="149">
        <f t="shared" si="112"/>
        <v>0</v>
      </c>
      <c r="N452" s="149"/>
      <c r="O452" s="149">
        <f t="shared" si="113"/>
        <v>0</v>
      </c>
      <c r="P452" s="216">
        <f t="shared" si="114"/>
        <v>0</v>
      </c>
      <c r="Q452" s="150">
        <f>IF(O452=0,0,IF(X452=0,"manual",O452/((R452*tax*markup*IF(Y452&lt;&gt;"",VLOOKUP(LEFT(Y452,2),cityindex,2,0),1))+S452*markup*difficulty*IF(Y452&lt;&gt;"",VLOOKUP(LEFT(Y452,2),cityindex,3,0),1)+W452*markup*difficulty*IF(Y452&lt;&gt;"",VLOOKUP(LEFT(Y452,2),cityindex,3,0),1))))</f>
        <v>0</v>
      </c>
      <c r="S452" s="143">
        <f t="shared" si="116"/>
        <v>0</v>
      </c>
      <c r="X452" s="143">
        <f t="shared" si="117"/>
        <v>0</v>
      </c>
      <c r="Z452" s="227"/>
    </row>
    <row r="453" spans="1:26" ht="12.75" customHeight="1" x14ac:dyDescent="0.2">
      <c r="A453" s="143" t="s">
        <v>296</v>
      </c>
      <c r="F453" s="143" t="s">
        <v>669</v>
      </c>
      <c r="J453" s="147" t="s">
        <v>301</v>
      </c>
      <c r="K453" s="149">
        <f t="shared" si="110"/>
        <v>0</v>
      </c>
      <c r="L453" s="149">
        <f t="shared" si="111"/>
        <v>0</v>
      </c>
      <c r="M453" s="149">
        <f t="shared" si="112"/>
        <v>0</v>
      </c>
      <c r="N453" s="149"/>
      <c r="O453" s="149">
        <f t="shared" si="113"/>
        <v>0</v>
      </c>
      <c r="P453" s="216">
        <f t="shared" si="114"/>
        <v>0</v>
      </c>
      <c r="Q453" s="150">
        <f>IF(O453=0,0,IF(X453=0,"manual",(O453/(R453*tax*markup*IF(Y453&lt;&gt;"",VLOOKUP(LEFT(Y453,2),cityindex,2,0),1)+S453*markup*difficulty*IF(Y453&lt;&gt;"",VLOOKUP(LEFT(Y453,2),cityindex,3,0),1)+W453*markup*difficulty*IF(Y453&lt;&gt;"",VLOOKUP(LEFT(Y453,2),cityindex,3,0),1)))-1))</f>
        <v>0</v>
      </c>
      <c r="S453" s="143">
        <f t="shared" si="116"/>
        <v>0</v>
      </c>
      <c r="X453" s="143">
        <f t="shared" si="117"/>
        <v>0</v>
      </c>
      <c r="Y453" s="143" t="s">
        <v>670</v>
      </c>
    </row>
    <row r="454" spans="1:26" ht="12.75" customHeight="1" x14ac:dyDescent="0.2">
      <c r="A454" s="143" t="s">
        <v>296</v>
      </c>
      <c r="F454" s="143" t="s">
        <v>671</v>
      </c>
      <c r="J454" s="147" t="s">
        <v>301</v>
      </c>
      <c r="K454" s="149">
        <f t="shared" si="110"/>
        <v>0</v>
      </c>
      <c r="L454" s="149">
        <f t="shared" si="111"/>
        <v>0</v>
      </c>
      <c r="M454" s="149">
        <f t="shared" si="112"/>
        <v>0</v>
      </c>
      <c r="N454" s="149"/>
      <c r="O454" s="149">
        <f t="shared" si="113"/>
        <v>0</v>
      </c>
      <c r="P454" s="216">
        <f t="shared" si="114"/>
        <v>0</v>
      </c>
      <c r="Q454" s="150">
        <f>IF(O454=0,0,IF(X454=0,"manual",(O454/(R454*tax*markup*IF(Y454&lt;&gt;"",VLOOKUP(LEFT(Y454,2),cityindex,2,0),1)+S454*markup*difficulty*IF(Y454&lt;&gt;"",VLOOKUP(LEFT(Y454,2),cityindex,3,0),1)+W454*markup*difficulty*IF(Y454&lt;&gt;"",VLOOKUP(LEFT(Y454,2),cityindex,3,0),1)))-1))</f>
        <v>0</v>
      </c>
      <c r="S454" s="143">
        <f t="shared" si="116"/>
        <v>0</v>
      </c>
      <c r="X454" s="143">
        <f t="shared" si="117"/>
        <v>0</v>
      </c>
      <c r="Y454" s="143" t="s">
        <v>672</v>
      </c>
    </row>
    <row r="455" spans="1:26" ht="12.75" customHeight="1" x14ac:dyDescent="0.2">
      <c r="A455" s="143" t="s">
        <v>296</v>
      </c>
      <c r="F455" s="143" t="s">
        <v>673</v>
      </c>
      <c r="J455" s="147" t="s">
        <v>301</v>
      </c>
      <c r="K455" s="149">
        <f>R455*tax*markup*IF(Y455&lt;&gt;"",VLOOKUP(LEFT(Y455,2),cityindex,2,0),1)</f>
        <v>0</v>
      </c>
      <c r="L455" s="149">
        <f>S455*markup*difficulty*IF(Y455&lt;&gt;"",VLOOKUP(LEFT(Y455,2),cityindex,3,0),1)</f>
        <v>0</v>
      </c>
      <c r="M455" s="149">
        <f>W455*markup*difficulty*IF(Y455&lt;&gt;"",VLOOKUP(LEFT(Y455,2),cityindex,3,0),1)</f>
        <v>0</v>
      </c>
      <c r="N455" s="149"/>
      <c r="O455" s="149">
        <f t="shared" si="113"/>
        <v>0</v>
      </c>
      <c r="P455" s="216">
        <f>ROUND((O455*I455),0)</f>
        <v>0</v>
      </c>
      <c r="Q455" s="150">
        <f>IF(O455=0,0,IF(X455=0,"manual",(O455/(R455*tax*markup*IF(Y455&lt;&gt;"",VLOOKUP(LEFT(Y455,2),cityindex,2,0),1)+S455*markup*difficulty*IF(Y455&lt;&gt;"",VLOOKUP(LEFT(Y455,2),cityindex,3,0),1)+W455*markup*difficulty*IF(Y455&lt;&gt;"",VLOOKUP(LEFT(Y455,2),cityindex,3,0),1)))-1))</f>
        <v>0</v>
      </c>
      <c r="S455" s="143">
        <f t="shared" si="116"/>
        <v>0</v>
      </c>
      <c r="X455" s="143">
        <f t="shared" si="117"/>
        <v>0</v>
      </c>
      <c r="Y455" s="143" t="s">
        <v>674</v>
      </c>
    </row>
    <row r="456" spans="1:26" ht="12.75" customHeight="1" x14ac:dyDescent="0.2">
      <c r="A456" s="143" t="s">
        <v>296</v>
      </c>
      <c r="F456" s="143" t="s">
        <v>675</v>
      </c>
      <c r="J456" s="147" t="s">
        <v>301</v>
      </c>
      <c r="K456" s="149">
        <f t="shared" si="110"/>
        <v>0</v>
      </c>
      <c r="L456" s="149">
        <f t="shared" si="111"/>
        <v>0</v>
      </c>
      <c r="M456" s="149">
        <f t="shared" si="112"/>
        <v>0</v>
      </c>
      <c r="N456" s="149"/>
      <c r="O456" s="149">
        <f t="shared" si="113"/>
        <v>0</v>
      </c>
      <c r="P456" s="216">
        <f t="shared" si="114"/>
        <v>0</v>
      </c>
      <c r="Q456" s="150">
        <f>IF(O456=0,0,IF(X456=0,"manual",(O456/(R456*tax*markup*IF(Y456&lt;&gt;"",VLOOKUP(LEFT(Y456,2),cityindex,2,0),1)+S456*markup*difficulty*IF(Y456&lt;&gt;"",VLOOKUP(LEFT(Y456,2),cityindex,3,0),1)+W456*markup*difficulty*IF(Y456&lt;&gt;"",VLOOKUP(LEFT(Y456,2),cityindex,3,0),1)))-1))</f>
        <v>0</v>
      </c>
      <c r="S456" s="143">
        <f t="shared" si="116"/>
        <v>0</v>
      </c>
      <c r="X456" s="143">
        <f t="shared" si="117"/>
        <v>0</v>
      </c>
      <c r="Y456" s="143" t="s">
        <v>676</v>
      </c>
    </row>
    <row r="457" spans="1:26" x14ac:dyDescent="0.2">
      <c r="A457" s="143" t="s">
        <v>296</v>
      </c>
      <c r="K457" s="149">
        <f t="shared" si="110"/>
        <v>0</v>
      </c>
      <c r="L457" s="149">
        <f t="shared" si="111"/>
        <v>0</v>
      </c>
      <c r="M457" s="149">
        <f t="shared" si="112"/>
        <v>0</v>
      </c>
      <c r="N457" s="149"/>
      <c r="O457" s="149">
        <f t="shared" si="113"/>
        <v>0</v>
      </c>
      <c r="P457" s="216">
        <f t="shared" si="114"/>
        <v>0</v>
      </c>
      <c r="Q457" s="150">
        <f>IF(O457=0,0,IF(X457=0,"manual",O457/((R457*tax*markup*IF(Y457&lt;&gt;"",VLOOKUP(LEFT(Y457,2),cityindex,2,0),1))+S457*markup*difficulty*IF(Y457&lt;&gt;"",VLOOKUP(LEFT(Y457,2),cityindex,3,0),1)+W457*markup*difficulty*IF(Y457&lt;&gt;"",VLOOKUP(LEFT(Y457,2),cityindex,3,0),1))))</f>
        <v>0</v>
      </c>
      <c r="S457" s="143">
        <f t="shared" si="116"/>
        <v>0</v>
      </c>
      <c r="X457" s="143">
        <f t="shared" si="117"/>
        <v>0</v>
      </c>
      <c r="Z457" s="227"/>
    </row>
    <row r="458" spans="1:26" x14ac:dyDescent="0.2">
      <c r="A458" s="143" t="s">
        <v>296</v>
      </c>
      <c r="E458" s="143" t="s">
        <v>677</v>
      </c>
      <c r="K458" s="149">
        <f t="shared" si="110"/>
        <v>0</v>
      </c>
      <c r="L458" s="149">
        <f t="shared" si="111"/>
        <v>0</v>
      </c>
      <c r="M458" s="149">
        <f t="shared" si="112"/>
        <v>0</v>
      </c>
      <c r="N458" s="149"/>
      <c r="O458" s="149">
        <f t="shared" si="113"/>
        <v>0</v>
      </c>
      <c r="P458" s="216">
        <f t="shared" si="114"/>
        <v>0</v>
      </c>
      <c r="Q458" s="150">
        <f>IF(O458=0,0,IF(X458=0,"manual",O458/((R458*tax*markup*IF(Y458&lt;&gt;"",VLOOKUP(LEFT(Y458,2),cityindex,2,0),1))+S458*markup*difficulty*IF(Y458&lt;&gt;"",VLOOKUP(LEFT(Y458,2),cityindex,3,0),1)+W458*markup*difficulty*IF(Y458&lt;&gt;"",VLOOKUP(LEFT(Y458,2),cityindex,3,0),1))))</f>
        <v>0</v>
      </c>
      <c r="S458" s="143">
        <f t="shared" si="116"/>
        <v>0</v>
      </c>
      <c r="X458" s="143">
        <f t="shared" si="117"/>
        <v>0</v>
      </c>
      <c r="Z458" s="227"/>
    </row>
    <row r="459" spans="1:26" ht="12.75" customHeight="1" x14ac:dyDescent="0.2">
      <c r="A459" s="143" t="s">
        <v>296</v>
      </c>
      <c r="F459" s="143" t="s">
        <v>646</v>
      </c>
      <c r="K459" s="149">
        <f t="shared" si="110"/>
        <v>0</v>
      </c>
      <c r="L459" s="149">
        <f t="shared" si="111"/>
        <v>0</v>
      </c>
      <c r="M459" s="149">
        <f t="shared" si="112"/>
        <v>0</v>
      </c>
      <c r="N459" s="149"/>
      <c r="O459" s="149">
        <f t="shared" si="113"/>
        <v>0</v>
      </c>
      <c r="P459" s="216">
        <f t="shared" si="114"/>
        <v>0</v>
      </c>
      <c r="Q459" s="150">
        <f t="shared" ref="Q459:Q467" si="118">IF(O459=0,0,IF(X459=0,"manual",(O459/(R459*tax*markup*IF(Y459&lt;&gt;"",VLOOKUP(LEFT(Y459,2),cityindex,2,0),1)+S459*markup*difficulty*IF(Y459&lt;&gt;"",VLOOKUP(LEFT(Y459,2),cityindex,3,0),1)+W459*markup*difficulty*IF(Y459&lt;&gt;"",VLOOKUP(LEFT(Y459,2),cityindex,3,0),1)))-1))</f>
        <v>0</v>
      </c>
      <c r="S459" s="143">
        <f t="shared" si="116"/>
        <v>0</v>
      </c>
      <c r="X459" s="143">
        <f t="shared" si="117"/>
        <v>0</v>
      </c>
    </row>
    <row r="460" spans="1:26" ht="12.75" customHeight="1" x14ac:dyDescent="0.2">
      <c r="A460" s="143" t="s">
        <v>296</v>
      </c>
      <c r="G460" s="143" t="s">
        <v>389</v>
      </c>
      <c r="J460" s="147" t="s">
        <v>390</v>
      </c>
      <c r="K460" s="149">
        <f t="shared" si="110"/>
        <v>0</v>
      </c>
      <c r="L460" s="149">
        <f t="shared" si="111"/>
        <v>0</v>
      </c>
      <c r="M460" s="149">
        <f t="shared" si="112"/>
        <v>0</v>
      </c>
      <c r="N460" s="149"/>
      <c r="O460" s="149">
        <f t="shared" si="113"/>
        <v>0</v>
      </c>
      <c r="P460" s="216">
        <f t="shared" si="114"/>
        <v>0</v>
      </c>
      <c r="Q460" s="150">
        <f t="shared" si="118"/>
        <v>0</v>
      </c>
      <c r="S460" s="143">
        <f t="shared" si="116"/>
        <v>0</v>
      </c>
      <c r="X460" s="143">
        <f t="shared" si="117"/>
        <v>0</v>
      </c>
      <c r="Y460" s="143" t="s">
        <v>647</v>
      </c>
    </row>
    <row r="461" spans="1:26" ht="12.75" customHeight="1" x14ac:dyDescent="0.2">
      <c r="A461" s="143" t="s">
        <v>296</v>
      </c>
      <c r="G461" s="143" t="s">
        <v>392</v>
      </c>
      <c r="J461" s="147" t="s">
        <v>648</v>
      </c>
      <c r="K461" s="149">
        <f t="shared" si="110"/>
        <v>0</v>
      </c>
      <c r="L461" s="149">
        <f t="shared" si="111"/>
        <v>0</v>
      </c>
      <c r="M461" s="149">
        <f t="shared" si="112"/>
        <v>0</v>
      </c>
      <c r="N461" s="149"/>
      <c r="O461" s="149">
        <f t="shared" si="113"/>
        <v>0</v>
      </c>
      <c r="P461" s="216">
        <f t="shared" si="114"/>
        <v>0</v>
      </c>
      <c r="Q461" s="150">
        <f t="shared" si="118"/>
        <v>0</v>
      </c>
      <c r="S461" s="143">
        <f t="shared" si="116"/>
        <v>0</v>
      </c>
      <c r="X461" s="143">
        <f t="shared" si="117"/>
        <v>0</v>
      </c>
      <c r="Y461" s="143" t="s">
        <v>649</v>
      </c>
    </row>
    <row r="462" spans="1:26" ht="12.75" customHeight="1" x14ac:dyDescent="0.2">
      <c r="A462" s="143" t="s">
        <v>296</v>
      </c>
      <c r="F462" s="143" t="s">
        <v>650</v>
      </c>
      <c r="K462" s="149">
        <f t="shared" si="110"/>
        <v>0</v>
      </c>
      <c r="L462" s="149">
        <f t="shared" si="111"/>
        <v>0</v>
      </c>
      <c r="M462" s="149">
        <f t="shared" si="112"/>
        <v>0</v>
      </c>
      <c r="N462" s="149"/>
      <c r="O462" s="149">
        <f t="shared" si="113"/>
        <v>0</v>
      </c>
      <c r="P462" s="216">
        <f t="shared" si="114"/>
        <v>0</v>
      </c>
      <c r="Q462" s="150">
        <f t="shared" si="118"/>
        <v>0</v>
      </c>
      <c r="S462" s="143">
        <f t="shared" si="116"/>
        <v>0</v>
      </c>
      <c r="X462" s="143">
        <f t="shared" si="117"/>
        <v>0</v>
      </c>
    </row>
    <row r="463" spans="1:26" ht="12.75" customHeight="1" x14ac:dyDescent="0.2">
      <c r="A463" s="143" t="s">
        <v>296</v>
      </c>
      <c r="G463" s="143" t="s">
        <v>389</v>
      </c>
      <c r="J463" s="147" t="s">
        <v>390</v>
      </c>
      <c r="K463" s="149">
        <f t="shared" si="110"/>
        <v>0</v>
      </c>
      <c r="L463" s="149">
        <f t="shared" si="111"/>
        <v>0</v>
      </c>
      <c r="M463" s="149">
        <f t="shared" si="112"/>
        <v>0</v>
      </c>
      <c r="N463" s="149"/>
      <c r="O463" s="149">
        <f t="shared" si="113"/>
        <v>0</v>
      </c>
      <c r="P463" s="216">
        <f t="shared" si="114"/>
        <v>0</v>
      </c>
      <c r="Q463" s="150">
        <f t="shared" si="118"/>
        <v>0</v>
      </c>
      <c r="S463" s="143">
        <f t="shared" si="116"/>
        <v>0</v>
      </c>
      <c r="X463" s="143">
        <f t="shared" si="117"/>
        <v>0</v>
      </c>
      <c r="Y463" s="143" t="s">
        <v>651</v>
      </c>
    </row>
    <row r="464" spans="1:26" ht="12.75" customHeight="1" x14ac:dyDescent="0.2">
      <c r="A464" s="143" t="s">
        <v>296</v>
      </c>
      <c r="G464" s="143" t="s">
        <v>392</v>
      </c>
      <c r="J464" s="147" t="s">
        <v>648</v>
      </c>
      <c r="K464" s="149">
        <f t="shared" si="110"/>
        <v>0</v>
      </c>
      <c r="L464" s="149">
        <f t="shared" si="111"/>
        <v>0</v>
      </c>
      <c r="M464" s="149">
        <f t="shared" si="112"/>
        <v>0</v>
      </c>
      <c r="N464" s="149"/>
      <c r="O464" s="149">
        <f t="shared" si="113"/>
        <v>0</v>
      </c>
      <c r="P464" s="216">
        <f t="shared" si="114"/>
        <v>0</v>
      </c>
      <c r="Q464" s="150">
        <f t="shared" si="118"/>
        <v>0</v>
      </c>
      <c r="S464" s="143">
        <f t="shared" si="116"/>
        <v>0</v>
      </c>
      <c r="X464" s="143">
        <f t="shared" si="117"/>
        <v>0</v>
      </c>
      <c r="Y464" s="143" t="s">
        <v>652</v>
      </c>
    </row>
    <row r="465" spans="1:27" ht="12.75" customHeight="1" x14ac:dyDescent="0.2">
      <c r="A465" s="143" t="s">
        <v>296</v>
      </c>
      <c r="F465" s="143" t="s">
        <v>653</v>
      </c>
      <c r="K465" s="149">
        <f t="shared" si="110"/>
        <v>0</v>
      </c>
      <c r="L465" s="149">
        <f t="shared" si="111"/>
        <v>0</v>
      </c>
      <c r="M465" s="149">
        <f t="shared" si="112"/>
        <v>0</v>
      </c>
      <c r="N465" s="149"/>
      <c r="O465" s="149">
        <f t="shared" si="113"/>
        <v>0</v>
      </c>
      <c r="P465" s="216">
        <f t="shared" si="114"/>
        <v>0</v>
      </c>
      <c r="Q465" s="150">
        <f t="shared" si="118"/>
        <v>0</v>
      </c>
      <c r="S465" s="143">
        <f t="shared" si="116"/>
        <v>0</v>
      </c>
      <c r="X465" s="143">
        <f t="shared" si="117"/>
        <v>0</v>
      </c>
    </row>
    <row r="466" spans="1:27" ht="12.75" customHeight="1" x14ac:dyDescent="0.2">
      <c r="A466" s="143" t="s">
        <v>296</v>
      </c>
      <c r="G466" s="143" t="s">
        <v>389</v>
      </c>
      <c r="J466" s="147" t="s">
        <v>390</v>
      </c>
      <c r="K466" s="149">
        <f t="shared" si="110"/>
        <v>0</v>
      </c>
      <c r="L466" s="149">
        <f t="shared" si="111"/>
        <v>0</v>
      </c>
      <c r="M466" s="149">
        <f t="shared" si="112"/>
        <v>0</v>
      </c>
      <c r="N466" s="149"/>
      <c r="O466" s="149">
        <f t="shared" si="113"/>
        <v>0</v>
      </c>
      <c r="P466" s="216">
        <f t="shared" si="114"/>
        <v>0</v>
      </c>
      <c r="Q466" s="150">
        <f t="shared" si="118"/>
        <v>0</v>
      </c>
      <c r="S466" s="143">
        <f t="shared" si="116"/>
        <v>0</v>
      </c>
      <c r="X466" s="143">
        <f t="shared" si="117"/>
        <v>0</v>
      </c>
      <c r="Y466" s="143" t="s">
        <v>654</v>
      </c>
    </row>
    <row r="467" spans="1:27" ht="12.75" customHeight="1" x14ac:dyDescent="0.2">
      <c r="A467" s="143" t="s">
        <v>296</v>
      </c>
      <c r="G467" s="143" t="s">
        <v>392</v>
      </c>
      <c r="J467" s="147" t="s">
        <v>648</v>
      </c>
      <c r="K467" s="149">
        <f t="shared" si="110"/>
        <v>0</v>
      </c>
      <c r="L467" s="149">
        <f t="shared" si="111"/>
        <v>0</v>
      </c>
      <c r="M467" s="149">
        <f t="shared" si="112"/>
        <v>0</v>
      </c>
      <c r="N467" s="149"/>
      <c r="O467" s="149">
        <f t="shared" si="113"/>
        <v>0</v>
      </c>
      <c r="P467" s="216">
        <f t="shared" si="114"/>
        <v>0</v>
      </c>
      <c r="Q467" s="150">
        <f t="shared" si="118"/>
        <v>0</v>
      </c>
      <c r="S467" s="143">
        <f t="shared" si="116"/>
        <v>0</v>
      </c>
      <c r="X467" s="143">
        <f t="shared" si="117"/>
        <v>0</v>
      </c>
      <c r="Y467" s="143" t="s">
        <v>655</v>
      </c>
    </row>
    <row r="468" spans="1:27" x14ac:dyDescent="0.2">
      <c r="A468" s="143" t="s">
        <v>296</v>
      </c>
      <c r="F468" s="143" t="s">
        <v>378</v>
      </c>
      <c r="K468" s="149">
        <f t="shared" si="110"/>
        <v>0</v>
      </c>
      <c r="L468" s="149">
        <f t="shared" si="111"/>
        <v>0</v>
      </c>
      <c r="M468" s="149">
        <f t="shared" si="112"/>
        <v>0</v>
      </c>
      <c r="N468" s="149"/>
      <c r="O468" s="149">
        <f t="shared" si="113"/>
        <v>0</v>
      </c>
      <c r="P468" s="216">
        <f t="shared" si="114"/>
        <v>0</v>
      </c>
      <c r="Q468" s="150">
        <f>IF(O468=0,0,IF(X468=0,"manual",O468/((R468*tax*markup*IF(Y468&lt;&gt;"",VLOOKUP(LEFT(Y468,2),cityindex,2,0),1))+S468*markup*difficulty*IF(Y468&lt;&gt;"",VLOOKUP(LEFT(Y468,2),cityindex,3,0),1)+W468*markup*difficulty*IF(Y468&lt;&gt;"",VLOOKUP(LEFT(Y468,2),cityindex,3,0),1))))</f>
        <v>0</v>
      </c>
      <c r="S468" s="143">
        <f t="shared" si="116"/>
        <v>0</v>
      </c>
      <c r="X468" s="143">
        <f t="shared" si="117"/>
        <v>0</v>
      </c>
      <c r="Z468" s="227"/>
    </row>
    <row r="469" spans="1:27" ht="12.75" customHeight="1" x14ac:dyDescent="0.2">
      <c r="A469" s="143" t="s">
        <v>296</v>
      </c>
      <c r="G469" s="143" t="s">
        <v>660</v>
      </c>
      <c r="J469" s="147" t="s">
        <v>390</v>
      </c>
      <c r="K469" s="149">
        <f>R469*tax*markup*IF(Y469&lt;&gt;"",VLOOKUP(LEFT(Y469,2),cityindex,2,0),1)</f>
        <v>0</v>
      </c>
      <c r="L469" s="149">
        <f>S469*markup*difficulty*IF(Y469&lt;&gt;"",VLOOKUP(LEFT(Y469,2),cityindex,3,0),1)</f>
        <v>0</v>
      </c>
      <c r="M469" s="149">
        <f>W469*markup*difficulty*IF(Y469&lt;&gt;"",VLOOKUP(LEFT(Y469,2),cityindex,3,0),1)</f>
        <v>0</v>
      </c>
      <c r="N469" s="149"/>
      <c r="O469" s="149">
        <f>SUM(K469:N469)*embed</f>
        <v>0</v>
      </c>
      <c r="P469" s="216">
        <f>ROUND((O469*I469),0)</f>
        <v>0</v>
      </c>
      <c r="Q469" s="150">
        <f>IF(O469=0,0,IF(X469=0,"manual",(O469/(R469*tax*markup*IF(Y469&lt;&gt;"",VLOOKUP(LEFT(Y469,2),cityindex,2,0),1)+S469*markup*difficulty*IF(Y469&lt;&gt;"",VLOOKUP(LEFT(Y469,2),cityindex,3,0),1)+W469*markup*difficulty*IF(Y469&lt;&gt;"",VLOOKUP(LEFT(Y469,2),cityindex,3,0),1)))-1))</f>
        <v>0</v>
      </c>
      <c r="S469" s="143">
        <f>U469*V469</f>
        <v>0</v>
      </c>
      <c r="X469" s="143">
        <f>SUM(R469,S469,W469)</f>
        <v>0</v>
      </c>
      <c r="Y469" s="143" t="s">
        <v>661</v>
      </c>
    </row>
    <row r="470" spans="1:27" ht="12.75" customHeight="1" x14ac:dyDescent="0.2">
      <c r="A470" s="143" t="s">
        <v>296</v>
      </c>
      <c r="G470" s="143" t="s">
        <v>662</v>
      </c>
      <c r="J470" s="147" t="s">
        <v>390</v>
      </c>
      <c r="K470" s="149">
        <f t="shared" si="110"/>
        <v>0</v>
      </c>
      <c r="L470" s="149">
        <f t="shared" si="111"/>
        <v>0</v>
      </c>
      <c r="M470" s="149">
        <f t="shared" si="112"/>
        <v>0</v>
      </c>
      <c r="N470" s="149"/>
      <c r="O470" s="149">
        <f t="shared" si="113"/>
        <v>0</v>
      </c>
      <c r="P470" s="216">
        <f t="shared" si="114"/>
        <v>0</v>
      </c>
      <c r="Q470" s="150">
        <f t="shared" ref="Q470:Q477" si="119">IF(O470=0,0,IF(X470=0,"manual",(O470/(R470*tax*markup*IF(Y470&lt;&gt;"",VLOOKUP(LEFT(Y470,2),cityindex,2,0),1)+S470*markup*difficulty*IF(Y470&lt;&gt;"",VLOOKUP(LEFT(Y470,2),cityindex,3,0),1)+W470*markup*difficulty*IF(Y470&lt;&gt;"",VLOOKUP(LEFT(Y470,2),cityindex,3,0),1)))-1))</f>
        <v>0</v>
      </c>
      <c r="S470" s="143">
        <f t="shared" si="116"/>
        <v>0</v>
      </c>
      <c r="X470" s="143">
        <f t="shared" si="117"/>
        <v>0</v>
      </c>
      <c r="Y470" s="143" t="s">
        <v>663</v>
      </c>
    </row>
    <row r="471" spans="1:27" ht="12.75" customHeight="1" x14ac:dyDescent="0.2">
      <c r="A471" s="143" t="s">
        <v>296</v>
      </c>
      <c r="G471" s="143" t="s">
        <v>664</v>
      </c>
      <c r="J471" s="147" t="s">
        <v>390</v>
      </c>
      <c r="K471" s="149">
        <f t="shared" si="110"/>
        <v>0</v>
      </c>
      <c r="L471" s="149">
        <f t="shared" si="111"/>
        <v>0</v>
      </c>
      <c r="M471" s="149">
        <f t="shared" si="112"/>
        <v>0</v>
      </c>
      <c r="N471" s="149"/>
      <c r="O471" s="149">
        <f t="shared" si="113"/>
        <v>0</v>
      </c>
      <c r="P471" s="216">
        <f t="shared" si="114"/>
        <v>0</v>
      </c>
      <c r="Q471" s="150">
        <f t="shared" si="119"/>
        <v>0</v>
      </c>
      <c r="S471" s="143">
        <f t="shared" si="116"/>
        <v>0</v>
      </c>
      <c r="X471" s="143">
        <f t="shared" si="117"/>
        <v>0</v>
      </c>
      <c r="Y471" s="143" t="s">
        <v>665</v>
      </c>
    </row>
    <row r="472" spans="1:27" ht="12.75" customHeight="1" x14ac:dyDescent="0.2">
      <c r="A472" s="143" t="s">
        <v>296</v>
      </c>
      <c r="G472" s="143" t="s">
        <v>666</v>
      </c>
      <c r="J472" s="147" t="s">
        <v>390</v>
      </c>
      <c r="K472" s="149">
        <f t="shared" si="110"/>
        <v>0</v>
      </c>
      <c r="L472" s="149">
        <f t="shared" si="111"/>
        <v>0</v>
      </c>
      <c r="M472" s="149">
        <f t="shared" si="112"/>
        <v>0</v>
      </c>
      <c r="N472" s="149"/>
      <c r="O472" s="149">
        <f t="shared" si="113"/>
        <v>0</v>
      </c>
      <c r="P472" s="216">
        <f t="shared" si="114"/>
        <v>0</v>
      </c>
      <c r="Q472" s="150">
        <f t="shared" si="119"/>
        <v>0</v>
      </c>
      <c r="S472" s="143">
        <f t="shared" si="116"/>
        <v>0</v>
      </c>
      <c r="X472" s="143">
        <f t="shared" si="117"/>
        <v>0</v>
      </c>
      <c r="Y472" s="143" t="s">
        <v>667</v>
      </c>
    </row>
    <row r="473" spans="1:27" ht="12.75" customHeight="1" x14ac:dyDescent="0.2">
      <c r="A473" s="143" t="s">
        <v>296</v>
      </c>
      <c r="K473" s="149">
        <f>R473*tax*markup*IF(Y473&lt;&gt;"",VLOOKUP(LEFT(Y473,2),cityindex,2,0),1)</f>
        <v>0</v>
      </c>
      <c r="L473" s="149">
        <f>S473*markup*difficulty*IF(Y473&lt;&gt;"",VLOOKUP(LEFT(Y473,2),cityindex,3,0),1)</f>
        <v>0</v>
      </c>
      <c r="M473" s="149">
        <f>W473*markup*difficulty*IF(Y473&lt;&gt;"",VLOOKUP(LEFT(Y473,2),cityindex,3,0),1)</f>
        <v>0</v>
      </c>
      <c r="N473" s="149"/>
      <c r="O473" s="149">
        <f t="shared" si="113"/>
        <v>0</v>
      </c>
      <c r="P473" s="216">
        <f>ROUND((O473*I473),0)</f>
        <v>0</v>
      </c>
      <c r="Q473" s="150">
        <f t="shared" si="119"/>
        <v>0</v>
      </c>
      <c r="S473" s="143">
        <f>U473*V473</f>
        <v>0</v>
      </c>
      <c r="X473" s="143">
        <f>SUM(R473,S473,W473)</f>
        <v>0</v>
      </c>
    </row>
    <row r="474" spans="1:27" ht="12.75" customHeight="1" x14ac:dyDescent="0.2">
      <c r="A474" s="143" t="s">
        <v>296</v>
      </c>
      <c r="E474" s="143" t="s">
        <v>678</v>
      </c>
      <c r="K474" s="149">
        <f>R474*tax*markup*IF(Y474&lt;&gt;"",VLOOKUP(LEFT(Y474,2),cityindex,2,0),1)</f>
        <v>0</v>
      </c>
      <c r="L474" s="149">
        <f>S474*markup*difficulty*IF(Y474&lt;&gt;"",VLOOKUP(LEFT(Y474,2),cityindex,3,0),1)</f>
        <v>0</v>
      </c>
      <c r="M474" s="149">
        <f>W474*markup*difficulty*IF(Y474&lt;&gt;"",VLOOKUP(LEFT(Y474,2),cityindex,3,0),1)</f>
        <v>0</v>
      </c>
      <c r="N474" s="149"/>
      <c r="O474" s="149">
        <f t="shared" si="113"/>
        <v>0</v>
      </c>
      <c r="P474" s="216">
        <f>ROUND((O474*I474),0)</f>
        <v>0</v>
      </c>
      <c r="Q474" s="150">
        <f t="shared" si="119"/>
        <v>0</v>
      </c>
      <c r="S474" s="143">
        <f>U474*V474</f>
        <v>0</v>
      </c>
      <c r="X474" s="143">
        <f>SUM(R474,S474,W474)</f>
        <v>0</v>
      </c>
    </row>
    <row r="475" spans="1:27" ht="12.75" customHeight="1" x14ac:dyDescent="0.2">
      <c r="A475" s="143" t="s">
        <v>296</v>
      </c>
      <c r="F475" s="143" t="s">
        <v>669</v>
      </c>
      <c r="J475" s="147" t="s">
        <v>301</v>
      </c>
      <c r="K475" s="149">
        <f>R475*tax*markup*IF(Y475&lt;&gt;"",VLOOKUP(LEFT(Y475,2),cityindex,2,0),1)</f>
        <v>0</v>
      </c>
      <c r="L475" s="149">
        <f>S475*markup*difficulty*IF(Y475&lt;&gt;"",VLOOKUP(LEFT(Y475,2),cityindex,3,0),1)</f>
        <v>0</v>
      </c>
      <c r="M475" s="149">
        <f>W475*markup*difficulty*IF(Y475&lt;&gt;"",VLOOKUP(LEFT(Y475,2),cityindex,3,0),1)</f>
        <v>0</v>
      </c>
      <c r="N475" s="149"/>
      <c r="O475" s="149">
        <f t="shared" si="113"/>
        <v>0</v>
      </c>
      <c r="P475" s="216">
        <f>ROUND((O475*I475),0)</f>
        <v>0</v>
      </c>
      <c r="Q475" s="150">
        <f t="shared" si="119"/>
        <v>0</v>
      </c>
      <c r="S475" s="143">
        <f>U475*V475</f>
        <v>0</v>
      </c>
      <c r="X475" s="143">
        <f>SUM(R475,S475,W475)</f>
        <v>0</v>
      </c>
      <c r="Y475" s="143" t="s">
        <v>670</v>
      </c>
    </row>
    <row r="476" spans="1:27" ht="12.75" customHeight="1" x14ac:dyDescent="0.2">
      <c r="A476" s="143" t="s">
        <v>296</v>
      </c>
      <c r="F476" s="143" t="s">
        <v>671</v>
      </c>
      <c r="J476" s="147" t="s">
        <v>301</v>
      </c>
      <c r="K476" s="149">
        <f>R476*tax*markup*IF(Y476&lt;&gt;"",VLOOKUP(LEFT(Y476,2),cityindex,2,0),1)</f>
        <v>0</v>
      </c>
      <c r="L476" s="149">
        <f>S476*markup*difficulty*IF(Y476&lt;&gt;"",VLOOKUP(LEFT(Y476,2),cityindex,3,0),1)</f>
        <v>0</v>
      </c>
      <c r="M476" s="149">
        <f>W476*markup*difficulty*IF(Y476&lt;&gt;"",VLOOKUP(LEFT(Y476,2),cityindex,3,0),1)</f>
        <v>0</v>
      </c>
      <c r="N476" s="149"/>
      <c r="O476" s="149">
        <f t="shared" si="113"/>
        <v>0</v>
      </c>
      <c r="P476" s="216">
        <f>ROUND((O476*I476),0)</f>
        <v>0</v>
      </c>
      <c r="Q476" s="150">
        <f t="shared" si="119"/>
        <v>0</v>
      </c>
      <c r="S476" s="143">
        <f>U476*V476</f>
        <v>0</v>
      </c>
      <c r="X476" s="143">
        <f>SUM(R476,S476,W476)</f>
        <v>0</v>
      </c>
      <c r="Y476" s="143" t="s">
        <v>672</v>
      </c>
    </row>
    <row r="477" spans="1:27" ht="12.75" customHeight="1" x14ac:dyDescent="0.2">
      <c r="A477" s="143" t="s">
        <v>296</v>
      </c>
      <c r="F477" s="143" t="s">
        <v>673</v>
      </c>
      <c r="J477" s="147" t="s">
        <v>301</v>
      </c>
      <c r="K477" s="149">
        <f>R477*tax*markup*IF(Y477&lt;&gt;"",VLOOKUP(LEFT(Y477,2),cityindex,2,0),1)</f>
        <v>0</v>
      </c>
      <c r="L477" s="149">
        <f>S477*markup*difficulty*IF(Y477&lt;&gt;"",VLOOKUP(LEFT(Y477,2),cityindex,3,0),1)</f>
        <v>0</v>
      </c>
      <c r="M477" s="149">
        <f>W477*markup*difficulty*IF(Y477&lt;&gt;"",VLOOKUP(LEFT(Y477,2),cityindex,3,0),1)</f>
        <v>0</v>
      </c>
      <c r="N477" s="149"/>
      <c r="O477" s="149">
        <f t="shared" si="113"/>
        <v>0</v>
      </c>
      <c r="P477" s="216">
        <f>ROUND((O477*I477),0)</f>
        <v>0</v>
      </c>
      <c r="Q477" s="150">
        <f t="shared" si="119"/>
        <v>0</v>
      </c>
      <c r="S477" s="143">
        <f>U477*V477</f>
        <v>0</v>
      </c>
      <c r="X477" s="143">
        <f>SUM(R477,S477,W477)</f>
        <v>0</v>
      </c>
      <c r="Y477" s="143" t="s">
        <v>674</v>
      </c>
    </row>
    <row r="478" spans="1:27" x14ac:dyDescent="0.2">
      <c r="K478" s="149">
        <f t="shared" si="110"/>
        <v>0</v>
      </c>
      <c r="L478" s="149">
        <f t="shared" si="111"/>
        <v>0</v>
      </c>
      <c r="M478" s="149">
        <f t="shared" si="112"/>
        <v>0</v>
      </c>
      <c r="N478" s="149"/>
      <c r="O478" s="149">
        <f t="shared" si="113"/>
        <v>0</v>
      </c>
      <c r="P478" s="216">
        <f t="shared" si="114"/>
        <v>0</v>
      </c>
      <c r="Q478" s="150">
        <f t="shared" ref="Q478:Q483" si="120">IF(O478=0,0,IF(X478=0,"manual",O478/((R478*tax*markup*IF(Y478&lt;&gt;"",VLOOKUP(LEFT(Y478,2),cityindex,2,0),1))+S478*markup*difficulty*IF(Y478&lt;&gt;"",VLOOKUP(LEFT(Y478,2),cityindex,3,0),1)+W478*markup*difficulty*IF(Y478&lt;&gt;"",VLOOKUP(LEFT(Y478,2),cityindex,3,0),1))))</f>
        <v>0</v>
      </c>
      <c r="S478" s="143">
        <f t="shared" si="116"/>
        <v>0</v>
      </c>
      <c r="X478" s="143">
        <f t="shared" si="117"/>
        <v>0</v>
      </c>
      <c r="Z478" s="227"/>
    </row>
    <row r="479" spans="1:27" ht="24.75" customHeight="1" x14ac:dyDescent="0.2">
      <c r="D479" s="217" t="str">
        <f>"TOTAL - " &amp; D433</f>
        <v>TOTAL - 08  OPENINGS</v>
      </c>
      <c r="E479" s="217"/>
      <c r="F479" s="217"/>
      <c r="G479" s="217"/>
      <c r="H479" s="217"/>
      <c r="I479" s="218"/>
      <c r="J479" s="219"/>
      <c r="K479" s="220"/>
      <c r="L479" s="220"/>
      <c r="M479" s="220"/>
      <c r="N479" s="220"/>
      <c r="O479" s="221"/>
      <c r="P479" s="222">
        <f>SUM(P433:P478)</f>
        <v>0</v>
      </c>
      <c r="Q479" s="223"/>
      <c r="S479" s="143">
        <f t="shared" si="116"/>
        <v>0</v>
      </c>
      <c r="X479" s="143">
        <f t="shared" si="117"/>
        <v>0</v>
      </c>
      <c r="Z479" s="224">
        <f>P479/GFA</f>
        <v>0</v>
      </c>
      <c r="AA479" s="225" t="s">
        <v>295</v>
      </c>
    </row>
    <row r="480" spans="1:27" x14ac:dyDescent="0.2">
      <c r="K480" s="149"/>
      <c r="L480" s="149"/>
      <c r="M480" s="149"/>
      <c r="N480" s="149"/>
      <c r="P480" s="216"/>
      <c r="Q480" s="150">
        <f t="shared" si="120"/>
        <v>0</v>
      </c>
      <c r="S480" s="143">
        <f t="shared" si="116"/>
        <v>0</v>
      </c>
      <c r="X480" s="143">
        <f t="shared" si="117"/>
        <v>0</v>
      </c>
      <c r="Z480" s="227"/>
    </row>
    <row r="481" spans="1:26" x14ac:dyDescent="0.2">
      <c r="D481" s="214" t="s">
        <v>275</v>
      </c>
      <c r="E481" s="215"/>
      <c r="F481" s="215"/>
      <c r="G481" s="215"/>
      <c r="H481" s="215"/>
      <c r="K481" s="149"/>
      <c r="L481" s="149"/>
      <c r="M481" s="149"/>
      <c r="N481" s="149"/>
      <c r="P481" s="216"/>
      <c r="Q481" s="150">
        <f t="shared" si="120"/>
        <v>0</v>
      </c>
      <c r="S481" s="143">
        <f>U481*V481</f>
        <v>0</v>
      </c>
      <c r="X481" s="143">
        <f>SUM(R481,S481,W481)</f>
        <v>0</v>
      </c>
      <c r="Z481" s="227"/>
    </row>
    <row r="482" spans="1:26" x14ac:dyDescent="0.2">
      <c r="A482" s="143" t="s">
        <v>296</v>
      </c>
      <c r="E482" s="143" t="s">
        <v>679</v>
      </c>
      <c r="K482" s="149">
        <f t="shared" ref="K482:K532" si="121">R482*tax*markup*IF(Y482&lt;&gt;"",VLOOKUP(LEFT(Y482,2),cityindex,2,0),1)</f>
        <v>0</v>
      </c>
      <c r="L482" s="149">
        <f t="shared" ref="L482:L532" si="122">S482*markup*difficulty*IF(Y482&lt;&gt;"",VLOOKUP(LEFT(Y482,2),cityindex,3,0),1)</f>
        <v>0</v>
      </c>
      <c r="M482" s="149">
        <f t="shared" ref="M482:M532" si="123">W482*markup*difficulty*IF(Y482&lt;&gt;"",VLOOKUP(LEFT(Y482,2),cityindex,3,0),1)</f>
        <v>0</v>
      </c>
      <c r="N482" s="149"/>
      <c r="O482" s="149">
        <f t="shared" ref="O482:O514" si="124">SUM(K482:N482)*embed</f>
        <v>0</v>
      </c>
      <c r="P482" s="216">
        <f t="shared" ref="P482:P499" si="125">ROUND((O482*I482),0)</f>
        <v>0</v>
      </c>
      <c r="Q482" s="150">
        <f t="shared" si="120"/>
        <v>0</v>
      </c>
      <c r="S482" s="143">
        <f t="shared" ref="S482:S499" si="126">U482*V482</f>
        <v>0</v>
      </c>
      <c r="X482" s="143">
        <f t="shared" ref="X482:X499" si="127">SUM(R482,S482,W482)</f>
        <v>0</v>
      </c>
      <c r="Z482" s="227"/>
    </row>
    <row r="483" spans="1:26" x14ac:dyDescent="0.2">
      <c r="A483" s="143" t="s">
        <v>296</v>
      </c>
      <c r="F483" s="143" t="s">
        <v>680</v>
      </c>
      <c r="K483" s="149">
        <f t="shared" si="121"/>
        <v>0</v>
      </c>
      <c r="L483" s="149">
        <f t="shared" si="122"/>
        <v>0</v>
      </c>
      <c r="M483" s="149">
        <f t="shared" si="123"/>
        <v>0</v>
      </c>
      <c r="N483" s="149"/>
      <c r="O483" s="149">
        <f t="shared" si="124"/>
        <v>0</v>
      </c>
      <c r="P483" s="216">
        <f t="shared" si="125"/>
        <v>0</v>
      </c>
      <c r="Q483" s="150">
        <f t="shared" si="120"/>
        <v>0</v>
      </c>
      <c r="R483" s="147"/>
      <c r="S483" s="147">
        <f t="shared" si="126"/>
        <v>0</v>
      </c>
      <c r="T483" s="147"/>
      <c r="U483" s="147"/>
      <c r="V483" s="147"/>
      <c r="W483" s="147"/>
      <c r="X483" s="147">
        <f t="shared" si="127"/>
        <v>0</v>
      </c>
    </row>
    <row r="484" spans="1:26" ht="12.75" customHeight="1" x14ac:dyDescent="0.2">
      <c r="A484" s="143" t="s">
        <v>298</v>
      </c>
      <c r="G484" s="226" t="s">
        <v>681</v>
      </c>
      <c r="K484" s="149">
        <f t="shared" si="121"/>
        <v>0</v>
      </c>
      <c r="L484" s="149">
        <f t="shared" si="122"/>
        <v>0</v>
      </c>
      <c r="M484" s="149">
        <f t="shared" si="123"/>
        <v>0</v>
      </c>
      <c r="N484" s="149"/>
      <c r="O484" s="149">
        <f t="shared" si="124"/>
        <v>0</v>
      </c>
      <c r="P484" s="216">
        <f t="shared" si="125"/>
        <v>0</v>
      </c>
      <c r="Q484" s="150">
        <f t="shared" ref="Q484:Q513" si="128">IF(O484=0,0,IF(X484=0,"manual",(O484/(R484*tax*markup*IF(Y484&lt;&gt;"",VLOOKUP(LEFT(Y484,2),cityindex,2,0),1)+S484*markup*difficulty*IF(Y484&lt;&gt;"",VLOOKUP(LEFT(Y484,2),cityindex,3,0),1)+W484*markup*difficulty*IF(Y484&lt;&gt;"",VLOOKUP(LEFT(Y484,2),cityindex,3,0),1)))-1))</f>
        <v>0</v>
      </c>
      <c r="S484" s="143">
        <f t="shared" si="126"/>
        <v>0</v>
      </c>
      <c r="X484" s="143">
        <f t="shared" si="127"/>
        <v>0</v>
      </c>
    </row>
    <row r="485" spans="1:26" ht="12.75" customHeight="1" x14ac:dyDescent="0.2">
      <c r="A485" s="143" t="s">
        <v>296</v>
      </c>
      <c r="G485" s="143" t="s">
        <v>599</v>
      </c>
      <c r="J485" s="147" t="s">
        <v>301</v>
      </c>
      <c r="K485" s="149">
        <f t="shared" si="121"/>
        <v>0</v>
      </c>
      <c r="L485" s="149">
        <f t="shared" si="122"/>
        <v>0</v>
      </c>
      <c r="M485" s="149">
        <f t="shared" si="123"/>
        <v>0</v>
      </c>
      <c r="N485" s="149"/>
      <c r="O485" s="149">
        <f t="shared" si="124"/>
        <v>0</v>
      </c>
      <c r="P485" s="216">
        <f t="shared" si="125"/>
        <v>0</v>
      </c>
      <c r="Q485" s="150">
        <f t="shared" si="128"/>
        <v>0</v>
      </c>
      <c r="S485" s="143">
        <f t="shared" si="126"/>
        <v>0</v>
      </c>
      <c r="X485" s="143">
        <f t="shared" si="127"/>
        <v>0</v>
      </c>
      <c r="Y485" s="143" t="s">
        <v>682</v>
      </c>
    </row>
    <row r="486" spans="1:26" ht="12.75" customHeight="1" x14ac:dyDescent="0.2">
      <c r="A486" s="143" t="s">
        <v>298</v>
      </c>
      <c r="G486" s="226" t="s">
        <v>683</v>
      </c>
      <c r="K486" s="149">
        <f t="shared" si="121"/>
        <v>0</v>
      </c>
      <c r="L486" s="149">
        <f t="shared" si="122"/>
        <v>0</v>
      </c>
      <c r="M486" s="149">
        <f t="shared" si="123"/>
        <v>0</v>
      </c>
      <c r="N486" s="149"/>
      <c r="O486" s="149">
        <f t="shared" si="124"/>
        <v>0</v>
      </c>
      <c r="P486" s="216">
        <f t="shared" si="125"/>
        <v>0</v>
      </c>
      <c r="Q486" s="150">
        <f t="shared" si="128"/>
        <v>0</v>
      </c>
      <c r="S486" s="143">
        <f t="shared" si="126"/>
        <v>0</v>
      </c>
      <c r="X486" s="143">
        <f t="shared" si="127"/>
        <v>0</v>
      </c>
    </row>
    <row r="487" spans="1:26" ht="12.75" customHeight="1" x14ac:dyDescent="0.2">
      <c r="A487" s="143" t="s">
        <v>296</v>
      </c>
      <c r="G487" s="143" t="s">
        <v>599</v>
      </c>
      <c r="J487" s="147" t="s">
        <v>301</v>
      </c>
      <c r="K487" s="149">
        <f t="shared" si="121"/>
        <v>0</v>
      </c>
      <c r="L487" s="149">
        <f t="shared" si="122"/>
        <v>0</v>
      </c>
      <c r="M487" s="149">
        <f t="shared" si="123"/>
        <v>0</v>
      </c>
      <c r="N487" s="149"/>
      <c r="O487" s="149">
        <f t="shared" si="124"/>
        <v>0</v>
      </c>
      <c r="P487" s="216">
        <f t="shared" si="125"/>
        <v>0</v>
      </c>
      <c r="Q487" s="150">
        <f t="shared" si="128"/>
        <v>0</v>
      </c>
      <c r="S487" s="143">
        <f t="shared" si="126"/>
        <v>0</v>
      </c>
      <c r="X487" s="143">
        <f t="shared" si="127"/>
        <v>0</v>
      </c>
      <c r="Y487" s="143" t="s">
        <v>684</v>
      </c>
    </row>
    <row r="488" spans="1:26" ht="12.75" customHeight="1" x14ac:dyDescent="0.2">
      <c r="A488" s="143" t="s">
        <v>298</v>
      </c>
      <c r="G488" s="226" t="s">
        <v>681</v>
      </c>
      <c r="K488" s="149">
        <f t="shared" si="121"/>
        <v>0</v>
      </c>
      <c r="L488" s="149">
        <f t="shared" si="122"/>
        <v>0</v>
      </c>
      <c r="M488" s="149">
        <f t="shared" si="123"/>
        <v>0</v>
      </c>
      <c r="N488" s="149"/>
      <c r="O488" s="149">
        <f t="shared" si="124"/>
        <v>0</v>
      </c>
      <c r="P488" s="216">
        <f t="shared" si="125"/>
        <v>0</v>
      </c>
      <c r="Q488" s="150">
        <f t="shared" si="128"/>
        <v>0</v>
      </c>
      <c r="S488" s="143">
        <f t="shared" si="126"/>
        <v>0</v>
      </c>
      <c r="X488" s="143">
        <f t="shared" si="127"/>
        <v>0</v>
      </c>
    </row>
    <row r="489" spans="1:26" ht="12.75" customHeight="1" x14ac:dyDescent="0.2">
      <c r="A489" s="143" t="s">
        <v>296</v>
      </c>
      <c r="G489" s="143" t="s">
        <v>601</v>
      </c>
      <c r="J489" s="147" t="s">
        <v>301</v>
      </c>
      <c r="K489" s="149">
        <f t="shared" si="121"/>
        <v>0</v>
      </c>
      <c r="L489" s="149">
        <f t="shared" si="122"/>
        <v>0</v>
      </c>
      <c r="M489" s="149">
        <f t="shared" si="123"/>
        <v>0</v>
      </c>
      <c r="N489" s="149"/>
      <c r="O489" s="149">
        <f t="shared" si="124"/>
        <v>0</v>
      </c>
      <c r="P489" s="216">
        <f t="shared" si="125"/>
        <v>0</v>
      </c>
      <c r="Q489" s="150">
        <f t="shared" si="128"/>
        <v>0</v>
      </c>
      <c r="S489" s="143">
        <f t="shared" si="126"/>
        <v>0</v>
      </c>
      <c r="X489" s="143">
        <f t="shared" si="127"/>
        <v>0</v>
      </c>
      <c r="Y489" s="143" t="s">
        <v>685</v>
      </c>
    </row>
    <row r="490" spans="1:26" ht="12.75" customHeight="1" x14ac:dyDescent="0.2">
      <c r="A490" s="143" t="s">
        <v>298</v>
      </c>
      <c r="G490" s="226" t="s">
        <v>683</v>
      </c>
      <c r="K490" s="149">
        <f t="shared" si="121"/>
        <v>0</v>
      </c>
      <c r="L490" s="149">
        <f t="shared" si="122"/>
        <v>0</v>
      </c>
      <c r="M490" s="149">
        <f t="shared" si="123"/>
        <v>0</v>
      </c>
      <c r="N490" s="149"/>
      <c r="O490" s="149">
        <f t="shared" si="124"/>
        <v>0</v>
      </c>
      <c r="P490" s="216">
        <f t="shared" si="125"/>
        <v>0</v>
      </c>
      <c r="Q490" s="150">
        <f t="shared" si="128"/>
        <v>0</v>
      </c>
      <c r="S490" s="143">
        <f t="shared" si="126"/>
        <v>0</v>
      </c>
      <c r="X490" s="143">
        <f t="shared" si="127"/>
        <v>0</v>
      </c>
    </row>
    <row r="491" spans="1:26" ht="12.75" customHeight="1" x14ac:dyDescent="0.2">
      <c r="A491" s="143" t="s">
        <v>296</v>
      </c>
      <c r="G491" s="143" t="s">
        <v>601</v>
      </c>
      <c r="J491" s="147" t="s">
        <v>301</v>
      </c>
      <c r="K491" s="149">
        <f t="shared" si="121"/>
        <v>0</v>
      </c>
      <c r="L491" s="149">
        <f t="shared" si="122"/>
        <v>0</v>
      </c>
      <c r="M491" s="149">
        <f t="shared" si="123"/>
        <v>0</v>
      </c>
      <c r="N491" s="149"/>
      <c r="O491" s="149">
        <f t="shared" si="124"/>
        <v>0</v>
      </c>
      <c r="P491" s="216">
        <f t="shared" si="125"/>
        <v>0</v>
      </c>
      <c r="Q491" s="150">
        <f t="shared" si="128"/>
        <v>0</v>
      </c>
      <c r="S491" s="143">
        <f t="shared" si="126"/>
        <v>0</v>
      </c>
      <c r="X491" s="143">
        <f t="shared" si="127"/>
        <v>0</v>
      </c>
      <c r="Y491" s="143" t="s">
        <v>686</v>
      </c>
    </row>
    <row r="492" spans="1:26" ht="12.75" customHeight="1" x14ac:dyDescent="0.2">
      <c r="A492" s="143" t="s">
        <v>296</v>
      </c>
      <c r="F492" s="143" t="s">
        <v>687</v>
      </c>
      <c r="J492" s="147" t="s">
        <v>301</v>
      </c>
      <c r="K492" s="149">
        <f t="shared" si="121"/>
        <v>0</v>
      </c>
      <c r="L492" s="149">
        <f t="shared" si="122"/>
        <v>0</v>
      </c>
      <c r="M492" s="149">
        <f t="shared" si="123"/>
        <v>0</v>
      </c>
      <c r="N492" s="149"/>
      <c r="O492" s="149">
        <f t="shared" si="124"/>
        <v>0</v>
      </c>
      <c r="P492" s="216">
        <f t="shared" si="125"/>
        <v>0</v>
      </c>
      <c r="Q492" s="150">
        <f t="shared" si="128"/>
        <v>0</v>
      </c>
      <c r="S492" s="143">
        <f t="shared" si="126"/>
        <v>0</v>
      </c>
      <c r="X492" s="143">
        <f t="shared" si="127"/>
        <v>0</v>
      </c>
      <c r="Y492" s="143" t="s">
        <v>688</v>
      </c>
    </row>
    <row r="493" spans="1:26" ht="12.75" customHeight="1" x14ac:dyDescent="0.2">
      <c r="A493" s="143" t="s">
        <v>298</v>
      </c>
      <c r="F493" s="226" t="s">
        <v>689</v>
      </c>
      <c r="K493" s="149">
        <f t="shared" si="121"/>
        <v>0</v>
      </c>
      <c r="L493" s="149">
        <f t="shared" si="122"/>
        <v>0</v>
      </c>
      <c r="M493" s="149">
        <f t="shared" si="123"/>
        <v>0</v>
      </c>
      <c r="N493" s="149"/>
      <c r="O493" s="149">
        <f t="shared" si="124"/>
        <v>0</v>
      </c>
      <c r="P493" s="216">
        <f t="shared" si="125"/>
        <v>0</v>
      </c>
      <c r="Q493" s="150">
        <f t="shared" si="128"/>
        <v>0</v>
      </c>
      <c r="S493" s="143">
        <f t="shared" si="126"/>
        <v>0</v>
      </c>
      <c r="X493" s="143">
        <f t="shared" si="127"/>
        <v>0</v>
      </c>
    </row>
    <row r="494" spans="1:26" ht="12.75" customHeight="1" x14ac:dyDescent="0.2">
      <c r="A494" s="143" t="s">
        <v>296</v>
      </c>
      <c r="F494" s="143" t="s">
        <v>690</v>
      </c>
      <c r="J494" s="147" t="s">
        <v>301</v>
      </c>
      <c r="K494" s="149">
        <f t="shared" si="121"/>
        <v>0</v>
      </c>
      <c r="L494" s="149">
        <f t="shared" si="122"/>
        <v>0</v>
      </c>
      <c r="M494" s="149">
        <f t="shared" si="123"/>
        <v>0</v>
      </c>
      <c r="N494" s="149"/>
      <c r="O494" s="149">
        <f t="shared" si="124"/>
        <v>0</v>
      </c>
      <c r="P494" s="216">
        <f t="shared" si="125"/>
        <v>0</v>
      </c>
      <c r="Q494" s="150">
        <f t="shared" si="128"/>
        <v>0</v>
      </c>
      <c r="S494" s="143">
        <f t="shared" si="126"/>
        <v>0</v>
      </c>
      <c r="X494" s="143">
        <f t="shared" si="127"/>
        <v>0</v>
      </c>
      <c r="Y494" s="143" t="s">
        <v>691</v>
      </c>
    </row>
    <row r="495" spans="1:26" ht="12.75" customHeight="1" x14ac:dyDescent="0.2">
      <c r="A495" s="143" t="s">
        <v>298</v>
      </c>
      <c r="F495" s="226" t="s">
        <v>692</v>
      </c>
      <c r="K495" s="149">
        <f t="shared" si="121"/>
        <v>0</v>
      </c>
      <c r="L495" s="149">
        <f t="shared" si="122"/>
        <v>0</v>
      </c>
      <c r="M495" s="149">
        <f t="shared" si="123"/>
        <v>0</v>
      </c>
      <c r="N495" s="149"/>
      <c r="O495" s="149">
        <f t="shared" si="124"/>
        <v>0</v>
      </c>
      <c r="P495" s="216">
        <f t="shared" si="125"/>
        <v>0</v>
      </c>
      <c r="Q495" s="150">
        <f t="shared" si="128"/>
        <v>0</v>
      </c>
      <c r="S495" s="143">
        <f t="shared" si="126"/>
        <v>0</v>
      </c>
      <c r="X495" s="143">
        <f t="shared" si="127"/>
        <v>0</v>
      </c>
    </row>
    <row r="496" spans="1:26" ht="12.75" customHeight="1" x14ac:dyDescent="0.2">
      <c r="A496" s="143" t="s">
        <v>296</v>
      </c>
      <c r="F496" s="143" t="s">
        <v>690</v>
      </c>
      <c r="J496" s="147" t="s">
        <v>301</v>
      </c>
      <c r="K496" s="149">
        <f t="shared" si="121"/>
        <v>0</v>
      </c>
      <c r="L496" s="149">
        <f t="shared" si="122"/>
        <v>0</v>
      </c>
      <c r="M496" s="149">
        <f t="shared" si="123"/>
        <v>0</v>
      </c>
      <c r="N496" s="149"/>
      <c r="O496" s="149">
        <f t="shared" si="124"/>
        <v>0</v>
      </c>
      <c r="P496" s="216">
        <f t="shared" si="125"/>
        <v>0</v>
      </c>
      <c r="Q496" s="150">
        <f t="shared" si="128"/>
        <v>0</v>
      </c>
      <c r="S496" s="143">
        <f t="shared" si="126"/>
        <v>0</v>
      </c>
      <c r="X496" s="143">
        <f t="shared" si="127"/>
        <v>0</v>
      </c>
      <c r="Y496" s="143" t="s">
        <v>693</v>
      </c>
    </row>
    <row r="497" spans="1:25" ht="12.75" customHeight="1" x14ac:dyDescent="0.2">
      <c r="A497" s="143" t="s">
        <v>298</v>
      </c>
      <c r="F497" s="226" t="s">
        <v>694</v>
      </c>
      <c r="K497" s="149">
        <f t="shared" si="121"/>
        <v>0</v>
      </c>
      <c r="L497" s="149">
        <f t="shared" si="122"/>
        <v>0</v>
      </c>
      <c r="M497" s="149">
        <f t="shared" si="123"/>
        <v>0</v>
      </c>
      <c r="N497" s="149"/>
      <c r="O497" s="149">
        <f t="shared" si="124"/>
        <v>0</v>
      </c>
      <c r="P497" s="216">
        <f t="shared" si="125"/>
        <v>0</v>
      </c>
      <c r="Q497" s="150">
        <f t="shared" si="128"/>
        <v>0</v>
      </c>
      <c r="S497" s="143">
        <f t="shared" si="126"/>
        <v>0</v>
      </c>
      <c r="X497" s="143">
        <f t="shared" si="127"/>
        <v>0</v>
      </c>
    </row>
    <row r="498" spans="1:25" ht="12.75" customHeight="1" x14ac:dyDescent="0.2">
      <c r="A498" s="143" t="s">
        <v>296</v>
      </c>
      <c r="F498" s="143" t="s">
        <v>690</v>
      </c>
      <c r="J498" s="147" t="s">
        <v>301</v>
      </c>
      <c r="K498" s="149">
        <f t="shared" si="121"/>
        <v>0</v>
      </c>
      <c r="L498" s="149">
        <f t="shared" si="122"/>
        <v>0</v>
      </c>
      <c r="M498" s="149">
        <f t="shared" si="123"/>
        <v>0</v>
      </c>
      <c r="N498" s="149"/>
      <c r="O498" s="149">
        <f t="shared" si="124"/>
        <v>0</v>
      </c>
      <c r="P498" s="216">
        <f t="shared" si="125"/>
        <v>0</v>
      </c>
      <c r="Q498" s="150">
        <f t="shared" si="128"/>
        <v>0</v>
      </c>
      <c r="S498" s="143">
        <f t="shared" si="126"/>
        <v>0</v>
      </c>
      <c r="X498" s="143">
        <f t="shared" si="127"/>
        <v>0</v>
      </c>
      <c r="Y498" s="143" t="s">
        <v>695</v>
      </c>
    </row>
    <row r="499" spans="1:25" ht="12.75" customHeight="1" x14ac:dyDescent="0.2">
      <c r="A499" s="143" t="s">
        <v>296</v>
      </c>
      <c r="F499" s="143" t="s">
        <v>696</v>
      </c>
      <c r="J499" s="147" t="s">
        <v>301</v>
      </c>
      <c r="K499" s="149">
        <f t="shared" si="121"/>
        <v>0</v>
      </c>
      <c r="L499" s="149">
        <f t="shared" si="122"/>
        <v>0</v>
      </c>
      <c r="M499" s="149">
        <f t="shared" si="123"/>
        <v>0</v>
      </c>
      <c r="N499" s="149"/>
      <c r="O499" s="149">
        <f t="shared" si="124"/>
        <v>0</v>
      </c>
      <c r="P499" s="216">
        <f t="shared" si="125"/>
        <v>0</v>
      </c>
      <c r="Q499" s="150">
        <f t="shared" si="128"/>
        <v>0</v>
      </c>
      <c r="S499" s="143">
        <f t="shared" si="126"/>
        <v>0</v>
      </c>
      <c r="X499" s="143">
        <f t="shared" si="127"/>
        <v>0</v>
      </c>
      <c r="Y499" s="143" t="s">
        <v>604</v>
      </c>
    </row>
    <row r="500" spans="1:25" s="228" customFormat="1" ht="12.75" customHeight="1" x14ac:dyDescent="0.2">
      <c r="A500" s="228" t="s">
        <v>296</v>
      </c>
      <c r="B500" s="229"/>
      <c r="F500" s="228" t="s">
        <v>697</v>
      </c>
      <c r="I500" s="230"/>
      <c r="J500" s="231"/>
      <c r="K500" s="232">
        <f>R500*tax*markup*IF(Y500&lt;&gt;"",VLOOKUP(LEFT(Y500,2),cityindex,2,0),1)</f>
        <v>0</v>
      </c>
      <c r="L500" s="232">
        <f>S500*markup*difficulty*IF(Y500&lt;&gt;"",VLOOKUP(LEFT(Y500,2),cityindex,3,0),1)</f>
        <v>0</v>
      </c>
      <c r="M500" s="232">
        <f>W500*markup*difficulty*IF(Y500&lt;&gt;"",VLOOKUP(LEFT(Y500,2),cityindex,3,0),1)</f>
        <v>0</v>
      </c>
      <c r="N500" s="232"/>
      <c r="O500" s="232">
        <f>SUM(K500:N500)*embed</f>
        <v>0</v>
      </c>
      <c r="P500" s="233">
        <f>ROUND((O500*I500),0)</f>
        <v>0</v>
      </c>
      <c r="Q500" s="234">
        <f>IF(O500=0,0,IF(X500=0,"manual",(O500/(R500*tax*markup*IF(Y500&lt;&gt;"",VLOOKUP(LEFT(Y500,2),cityindex,2,0),1)+S500*markup*difficulty*IF(Y500&lt;&gt;"",VLOOKUP(LEFT(Y500,2),cityindex,3,0),1)+W500*markup*difficulty*IF(Y500&lt;&gt;"",VLOOKUP(LEFT(Y500,2),cityindex,3,0),1)))-1))</f>
        <v>0</v>
      </c>
      <c r="S500" s="228">
        <f>U500*V500</f>
        <v>0</v>
      </c>
      <c r="X500" s="228">
        <f>SUM(R500,S500,W500)</f>
        <v>0</v>
      </c>
    </row>
    <row r="501" spans="1:25" ht="12.75" customHeight="1" x14ac:dyDescent="0.2">
      <c r="A501" s="143" t="s">
        <v>296</v>
      </c>
      <c r="G501" s="143" t="s">
        <v>698</v>
      </c>
      <c r="J501" s="147" t="s">
        <v>301</v>
      </c>
      <c r="K501" s="149">
        <f t="shared" si="121"/>
        <v>0</v>
      </c>
      <c r="L501" s="149">
        <f t="shared" si="122"/>
        <v>0</v>
      </c>
      <c r="M501" s="149">
        <f t="shared" si="123"/>
        <v>0</v>
      </c>
      <c r="N501" s="149"/>
      <c r="O501" s="149">
        <f t="shared" si="124"/>
        <v>0</v>
      </c>
      <c r="P501" s="216">
        <f>ROUND((O501*I501),0)</f>
        <v>0</v>
      </c>
      <c r="Q501" s="150">
        <f t="shared" si="128"/>
        <v>0</v>
      </c>
      <c r="S501" s="143">
        <f t="shared" ref="S501:S564" si="129">U501*V501</f>
        <v>0</v>
      </c>
      <c r="X501" s="143">
        <f t="shared" ref="X501:X564" si="130">SUM(R501,S501,W501)</f>
        <v>0</v>
      </c>
      <c r="Y501" s="143" t="s">
        <v>699</v>
      </c>
    </row>
    <row r="502" spans="1:25" ht="12.75" customHeight="1" x14ac:dyDescent="0.2">
      <c r="A502" s="143" t="s">
        <v>296</v>
      </c>
      <c r="G502" s="143" t="s">
        <v>700</v>
      </c>
      <c r="J502" s="147" t="s">
        <v>301</v>
      </c>
      <c r="K502" s="149">
        <f>R502*tax*markup*IF(Y502&lt;&gt;"",VLOOKUP(LEFT(Y502,2),cityindex,2,0),1)</f>
        <v>0</v>
      </c>
      <c r="L502" s="149">
        <f>S502*markup*difficulty*IF(Y502&lt;&gt;"",VLOOKUP(LEFT(Y502,2),cityindex,3,0),1)</f>
        <v>0</v>
      </c>
      <c r="M502" s="149">
        <f>W502*markup*difficulty*IF(Y502&lt;&gt;"",VLOOKUP(LEFT(Y502,2),cityindex,3,0),1)</f>
        <v>0</v>
      </c>
      <c r="N502" s="149"/>
      <c r="O502" s="149">
        <f t="shared" si="124"/>
        <v>0</v>
      </c>
      <c r="P502" s="216">
        <f>ROUND((O502*I502),0)</f>
        <v>0</v>
      </c>
      <c r="Q502" s="150">
        <f t="shared" si="128"/>
        <v>0</v>
      </c>
      <c r="S502" s="143">
        <f t="shared" si="129"/>
        <v>0</v>
      </c>
      <c r="X502" s="143">
        <f t="shared" si="130"/>
        <v>0</v>
      </c>
      <c r="Y502" s="143" t="s">
        <v>701</v>
      </c>
    </row>
    <row r="503" spans="1:25" ht="12.75" customHeight="1" x14ac:dyDescent="0.2">
      <c r="A503" s="143" t="s">
        <v>296</v>
      </c>
      <c r="F503" s="143" t="s">
        <v>702</v>
      </c>
      <c r="J503" s="147" t="s">
        <v>301</v>
      </c>
      <c r="K503" s="149">
        <f>R503*tax*markup*IF(Y503&lt;&gt;"",VLOOKUP(LEFT(Y503,2),cityindex,2,0),1)</f>
        <v>0</v>
      </c>
      <c r="L503" s="149">
        <f>S503*markup*difficulty*IF(Y503&lt;&gt;"",VLOOKUP(LEFT(Y503,2),cityindex,3,0),1)</f>
        <v>0</v>
      </c>
      <c r="M503" s="149">
        <f>W503*markup*difficulty*IF(Y503&lt;&gt;"",VLOOKUP(LEFT(Y503,2),cityindex,3,0),1)</f>
        <v>0</v>
      </c>
      <c r="N503" s="149"/>
      <c r="O503" s="149">
        <f t="shared" si="124"/>
        <v>0</v>
      </c>
      <c r="P503" s="216">
        <f>ROUND((O503*I503),0)</f>
        <v>0</v>
      </c>
      <c r="Q503" s="150">
        <f t="shared" si="128"/>
        <v>0</v>
      </c>
      <c r="S503" s="143">
        <f t="shared" si="129"/>
        <v>0</v>
      </c>
      <c r="X503" s="143">
        <f t="shared" si="130"/>
        <v>0</v>
      </c>
      <c r="Y503" s="143" t="s">
        <v>703</v>
      </c>
    </row>
    <row r="504" spans="1:25" x14ac:dyDescent="0.2">
      <c r="A504" s="143" t="s">
        <v>296</v>
      </c>
      <c r="K504" s="149">
        <f t="shared" si="121"/>
        <v>0</v>
      </c>
      <c r="L504" s="149">
        <f t="shared" si="122"/>
        <v>0</v>
      </c>
      <c r="M504" s="149">
        <f t="shared" si="123"/>
        <v>0</v>
      </c>
      <c r="N504" s="149"/>
      <c r="O504" s="149">
        <f t="shared" si="124"/>
        <v>0</v>
      </c>
      <c r="P504" s="216">
        <f>ROUND((O504*I504),0)</f>
        <v>0</v>
      </c>
      <c r="Q504" s="150">
        <f t="shared" si="128"/>
        <v>0</v>
      </c>
      <c r="R504" s="147"/>
      <c r="S504" s="147">
        <f t="shared" si="129"/>
        <v>0</v>
      </c>
      <c r="T504" s="147"/>
      <c r="U504" s="147"/>
      <c r="V504" s="147"/>
      <c r="W504" s="147"/>
      <c r="X504" s="147">
        <f t="shared" si="130"/>
        <v>0</v>
      </c>
    </row>
    <row r="505" spans="1:25" ht="12.75" customHeight="1" x14ac:dyDescent="0.2">
      <c r="A505" s="143" t="s">
        <v>330</v>
      </c>
      <c r="E505" s="143" t="s">
        <v>704</v>
      </c>
      <c r="K505" s="149">
        <f t="shared" si="121"/>
        <v>0</v>
      </c>
      <c r="L505" s="149">
        <f t="shared" si="122"/>
        <v>0</v>
      </c>
      <c r="M505" s="149">
        <f t="shared" si="123"/>
        <v>0</v>
      </c>
      <c r="N505" s="149"/>
      <c r="O505" s="149">
        <f t="shared" si="124"/>
        <v>0</v>
      </c>
      <c r="P505" s="216">
        <f t="shared" ref="P505:P558" si="131">ROUND((O505*I505),0)</f>
        <v>0</v>
      </c>
      <c r="Q505" s="150">
        <f t="shared" si="128"/>
        <v>0</v>
      </c>
      <c r="R505" s="147"/>
      <c r="S505" s="147">
        <f t="shared" si="129"/>
        <v>0</v>
      </c>
      <c r="T505" s="147"/>
      <c r="U505" s="147"/>
      <c r="V505" s="147"/>
      <c r="W505" s="147"/>
      <c r="X505" s="147">
        <f t="shared" si="130"/>
        <v>0</v>
      </c>
    </row>
    <row r="506" spans="1:25" ht="12.75" customHeight="1" x14ac:dyDescent="0.2">
      <c r="A506" s="143" t="s">
        <v>330</v>
      </c>
      <c r="F506" s="143" t="s">
        <v>598</v>
      </c>
      <c r="J506" s="147" t="s">
        <v>301</v>
      </c>
      <c r="K506" s="149">
        <f t="shared" si="121"/>
        <v>0</v>
      </c>
      <c r="L506" s="149">
        <f t="shared" si="122"/>
        <v>0</v>
      </c>
      <c r="M506" s="149">
        <f t="shared" si="123"/>
        <v>0</v>
      </c>
      <c r="N506" s="149"/>
      <c r="O506" s="149">
        <f t="shared" si="124"/>
        <v>0</v>
      </c>
      <c r="P506" s="216">
        <f t="shared" si="131"/>
        <v>0</v>
      </c>
      <c r="Q506" s="150">
        <f t="shared" si="128"/>
        <v>0</v>
      </c>
      <c r="R506" s="147"/>
      <c r="S506" s="147">
        <f t="shared" si="129"/>
        <v>0</v>
      </c>
      <c r="T506" s="147"/>
      <c r="U506" s="147"/>
      <c r="V506" s="147"/>
      <c r="W506" s="147"/>
      <c r="X506" s="147">
        <f t="shared" si="130"/>
        <v>0</v>
      </c>
      <c r="Y506" s="143" t="s">
        <v>682</v>
      </c>
    </row>
    <row r="507" spans="1:25" ht="12.75" customHeight="1" x14ac:dyDescent="0.2">
      <c r="A507" s="143" t="s">
        <v>330</v>
      </c>
      <c r="F507" s="143" t="s">
        <v>687</v>
      </c>
      <c r="J507" s="147" t="s">
        <v>301</v>
      </c>
      <c r="K507" s="149">
        <f t="shared" si="121"/>
        <v>0</v>
      </c>
      <c r="L507" s="149">
        <f t="shared" si="122"/>
        <v>0</v>
      </c>
      <c r="M507" s="149">
        <f t="shared" si="123"/>
        <v>0</v>
      </c>
      <c r="N507" s="149"/>
      <c r="O507" s="149">
        <f t="shared" si="124"/>
        <v>0</v>
      </c>
      <c r="P507" s="216">
        <f t="shared" si="131"/>
        <v>0</v>
      </c>
      <c r="Q507" s="150">
        <f t="shared" si="128"/>
        <v>0</v>
      </c>
      <c r="R507" s="147"/>
      <c r="S507" s="147">
        <f t="shared" si="129"/>
        <v>0</v>
      </c>
      <c r="T507" s="147"/>
      <c r="U507" s="147"/>
      <c r="V507" s="147"/>
      <c r="W507" s="147"/>
      <c r="X507" s="147">
        <f t="shared" si="130"/>
        <v>0</v>
      </c>
      <c r="Y507" s="143" t="s">
        <v>688</v>
      </c>
    </row>
    <row r="508" spans="1:25" ht="12.75" customHeight="1" x14ac:dyDescent="0.2">
      <c r="A508" s="143" t="s">
        <v>330</v>
      </c>
      <c r="F508" s="143" t="s">
        <v>690</v>
      </c>
      <c r="J508" s="147" t="s">
        <v>301</v>
      </c>
      <c r="K508" s="149">
        <f t="shared" si="121"/>
        <v>0</v>
      </c>
      <c r="L508" s="149">
        <f t="shared" si="122"/>
        <v>0</v>
      </c>
      <c r="M508" s="149">
        <f t="shared" si="123"/>
        <v>0</v>
      </c>
      <c r="N508" s="149"/>
      <c r="O508" s="149">
        <f t="shared" si="124"/>
        <v>0</v>
      </c>
      <c r="P508" s="216">
        <f t="shared" si="131"/>
        <v>0</v>
      </c>
      <c r="Q508" s="150">
        <f t="shared" si="128"/>
        <v>0</v>
      </c>
      <c r="R508" s="147"/>
      <c r="S508" s="147">
        <f t="shared" si="129"/>
        <v>0</v>
      </c>
      <c r="T508" s="147"/>
      <c r="U508" s="147"/>
      <c r="V508" s="147"/>
      <c r="W508" s="147"/>
      <c r="X508" s="147">
        <f t="shared" si="130"/>
        <v>0</v>
      </c>
      <c r="Y508" s="143" t="s">
        <v>693</v>
      </c>
    </row>
    <row r="509" spans="1:25" x14ac:dyDescent="0.2">
      <c r="A509" s="143" t="s">
        <v>330</v>
      </c>
      <c r="F509" s="143" t="s">
        <v>702</v>
      </c>
      <c r="J509" s="147" t="s">
        <v>301</v>
      </c>
      <c r="K509" s="149">
        <f t="shared" si="121"/>
        <v>0</v>
      </c>
      <c r="L509" s="149">
        <f t="shared" si="122"/>
        <v>0</v>
      </c>
      <c r="M509" s="149">
        <f t="shared" si="123"/>
        <v>0</v>
      </c>
      <c r="N509" s="149"/>
      <c r="O509" s="149">
        <f t="shared" si="124"/>
        <v>0</v>
      </c>
      <c r="P509" s="216">
        <f t="shared" si="131"/>
        <v>0</v>
      </c>
      <c r="Q509" s="150">
        <f t="shared" si="128"/>
        <v>0</v>
      </c>
      <c r="R509" s="147"/>
      <c r="S509" s="147">
        <f t="shared" si="129"/>
        <v>0</v>
      </c>
      <c r="T509" s="147"/>
      <c r="U509" s="147"/>
      <c r="V509" s="147"/>
      <c r="W509" s="147"/>
      <c r="X509" s="147">
        <f t="shared" si="130"/>
        <v>0</v>
      </c>
      <c r="Y509" s="143" t="s">
        <v>703</v>
      </c>
    </row>
    <row r="510" spans="1:25" s="228" customFormat="1" x14ac:dyDescent="0.2">
      <c r="A510" s="228" t="s">
        <v>330</v>
      </c>
      <c r="B510" s="229"/>
      <c r="I510" s="230"/>
      <c r="J510" s="231"/>
      <c r="K510" s="232">
        <f>R510*tax*markup*IF(Y510&lt;&gt;"",VLOOKUP(LEFT(Y510,2),cityindex,2,0),1)</f>
        <v>0</v>
      </c>
      <c r="L510" s="232">
        <f>S510*markup*difficulty*IF(Y510&lt;&gt;"",VLOOKUP(LEFT(Y510,2),cityindex,3,0),1)</f>
        <v>0</v>
      </c>
      <c r="M510" s="232">
        <f>W510*markup*difficulty*IF(Y510&lt;&gt;"",VLOOKUP(LEFT(Y510,2),cityindex,3,0),1)</f>
        <v>0</v>
      </c>
      <c r="N510" s="232"/>
      <c r="O510" s="232">
        <f>SUM(K510:N510)*embed</f>
        <v>0</v>
      </c>
      <c r="P510" s="233">
        <f>ROUND((O510*I510),0)</f>
        <v>0</v>
      </c>
      <c r="Q510" s="234">
        <f>IF(O510=0,0,IF(X510=0,"manual",(O510/(R510*tax*markup*IF(Y510&lt;&gt;"",VLOOKUP(LEFT(Y510,2),cityindex,2,0),1)+S510*markup*difficulty*IF(Y510&lt;&gt;"",VLOOKUP(LEFT(Y510,2),cityindex,3,0),1)+W510*markup*difficulty*IF(Y510&lt;&gt;"",VLOOKUP(LEFT(Y510,2),cityindex,3,0),1)))-1))</f>
        <v>0</v>
      </c>
      <c r="R510" s="231"/>
      <c r="S510" s="231">
        <f>U510*V510</f>
        <v>0</v>
      </c>
      <c r="T510" s="231"/>
      <c r="U510" s="231"/>
      <c r="V510" s="231"/>
      <c r="W510" s="231"/>
      <c r="X510" s="231">
        <f>SUM(R510,S510,W510)</f>
        <v>0</v>
      </c>
    </row>
    <row r="511" spans="1:25" x14ac:dyDescent="0.2">
      <c r="A511" s="143" t="s">
        <v>351</v>
      </c>
      <c r="E511" s="143" t="s">
        <v>704</v>
      </c>
      <c r="J511" s="147" t="s">
        <v>301</v>
      </c>
      <c r="K511" s="149">
        <f>R511*tax*markup*IF(Y511&lt;&gt;"",VLOOKUP(LEFT(Y511,2),cityindex,2,0),1)</f>
        <v>0</v>
      </c>
      <c r="L511" s="149">
        <f>S511*markup*difficulty*IF(Y511&lt;&gt;"",VLOOKUP(LEFT(Y511,2),cityindex,3,0),1)</f>
        <v>0</v>
      </c>
      <c r="M511" s="149">
        <f>W511*markup*difficulty*IF(Y511&lt;&gt;"",VLOOKUP(LEFT(Y511,2),cityindex,3,0),1)</f>
        <v>0</v>
      </c>
      <c r="N511" s="149"/>
      <c r="O511" s="149">
        <f>SUM(K511:N511)*embed</f>
        <v>0</v>
      </c>
      <c r="P511" s="216">
        <f>ROUND((O511*I511),0)</f>
        <v>0</v>
      </c>
      <c r="Q511" s="150">
        <f>IF(O511=0,0,IF(X511=0,"manual",(O511/(R511*tax*markup*IF(Y511&lt;&gt;"",VLOOKUP(LEFT(Y511,2),cityindex,2,0),1)+S511*markup*difficulty*IF(Y511&lt;&gt;"",VLOOKUP(LEFT(Y511,2),cityindex,3,0),1)+W511*markup*difficulty*IF(Y511&lt;&gt;"",VLOOKUP(LEFT(Y511,2),cityindex,3,0),1)))-1))</f>
        <v>0</v>
      </c>
      <c r="R511" s="147"/>
      <c r="S511" s="147">
        <f>U511*V511</f>
        <v>0</v>
      </c>
      <c r="T511" s="147"/>
      <c r="U511" s="147"/>
      <c r="V511" s="147"/>
      <c r="W511" s="147"/>
      <c r="X511" s="147">
        <f>SUM(R511,S511,W511)</f>
        <v>0</v>
      </c>
      <c r="Y511" s="143" t="s">
        <v>705</v>
      </c>
    </row>
    <row r="512" spans="1:25" x14ac:dyDescent="0.2">
      <c r="A512" s="143" t="s">
        <v>351</v>
      </c>
      <c r="K512" s="149">
        <f t="shared" si="121"/>
        <v>0</v>
      </c>
      <c r="L512" s="149">
        <f t="shared" si="122"/>
        <v>0</v>
      </c>
      <c r="M512" s="149">
        <f t="shared" si="123"/>
        <v>0</v>
      </c>
      <c r="N512" s="149"/>
      <c r="O512" s="149">
        <f t="shared" si="124"/>
        <v>0</v>
      </c>
      <c r="P512" s="216">
        <f t="shared" si="131"/>
        <v>0</v>
      </c>
      <c r="Q512" s="150">
        <f t="shared" si="128"/>
        <v>0</v>
      </c>
      <c r="R512" s="147"/>
      <c r="S512" s="147">
        <f t="shared" si="129"/>
        <v>0</v>
      </c>
      <c r="T512" s="147"/>
      <c r="U512" s="147"/>
      <c r="V512" s="147"/>
      <c r="W512" s="147"/>
      <c r="X512" s="147">
        <f t="shared" si="130"/>
        <v>0</v>
      </c>
    </row>
    <row r="513" spans="1:25" x14ac:dyDescent="0.2">
      <c r="A513" s="143" t="s">
        <v>296</v>
      </c>
      <c r="E513" s="143" t="s">
        <v>706</v>
      </c>
      <c r="K513" s="149">
        <f t="shared" si="121"/>
        <v>0</v>
      </c>
      <c r="L513" s="149">
        <f t="shared" si="122"/>
        <v>0</v>
      </c>
      <c r="M513" s="149">
        <f t="shared" si="123"/>
        <v>0</v>
      </c>
      <c r="N513" s="149"/>
      <c r="O513" s="149">
        <f t="shared" si="124"/>
        <v>0</v>
      </c>
      <c r="P513" s="216">
        <f t="shared" si="131"/>
        <v>0</v>
      </c>
      <c r="Q513" s="150">
        <f t="shared" si="128"/>
        <v>0</v>
      </c>
      <c r="R513" s="147"/>
      <c r="S513" s="147">
        <f t="shared" si="129"/>
        <v>0</v>
      </c>
      <c r="T513" s="147"/>
      <c r="U513" s="147"/>
      <c r="V513" s="147"/>
      <c r="W513" s="147"/>
      <c r="X513" s="147">
        <f t="shared" si="130"/>
        <v>0</v>
      </c>
    </row>
    <row r="514" spans="1:25" x14ac:dyDescent="0.2">
      <c r="A514" s="143" t="s">
        <v>296</v>
      </c>
      <c r="F514" s="143" t="s">
        <v>707</v>
      </c>
      <c r="K514" s="149">
        <f t="shared" si="121"/>
        <v>0</v>
      </c>
      <c r="L514" s="149">
        <f t="shared" si="122"/>
        <v>0</v>
      </c>
      <c r="M514" s="149">
        <f t="shared" si="123"/>
        <v>0</v>
      </c>
      <c r="N514" s="149"/>
      <c r="O514" s="149">
        <f t="shared" si="124"/>
        <v>0</v>
      </c>
      <c r="P514" s="216">
        <f t="shared" si="131"/>
        <v>0</v>
      </c>
      <c r="Q514" s="150">
        <f>IF(O514=0,0,IF(X514=0,"manual",O514/((R514*tax*markup*IF(Y514&lt;&gt;"",VLOOKUP(LEFT(Y514,2),cityindex,2,0),1))+S514*markup*difficulty*IF(Y514&lt;&gt;"",VLOOKUP(LEFT(Y514,2),cityindex,3,0),1)+W514*markup*difficulty*IF(Y514&lt;&gt;"",VLOOKUP(LEFT(Y514,2),cityindex,3,0),1))))</f>
        <v>0</v>
      </c>
      <c r="R514" s="147"/>
      <c r="S514" s="147">
        <f t="shared" si="129"/>
        <v>0</v>
      </c>
      <c r="T514" s="147"/>
      <c r="U514" s="147"/>
      <c r="V514" s="147"/>
      <c r="W514" s="147"/>
      <c r="X514" s="147">
        <f t="shared" si="130"/>
        <v>0</v>
      </c>
    </row>
    <row r="515" spans="1:25" s="228" customFormat="1" ht="12.75" customHeight="1" x14ac:dyDescent="0.2">
      <c r="A515" s="228" t="s">
        <v>296</v>
      </c>
      <c r="B515" s="229"/>
      <c r="G515" s="143" t="s">
        <v>680</v>
      </c>
      <c r="I515" s="230"/>
      <c r="J515" s="231"/>
      <c r="K515" s="232">
        <f t="shared" si="121"/>
        <v>0</v>
      </c>
      <c r="L515" s="232">
        <f t="shared" si="122"/>
        <v>0</v>
      </c>
      <c r="M515" s="232">
        <f t="shared" si="123"/>
        <v>0</v>
      </c>
      <c r="N515" s="232"/>
      <c r="O515" s="232">
        <f t="shared" ref="O515:O520" si="132">SUM(K515:N515)*embed</f>
        <v>0</v>
      </c>
      <c r="P515" s="233">
        <f t="shared" si="131"/>
        <v>0</v>
      </c>
      <c r="Q515" s="234">
        <f t="shared" ref="Q515:Q529" si="133">IF(O515=0,0,IF(X515=0,"manual",(O515/(R515*tax*markup*IF(Y515&lt;&gt;"",VLOOKUP(LEFT(Y515,2),cityindex,2,0),1)+S515*markup*difficulty*IF(Y515&lt;&gt;"",VLOOKUP(LEFT(Y515,2),cityindex,3,0),1)+W515*markup*difficulty*IF(Y515&lt;&gt;"",VLOOKUP(LEFT(Y515,2),cityindex,3,0),1)))-1))</f>
        <v>0</v>
      </c>
      <c r="S515" s="228">
        <f t="shared" si="129"/>
        <v>0</v>
      </c>
      <c r="X515" s="228">
        <f t="shared" si="130"/>
        <v>0</v>
      </c>
    </row>
    <row r="516" spans="1:25" s="228" customFormat="1" ht="12.75" customHeight="1" x14ac:dyDescent="0.2">
      <c r="A516" s="228" t="s">
        <v>296</v>
      </c>
      <c r="B516" s="229"/>
      <c r="H516" s="228" t="s">
        <v>599</v>
      </c>
      <c r="I516" s="230"/>
      <c r="J516" s="231" t="s">
        <v>301</v>
      </c>
      <c r="K516" s="232">
        <f t="shared" si="121"/>
        <v>0</v>
      </c>
      <c r="L516" s="232">
        <f t="shared" si="122"/>
        <v>0</v>
      </c>
      <c r="M516" s="232">
        <f t="shared" si="123"/>
        <v>0</v>
      </c>
      <c r="N516" s="232"/>
      <c r="O516" s="232">
        <f t="shared" si="132"/>
        <v>0</v>
      </c>
      <c r="P516" s="233">
        <f t="shared" si="131"/>
        <v>0</v>
      </c>
      <c r="Q516" s="234">
        <f t="shared" si="133"/>
        <v>0</v>
      </c>
      <c r="S516" s="228">
        <f t="shared" si="129"/>
        <v>0</v>
      </c>
      <c r="X516" s="228">
        <f t="shared" si="130"/>
        <v>0</v>
      </c>
      <c r="Y516" s="228" t="s">
        <v>682</v>
      </c>
    </row>
    <row r="517" spans="1:25" s="228" customFormat="1" ht="12.75" customHeight="1" x14ac:dyDescent="0.2">
      <c r="A517" s="228" t="s">
        <v>296</v>
      </c>
      <c r="B517" s="229"/>
      <c r="H517" s="228" t="s">
        <v>601</v>
      </c>
      <c r="I517" s="230"/>
      <c r="J517" s="231" t="s">
        <v>301</v>
      </c>
      <c r="K517" s="232">
        <f t="shared" si="121"/>
        <v>0</v>
      </c>
      <c r="L517" s="232">
        <f t="shared" si="122"/>
        <v>0</v>
      </c>
      <c r="M517" s="232">
        <f t="shared" si="123"/>
        <v>0</v>
      </c>
      <c r="N517" s="232"/>
      <c r="O517" s="232">
        <f t="shared" si="132"/>
        <v>0</v>
      </c>
      <c r="P517" s="233">
        <f t="shared" si="131"/>
        <v>0</v>
      </c>
      <c r="Q517" s="234">
        <f t="shared" si="133"/>
        <v>0</v>
      </c>
      <c r="S517" s="228">
        <f t="shared" si="129"/>
        <v>0</v>
      </c>
      <c r="X517" s="228">
        <f t="shared" si="130"/>
        <v>0</v>
      </c>
      <c r="Y517" s="228" t="s">
        <v>685</v>
      </c>
    </row>
    <row r="518" spans="1:25" s="228" customFormat="1" ht="12.75" customHeight="1" x14ac:dyDescent="0.2">
      <c r="A518" s="228" t="s">
        <v>296</v>
      </c>
      <c r="B518" s="229"/>
      <c r="G518" s="143" t="s">
        <v>708</v>
      </c>
      <c r="I518" s="230"/>
      <c r="J518" s="231"/>
      <c r="K518" s="232">
        <f t="shared" si="121"/>
        <v>0</v>
      </c>
      <c r="L518" s="232">
        <f t="shared" si="122"/>
        <v>0</v>
      </c>
      <c r="M518" s="232">
        <f t="shared" si="123"/>
        <v>0</v>
      </c>
      <c r="N518" s="232"/>
      <c r="O518" s="232">
        <f t="shared" si="132"/>
        <v>0</v>
      </c>
      <c r="P518" s="233">
        <f t="shared" si="131"/>
        <v>0</v>
      </c>
      <c r="Q518" s="234">
        <f t="shared" si="133"/>
        <v>0</v>
      </c>
      <c r="S518" s="228">
        <f t="shared" si="129"/>
        <v>0</v>
      </c>
      <c r="X518" s="228">
        <f t="shared" si="130"/>
        <v>0</v>
      </c>
    </row>
    <row r="519" spans="1:25" s="228" customFormat="1" ht="12.75" customHeight="1" x14ac:dyDescent="0.2">
      <c r="A519" s="228" t="s">
        <v>296</v>
      </c>
      <c r="B519" s="229"/>
      <c r="H519" s="228" t="s">
        <v>599</v>
      </c>
      <c r="I519" s="230"/>
      <c r="J519" s="231" t="s">
        <v>301</v>
      </c>
      <c r="K519" s="232">
        <f t="shared" si="121"/>
        <v>0</v>
      </c>
      <c r="L519" s="232">
        <f t="shared" si="122"/>
        <v>0</v>
      </c>
      <c r="M519" s="232">
        <f t="shared" si="123"/>
        <v>0</v>
      </c>
      <c r="N519" s="232"/>
      <c r="O519" s="232">
        <f t="shared" si="132"/>
        <v>0</v>
      </c>
      <c r="P519" s="233">
        <f t="shared" si="131"/>
        <v>0</v>
      </c>
      <c r="Q519" s="234">
        <f t="shared" si="133"/>
        <v>0</v>
      </c>
      <c r="S519" s="228">
        <f t="shared" si="129"/>
        <v>0</v>
      </c>
      <c r="X519" s="228">
        <f t="shared" si="130"/>
        <v>0</v>
      </c>
      <c r="Y519" s="228" t="s">
        <v>600</v>
      </c>
    </row>
    <row r="520" spans="1:25" s="228" customFormat="1" ht="12.75" customHeight="1" x14ac:dyDescent="0.2">
      <c r="A520" s="228" t="s">
        <v>296</v>
      </c>
      <c r="B520" s="229"/>
      <c r="H520" s="228" t="s">
        <v>601</v>
      </c>
      <c r="I520" s="230"/>
      <c r="J520" s="231" t="s">
        <v>301</v>
      </c>
      <c r="K520" s="232">
        <f t="shared" si="121"/>
        <v>0</v>
      </c>
      <c r="L520" s="232">
        <f t="shared" si="122"/>
        <v>0</v>
      </c>
      <c r="M520" s="232">
        <f t="shared" si="123"/>
        <v>0</v>
      </c>
      <c r="N520" s="232"/>
      <c r="O520" s="232">
        <f t="shared" si="132"/>
        <v>0</v>
      </c>
      <c r="P520" s="233">
        <f t="shared" si="131"/>
        <v>0</v>
      </c>
      <c r="Q520" s="234">
        <f t="shared" si="133"/>
        <v>0</v>
      </c>
      <c r="S520" s="228">
        <f t="shared" si="129"/>
        <v>0</v>
      </c>
      <c r="X520" s="228">
        <f t="shared" si="130"/>
        <v>0</v>
      </c>
      <c r="Y520" s="228" t="s">
        <v>602</v>
      </c>
    </row>
    <row r="521" spans="1:25" ht="12.75" customHeight="1" x14ac:dyDescent="0.2">
      <c r="A521" s="143" t="s">
        <v>296</v>
      </c>
      <c r="G521" s="143" t="s">
        <v>709</v>
      </c>
      <c r="J521" s="147" t="s">
        <v>301</v>
      </c>
      <c r="K521" s="149">
        <f t="shared" si="121"/>
        <v>0</v>
      </c>
      <c r="L521" s="149">
        <f t="shared" si="122"/>
        <v>0</v>
      </c>
      <c r="M521" s="149">
        <f t="shared" si="123"/>
        <v>0</v>
      </c>
      <c r="N521" s="149"/>
      <c r="O521" s="149">
        <f t="shared" ref="O521:O532" si="134">SUM(K521:N521)*embed</f>
        <v>0</v>
      </c>
      <c r="P521" s="216">
        <f t="shared" si="131"/>
        <v>0</v>
      </c>
      <c r="Q521" s="150">
        <f t="shared" si="133"/>
        <v>0</v>
      </c>
      <c r="S521" s="143">
        <f t="shared" si="129"/>
        <v>0</v>
      </c>
      <c r="X521" s="143">
        <f t="shared" si="130"/>
        <v>0</v>
      </c>
      <c r="Y521" s="143" t="s">
        <v>685</v>
      </c>
    </row>
    <row r="522" spans="1:25" s="228" customFormat="1" ht="12.75" customHeight="1" x14ac:dyDescent="0.2">
      <c r="A522" s="228" t="s">
        <v>296</v>
      </c>
      <c r="B522" s="229"/>
      <c r="G522" s="228" t="s">
        <v>697</v>
      </c>
      <c r="I522" s="230"/>
      <c r="J522" s="231"/>
      <c r="K522" s="232">
        <f>R522*tax*markup*IF(Y522&lt;&gt;"",VLOOKUP(LEFT(Y522,2),cityindex,2,0),1)</f>
        <v>0</v>
      </c>
      <c r="L522" s="232">
        <f>S522*markup*difficulty*IF(Y522&lt;&gt;"",VLOOKUP(LEFT(Y522,2),cityindex,3,0),1)</f>
        <v>0</v>
      </c>
      <c r="M522" s="232">
        <f>W522*markup*difficulty*IF(Y522&lt;&gt;"",VLOOKUP(LEFT(Y522,2),cityindex,3,0),1)</f>
        <v>0</v>
      </c>
      <c r="N522" s="232"/>
      <c r="O522" s="232">
        <f>SUM(K522:N522)*embed</f>
        <v>0</v>
      </c>
      <c r="P522" s="233">
        <f>ROUND((O522*I522),0)</f>
        <v>0</v>
      </c>
      <c r="Q522" s="234">
        <f>IF(O522=0,0,IF(X522=0,"manual",(O522/(R522*tax*markup*IF(Y522&lt;&gt;"",VLOOKUP(LEFT(Y522,2),cityindex,2,0),1)+S522*markup*difficulty*IF(Y522&lt;&gt;"",VLOOKUP(LEFT(Y522,2),cityindex,3,0),1)+W522*markup*difficulty*IF(Y522&lt;&gt;"",VLOOKUP(LEFT(Y522,2),cityindex,3,0),1)))-1))</f>
        <v>0</v>
      </c>
      <c r="S522" s="228">
        <f>U522*V522</f>
        <v>0</v>
      </c>
      <c r="X522" s="228">
        <f>SUM(R522,S522,W522)</f>
        <v>0</v>
      </c>
    </row>
    <row r="523" spans="1:25" ht="12.75" customHeight="1" x14ac:dyDescent="0.2">
      <c r="A523" s="143" t="s">
        <v>296</v>
      </c>
      <c r="H523" s="143" t="s">
        <v>698</v>
      </c>
      <c r="J523" s="147" t="s">
        <v>301</v>
      </c>
      <c r="K523" s="149">
        <f t="shared" si="121"/>
        <v>0</v>
      </c>
      <c r="L523" s="149">
        <f t="shared" si="122"/>
        <v>0</v>
      </c>
      <c r="M523" s="149">
        <f t="shared" si="123"/>
        <v>0</v>
      </c>
      <c r="N523" s="149"/>
      <c r="O523" s="149">
        <f t="shared" si="134"/>
        <v>0</v>
      </c>
      <c r="P523" s="216">
        <f t="shared" si="131"/>
        <v>0</v>
      </c>
      <c r="Q523" s="150">
        <f t="shared" si="133"/>
        <v>0</v>
      </c>
      <c r="S523" s="143">
        <f t="shared" si="129"/>
        <v>0</v>
      </c>
      <c r="X523" s="143">
        <f t="shared" si="130"/>
        <v>0</v>
      </c>
      <c r="Y523" s="143" t="s">
        <v>699</v>
      </c>
    </row>
    <row r="524" spans="1:25" ht="12.75" customHeight="1" x14ac:dyDescent="0.2">
      <c r="A524" s="143" t="s">
        <v>296</v>
      </c>
      <c r="H524" s="143" t="s">
        <v>700</v>
      </c>
      <c r="J524" s="147" t="s">
        <v>301</v>
      </c>
      <c r="K524" s="149">
        <f t="shared" si="121"/>
        <v>0</v>
      </c>
      <c r="L524" s="149">
        <f t="shared" si="122"/>
        <v>0</v>
      </c>
      <c r="M524" s="149">
        <f t="shared" si="123"/>
        <v>0</v>
      </c>
      <c r="N524" s="149"/>
      <c r="O524" s="149">
        <f t="shared" si="134"/>
        <v>0</v>
      </c>
      <c r="P524" s="216">
        <f t="shared" si="131"/>
        <v>0</v>
      </c>
      <c r="Q524" s="150">
        <f t="shared" si="133"/>
        <v>0</v>
      </c>
      <c r="S524" s="143">
        <f t="shared" si="129"/>
        <v>0</v>
      </c>
      <c r="X524" s="143">
        <f t="shared" si="130"/>
        <v>0</v>
      </c>
      <c r="Y524" s="143" t="s">
        <v>701</v>
      </c>
    </row>
    <row r="525" spans="1:25" ht="12.75" customHeight="1" x14ac:dyDescent="0.2">
      <c r="A525" s="143" t="s">
        <v>296</v>
      </c>
      <c r="G525" s="143" t="s">
        <v>710</v>
      </c>
      <c r="J525" s="147" t="s">
        <v>301</v>
      </c>
      <c r="K525" s="149">
        <f t="shared" si="121"/>
        <v>0</v>
      </c>
      <c r="L525" s="149">
        <f t="shared" si="122"/>
        <v>0</v>
      </c>
      <c r="M525" s="149">
        <f t="shared" si="123"/>
        <v>0</v>
      </c>
      <c r="N525" s="149"/>
      <c r="O525" s="149">
        <f t="shared" si="134"/>
        <v>0</v>
      </c>
      <c r="P525" s="216">
        <f t="shared" si="131"/>
        <v>0</v>
      </c>
      <c r="Q525" s="150">
        <f t="shared" si="133"/>
        <v>0</v>
      </c>
      <c r="S525" s="143">
        <f t="shared" si="129"/>
        <v>0</v>
      </c>
      <c r="X525" s="143">
        <f t="shared" si="130"/>
        <v>0</v>
      </c>
      <c r="Y525" s="143" t="s">
        <v>711</v>
      </c>
    </row>
    <row r="526" spans="1:25" ht="12.75" customHeight="1" x14ac:dyDescent="0.2">
      <c r="A526" s="143" t="s">
        <v>296</v>
      </c>
      <c r="G526" s="143" t="s">
        <v>702</v>
      </c>
      <c r="J526" s="147" t="s">
        <v>301</v>
      </c>
      <c r="K526" s="149">
        <f t="shared" si="121"/>
        <v>0</v>
      </c>
      <c r="L526" s="149">
        <f t="shared" si="122"/>
        <v>0</v>
      </c>
      <c r="M526" s="149">
        <f t="shared" si="123"/>
        <v>0</v>
      </c>
      <c r="N526" s="149"/>
      <c r="O526" s="149">
        <f t="shared" si="134"/>
        <v>0</v>
      </c>
      <c r="P526" s="216">
        <f t="shared" si="131"/>
        <v>0</v>
      </c>
      <c r="Q526" s="150">
        <f t="shared" si="133"/>
        <v>0</v>
      </c>
      <c r="S526" s="143">
        <f t="shared" si="129"/>
        <v>0</v>
      </c>
      <c r="X526" s="143">
        <f t="shared" si="130"/>
        <v>0</v>
      </c>
      <c r="Y526" s="143" t="s">
        <v>712</v>
      </c>
    </row>
    <row r="527" spans="1:25" ht="12.75" customHeight="1" x14ac:dyDescent="0.2">
      <c r="A527" s="143" t="s">
        <v>296</v>
      </c>
      <c r="G527" s="143" t="s">
        <v>713</v>
      </c>
      <c r="J527" s="147" t="s">
        <v>301</v>
      </c>
      <c r="K527" s="149">
        <f t="shared" si="121"/>
        <v>0</v>
      </c>
      <c r="L527" s="149">
        <f t="shared" si="122"/>
        <v>0</v>
      </c>
      <c r="M527" s="149">
        <f t="shared" si="123"/>
        <v>0</v>
      </c>
      <c r="N527" s="149"/>
      <c r="O527" s="149">
        <f t="shared" si="134"/>
        <v>0</v>
      </c>
      <c r="P527" s="216">
        <f t="shared" si="131"/>
        <v>0</v>
      </c>
      <c r="Q527" s="150">
        <f t="shared" si="133"/>
        <v>0</v>
      </c>
      <c r="S527" s="143">
        <f t="shared" si="129"/>
        <v>0</v>
      </c>
      <c r="X527" s="143">
        <f t="shared" si="130"/>
        <v>0</v>
      </c>
      <c r="Y527" s="143" t="s">
        <v>714</v>
      </c>
    </row>
    <row r="528" spans="1:25" s="228" customFormat="1" ht="12.75" customHeight="1" x14ac:dyDescent="0.2">
      <c r="A528" s="228" t="s">
        <v>296</v>
      </c>
      <c r="B528" s="229"/>
      <c r="G528" s="228" t="s">
        <v>715</v>
      </c>
      <c r="I528" s="230"/>
      <c r="J528" s="231"/>
      <c r="K528" s="232">
        <f>R528*tax*markup*IF(Y528&lt;&gt;"",VLOOKUP(LEFT(Y528,2),cityindex,2,0),1)</f>
        <v>0</v>
      </c>
      <c r="L528" s="232">
        <f>S528*markup*difficulty*IF(Y528&lt;&gt;"",VLOOKUP(LEFT(Y528,2),cityindex,3,0),1)</f>
        <v>0</v>
      </c>
      <c r="M528" s="232">
        <f>W528*markup*difficulty*IF(Y528&lt;&gt;"",VLOOKUP(LEFT(Y528,2),cityindex,3,0),1)</f>
        <v>0</v>
      </c>
      <c r="N528" s="232"/>
      <c r="O528" s="232">
        <f>SUM(K528:N528)*embed</f>
        <v>0</v>
      </c>
      <c r="P528" s="233">
        <f>ROUND((O528*I528),0)</f>
        <v>0</v>
      </c>
      <c r="Q528" s="234">
        <f>IF(O528=0,0,IF(X528=0,"manual",(O528/(R528*tax*markup*IF(Y528&lt;&gt;"",VLOOKUP(LEFT(Y528,2),cityindex,2,0),1)+S528*markup*difficulty*IF(Y528&lt;&gt;"",VLOOKUP(LEFT(Y528,2),cityindex,3,0),1)+W528*markup*difficulty*IF(Y528&lt;&gt;"",VLOOKUP(LEFT(Y528,2),cityindex,3,0),1)))-1))</f>
        <v>0</v>
      </c>
      <c r="S528" s="228">
        <f>U528*V528</f>
        <v>0</v>
      </c>
      <c r="X528" s="228">
        <f>SUM(R528,S528,W528)</f>
        <v>0</v>
      </c>
    </row>
    <row r="529" spans="1:26" ht="12.75" customHeight="1" x14ac:dyDescent="0.2">
      <c r="A529" s="143" t="s">
        <v>296</v>
      </c>
      <c r="H529" s="143" t="s">
        <v>716</v>
      </c>
      <c r="J529" s="147" t="s">
        <v>301</v>
      </c>
      <c r="K529" s="149">
        <f t="shared" si="121"/>
        <v>0</v>
      </c>
      <c r="L529" s="149">
        <f t="shared" si="122"/>
        <v>0</v>
      </c>
      <c r="M529" s="149">
        <f t="shared" si="123"/>
        <v>0</v>
      </c>
      <c r="N529" s="149"/>
      <c r="O529" s="149">
        <f t="shared" si="134"/>
        <v>0</v>
      </c>
      <c r="P529" s="216">
        <f t="shared" si="131"/>
        <v>0</v>
      </c>
      <c r="Q529" s="150">
        <f t="shared" si="133"/>
        <v>0</v>
      </c>
      <c r="S529" s="143">
        <f t="shared" si="129"/>
        <v>0</v>
      </c>
      <c r="X529" s="143">
        <f t="shared" si="130"/>
        <v>0</v>
      </c>
      <c r="Y529" s="143" t="s">
        <v>717</v>
      </c>
    </row>
    <row r="530" spans="1:26" ht="12.75" customHeight="1" x14ac:dyDescent="0.2">
      <c r="A530" s="143" t="s">
        <v>296</v>
      </c>
      <c r="H530" s="143" t="s">
        <v>718</v>
      </c>
      <c r="J530" s="147" t="s">
        <v>301</v>
      </c>
      <c r="K530" s="149">
        <f t="shared" si="121"/>
        <v>0</v>
      </c>
      <c r="L530" s="149">
        <f t="shared" si="122"/>
        <v>0</v>
      </c>
      <c r="M530" s="149">
        <f t="shared" si="123"/>
        <v>0</v>
      </c>
      <c r="N530" s="149"/>
      <c r="O530" s="149">
        <f t="shared" si="134"/>
        <v>0</v>
      </c>
      <c r="P530" s="216">
        <f t="shared" si="131"/>
        <v>0</v>
      </c>
      <c r="Q530" s="150">
        <f>IF(O530=0,0,IF(X530=0,"manual",(O530/(R530*tax*markup*IF(Y530&lt;&gt;"",VLOOKUP(LEFT(Y530,2),cityindex,2,0),1)+S530*markup*difficulty*IF(Y530&lt;&gt;"",VLOOKUP(LEFT(Y530,2),cityindex,3,0),1)+W530*markup*difficulty*IF(Y530&lt;&gt;"",VLOOKUP(LEFT(Y530,2),cityindex,3,0),1)))-1))</f>
        <v>0</v>
      </c>
      <c r="S530" s="143">
        <f t="shared" si="129"/>
        <v>0</v>
      </c>
      <c r="X530" s="143">
        <f t="shared" si="130"/>
        <v>0</v>
      </c>
      <c r="Y530" s="143" t="s">
        <v>719</v>
      </c>
    </row>
    <row r="531" spans="1:26" ht="12.75" customHeight="1" x14ac:dyDescent="0.2">
      <c r="A531" s="143" t="s">
        <v>296</v>
      </c>
      <c r="H531" s="143" t="s">
        <v>720</v>
      </c>
      <c r="J531" s="147" t="s">
        <v>301</v>
      </c>
      <c r="K531" s="149">
        <f t="shared" si="121"/>
        <v>0</v>
      </c>
      <c r="L531" s="149">
        <f t="shared" si="122"/>
        <v>0</v>
      </c>
      <c r="M531" s="149">
        <f t="shared" si="123"/>
        <v>0</v>
      </c>
      <c r="N531" s="149"/>
      <c r="O531" s="149">
        <f t="shared" si="134"/>
        <v>0</v>
      </c>
      <c r="P531" s="216">
        <f t="shared" si="131"/>
        <v>0</v>
      </c>
      <c r="Q531" s="150">
        <f>IF(O531=0,0,IF(X531=0,"manual",(O531/(R531*tax*markup*IF(Y531&lt;&gt;"",VLOOKUP(LEFT(Y531,2),cityindex,2,0),1)+S531*markup*difficulty*IF(Y531&lt;&gt;"",VLOOKUP(LEFT(Y531,2),cityindex,3,0),1)+W531*markup*difficulty*IF(Y531&lt;&gt;"",VLOOKUP(LEFT(Y531,2),cityindex,3,0),1)))-1))</f>
        <v>0</v>
      </c>
      <c r="S531" s="143">
        <f t="shared" si="129"/>
        <v>0</v>
      </c>
      <c r="X531" s="143">
        <f t="shared" si="130"/>
        <v>0</v>
      </c>
      <c r="Y531" s="143" t="s">
        <v>721</v>
      </c>
    </row>
    <row r="532" spans="1:26" x14ac:dyDescent="0.2">
      <c r="A532" s="143" t="s">
        <v>296</v>
      </c>
      <c r="K532" s="149">
        <f t="shared" si="121"/>
        <v>0</v>
      </c>
      <c r="L532" s="149">
        <f t="shared" si="122"/>
        <v>0</v>
      </c>
      <c r="M532" s="149">
        <f t="shared" si="123"/>
        <v>0</v>
      </c>
      <c r="N532" s="149"/>
      <c r="O532" s="149">
        <f t="shared" si="134"/>
        <v>0</v>
      </c>
      <c r="P532" s="216">
        <f t="shared" si="131"/>
        <v>0</v>
      </c>
      <c r="Q532" s="150">
        <f>IF(O532=0,0,IF(X532=0,"manual",O532/((R532*tax*markup*IF(Y532&lt;&gt;"",VLOOKUP(LEFT(Y532,2),cityindex,2,0),1))+S532*markup*difficulty*IF(Y532&lt;&gt;"",VLOOKUP(LEFT(Y532,2),cityindex,3,0),1)+W532*markup*difficulty*IF(Y532&lt;&gt;"",VLOOKUP(LEFT(Y532,2),cityindex,3,0),1))))</f>
        <v>0</v>
      </c>
      <c r="R532" s="147"/>
      <c r="S532" s="147">
        <f t="shared" si="129"/>
        <v>0</v>
      </c>
      <c r="T532" s="147"/>
      <c r="U532" s="147"/>
      <c r="V532" s="147"/>
      <c r="W532" s="147"/>
      <c r="X532" s="147">
        <f t="shared" si="130"/>
        <v>0</v>
      </c>
    </row>
    <row r="533" spans="1:26" x14ac:dyDescent="0.2">
      <c r="A533" s="143" t="s">
        <v>296</v>
      </c>
      <c r="F533" s="143" t="s">
        <v>497</v>
      </c>
      <c r="K533" s="149">
        <f t="shared" ref="K533:K558" si="135">R533*tax*markup*IF(Y533&lt;&gt;"",VLOOKUP(LEFT(Y533,2),cityindex,2,0),1)</f>
        <v>0</v>
      </c>
      <c r="L533" s="149">
        <f t="shared" ref="L533:L558" si="136">S533*markup*difficulty*IF(Y533&lt;&gt;"",VLOOKUP(LEFT(Y533,2),cityindex,3,0),1)</f>
        <v>0</v>
      </c>
      <c r="M533" s="149">
        <f t="shared" ref="M533:M558" si="137">W533*markup*difficulty*IF(Y533&lt;&gt;"",VLOOKUP(LEFT(Y533,2),cityindex,3,0),1)</f>
        <v>0</v>
      </c>
      <c r="N533" s="149"/>
      <c r="O533" s="149">
        <f t="shared" ref="O533:O552" si="138">SUM(K533:N533)*embed</f>
        <v>0</v>
      </c>
      <c r="P533" s="216">
        <f t="shared" si="131"/>
        <v>0</v>
      </c>
      <c r="Q533" s="150">
        <f>IF(O533=0,0,IF(X533=0,"manual",O533/((R533*tax*markup*IF(Y533&lt;&gt;"",VLOOKUP(LEFT(Y533,2),cityindex,2,0),1))+S533*markup*difficulty*IF(Y533&lt;&gt;"",VLOOKUP(LEFT(Y533,2),cityindex,3,0),1)+W533*markup*difficulty*IF(Y533&lt;&gt;"",VLOOKUP(LEFT(Y533,2),cityindex,3,0),1))))</f>
        <v>0</v>
      </c>
      <c r="S533" s="143">
        <f t="shared" si="129"/>
        <v>0</v>
      </c>
      <c r="X533" s="143">
        <f t="shared" si="130"/>
        <v>0</v>
      </c>
      <c r="Z533" s="227"/>
    </row>
    <row r="534" spans="1:26" ht="12.75" customHeight="1" x14ac:dyDescent="0.2">
      <c r="A534" s="143" t="s">
        <v>296</v>
      </c>
      <c r="G534" s="143" t="s">
        <v>722</v>
      </c>
      <c r="J534" s="147" t="s">
        <v>301</v>
      </c>
      <c r="K534" s="149">
        <f t="shared" si="135"/>
        <v>0</v>
      </c>
      <c r="L534" s="149">
        <f t="shared" si="136"/>
        <v>0</v>
      </c>
      <c r="M534" s="149">
        <f t="shared" si="137"/>
        <v>0</v>
      </c>
      <c r="N534" s="149"/>
      <c r="O534" s="149">
        <f t="shared" si="138"/>
        <v>0</v>
      </c>
      <c r="P534" s="216">
        <f t="shared" si="131"/>
        <v>0</v>
      </c>
      <c r="Q534" s="150">
        <f t="shared" ref="Q534:Q549" si="139">IF(O534=0,0,IF(X534=0,"manual",(O534/(R534*tax*markup*IF(Y534&lt;&gt;"",VLOOKUP(LEFT(Y534,2),cityindex,2,0),1)+S534*markup*difficulty*IF(Y534&lt;&gt;"",VLOOKUP(LEFT(Y534,2),cityindex,3,0),1)+W534*markup*difficulty*IF(Y534&lt;&gt;"",VLOOKUP(LEFT(Y534,2),cityindex,3,0),1)))-1))</f>
        <v>0</v>
      </c>
      <c r="S534" s="143">
        <f t="shared" si="129"/>
        <v>0</v>
      </c>
      <c r="X534" s="143">
        <f t="shared" si="130"/>
        <v>0</v>
      </c>
      <c r="Y534" s="143" t="s">
        <v>723</v>
      </c>
    </row>
    <row r="535" spans="1:26" ht="12.75" customHeight="1" x14ac:dyDescent="0.2">
      <c r="A535" s="143" t="s">
        <v>296</v>
      </c>
      <c r="G535" s="143" t="s">
        <v>724</v>
      </c>
      <c r="J535" s="147" t="s">
        <v>301</v>
      </c>
      <c r="K535" s="149">
        <f t="shared" si="135"/>
        <v>0</v>
      </c>
      <c r="L535" s="149">
        <f t="shared" si="136"/>
        <v>0</v>
      </c>
      <c r="M535" s="149">
        <f t="shared" si="137"/>
        <v>0</v>
      </c>
      <c r="N535" s="149"/>
      <c r="O535" s="149">
        <f t="shared" si="138"/>
        <v>0</v>
      </c>
      <c r="P535" s="216">
        <f t="shared" si="131"/>
        <v>0</v>
      </c>
      <c r="Q535" s="150">
        <f t="shared" si="139"/>
        <v>0</v>
      </c>
      <c r="S535" s="143">
        <f t="shared" si="129"/>
        <v>0</v>
      </c>
      <c r="X535" s="143">
        <f t="shared" si="130"/>
        <v>0</v>
      </c>
      <c r="Y535" s="143" t="s">
        <v>725</v>
      </c>
    </row>
    <row r="536" spans="1:26" ht="12.75" customHeight="1" x14ac:dyDescent="0.2">
      <c r="A536" s="143" t="s">
        <v>296</v>
      </c>
      <c r="G536" s="143" t="s">
        <v>726</v>
      </c>
      <c r="J536" s="147" t="s">
        <v>301</v>
      </c>
      <c r="K536" s="149">
        <f t="shared" si="135"/>
        <v>0</v>
      </c>
      <c r="L536" s="149">
        <f>S536*markup*difficulty*IF(Y536&lt;&gt;"",VLOOKUP(LEFT(Y536,2),cityindex,3,0),1)</f>
        <v>0</v>
      </c>
      <c r="M536" s="149">
        <f>W536*markup*difficulty*IF(Y536&lt;&gt;"",VLOOKUP(LEFT(Y536,2),cityindex,3,0),1)</f>
        <v>0</v>
      </c>
      <c r="N536" s="149"/>
      <c r="O536" s="149">
        <f t="shared" si="138"/>
        <v>0</v>
      </c>
      <c r="P536" s="216">
        <f t="shared" si="131"/>
        <v>0</v>
      </c>
      <c r="Q536" s="150">
        <f t="shared" si="139"/>
        <v>0</v>
      </c>
      <c r="S536" s="143">
        <f>U536*V536</f>
        <v>0</v>
      </c>
      <c r="X536" s="143">
        <f>SUM(R536,S536,W536)</f>
        <v>0</v>
      </c>
      <c r="Y536" s="143" t="s">
        <v>727</v>
      </c>
    </row>
    <row r="537" spans="1:26" ht="12.75" customHeight="1" x14ac:dyDescent="0.2">
      <c r="A537" s="143" t="s">
        <v>296</v>
      </c>
      <c r="G537" s="143" t="s">
        <v>728</v>
      </c>
      <c r="J537" s="147" t="s">
        <v>301</v>
      </c>
      <c r="K537" s="149">
        <f t="shared" si="135"/>
        <v>0</v>
      </c>
      <c r="L537" s="149">
        <f t="shared" si="136"/>
        <v>0</v>
      </c>
      <c r="M537" s="149">
        <f t="shared" si="137"/>
        <v>0</v>
      </c>
      <c r="N537" s="149"/>
      <c r="O537" s="149">
        <f t="shared" si="138"/>
        <v>0</v>
      </c>
      <c r="P537" s="216">
        <f t="shared" si="131"/>
        <v>0</v>
      </c>
      <c r="Q537" s="150">
        <f t="shared" si="139"/>
        <v>0</v>
      </c>
      <c r="S537" s="143">
        <f t="shared" si="129"/>
        <v>0</v>
      </c>
      <c r="X537" s="143">
        <f t="shared" si="130"/>
        <v>0</v>
      </c>
      <c r="Y537" s="143" t="s">
        <v>729</v>
      </c>
    </row>
    <row r="538" spans="1:26" ht="12.75" customHeight="1" x14ac:dyDescent="0.2">
      <c r="A538" s="143" t="s">
        <v>296</v>
      </c>
      <c r="G538" s="143" t="s">
        <v>730</v>
      </c>
      <c r="J538" s="147" t="s">
        <v>301</v>
      </c>
      <c r="K538" s="149">
        <f t="shared" si="135"/>
        <v>0</v>
      </c>
      <c r="L538" s="149">
        <f t="shared" si="136"/>
        <v>0</v>
      </c>
      <c r="M538" s="149">
        <f t="shared" si="137"/>
        <v>0</v>
      </c>
      <c r="N538" s="149"/>
      <c r="O538" s="149">
        <f t="shared" si="138"/>
        <v>0</v>
      </c>
      <c r="P538" s="216">
        <f t="shared" si="131"/>
        <v>0</v>
      </c>
      <c r="Q538" s="150">
        <f t="shared" si="139"/>
        <v>0</v>
      </c>
      <c r="S538" s="143">
        <f t="shared" si="129"/>
        <v>0</v>
      </c>
      <c r="X538" s="143">
        <f t="shared" si="130"/>
        <v>0</v>
      </c>
      <c r="Y538" s="143" t="s">
        <v>731</v>
      </c>
    </row>
    <row r="539" spans="1:26" ht="12.75" customHeight="1" x14ac:dyDescent="0.2">
      <c r="A539" s="143" t="s">
        <v>296</v>
      </c>
      <c r="G539" s="143" t="s">
        <v>713</v>
      </c>
      <c r="J539" s="147" t="s">
        <v>301</v>
      </c>
      <c r="K539" s="149">
        <f t="shared" si="135"/>
        <v>0</v>
      </c>
      <c r="L539" s="149">
        <f t="shared" si="136"/>
        <v>0</v>
      </c>
      <c r="M539" s="149">
        <f t="shared" si="137"/>
        <v>0</v>
      </c>
      <c r="N539" s="149"/>
      <c r="O539" s="149">
        <f t="shared" si="138"/>
        <v>0</v>
      </c>
      <c r="P539" s="216">
        <f t="shared" si="131"/>
        <v>0</v>
      </c>
      <c r="Q539" s="150">
        <f t="shared" si="139"/>
        <v>0</v>
      </c>
      <c r="S539" s="143">
        <f t="shared" si="129"/>
        <v>0</v>
      </c>
      <c r="X539" s="143">
        <f t="shared" si="130"/>
        <v>0</v>
      </c>
      <c r="Y539" s="143" t="s">
        <v>732</v>
      </c>
    </row>
    <row r="540" spans="1:26" ht="12.75" customHeight="1" x14ac:dyDescent="0.2">
      <c r="A540" s="143" t="s">
        <v>296</v>
      </c>
      <c r="G540" s="143" t="s">
        <v>733</v>
      </c>
      <c r="J540" s="147" t="s">
        <v>301</v>
      </c>
      <c r="K540" s="149">
        <f t="shared" si="135"/>
        <v>0</v>
      </c>
      <c r="L540" s="149">
        <f t="shared" si="136"/>
        <v>0</v>
      </c>
      <c r="M540" s="149">
        <f t="shared" si="137"/>
        <v>0</v>
      </c>
      <c r="N540" s="149"/>
      <c r="O540" s="149">
        <f t="shared" si="138"/>
        <v>0</v>
      </c>
      <c r="P540" s="216">
        <f t="shared" si="131"/>
        <v>0</v>
      </c>
      <c r="Q540" s="150">
        <f t="shared" si="139"/>
        <v>0</v>
      </c>
      <c r="S540" s="143">
        <f t="shared" si="129"/>
        <v>0</v>
      </c>
      <c r="X540" s="143">
        <f t="shared" si="130"/>
        <v>0</v>
      </c>
      <c r="Y540" s="143" t="s">
        <v>734</v>
      </c>
    </row>
    <row r="541" spans="1:26" ht="12.75" customHeight="1" x14ac:dyDescent="0.2">
      <c r="A541" s="143" t="s">
        <v>296</v>
      </c>
      <c r="G541" s="143" t="s">
        <v>735</v>
      </c>
      <c r="J541" s="147" t="s">
        <v>301</v>
      </c>
      <c r="K541" s="149">
        <f t="shared" si="135"/>
        <v>0</v>
      </c>
      <c r="L541" s="149">
        <f t="shared" si="136"/>
        <v>0</v>
      </c>
      <c r="M541" s="149">
        <f t="shared" si="137"/>
        <v>0</v>
      </c>
      <c r="N541" s="149"/>
      <c r="O541" s="149">
        <f t="shared" si="138"/>
        <v>0</v>
      </c>
      <c r="P541" s="216">
        <f t="shared" si="131"/>
        <v>0</v>
      </c>
      <c r="Q541" s="150">
        <f t="shared" si="139"/>
        <v>0</v>
      </c>
      <c r="S541" s="143">
        <f t="shared" si="129"/>
        <v>0</v>
      </c>
      <c r="X541" s="143">
        <f t="shared" si="130"/>
        <v>0</v>
      </c>
      <c r="Y541" s="143" t="s">
        <v>736</v>
      </c>
    </row>
    <row r="542" spans="1:26" ht="12.75" customHeight="1" x14ac:dyDescent="0.2">
      <c r="A542" s="143" t="s">
        <v>296</v>
      </c>
      <c r="G542" s="143" t="s">
        <v>737</v>
      </c>
      <c r="J542" s="147" t="s">
        <v>301</v>
      </c>
      <c r="K542" s="149">
        <f t="shared" si="135"/>
        <v>0</v>
      </c>
      <c r="L542" s="149">
        <f t="shared" si="136"/>
        <v>0</v>
      </c>
      <c r="M542" s="149">
        <f t="shared" si="137"/>
        <v>0</v>
      </c>
      <c r="N542" s="149"/>
      <c r="O542" s="149">
        <f t="shared" si="138"/>
        <v>0</v>
      </c>
      <c r="P542" s="216">
        <f t="shared" si="131"/>
        <v>0</v>
      </c>
      <c r="Q542" s="150">
        <f t="shared" si="139"/>
        <v>0</v>
      </c>
      <c r="S542" s="143">
        <f t="shared" si="129"/>
        <v>0</v>
      </c>
      <c r="X542" s="143">
        <f t="shared" si="130"/>
        <v>0</v>
      </c>
      <c r="Y542" s="143" t="s">
        <v>738</v>
      </c>
    </row>
    <row r="543" spans="1:26" ht="12.75" customHeight="1" x14ac:dyDescent="0.2">
      <c r="A543" s="143" t="s">
        <v>296</v>
      </c>
      <c r="G543" s="143" t="s">
        <v>739</v>
      </c>
      <c r="J543" s="147" t="s">
        <v>301</v>
      </c>
      <c r="K543" s="149">
        <f t="shared" si="135"/>
        <v>0</v>
      </c>
      <c r="L543" s="149">
        <f t="shared" si="136"/>
        <v>0</v>
      </c>
      <c r="M543" s="149">
        <f t="shared" si="137"/>
        <v>0</v>
      </c>
      <c r="N543" s="149"/>
      <c r="O543" s="149">
        <f t="shared" si="138"/>
        <v>0</v>
      </c>
      <c r="P543" s="216">
        <f t="shared" si="131"/>
        <v>0</v>
      </c>
      <c r="Q543" s="150">
        <f t="shared" si="139"/>
        <v>0</v>
      </c>
      <c r="S543" s="143">
        <f t="shared" si="129"/>
        <v>0</v>
      </c>
      <c r="X543" s="143">
        <f t="shared" si="130"/>
        <v>0</v>
      </c>
      <c r="Y543" s="143" t="s">
        <v>740</v>
      </c>
    </row>
    <row r="544" spans="1:26" ht="12.75" customHeight="1" x14ac:dyDescent="0.2">
      <c r="A544" s="143" t="s">
        <v>296</v>
      </c>
      <c r="G544" s="143" t="s">
        <v>741</v>
      </c>
      <c r="J544" s="147" t="s">
        <v>301</v>
      </c>
      <c r="K544" s="149">
        <f t="shared" si="135"/>
        <v>0</v>
      </c>
      <c r="L544" s="149">
        <f t="shared" si="136"/>
        <v>0</v>
      </c>
      <c r="M544" s="149">
        <f t="shared" si="137"/>
        <v>0</v>
      </c>
      <c r="N544" s="149"/>
      <c r="O544" s="149">
        <f t="shared" si="138"/>
        <v>0</v>
      </c>
      <c r="P544" s="216">
        <f t="shared" si="131"/>
        <v>0</v>
      </c>
      <c r="Q544" s="150">
        <f t="shared" si="139"/>
        <v>0</v>
      </c>
      <c r="S544" s="143">
        <f t="shared" si="129"/>
        <v>0</v>
      </c>
      <c r="X544" s="143">
        <f t="shared" si="130"/>
        <v>0</v>
      </c>
      <c r="Y544" s="143" t="s">
        <v>742</v>
      </c>
    </row>
    <row r="545" spans="1:27" ht="12.75" customHeight="1" x14ac:dyDescent="0.2">
      <c r="A545" s="143" t="s">
        <v>296</v>
      </c>
      <c r="G545" s="143" t="s">
        <v>743</v>
      </c>
      <c r="J545" s="147" t="s">
        <v>301</v>
      </c>
      <c r="K545" s="149">
        <f t="shared" si="135"/>
        <v>0</v>
      </c>
      <c r="L545" s="149">
        <f t="shared" si="136"/>
        <v>0</v>
      </c>
      <c r="M545" s="149">
        <f t="shared" si="137"/>
        <v>0</v>
      </c>
      <c r="N545" s="149"/>
      <c r="O545" s="149">
        <f t="shared" si="138"/>
        <v>0</v>
      </c>
      <c r="P545" s="216">
        <f t="shared" si="131"/>
        <v>0</v>
      </c>
      <c r="Q545" s="150">
        <f t="shared" si="139"/>
        <v>0</v>
      </c>
      <c r="S545" s="143">
        <f t="shared" si="129"/>
        <v>0</v>
      </c>
      <c r="X545" s="143">
        <f t="shared" si="130"/>
        <v>0</v>
      </c>
      <c r="Y545" s="143" t="s">
        <v>744</v>
      </c>
    </row>
    <row r="546" spans="1:27" ht="12.75" customHeight="1" x14ac:dyDescent="0.2">
      <c r="A546" s="143" t="s">
        <v>296</v>
      </c>
      <c r="G546" s="143" t="s">
        <v>745</v>
      </c>
      <c r="K546" s="149">
        <f t="shared" si="135"/>
        <v>0</v>
      </c>
      <c r="L546" s="149">
        <f t="shared" si="136"/>
        <v>0</v>
      </c>
      <c r="M546" s="149">
        <f t="shared" si="137"/>
        <v>0</v>
      </c>
      <c r="N546" s="149"/>
      <c r="O546" s="149">
        <f t="shared" si="138"/>
        <v>0</v>
      </c>
      <c r="P546" s="216">
        <f t="shared" si="131"/>
        <v>0</v>
      </c>
      <c r="Q546" s="150">
        <f t="shared" si="139"/>
        <v>0</v>
      </c>
      <c r="S546" s="143">
        <f t="shared" si="129"/>
        <v>0</v>
      </c>
      <c r="X546" s="143">
        <f t="shared" si="130"/>
        <v>0</v>
      </c>
    </row>
    <row r="547" spans="1:27" ht="12.75" customHeight="1" x14ac:dyDescent="0.2">
      <c r="A547" s="143" t="s">
        <v>296</v>
      </c>
      <c r="H547" s="143" t="s">
        <v>741</v>
      </c>
      <c r="J547" s="147" t="s">
        <v>309</v>
      </c>
      <c r="K547" s="149">
        <f t="shared" si="135"/>
        <v>0</v>
      </c>
      <c r="L547" s="149">
        <f t="shared" si="136"/>
        <v>0</v>
      </c>
      <c r="M547" s="149">
        <f t="shared" si="137"/>
        <v>0</v>
      </c>
      <c r="N547" s="149"/>
      <c r="O547" s="149">
        <f t="shared" si="138"/>
        <v>0</v>
      </c>
      <c r="P547" s="216">
        <f t="shared" si="131"/>
        <v>0</v>
      </c>
      <c r="Q547" s="150">
        <f t="shared" si="139"/>
        <v>0</v>
      </c>
      <c r="S547" s="143">
        <f t="shared" si="129"/>
        <v>0</v>
      </c>
      <c r="X547" s="143">
        <f t="shared" si="130"/>
        <v>0</v>
      </c>
      <c r="Y547" s="143" t="s">
        <v>746</v>
      </c>
    </row>
    <row r="548" spans="1:27" ht="12.75" customHeight="1" x14ac:dyDescent="0.2">
      <c r="A548" s="143" t="s">
        <v>296</v>
      </c>
      <c r="H548" s="143" t="s">
        <v>713</v>
      </c>
      <c r="J548" s="147" t="s">
        <v>309</v>
      </c>
      <c r="K548" s="149">
        <f t="shared" si="135"/>
        <v>0</v>
      </c>
      <c r="L548" s="149">
        <f t="shared" si="136"/>
        <v>0</v>
      </c>
      <c r="M548" s="149">
        <f t="shared" si="137"/>
        <v>0</v>
      </c>
      <c r="N548" s="149"/>
      <c r="O548" s="149">
        <f t="shared" si="138"/>
        <v>0</v>
      </c>
      <c r="P548" s="216">
        <f t="shared" si="131"/>
        <v>0</v>
      </c>
      <c r="Q548" s="150">
        <f t="shared" si="139"/>
        <v>0</v>
      </c>
      <c r="S548" s="143">
        <f t="shared" si="129"/>
        <v>0</v>
      </c>
      <c r="X548" s="143">
        <f t="shared" si="130"/>
        <v>0</v>
      </c>
      <c r="Y548" s="143" t="s">
        <v>747</v>
      </c>
    </row>
    <row r="549" spans="1:27" ht="12.75" customHeight="1" x14ac:dyDescent="0.2">
      <c r="A549" s="143" t="s">
        <v>296</v>
      </c>
      <c r="H549" s="143" t="s">
        <v>748</v>
      </c>
      <c r="J549" s="147" t="s">
        <v>309</v>
      </c>
      <c r="K549" s="149">
        <f t="shared" si="135"/>
        <v>0</v>
      </c>
      <c r="L549" s="149">
        <f t="shared" si="136"/>
        <v>0</v>
      </c>
      <c r="M549" s="149">
        <f t="shared" si="137"/>
        <v>0</v>
      </c>
      <c r="N549" s="149"/>
      <c r="O549" s="149">
        <f t="shared" si="138"/>
        <v>0</v>
      </c>
      <c r="P549" s="216">
        <f t="shared" si="131"/>
        <v>0</v>
      </c>
      <c r="Q549" s="150">
        <f t="shared" si="139"/>
        <v>0</v>
      </c>
      <c r="S549" s="143">
        <f t="shared" si="129"/>
        <v>0</v>
      </c>
      <c r="X549" s="143">
        <f t="shared" si="130"/>
        <v>0</v>
      </c>
      <c r="Y549" s="143" t="s">
        <v>749</v>
      </c>
    </row>
    <row r="550" spans="1:27" x14ac:dyDescent="0.2">
      <c r="A550" s="143" t="s">
        <v>296</v>
      </c>
      <c r="K550" s="149">
        <f t="shared" si="135"/>
        <v>0</v>
      </c>
      <c r="L550" s="149">
        <f t="shared" si="136"/>
        <v>0</v>
      </c>
      <c r="M550" s="149">
        <f t="shared" si="137"/>
        <v>0</v>
      </c>
      <c r="N550" s="149"/>
      <c r="O550" s="149">
        <f t="shared" si="138"/>
        <v>0</v>
      </c>
      <c r="P550" s="216">
        <f>ROUND((O550*I550),0)</f>
        <v>0</v>
      </c>
      <c r="Q550" s="150">
        <f>IF(O550=0,0,IF(X550=0,"manual",O550/((R550*tax*markup*IF(Y550&lt;&gt;"",VLOOKUP(LEFT(Y550,2),cityindex,2,0),1))+S550*markup*difficulty*IF(Y550&lt;&gt;"",VLOOKUP(LEFT(Y550,2),cityindex,3,0),1)+W550*markup*difficulty*IF(Y550&lt;&gt;"",VLOOKUP(LEFT(Y550,2),cityindex,3,0),1))))</f>
        <v>0</v>
      </c>
      <c r="S550" s="143">
        <f t="shared" si="129"/>
        <v>0</v>
      </c>
      <c r="X550" s="143">
        <f t="shared" si="130"/>
        <v>0</v>
      </c>
      <c r="Z550" s="227"/>
    </row>
    <row r="551" spans="1:27" x14ac:dyDescent="0.2">
      <c r="A551" s="143" t="s">
        <v>296</v>
      </c>
      <c r="F551" s="143" t="s">
        <v>750</v>
      </c>
      <c r="K551" s="149">
        <f t="shared" si="135"/>
        <v>0</v>
      </c>
      <c r="L551" s="149">
        <f t="shared" si="136"/>
        <v>0</v>
      </c>
      <c r="M551" s="149">
        <f t="shared" si="137"/>
        <v>0</v>
      </c>
      <c r="N551" s="149"/>
      <c r="O551" s="149">
        <f t="shared" si="138"/>
        <v>0</v>
      </c>
      <c r="P551" s="216">
        <f t="shared" si="131"/>
        <v>0</v>
      </c>
      <c r="Q551" s="150">
        <f>IF(O551=0,0,IF(X551=0,"manual",O551/((R551*tax*markup*IF(Y551&lt;&gt;"",VLOOKUP(LEFT(Y551,2),cityindex,2,0),1))+S551*markup*difficulty*IF(Y551&lt;&gt;"",VLOOKUP(LEFT(Y551,2),cityindex,3,0),1)+W551*markup*difficulty*IF(Y551&lt;&gt;"",VLOOKUP(LEFT(Y551,2),cityindex,3,0),1))))</f>
        <v>0</v>
      </c>
      <c r="S551" s="143">
        <f t="shared" si="129"/>
        <v>0</v>
      </c>
      <c r="X551" s="143">
        <f t="shared" si="130"/>
        <v>0</v>
      </c>
      <c r="Z551" s="227"/>
    </row>
    <row r="552" spans="1:27" ht="12.75" customHeight="1" x14ac:dyDescent="0.2">
      <c r="A552" s="143" t="s">
        <v>296</v>
      </c>
      <c r="G552" s="143" t="s">
        <v>751</v>
      </c>
      <c r="J552" s="147" t="s">
        <v>301</v>
      </c>
      <c r="K552" s="149">
        <f t="shared" si="135"/>
        <v>0</v>
      </c>
      <c r="L552" s="149">
        <f t="shared" si="136"/>
        <v>0</v>
      </c>
      <c r="M552" s="149">
        <f t="shared" si="137"/>
        <v>0</v>
      </c>
      <c r="N552" s="149"/>
      <c r="O552" s="149">
        <f t="shared" si="138"/>
        <v>0</v>
      </c>
      <c r="P552" s="216">
        <f t="shared" si="131"/>
        <v>0</v>
      </c>
      <c r="Q552" s="150">
        <f t="shared" ref="Q552:Q557" si="140">IF(O552=0,0,IF(X552=0,"manual",(O552/(R552*tax*markup*IF(Y552&lt;&gt;"",VLOOKUP(LEFT(Y552,2),cityindex,2,0),1)+S552*markup*difficulty*IF(Y552&lt;&gt;"",VLOOKUP(LEFT(Y552,2),cityindex,3,0),1)+W552*markup*difficulty*IF(Y552&lt;&gt;"",VLOOKUP(LEFT(Y552,2),cityindex,3,0),1)))-1))</f>
        <v>0</v>
      </c>
      <c r="S552" s="143">
        <f t="shared" si="129"/>
        <v>0</v>
      </c>
      <c r="X552" s="143">
        <f t="shared" si="130"/>
        <v>0</v>
      </c>
      <c r="Y552" s="143" t="s">
        <v>752</v>
      </c>
    </row>
    <row r="553" spans="1:27" ht="12.75" customHeight="1" x14ac:dyDescent="0.2">
      <c r="A553" s="143" t="s">
        <v>298</v>
      </c>
      <c r="G553" s="236" t="s">
        <v>753</v>
      </c>
      <c r="K553" s="149">
        <f>R553*tax*markup*IF(Y553&lt;&gt;"",VLOOKUP(LEFT(Y553,2),cityindex,2,0),1)</f>
        <v>0</v>
      </c>
      <c r="L553" s="149">
        <f>S553*markup*difficulty*IF(Y553&lt;&gt;"",VLOOKUP(LEFT(Y553,2),cityindex,3,0),1)</f>
        <v>0</v>
      </c>
      <c r="M553" s="149">
        <f>W553*markup*difficulty*IF(Y553&lt;&gt;"",VLOOKUP(LEFT(Y553,2),cityindex,3,0),1)</f>
        <v>0</v>
      </c>
      <c r="N553" s="149"/>
      <c r="O553" s="149">
        <f t="shared" ref="O553:O558" si="141">SUM(K553:N553)*embed</f>
        <v>0</v>
      </c>
      <c r="P553" s="216">
        <f>ROUND((O553*I553),0)</f>
        <v>0</v>
      </c>
      <c r="Q553" s="150">
        <f t="shared" si="140"/>
        <v>0</v>
      </c>
      <c r="S553" s="143">
        <f>U553*V553</f>
        <v>0</v>
      </c>
      <c r="X553" s="143">
        <f>SUM(R553,S553,W553)</f>
        <v>0</v>
      </c>
    </row>
    <row r="554" spans="1:27" ht="12.75" customHeight="1" x14ac:dyDescent="0.2">
      <c r="A554" s="143" t="s">
        <v>296</v>
      </c>
      <c r="G554" s="143" t="s">
        <v>754</v>
      </c>
      <c r="J554" s="147" t="s">
        <v>301</v>
      </c>
      <c r="K554" s="149">
        <f>R554*tax*markup*IF(Y554&lt;&gt;"",VLOOKUP(LEFT(Y554,2),cityindex,2,0),1)</f>
        <v>0</v>
      </c>
      <c r="L554" s="149">
        <f>S554*markup*difficulty*IF(Y554&lt;&gt;"",VLOOKUP(LEFT(Y554,2),cityindex,3,0),1)</f>
        <v>0</v>
      </c>
      <c r="M554" s="149">
        <f>W554*markup*difficulty*IF(Y554&lt;&gt;"",VLOOKUP(LEFT(Y554,2),cityindex,3,0),1)</f>
        <v>0</v>
      </c>
      <c r="N554" s="149"/>
      <c r="O554" s="149">
        <f t="shared" si="141"/>
        <v>0</v>
      </c>
      <c r="P554" s="216">
        <f>ROUND((O554*I554),0)</f>
        <v>0</v>
      </c>
      <c r="Q554" s="150">
        <f t="shared" si="140"/>
        <v>0</v>
      </c>
      <c r="S554" s="143">
        <f>U554*V554</f>
        <v>0</v>
      </c>
      <c r="X554" s="143">
        <f>SUM(R554,S554,W554)</f>
        <v>0</v>
      </c>
      <c r="Y554" s="143" t="s">
        <v>755</v>
      </c>
    </row>
    <row r="555" spans="1:27" ht="12.75" customHeight="1" x14ac:dyDescent="0.2">
      <c r="A555" s="143" t="s">
        <v>298</v>
      </c>
      <c r="G555" s="236" t="s">
        <v>756</v>
      </c>
      <c r="K555" s="149">
        <f>R555*tax*markup*IF(Y555&lt;&gt;"",VLOOKUP(LEFT(Y555,2),cityindex,2,0),1)</f>
        <v>0</v>
      </c>
      <c r="L555" s="149">
        <f>S555*markup*difficulty*IF(Y555&lt;&gt;"",VLOOKUP(LEFT(Y555,2),cityindex,3,0),1)</f>
        <v>0</v>
      </c>
      <c r="M555" s="149">
        <f>W555*markup*difficulty*IF(Y555&lt;&gt;"",VLOOKUP(LEFT(Y555,2),cityindex,3,0),1)</f>
        <v>0</v>
      </c>
      <c r="N555" s="149"/>
      <c r="O555" s="149">
        <f t="shared" si="141"/>
        <v>0</v>
      </c>
      <c r="P555" s="216">
        <f>ROUND((O555*I555),0)</f>
        <v>0</v>
      </c>
      <c r="Q555" s="150">
        <f t="shared" si="140"/>
        <v>0</v>
      </c>
      <c r="S555" s="143">
        <f>U555*V555</f>
        <v>0</v>
      </c>
      <c r="X555" s="143">
        <f>SUM(R555,S555,W555)</f>
        <v>0</v>
      </c>
    </row>
    <row r="556" spans="1:27" ht="12.75" customHeight="1" x14ac:dyDescent="0.2">
      <c r="A556" s="143" t="s">
        <v>296</v>
      </c>
      <c r="G556" s="143" t="s">
        <v>704</v>
      </c>
      <c r="J556" s="147" t="s">
        <v>301</v>
      </c>
      <c r="K556" s="149">
        <f>R556*tax*markup*IF(Y556&lt;&gt;"",VLOOKUP(LEFT(Y556,2),cityindex,2,0),1)</f>
        <v>0</v>
      </c>
      <c r="L556" s="149">
        <f>S556*markup*difficulty*IF(Y556&lt;&gt;"",VLOOKUP(LEFT(Y556,2),cityindex,3,0),1)</f>
        <v>0</v>
      </c>
      <c r="M556" s="149">
        <f>W556*markup*difficulty*IF(Y556&lt;&gt;"",VLOOKUP(LEFT(Y556,2),cityindex,3,0),1)</f>
        <v>0</v>
      </c>
      <c r="N556" s="149"/>
      <c r="O556" s="149">
        <f t="shared" si="141"/>
        <v>0</v>
      </c>
      <c r="P556" s="216">
        <f>ROUND((O556*I556),0)</f>
        <v>0</v>
      </c>
      <c r="Q556" s="150">
        <f t="shared" si="140"/>
        <v>0</v>
      </c>
      <c r="S556" s="143">
        <f>U556*V556</f>
        <v>0</v>
      </c>
      <c r="X556" s="143">
        <f>SUM(R556,S556,W556)</f>
        <v>0</v>
      </c>
      <c r="Y556" s="143" t="s">
        <v>705</v>
      </c>
    </row>
    <row r="557" spans="1:27" ht="12.75" customHeight="1" x14ac:dyDescent="0.2">
      <c r="A557" s="143" t="s">
        <v>296</v>
      </c>
      <c r="G557" s="143" t="s">
        <v>757</v>
      </c>
      <c r="J557" s="147" t="s">
        <v>301</v>
      </c>
      <c r="K557" s="149">
        <f t="shared" si="135"/>
        <v>0</v>
      </c>
      <c r="L557" s="149">
        <f t="shared" si="136"/>
        <v>0</v>
      </c>
      <c r="M557" s="149">
        <f t="shared" si="137"/>
        <v>0</v>
      </c>
      <c r="N557" s="149"/>
      <c r="O557" s="149">
        <f t="shared" si="141"/>
        <v>0</v>
      </c>
      <c r="P557" s="216">
        <f t="shared" si="131"/>
        <v>0</v>
      </c>
      <c r="Q557" s="150">
        <f t="shared" si="140"/>
        <v>0</v>
      </c>
      <c r="S557" s="143">
        <f t="shared" si="129"/>
        <v>0</v>
      </c>
      <c r="X557" s="143">
        <f t="shared" si="130"/>
        <v>0</v>
      </c>
      <c r="Y557" s="143" t="s">
        <v>712</v>
      </c>
    </row>
    <row r="558" spans="1:27" x14ac:dyDescent="0.2">
      <c r="K558" s="149">
        <f t="shared" si="135"/>
        <v>0</v>
      </c>
      <c r="L558" s="149">
        <f t="shared" si="136"/>
        <v>0</v>
      </c>
      <c r="M558" s="149">
        <f t="shared" si="137"/>
        <v>0</v>
      </c>
      <c r="N558" s="149"/>
      <c r="O558" s="149">
        <f t="shared" si="141"/>
        <v>0</v>
      </c>
      <c r="P558" s="216">
        <f t="shared" si="131"/>
        <v>0</v>
      </c>
      <c r="Q558" s="150">
        <f>IF(O558=0,0,IF(X558=0,"manual",O558/((R558*tax*markup*IF(Y558&lt;&gt;"",VLOOKUP(LEFT(Y558,2),cityindex,2,0),1))+S558*markup*difficulty*IF(Y558&lt;&gt;"",VLOOKUP(LEFT(Y558,2),cityindex,3,0),1)+W558*markup*difficulty*IF(Y558&lt;&gt;"",VLOOKUP(LEFT(Y558,2),cityindex,3,0),1))))</f>
        <v>0</v>
      </c>
      <c r="S558" s="143">
        <f t="shared" si="129"/>
        <v>0</v>
      </c>
      <c r="X558" s="143">
        <f t="shared" si="130"/>
        <v>0</v>
      </c>
      <c r="Z558" s="227"/>
    </row>
    <row r="559" spans="1:27" ht="24.75" customHeight="1" x14ac:dyDescent="0.2">
      <c r="D559" s="217" t="str">
        <f>"TOTAL - " &amp; D481</f>
        <v>TOTAL - 09  FINISHES</v>
      </c>
      <c r="E559" s="217"/>
      <c r="F559" s="217"/>
      <c r="G559" s="217"/>
      <c r="H559" s="217"/>
      <c r="I559" s="218"/>
      <c r="J559" s="219"/>
      <c r="K559" s="220"/>
      <c r="L559" s="220"/>
      <c r="M559" s="220"/>
      <c r="N559" s="220"/>
      <c r="O559" s="221"/>
      <c r="P559" s="222">
        <f>SUM(P481:P558)</f>
        <v>0</v>
      </c>
      <c r="Q559" s="223"/>
      <c r="S559" s="143">
        <f t="shared" si="129"/>
        <v>0</v>
      </c>
      <c r="X559" s="143">
        <f t="shared" si="130"/>
        <v>0</v>
      </c>
      <c r="Z559" s="224">
        <f>P559/GFA</f>
        <v>0</v>
      </c>
      <c r="AA559" s="225" t="s">
        <v>295</v>
      </c>
    </row>
    <row r="560" spans="1:27" x14ac:dyDescent="0.2">
      <c r="K560" s="149"/>
      <c r="L560" s="149"/>
      <c r="M560" s="149"/>
      <c r="N560" s="149"/>
      <c r="P560" s="216"/>
      <c r="Q560" s="150">
        <f>IF(O560=0,0,IF(X560=0,"manual",O560/((R560*tax*markup*IF(Y560&lt;&gt;"",VLOOKUP(LEFT(Y560,2),cityindex,2,0),1))+S560*markup*difficulty*IF(Y560&lt;&gt;"",VLOOKUP(LEFT(Y560,2),cityindex,3,0),1)+W560*markup*difficulty*IF(Y560&lt;&gt;"",VLOOKUP(LEFT(Y560,2),cityindex,3,0),1))))</f>
        <v>0</v>
      </c>
      <c r="S560" s="143">
        <f t="shared" si="129"/>
        <v>0</v>
      </c>
      <c r="X560" s="143">
        <f t="shared" si="130"/>
        <v>0</v>
      </c>
      <c r="Z560" s="227"/>
    </row>
    <row r="561" spans="1:26" x14ac:dyDescent="0.2">
      <c r="D561" s="214" t="s">
        <v>276</v>
      </c>
      <c r="E561" s="215"/>
      <c r="F561" s="215"/>
      <c r="G561" s="215"/>
      <c r="H561" s="215"/>
      <c r="K561" s="149"/>
      <c r="L561" s="149"/>
      <c r="M561" s="149"/>
      <c r="N561" s="149"/>
      <c r="P561" s="216"/>
      <c r="Q561" s="150">
        <f>IF(O561=0,0,IF(X561=0,"manual",O561/((R561*tax*markup*IF(Y561&lt;&gt;"",VLOOKUP(LEFT(Y561,2),cityindex,2,0),1))+S561*markup*difficulty*IF(Y561&lt;&gt;"",VLOOKUP(LEFT(Y561,2),cityindex,3,0),1)+W561*markup*difficulty*IF(Y561&lt;&gt;"",VLOOKUP(LEFT(Y561,2),cityindex,3,0),1))))</f>
        <v>0</v>
      </c>
      <c r="S561" s="143">
        <f t="shared" si="129"/>
        <v>0</v>
      </c>
      <c r="X561" s="143">
        <f t="shared" si="130"/>
        <v>0</v>
      </c>
      <c r="Z561" s="227"/>
    </row>
    <row r="562" spans="1:26" x14ac:dyDescent="0.2">
      <c r="A562" s="143" t="s">
        <v>296</v>
      </c>
      <c r="E562" s="143" t="s">
        <v>758</v>
      </c>
      <c r="K562" s="149">
        <f t="shared" ref="K562:K588" si="142">R562*tax*markup*IF(Y562&lt;&gt;"",VLOOKUP(LEFT(Y562,2),cityindex,2,0),1)</f>
        <v>0</v>
      </c>
      <c r="L562" s="149">
        <f t="shared" ref="L562:L588" si="143">S562*markup*difficulty*IF(Y562&lt;&gt;"",VLOOKUP(LEFT(Y562,2),cityindex,3,0),1)</f>
        <v>0</v>
      </c>
      <c r="M562" s="149">
        <f t="shared" ref="M562:M588" si="144">W562*markup*difficulty*IF(Y562&lt;&gt;"",VLOOKUP(LEFT(Y562,2),cityindex,3,0),1)</f>
        <v>0</v>
      </c>
      <c r="N562" s="149"/>
      <c r="O562" s="149">
        <f>SUM(K562:N562)*embed</f>
        <v>0</v>
      </c>
      <c r="P562" s="216">
        <f t="shared" ref="P562:P588" si="145">ROUND((O562*I562),0)</f>
        <v>0</v>
      </c>
      <c r="Q562" s="150">
        <f>IF(O562=0,0,IF(X562=0,"manual",O562/((R562*tax*markup*IF(Y562&lt;&gt;"",VLOOKUP(LEFT(Y562,2),cityindex,2,0),1))+S562*markup*difficulty*IF(Y562&lt;&gt;"",VLOOKUP(LEFT(Y562,2),cityindex,3,0),1)+W562*markup*difficulty*IF(Y562&lt;&gt;"",VLOOKUP(LEFT(Y562,2),cityindex,3,0),1))))</f>
        <v>0</v>
      </c>
      <c r="S562" s="143">
        <f t="shared" si="129"/>
        <v>0</v>
      </c>
      <c r="X562" s="143">
        <f t="shared" si="130"/>
        <v>0</v>
      </c>
    </row>
    <row r="563" spans="1:26" ht="12.75" customHeight="1" x14ac:dyDescent="0.2">
      <c r="A563" s="143" t="s">
        <v>296</v>
      </c>
      <c r="F563" s="143" t="s">
        <v>759</v>
      </c>
      <c r="J563" s="147" t="s">
        <v>390</v>
      </c>
      <c r="K563" s="149">
        <f t="shared" si="142"/>
        <v>0</v>
      </c>
      <c r="L563" s="149">
        <f t="shared" si="143"/>
        <v>0</v>
      </c>
      <c r="M563" s="149">
        <f t="shared" si="144"/>
        <v>0</v>
      </c>
      <c r="N563" s="149"/>
      <c r="O563" s="149">
        <f t="shared" ref="O563:O581" si="146">SUM(K563:N563)*embed</f>
        <v>0</v>
      </c>
      <c r="P563" s="216">
        <f t="shared" si="145"/>
        <v>0</v>
      </c>
      <c r="Q563" s="150">
        <f t="shared" ref="Q563:Q581" si="147">IF(O563=0,0,IF(X563=0,"manual",(O563/(R563*tax*markup*IF(Y563&lt;&gt;"",VLOOKUP(LEFT(Y563,2),cityindex,2,0),1)+S563*markup*difficulty*IF(Y563&lt;&gt;"",VLOOKUP(LEFT(Y563,2),cityindex,3,0),1)+W563*markup*difficulty*IF(Y563&lt;&gt;"",VLOOKUP(LEFT(Y563,2),cityindex,3,0),1)))-1))</f>
        <v>0</v>
      </c>
      <c r="S563" s="143">
        <f t="shared" si="129"/>
        <v>0</v>
      </c>
      <c r="X563" s="143">
        <f t="shared" si="130"/>
        <v>0</v>
      </c>
      <c r="Y563" s="143" t="s">
        <v>760</v>
      </c>
    </row>
    <row r="564" spans="1:26" ht="12.75" customHeight="1" x14ac:dyDescent="0.2">
      <c r="A564" s="143" t="s">
        <v>296</v>
      </c>
      <c r="F564" s="143" t="s">
        <v>761</v>
      </c>
      <c r="J564" s="147" t="s">
        <v>390</v>
      </c>
      <c r="K564" s="149">
        <f t="shared" si="142"/>
        <v>0</v>
      </c>
      <c r="L564" s="149">
        <f t="shared" si="143"/>
        <v>0</v>
      </c>
      <c r="M564" s="149">
        <f t="shared" si="144"/>
        <v>0</v>
      </c>
      <c r="N564" s="149"/>
      <c r="O564" s="149">
        <f t="shared" si="146"/>
        <v>0</v>
      </c>
      <c r="P564" s="216">
        <f t="shared" si="145"/>
        <v>0</v>
      </c>
      <c r="Q564" s="150">
        <f t="shared" si="147"/>
        <v>0</v>
      </c>
      <c r="S564" s="143">
        <f t="shared" si="129"/>
        <v>0</v>
      </c>
      <c r="X564" s="143">
        <f t="shared" si="130"/>
        <v>0</v>
      </c>
      <c r="Y564" s="143" t="s">
        <v>762</v>
      </c>
    </row>
    <row r="565" spans="1:26" ht="12.75" customHeight="1" x14ac:dyDescent="0.2">
      <c r="A565" s="143" t="s">
        <v>296</v>
      </c>
      <c r="F565" s="143" t="s">
        <v>763</v>
      </c>
      <c r="J565" s="147" t="s">
        <v>390</v>
      </c>
      <c r="K565" s="149">
        <f t="shared" si="142"/>
        <v>0</v>
      </c>
      <c r="L565" s="149">
        <f t="shared" si="143"/>
        <v>0</v>
      </c>
      <c r="M565" s="149">
        <f t="shared" si="144"/>
        <v>0</v>
      </c>
      <c r="N565" s="149"/>
      <c r="O565" s="149">
        <f t="shared" si="146"/>
        <v>0</v>
      </c>
      <c r="P565" s="216">
        <f t="shared" si="145"/>
        <v>0</v>
      </c>
      <c r="Q565" s="150">
        <f t="shared" si="147"/>
        <v>0</v>
      </c>
      <c r="S565" s="143">
        <f t="shared" ref="S565:S628" si="148">U565*V565</f>
        <v>0</v>
      </c>
      <c r="X565" s="143">
        <f t="shared" ref="X565:X628" si="149">SUM(R565,S565,W565)</f>
        <v>0</v>
      </c>
      <c r="Y565" s="143" t="s">
        <v>764</v>
      </c>
    </row>
    <row r="566" spans="1:26" ht="12.75" customHeight="1" x14ac:dyDescent="0.2">
      <c r="A566" s="143" t="s">
        <v>296</v>
      </c>
      <c r="F566" s="143" t="s">
        <v>765</v>
      </c>
      <c r="J566" s="147" t="s">
        <v>390</v>
      </c>
      <c r="K566" s="149">
        <f t="shared" si="142"/>
        <v>0</v>
      </c>
      <c r="L566" s="149">
        <f t="shared" si="143"/>
        <v>0</v>
      </c>
      <c r="M566" s="149">
        <f t="shared" si="144"/>
        <v>0</v>
      </c>
      <c r="N566" s="149"/>
      <c r="O566" s="149">
        <f t="shared" si="146"/>
        <v>0</v>
      </c>
      <c r="P566" s="216">
        <f t="shared" si="145"/>
        <v>0</v>
      </c>
      <c r="Q566" s="150">
        <f t="shared" si="147"/>
        <v>0</v>
      </c>
      <c r="S566" s="143">
        <f t="shared" si="148"/>
        <v>0</v>
      </c>
      <c r="X566" s="143">
        <f t="shared" si="149"/>
        <v>0</v>
      </c>
      <c r="Y566" s="143" t="s">
        <v>766</v>
      </c>
    </row>
    <row r="567" spans="1:26" ht="12.75" customHeight="1" x14ac:dyDescent="0.2">
      <c r="A567" s="143" t="s">
        <v>296</v>
      </c>
      <c r="F567" s="143" t="s">
        <v>767</v>
      </c>
      <c r="J567" s="147" t="s">
        <v>390</v>
      </c>
      <c r="K567" s="149">
        <f t="shared" si="142"/>
        <v>0</v>
      </c>
      <c r="L567" s="149">
        <f t="shared" si="143"/>
        <v>0</v>
      </c>
      <c r="M567" s="149">
        <f t="shared" si="144"/>
        <v>0</v>
      </c>
      <c r="N567" s="149"/>
      <c r="O567" s="149">
        <f t="shared" si="146"/>
        <v>0</v>
      </c>
      <c r="P567" s="216">
        <f t="shared" si="145"/>
        <v>0</v>
      </c>
      <c r="Q567" s="150">
        <f t="shared" si="147"/>
        <v>0</v>
      </c>
      <c r="S567" s="143">
        <f t="shared" si="148"/>
        <v>0</v>
      </c>
      <c r="X567" s="143">
        <f t="shared" si="149"/>
        <v>0</v>
      </c>
      <c r="Y567" s="143" t="s">
        <v>768</v>
      </c>
    </row>
    <row r="568" spans="1:26" ht="12.75" customHeight="1" x14ac:dyDescent="0.2">
      <c r="A568" s="143" t="s">
        <v>296</v>
      </c>
      <c r="F568" s="143" t="s">
        <v>769</v>
      </c>
      <c r="J568" s="147" t="s">
        <v>390</v>
      </c>
      <c r="K568" s="149">
        <f t="shared" si="142"/>
        <v>0</v>
      </c>
      <c r="L568" s="149">
        <f t="shared" si="143"/>
        <v>0</v>
      </c>
      <c r="M568" s="149">
        <f t="shared" si="144"/>
        <v>0</v>
      </c>
      <c r="N568" s="149"/>
      <c r="O568" s="149">
        <f t="shared" si="146"/>
        <v>0</v>
      </c>
      <c r="P568" s="216">
        <f t="shared" si="145"/>
        <v>0</v>
      </c>
      <c r="Q568" s="150">
        <f t="shared" si="147"/>
        <v>0</v>
      </c>
      <c r="S568" s="143">
        <f t="shared" si="148"/>
        <v>0</v>
      </c>
      <c r="X568" s="143">
        <f t="shared" si="149"/>
        <v>0</v>
      </c>
      <c r="Y568" s="143" t="s">
        <v>770</v>
      </c>
    </row>
    <row r="569" spans="1:26" ht="12.75" customHeight="1" x14ac:dyDescent="0.2">
      <c r="A569" s="143" t="s">
        <v>296</v>
      </c>
      <c r="F569" s="143" t="s">
        <v>771</v>
      </c>
      <c r="J569" s="147" t="s">
        <v>390</v>
      </c>
      <c r="K569" s="149">
        <f t="shared" si="142"/>
        <v>0</v>
      </c>
      <c r="L569" s="149">
        <f t="shared" si="143"/>
        <v>0</v>
      </c>
      <c r="M569" s="149">
        <f t="shared" si="144"/>
        <v>0</v>
      </c>
      <c r="N569" s="149"/>
      <c r="O569" s="149">
        <f t="shared" si="146"/>
        <v>0</v>
      </c>
      <c r="P569" s="216">
        <f t="shared" si="145"/>
        <v>0</v>
      </c>
      <c r="Q569" s="150">
        <f t="shared" si="147"/>
        <v>0</v>
      </c>
      <c r="S569" s="143">
        <f t="shared" si="148"/>
        <v>0</v>
      </c>
      <c r="X569" s="143">
        <f t="shared" si="149"/>
        <v>0</v>
      </c>
      <c r="Y569" s="143" t="s">
        <v>772</v>
      </c>
    </row>
    <row r="570" spans="1:26" ht="12.75" customHeight="1" x14ac:dyDescent="0.2">
      <c r="A570" s="143" t="s">
        <v>296</v>
      </c>
      <c r="F570" s="143" t="s">
        <v>773</v>
      </c>
      <c r="J570" s="147" t="s">
        <v>390</v>
      </c>
      <c r="K570" s="149">
        <f t="shared" si="142"/>
        <v>0</v>
      </c>
      <c r="L570" s="149">
        <f t="shared" si="143"/>
        <v>0</v>
      </c>
      <c r="M570" s="149">
        <f t="shared" si="144"/>
        <v>0</v>
      </c>
      <c r="N570" s="149"/>
      <c r="O570" s="149">
        <f t="shared" si="146"/>
        <v>0</v>
      </c>
      <c r="P570" s="216">
        <f t="shared" si="145"/>
        <v>0</v>
      </c>
      <c r="Q570" s="150">
        <f t="shared" si="147"/>
        <v>0</v>
      </c>
      <c r="S570" s="143">
        <f t="shared" si="148"/>
        <v>0</v>
      </c>
      <c r="X570" s="143">
        <f t="shared" si="149"/>
        <v>0</v>
      </c>
      <c r="Y570" s="143" t="s">
        <v>774</v>
      </c>
    </row>
    <row r="571" spans="1:26" ht="12.75" customHeight="1" x14ac:dyDescent="0.2">
      <c r="A571" s="143" t="s">
        <v>296</v>
      </c>
      <c r="F571" s="143" t="s">
        <v>775</v>
      </c>
      <c r="J571" s="147" t="s">
        <v>390</v>
      </c>
      <c r="K571" s="149">
        <f t="shared" si="142"/>
        <v>0</v>
      </c>
      <c r="L571" s="149">
        <f t="shared" si="143"/>
        <v>0</v>
      </c>
      <c r="M571" s="149">
        <f t="shared" si="144"/>
        <v>0</v>
      </c>
      <c r="N571" s="149"/>
      <c r="O571" s="149">
        <f t="shared" si="146"/>
        <v>0</v>
      </c>
      <c r="P571" s="216">
        <f t="shared" si="145"/>
        <v>0</v>
      </c>
      <c r="Q571" s="150">
        <f t="shared" si="147"/>
        <v>0</v>
      </c>
      <c r="S571" s="143">
        <f t="shared" si="148"/>
        <v>0</v>
      </c>
      <c r="X571" s="143">
        <f t="shared" si="149"/>
        <v>0</v>
      </c>
      <c r="Y571" s="143" t="s">
        <v>776</v>
      </c>
    </row>
    <row r="572" spans="1:26" ht="12.75" customHeight="1" x14ac:dyDescent="0.2">
      <c r="A572" s="143" t="s">
        <v>296</v>
      </c>
      <c r="F572" s="143" t="s">
        <v>777</v>
      </c>
      <c r="J572" s="147" t="s">
        <v>390</v>
      </c>
      <c r="K572" s="149">
        <f t="shared" si="142"/>
        <v>0</v>
      </c>
      <c r="L572" s="149">
        <f t="shared" si="143"/>
        <v>0</v>
      </c>
      <c r="M572" s="149">
        <f t="shared" si="144"/>
        <v>0</v>
      </c>
      <c r="N572" s="149"/>
      <c r="O572" s="149">
        <f t="shared" si="146"/>
        <v>0</v>
      </c>
      <c r="P572" s="216">
        <f t="shared" si="145"/>
        <v>0</v>
      </c>
      <c r="Q572" s="150">
        <f t="shared" si="147"/>
        <v>0</v>
      </c>
      <c r="S572" s="143">
        <f t="shared" si="148"/>
        <v>0</v>
      </c>
      <c r="X572" s="143">
        <f t="shared" si="149"/>
        <v>0</v>
      </c>
      <c r="Y572" s="143" t="s">
        <v>778</v>
      </c>
    </row>
    <row r="573" spans="1:26" ht="12.75" customHeight="1" x14ac:dyDescent="0.2">
      <c r="A573" s="143" t="s">
        <v>296</v>
      </c>
      <c r="F573" s="143" t="s">
        <v>779</v>
      </c>
      <c r="J573" s="147" t="s">
        <v>390</v>
      </c>
      <c r="K573" s="149">
        <f t="shared" si="142"/>
        <v>0</v>
      </c>
      <c r="L573" s="149">
        <f t="shared" si="143"/>
        <v>0</v>
      </c>
      <c r="M573" s="149">
        <f t="shared" si="144"/>
        <v>0</v>
      </c>
      <c r="N573" s="149"/>
      <c r="O573" s="149">
        <f t="shared" si="146"/>
        <v>0</v>
      </c>
      <c r="P573" s="216">
        <f t="shared" si="145"/>
        <v>0</v>
      </c>
      <c r="Q573" s="150">
        <f t="shared" si="147"/>
        <v>0</v>
      </c>
      <c r="S573" s="143">
        <f t="shared" si="148"/>
        <v>0</v>
      </c>
      <c r="X573" s="143">
        <f t="shared" si="149"/>
        <v>0</v>
      </c>
      <c r="Y573" s="143" t="s">
        <v>780</v>
      </c>
    </row>
    <row r="574" spans="1:26" ht="12.75" customHeight="1" x14ac:dyDescent="0.2">
      <c r="A574" s="143" t="s">
        <v>298</v>
      </c>
      <c r="F574" s="143" t="s">
        <v>781</v>
      </c>
      <c r="K574" s="149">
        <f>R574*tax*markup*IF(Y574&lt;&gt;"",VLOOKUP(LEFT(Y574,2),cityindex,2,0),1)</f>
        <v>0</v>
      </c>
      <c r="L574" s="149">
        <f>S574*markup*difficulty*IF(Y574&lt;&gt;"",VLOOKUP(LEFT(Y574,2),cityindex,3,0),1)</f>
        <v>0</v>
      </c>
      <c r="M574" s="149">
        <f>W574*markup*difficulty*IF(Y574&lt;&gt;"",VLOOKUP(LEFT(Y574,2),cityindex,3,0),1)</f>
        <v>0</v>
      </c>
      <c r="N574" s="149"/>
      <c r="O574" s="149">
        <f>SUM(K574:N574)*embed</f>
        <v>0</v>
      </c>
      <c r="P574" s="216">
        <f>ROUND((O574*I574),0)</f>
        <v>0</v>
      </c>
      <c r="Q574" s="150">
        <f>IF(O574=0,0,IF(X574=0,"manual",(O574/(R574*tax*markup*IF(Y574&lt;&gt;"",VLOOKUP(LEFT(Y574,2),cityindex,2,0),1)+S574*markup*difficulty*IF(Y574&lt;&gt;"",VLOOKUP(LEFT(Y574,2),cityindex,3,0),1)+W574*markup*difficulty*IF(Y574&lt;&gt;"",VLOOKUP(LEFT(Y574,2),cityindex,3,0),1)))-1))</f>
        <v>0</v>
      </c>
      <c r="S574" s="143">
        <f>U574*V574</f>
        <v>0</v>
      </c>
      <c r="X574" s="143">
        <f>SUM(R574,S574,W574)</f>
        <v>0</v>
      </c>
    </row>
    <row r="575" spans="1:26" ht="12.75" customHeight="1" x14ac:dyDescent="0.2">
      <c r="A575" s="143" t="s">
        <v>296</v>
      </c>
      <c r="G575" s="143" t="s">
        <v>389</v>
      </c>
      <c r="J575" s="147" t="s">
        <v>390</v>
      </c>
      <c r="K575" s="149">
        <f t="shared" si="142"/>
        <v>0</v>
      </c>
      <c r="L575" s="149">
        <f t="shared" si="143"/>
        <v>0</v>
      </c>
      <c r="M575" s="149">
        <f t="shared" si="144"/>
        <v>0</v>
      </c>
      <c r="N575" s="149"/>
      <c r="O575" s="149">
        <f t="shared" si="146"/>
        <v>0</v>
      </c>
      <c r="P575" s="216">
        <f t="shared" si="145"/>
        <v>0</v>
      </c>
      <c r="Q575" s="150">
        <f t="shared" si="147"/>
        <v>0</v>
      </c>
      <c r="S575" s="143">
        <f t="shared" si="148"/>
        <v>0</v>
      </c>
      <c r="X575" s="143">
        <f t="shared" si="149"/>
        <v>0</v>
      </c>
      <c r="Y575" s="143" t="s">
        <v>782</v>
      </c>
    </row>
    <row r="576" spans="1:26" ht="12.75" customHeight="1" x14ac:dyDescent="0.2">
      <c r="A576" s="143" t="s">
        <v>296</v>
      </c>
      <c r="G576" s="143" t="s">
        <v>392</v>
      </c>
      <c r="J576" s="147" t="s">
        <v>390</v>
      </c>
      <c r="K576" s="149">
        <f t="shared" si="142"/>
        <v>0</v>
      </c>
      <c r="L576" s="149">
        <f t="shared" si="143"/>
        <v>0</v>
      </c>
      <c r="M576" s="149">
        <f t="shared" si="144"/>
        <v>0</v>
      </c>
      <c r="N576" s="149"/>
      <c r="O576" s="149">
        <f t="shared" si="146"/>
        <v>0</v>
      </c>
      <c r="P576" s="216">
        <f t="shared" si="145"/>
        <v>0</v>
      </c>
      <c r="Q576" s="150">
        <f t="shared" si="147"/>
        <v>0</v>
      </c>
      <c r="S576" s="143">
        <f t="shared" si="148"/>
        <v>0</v>
      </c>
      <c r="X576" s="143">
        <f t="shared" si="149"/>
        <v>0</v>
      </c>
      <c r="Y576" s="143" t="s">
        <v>783</v>
      </c>
    </row>
    <row r="577" spans="1:27" ht="12.75" customHeight="1" x14ac:dyDescent="0.2">
      <c r="A577" s="143" t="s">
        <v>296</v>
      </c>
      <c r="F577" s="143" t="s">
        <v>784</v>
      </c>
      <c r="J577" s="147" t="s">
        <v>390</v>
      </c>
      <c r="K577" s="149">
        <f t="shared" si="142"/>
        <v>0</v>
      </c>
      <c r="L577" s="149">
        <f t="shared" si="143"/>
        <v>0</v>
      </c>
      <c r="M577" s="149">
        <f t="shared" si="144"/>
        <v>0</v>
      </c>
      <c r="N577" s="149"/>
      <c r="O577" s="149">
        <f t="shared" si="146"/>
        <v>0</v>
      </c>
      <c r="P577" s="216">
        <f t="shared" si="145"/>
        <v>0</v>
      </c>
      <c r="Q577" s="150">
        <f t="shared" si="147"/>
        <v>0</v>
      </c>
      <c r="S577" s="143">
        <f t="shared" si="148"/>
        <v>0</v>
      </c>
      <c r="X577" s="143">
        <f t="shared" si="149"/>
        <v>0</v>
      </c>
      <c r="Y577" s="143" t="s">
        <v>785</v>
      </c>
    </row>
    <row r="578" spans="1:27" ht="12.75" customHeight="1" x14ac:dyDescent="0.2">
      <c r="A578" s="143" t="s">
        <v>296</v>
      </c>
      <c r="F578" s="143" t="s">
        <v>786</v>
      </c>
      <c r="J578" s="147" t="s">
        <v>390</v>
      </c>
      <c r="K578" s="149">
        <f t="shared" si="142"/>
        <v>0</v>
      </c>
      <c r="L578" s="149">
        <f t="shared" si="143"/>
        <v>0</v>
      </c>
      <c r="M578" s="149">
        <f t="shared" si="144"/>
        <v>0</v>
      </c>
      <c r="N578" s="149"/>
      <c r="O578" s="149">
        <f t="shared" si="146"/>
        <v>0</v>
      </c>
      <c r="P578" s="216">
        <f t="shared" si="145"/>
        <v>0</v>
      </c>
      <c r="Q578" s="150">
        <f t="shared" si="147"/>
        <v>0</v>
      </c>
      <c r="S578" s="143">
        <f t="shared" si="148"/>
        <v>0</v>
      </c>
      <c r="X578" s="143">
        <f t="shared" si="149"/>
        <v>0</v>
      </c>
      <c r="Y578" s="143" t="s">
        <v>787</v>
      </c>
    </row>
    <row r="579" spans="1:27" ht="12.75" customHeight="1" x14ac:dyDescent="0.2">
      <c r="A579" s="143" t="s">
        <v>296</v>
      </c>
      <c r="F579" s="143" t="s">
        <v>788</v>
      </c>
      <c r="J579" s="147" t="s">
        <v>390</v>
      </c>
      <c r="K579" s="149">
        <f t="shared" si="142"/>
        <v>0</v>
      </c>
      <c r="L579" s="149">
        <f t="shared" si="143"/>
        <v>0</v>
      </c>
      <c r="M579" s="149">
        <f t="shared" si="144"/>
        <v>0</v>
      </c>
      <c r="N579" s="149"/>
      <c r="O579" s="149">
        <f t="shared" si="146"/>
        <v>0</v>
      </c>
      <c r="P579" s="216">
        <f t="shared" si="145"/>
        <v>0</v>
      </c>
      <c r="Q579" s="150">
        <f t="shared" si="147"/>
        <v>0</v>
      </c>
      <c r="S579" s="143">
        <f t="shared" si="148"/>
        <v>0</v>
      </c>
      <c r="X579" s="143">
        <f t="shared" si="149"/>
        <v>0</v>
      </c>
      <c r="Y579" s="143" t="s">
        <v>789</v>
      </c>
    </row>
    <row r="580" spans="1:27" ht="12.75" customHeight="1" x14ac:dyDescent="0.2">
      <c r="A580" s="143" t="s">
        <v>296</v>
      </c>
      <c r="F580" s="143" t="s">
        <v>790</v>
      </c>
      <c r="J580" s="147" t="s">
        <v>390</v>
      </c>
      <c r="K580" s="149">
        <f t="shared" si="142"/>
        <v>0</v>
      </c>
      <c r="L580" s="149">
        <f t="shared" si="143"/>
        <v>0</v>
      </c>
      <c r="M580" s="149">
        <f t="shared" si="144"/>
        <v>0</v>
      </c>
      <c r="N580" s="149"/>
      <c r="O580" s="149">
        <f t="shared" si="146"/>
        <v>0</v>
      </c>
      <c r="P580" s="216">
        <f t="shared" si="145"/>
        <v>0</v>
      </c>
      <c r="Q580" s="150">
        <f t="shared" si="147"/>
        <v>0</v>
      </c>
      <c r="S580" s="143">
        <f t="shared" si="148"/>
        <v>0</v>
      </c>
      <c r="X580" s="143">
        <f t="shared" si="149"/>
        <v>0</v>
      </c>
      <c r="Y580" s="143" t="s">
        <v>791</v>
      </c>
    </row>
    <row r="581" spans="1:27" ht="12.75" customHeight="1" x14ac:dyDescent="0.2">
      <c r="A581" s="143" t="s">
        <v>296</v>
      </c>
      <c r="F581" s="143" t="s">
        <v>792</v>
      </c>
      <c r="J581" s="147" t="s">
        <v>390</v>
      </c>
      <c r="K581" s="149">
        <f t="shared" si="142"/>
        <v>0</v>
      </c>
      <c r="L581" s="149">
        <f t="shared" si="143"/>
        <v>0</v>
      </c>
      <c r="M581" s="149">
        <f t="shared" si="144"/>
        <v>0</v>
      </c>
      <c r="N581" s="149"/>
      <c r="O581" s="149">
        <f t="shared" si="146"/>
        <v>0</v>
      </c>
      <c r="P581" s="216">
        <f t="shared" si="145"/>
        <v>0</v>
      </c>
      <c r="Q581" s="150">
        <f t="shared" si="147"/>
        <v>0</v>
      </c>
      <c r="S581" s="143">
        <f t="shared" si="148"/>
        <v>0</v>
      </c>
      <c r="X581" s="143">
        <f t="shared" si="149"/>
        <v>0</v>
      </c>
      <c r="Y581" s="143" t="s">
        <v>793</v>
      </c>
    </row>
    <row r="582" spans="1:27" ht="12.75" customHeight="1" x14ac:dyDescent="0.2">
      <c r="A582" s="143" t="s">
        <v>296</v>
      </c>
      <c r="K582" s="149">
        <f t="shared" si="142"/>
        <v>0</v>
      </c>
      <c r="L582" s="149">
        <f t="shared" si="143"/>
        <v>0</v>
      </c>
      <c r="M582" s="149">
        <f t="shared" si="144"/>
        <v>0</v>
      </c>
      <c r="N582" s="149"/>
      <c r="O582" s="149">
        <f t="shared" ref="O582:O588" si="150">SUM(K582:N582)*embed</f>
        <v>0</v>
      </c>
      <c r="P582" s="216">
        <f t="shared" si="145"/>
        <v>0</v>
      </c>
      <c r="Q582" s="150">
        <f t="shared" ref="Q582:Q587" si="151">IF(O582=0,0,IF(X582=0,"manual",(O582/(R582*tax*markup*IF(Y582&lt;&gt;"",VLOOKUP(LEFT(Y582,2),cityindex,2,0),1)+S582*markup*difficulty*IF(Y582&lt;&gt;"",VLOOKUP(LEFT(Y582,2),cityindex,3,0),1)+W582*markup*difficulty*IF(Y582&lt;&gt;"",VLOOKUP(LEFT(Y582,2),cityindex,3,0),1)))-1))</f>
        <v>0</v>
      </c>
      <c r="S582" s="143">
        <f t="shared" si="148"/>
        <v>0</v>
      </c>
      <c r="X582" s="143">
        <f t="shared" si="149"/>
        <v>0</v>
      </c>
    </row>
    <row r="583" spans="1:27" ht="12.75" customHeight="1" x14ac:dyDescent="0.2">
      <c r="A583" s="143" t="s">
        <v>296</v>
      </c>
      <c r="E583" s="143" t="s">
        <v>378</v>
      </c>
      <c r="K583" s="149">
        <f t="shared" si="142"/>
        <v>0</v>
      </c>
      <c r="L583" s="149">
        <f t="shared" si="143"/>
        <v>0</v>
      </c>
      <c r="M583" s="149">
        <f t="shared" si="144"/>
        <v>0</v>
      </c>
      <c r="N583" s="149"/>
      <c r="O583" s="149">
        <f t="shared" si="150"/>
        <v>0</v>
      </c>
      <c r="P583" s="216">
        <f t="shared" si="145"/>
        <v>0</v>
      </c>
      <c r="Q583" s="150">
        <f t="shared" si="151"/>
        <v>0</v>
      </c>
      <c r="S583" s="143">
        <f t="shared" si="148"/>
        <v>0</v>
      </c>
      <c r="X583" s="143">
        <f t="shared" si="149"/>
        <v>0</v>
      </c>
    </row>
    <row r="584" spans="1:27" ht="12.75" customHeight="1" x14ac:dyDescent="0.2">
      <c r="A584" s="143" t="s">
        <v>296</v>
      </c>
      <c r="F584" s="143" t="s">
        <v>794</v>
      </c>
      <c r="J584" s="147" t="s">
        <v>301</v>
      </c>
      <c r="K584" s="149">
        <f>R584*tax*markup*IF(Y584&lt;&gt;"",VLOOKUP(LEFT(Y584,2),cityindex,2,0),1)</f>
        <v>0</v>
      </c>
      <c r="L584" s="149">
        <f>S584*markup*difficulty*IF(Y584&lt;&gt;"",VLOOKUP(LEFT(Y584,2),cityindex,3,0),1)</f>
        <v>0</v>
      </c>
      <c r="M584" s="149">
        <f>W584*markup*difficulty*IF(Y584&lt;&gt;"",VLOOKUP(LEFT(Y584,2),cityindex,3,0),1)</f>
        <v>0</v>
      </c>
      <c r="N584" s="149"/>
      <c r="O584" s="149">
        <f t="shared" si="150"/>
        <v>0</v>
      </c>
      <c r="P584" s="216">
        <f>ROUND((O584*I584),0)</f>
        <v>0</v>
      </c>
      <c r="Q584" s="150">
        <f t="shared" si="151"/>
        <v>0</v>
      </c>
      <c r="S584" s="143">
        <f t="shared" si="148"/>
        <v>0</v>
      </c>
      <c r="X584" s="143">
        <f t="shared" si="149"/>
        <v>0</v>
      </c>
      <c r="Y584" s="143" t="s">
        <v>795</v>
      </c>
    </row>
    <row r="585" spans="1:27" ht="12.75" customHeight="1" x14ac:dyDescent="0.2">
      <c r="A585" s="143" t="s">
        <v>296</v>
      </c>
      <c r="F585" s="143" t="s">
        <v>796</v>
      </c>
      <c r="J585" s="147" t="s">
        <v>301</v>
      </c>
      <c r="K585" s="149">
        <f>R585*tax*markup*IF(Y585&lt;&gt;"",VLOOKUP(LEFT(Y585,2),cityindex,2,0),1)</f>
        <v>0</v>
      </c>
      <c r="L585" s="149">
        <f>S585*markup*difficulty*IF(Y585&lt;&gt;"",VLOOKUP(LEFT(Y585,2),cityindex,3,0),1)</f>
        <v>0</v>
      </c>
      <c r="M585" s="149">
        <f>W585*markup*difficulty*IF(Y585&lt;&gt;"",VLOOKUP(LEFT(Y585,2),cityindex,3,0),1)</f>
        <v>0</v>
      </c>
      <c r="N585" s="149"/>
      <c r="O585" s="149">
        <f t="shared" si="150"/>
        <v>0</v>
      </c>
      <c r="P585" s="216">
        <f>ROUND((O585*I585),0)</f>
        <v>0</v>
      </c>
      <c r="Q585" s="150">
        <f t="shared" si="151"/>
        <v>0</v>
      </c>
      <c r="S585" s="143">
        <f t="shared" si="148"/>
        <v>0</v>
      </c>
      <c r="X585" s="143">
        <f t="shared" si="149"/>
        <v>0</v>
      </c>
      <c r="Y585" s="143" t="s">
        <v>797</v>
      </c>
    </row>
    <row r="586" spans="1:27" ht="12.75" customHeight="1" x14ac:dyDescent="0.2">
      <c r="A586" s="143" t="s">
        <v>296</v>
      </c>
      <c r="F586" s="143" t="s">
        <v>798</v>
      </c>
      <c r="J586" s="147" t="s">
        <v>301</v>
      </c>
      <c r="K586" s="149">
        <f>R586*tax*markup*IF(Y586&lt;&gt;"",VLOOKUP(LEFT(Y586,2),cityindex,2,0),1)</f>
        <v>0</v>
      </c>
      <c r="L586" s="149">
        <f>S586*markup*difficulty*IF(Y586&lt;&gt;"",VLOOKUP(LEFT(Y586,2),cityindex,3,0),1)</f>
        <v>0</v>
      </c>
      <c r="M586" s="149">
        <f>W586*markup*difficulty*IF(Y586&lt;&gt;"",VLOOKUP(LEFT(Y586,2),cityindex,3,0),1)</f>
        <v>0</v>
      </c>
      <c r="N586" s="149"/>
      <c r="O586" s="149">
        <f t="shared" si="150"/>
        <v>0</v>
      </c>
      <c r="P586" s="216">
        <f>ROUND((O586*I586),0)</f>
        <v>0</v>
      </c>
      <c r="Q586" s="150">
        <f t="shared" si="151"/>
        <v>0</v>
      </c>
      <c r="S586" s="143">
        <f t="shared" si="148"/>
        <v>0</v>
      </c>
      <c r="X586" s="143">
        <f t="shared" si="149"/>
        <v>0</v>
      </c>
      <c r="Y586" s="143" t="s">
        <v>799</v>
      </c>
    </row>
    <row r="587" spans="1:27" ht="12.75" customHeight="1" x14ac:dyDescent="0.2">
      <c r="A587" s="143" t="s">
        <v>296</v>
      </c>
      <c r="F587" s="143" t="s">
        <v>800</v>
      </c>
      <c r="J587" s="147" t="s">
        <v>390</v>
      </c>
      <c r="K587" s="149">
        <f>R587*tax*markup*IF(Y587&lt;&gt;"",VLOOKUP(LEFT(Y587,2),cityindex,2,0),1)</f>
        <v>0</v>
      </c>
      <c r="L587" s="149">
        <f>S587*markup*difficulty*IF(Y587&lt;&gt;"",VLOOKUP(LEFT(Y587,2),cityindex,3,0),1)</f>
        <v>0</v>
      </c>
      <c r="M587" s="149">
        <f>W587*markup*difficulty*IF(Y587&lt;&gt;"",VLOOKUP(LEFT(Y587,2),cityindex,3,0),1)</f>
        <v>0</v>
      </c>
      <c r="N587" s="149"/>
      <c r="O587" s="149">
        <f t="shared" si="150"/>
        <v>0</v>
      </c>
      <c r="P587" s="216">
        <f>ROUND((O587*I587),0)</f>
        <v>0</v>
      </c>
      <c r="Q587" s="150">
        <f t="shared" si="151"/>
        <v>0</v>
      </c>
      <c r="S587" s="143">
        <f t="shared" si="148"/>
        <v>0</v>
      </c>
      <c r="X587" s="143">
        <f t="shared" si="149"/>
        <v>0</v>
      </c>
      <c r="Y587" s="143" t="s">
        <v>801</v>
      </c>
    </row>
    <row r="588" spans="1:27" x14ac:dyDescent="0.2">
      <c r="K588" s="149">
        <f t="shared" si="142"/>
        <v>0</v>
      </c>
      <c r="L588" s="149">
        <f t="shared" si="143"/>
        <v>0</v>
      </c>
      <c r="M588" s="149">
        <f t="shared" si="144"/>
        <v>0</v>
      </c>
      <c r="N588" s="149"/>
      <c r="O588" s="149">
        <f t="shared" si="150"/>
        <v>0</v>
      </c>
      <c r="P588" s="216">
        <f t="shared" si="145"/>
        <v>0</v>
      </c>
      <c r="Q588" s="150">
        <f>IF(O588=0,0,IF(X588=0,"manual",O588/((R588*tax*markup*IF(Y588&lt;&gt;"",VLOOKUP(LEFT(Y588,2),cityindex,2,0),1))+S588*markup*difficulty*IF(Y588&lt;&gt;"",VLOOKUP(LEFT(Y588,2),cityindex,3,0),1)+W588*markup*difficulty*IF(Y588&lt;&gt;"",VLOOKUP(LEFT(Y588,2),cityindex,3,0),1))))</f>
        <v>0</v>
      </c>
      <c r="S588" s="143">
        <f t="shared" si="148"/>
        <v>0</v>
      </c>
      <c r="X588" s="143">
        <f t="shared" si="149"/>
        <v>0</v>
      </c>
    </row>
    <row r="589" spans="1:27" ht="24.75" customHeight="1" x14ac:dyDescent="0.2">
      <c r="D589" s="217" t="str">
        <f>"TOTAL - " &amp; D561</f>
        <v>TOTAL - 10  SPECIALTIES</v>
      </c>
      <c r="E589" s="217"/>
      <c r="F589" s="217"/>
      <c r="G589" s="217"/>
      <c r="H589" s="217"/>
      <c r="I589" s="218"/>
      <c r="J589" s="219"/>
      <c r="K589" s="220"/>
      <c r="L589" s="220"/>
      <c r="M589" s="220"/>
      <c r="N589" s="220"/>
      <c r="O589" s="221"/>
      <c r="P589" s="222">
        <f>SUM(P561:P588)</f>
        <v>0</v>
      </c>
      <c r="Q589" s="223"/>
      <c r="S589" s="143">
        <f t="shared" si="148"/>
        <v>0</v>
      </c>
      <c r="X589" s="143">
        <f t="shared" si="149"/>
        <v>0</v>
      </c>
      <c r="Z589" s="224">
        <f>P589/GFA</f>
        <v>0</v>
      </c>
      <c r="AA589" s="225" t="s">
        <v>295</v>
      </c>
    </row>
    <row r="590" spans="1:27" x14ac:dyDescent="0.2">
      <c r="K590" s="149"/>
      <c r="L590" s="149"/>
      <c r="M590" s="149"/>
      <c r="N590" s="149"/>
      <c r="P590" s="216"/>
      <c r="Q590" s="150">
        <f>IF(O590=0,0,IF(X590=0,"manual",O590/((R590*tax*markup*IF(Y590&lt;&gt;"",VLOOKUP(LEFT(Y590,2),cityindex,2,0),1))+S590*markup*difficulty*IF(Y590&lt;&gt;"",VLOOKUP(LEFT(Y590,2),cityindex,3,0),1)+W590*markup*difficulty*IF(Y590&lt;&gt;"",VLOOKUP(LEFT(Y590,2),cityindex,3,0),1))))</f>
        <v>0</v>
      </c>
      <c r="S590" s="143">
        <f t="shared" si="148"/>
        <v>0</v>
      </c>
      <c r="X590" s="143">
        <f t="shared" si="149"/>
        <v>0</v>
      </c>
    </row>
    <row r="591" spans="1:27" x14ac:dyDescent="0.2">
      <c r="D591" s="214" t="s">
        <v>277</v>
      </c>
      <c r="E591" s="215"/>
      <c r="F591" s="215"/>
      <c r="G591" s="215"/>
      <c r="H591" s="215"/>
      <c r="K591" s="149"/>
      <c r="L591" s="149"/>
      <c r="M591" s="149"/>
      <c r="N591" s="149"/>
      <c r="P591" s="216"/>
      <c r="Q591" s="150">
        <f>IF(O591=0,0,IF(X591=0,"manual",O591/((R591*tax*markup*IF(Y591&lt;&gt;"",VLOOKUP(LEFT(Y591,2),cityindex,2,0),1))+S591*markup*difficulty*IF(Y591&lt;&gt;"",VLOOKUP(LEFT(Y591,2),cityindex,3,0),1)+W591*markup*difficulty*IF(Y591&lt;&gt;"",VLOOKUP(LEFT(Y591,2),cityindex,3,0),1))))</f>
        <v>0</v>
      </c>
      <c r="S591" s="143">
        <f t="shared" si="148"/>
        <v>0</v>
      </c>
      <c r="X591" s="143">
        <f t="shared" si="149"/>
        <v>0</v>
      </c>
    </row>
    <row r="592" spans="1:27" x14ac:dyDescent="0.2">
      <c r="K592" s="149">
        <f>R592*tax*markup*IF(Y592&lt;&gt;"",VLOOKUP(LEFT(Y592,2),cityindex,2,0),1)</f>
        <v>0</v>
      </c>
      <c r="L592" s="149">
        <f>S592*markup*difficulty*IF(Y592&lt;&gt;"",VLOOKUP(LEFT(Y592,2),cityindex,3,0),1)</f>
        <v>0</v>
      </c>
      <c r="M592" s="149">
        <f>W592*markup*difficulty*IF(Y592&lt;&gt;"",VLOOKUP(LEFT(Y592,2),cityindex,3,0),1)</f>
        <v>0</v>
      </c>
      <c r="N592" s="149"/>
      <c r="O592" s="149">
        <f>SUM(K592:N592)*embed</f>
        <v>0</v>
      </c>
      <c r="P592" s="216">
        <f>ROUND((O592*I592),0)</f>
        <v>0</v>
      </c>
      <c r="Q592" s="150">
        <f>IF(O592=0,0,IF(X592=0,"manual",O592/((R592*tax*markup*IF(Y592&lt;&gt;"",VLOOKUP(LEFT(Y592,2),cityindex,2,0),1))+S592*markup*difficulty*IF(Y592&lt;&gt;"",VLOOKUP(LEFT(Y592,2),cityindex,3,0),1)+W592*markup*difficulty*IF(Y592&lt;&gt;"",VLOOKUP(LEFT(Y592,2),cityindex,3,0),1))))</f>
        <v>0</v>
      </c>
      <c r="S592" s="143">
        <f t="shared" si="148"/>
        <v>0</v>
      </c>
      <c r="X592" s="143">
        <f t="shared" si="149"/>
        <v>0</v>
      </c>
    </row>
    <row r="593" spans="1:27" ht="24.75" customHeight="1" x14ac:dyDescent="0.2">
      <c r="D593" s="217" t="str">
        <f>"TOTAL - " &amp; D591</f>
        <v>TOTAL - 11  EQUIPMENT</v>
      </c>
      <c r="E593" s="217"/>
      <c r="F593" s="217"/>
      <c r="G593" s="217"/>
      <c r="H593" s="217"/>
      <c r="I593" s="218"/>
      <c r="J593" s="219"/>
      <c r="K593" s="220"/>
      <c r="L593" s="220"/>
      <c r="M593" s="220"/>
      <c r="N593" s="220"/>
      <c r="O593" s="221"/>
      <c r="P593" s="222">
        <f>SUM(P591:P592)</f>
        <v>0</v>
      </c>
      <c r="Q593" s="223"/>
      <c r="S593" s="143">
        <f t="shared" si="148"/>
        <v>0</v>
      </c>
      <c r="X593" s="143">
        <f t="shared" si="149"/>
        <v>0</v>
      </c>
      <c r="Z593" s="224">
        <f>P593/GFA</f>
        <v>0</v>
      </c>
      <c r="AA593" s="225" t="s">
        <v>295</v>
      </c>
    </row>
    <row r="594" spans="1:27" x14ac:dyDescent="0.2">
      <c r="K594" s="149"/>
      <c r="L594" s="149"/>
      <c r="M594" s="149"/>
      <c r="N594" s="149"/>
      <c r="P594" s="216"/>
      <c r="Q594" s="150">
        <f>IF(O594=0,0,IF(X594=0,"manual",O594/((R594*tax*markup*IF(Y594&lt;&gt;"",VLOOKUP(LEFT(Y594,2),cityindex,2,0),1))+S594*markup*difficulty*IF(Y594&lt;&gt;"",VLOOKUP(LEFT(Y594,2),cityindex,3,0),1)+W594*markup*difficulty*IF(Y594&lt;&gt;"",VLOOKUP(LEFT(Y594,2),cityindex,3,0),1))))</f>
        <v>0</v>
      </c>
      <c r="S594" s="143">
        <f t="shared" si="148"/>
        <v>0</v>
      </c>
      <c r="X594" s="143">
        <f t="shared" si="149"/>
        <v>0</v>
      </c>
    </row>
    <row r="595" spans="1:27" x14ac:dyDescent="0.2">
      <c r="D595" s="214" t="s">
        <v>278</v>
      </c>
      <c r="E595" s="215"/>
      <c r="F595" s="215"/>
      <c r="G595" s="215"/>
      <c r="H595" s="215"/>
      <c r="K595" s="149"/>
      <c r="L595" s="149"/>
      <c r="M595" s="149"/>
      <c r="N595" s="149"/>
      <c r="P595" s="216"/>
      <c r="Q595" s="150">
        <f>IF(O595=0,0,IF(X595=0,"manual",O595/((R595*tax*markup*IF(Y595&lt;&gt;"",VLOOKUP(LEFT(Y595,2),cityindex,2,0),1))+S595*markup*difficulty*IF(Y595&lt;&gt;"",VLOOKUP(LEFT(Y595,2),cityindex,3,0),1)+W595*markup*difficulty*IF(Y595&lt;&gt;"",VLOOKUP(LEFT(Y595,2),cityindex,3,0),1))))</f>
        <v>0</v>
      </c>
      <c r="S595" s="143">
        <f t="shared" si="148"/>
        <v>0</v>
      </c>
      <c r="X595" s="143">
        <f t="shared" si="149"/>
        <v>0</v>
      </c>
    </row>
    <row r="596" spans="1:27" x14ac:dyDescent="0.2">
      <c r="A596" s="143" t="s">
        <v>296</v>
      </c>
      <c r="E596" s="143" t="s">
        <v>802</v>
      </c>
      <c r="K596" s="149">
        <f t="shared" ref="K596:K614" si="152">R596*tax*markup*IF(Y596&lt;&gt;"",VLOOKUP(LEFT(Y596,2),cityindex,2,0),1)</f>
        <v>0</v>
      </c>
      <c r="L596" s="149">
        <f t="shared" ref="L596:L614" si="153">S596*markup*difficulty*IF(Y596&lt;&gt;"",VLOOKUP(LEFT(Y596,2),cityindex,3,0),1)</f>
        <v>0</v>
      </c>
      <c r="M596" s="149">
        <f t="shared" ref="M596:M614" si="154">W596*markup*difficulty*IF(Y596&lt;&gt;"",VLOOKUP(LEFT(Y596,2),cityindex,3,0),1)</f>
        <v>0</v>
      </c>
      <c r="N596" s="149"/>
      <c r="O596" s="149">
        <f t="shared" ref="O596:O614" si="155">SUM(K596:N596)*embed</f>
        <v>0</v>
      </c>
      <c r="P596" s="216">
        <f t="shared" ref="P596:P614" si="156">ROUND((O596*I596),0)</f>
        <v>0</v>
      </c>
      <c r="Q596" s="150">
        <f>IF(O596=0,0,IF(X596=0,"manual",O596/((R596*tax*markup*IF(Y596&lt;&gt;"",VLOOKUP(LEFT(Y596,2),cityindex,2,0),1))+S596*markup*difficulty*IF(Y596&lt;&gt;"",VLOOKUP(LEFT(Y596,2),cityindex,3,0),1)+W596*markup*difficulty*IF(Y596&lt;&gt;"",VLOOKUP(LEFT(Y596,2),cityindex,3,0),1))))</f>
        <v>0</v>
      </c>
      <c r="S596" s="143">
        <f t="shared" si="148"/>
        <v>0</v>
      </c>
      <c r="X596" s="143">
        <f t="shared" si="149"/>
        <v>0</v>
      </c>
    </row>
    <row r="597" spans="1:27" ht="12.75" customHeight="1" x14ac:dyDescent="0.2">
      <c r="A597" s="143" t="s">
        <v>296</v>
      </c>
      <c r="F597" s="143" t="s">
        <v>803</v>
      </c>
      <c r="J597" s="147" t="s">
        <v>309</v>
      </c>
      <c r="K597" s="149">
        <f t="shared" si="152"/>
        <v>0</v>
      </c>
      <c r="L597" s="149">
        <f t="shared" si="153"/>
        <v>0</v>
      </c>
      <c r="M597" s="149">
        <f t="shared" si="154"/>
        <v>0</v>
      </c>
      <c r="N597" s="149"/>
      <c r="O597" s="149">
        <f t="shared" si="155"/>
        <v>0</v>
      </c>
      <c r="P597" s="216">
        <f t="shared" si="156"/>
        <v>0</v>
      </c>
      <c r="Q597" s="150">
        <f t="shared" ref="Q597:Q613" si="157">IF(O597=0,0,IF(X597=0,"manual",(O597/(R597*tax*markup*IF(Y597&lt;&gt;"",VLOOKUP(LEFT(Y597,2),cityindex,2,0),1)+S597*markup*difficulty*IF(Y597&lt;&gt;"",VLOOKUP(LEFT(Y597,2),cityindex,3,0),1)+W597*markup*difficulty*IF(Y597&lt;&gt;"",VLOOKUP(LEFT(Y597,2),cityindex,3,0),1)))-1))</f>
        <v>0</v>
      </c>
      <c r="S597" s="143">
        <f t="shared" si="148"/>
        <v>0</v>
      </c>
      <c r="X597" s="143">
        <f t="shared" si="149"/>
        <v>0</v>
      </c>
      <c r="Y597" s="143" t="s">
        <v>804</v>
      </c>
    </row>
    <row r="598" spans="1:27" ht="12.75" customHeight="1" x14ac:dyDescent="0.2">
      <c r="A598" s="143" t="s">
        <v>296</v>
      </c>
      <c r="F598" s="143" t="s">
        <v>805</v>
      </c>
      <c r="J598" s="147" t="s">
        <v>309</v>
      </c>
      <c r="K598" s="149">
        <f t="shared" si="152"/>
        <v>0</v>
      </c>
      <c r="L598" s="149">
        <f t="shared" si="153"/>
        <v>0</v>
      </c>
      <c r="M598" s="149">
        <f t="shared" si="154"/>
        <v>0</v>
      </c>
      <c r="N598" s="149"/>
      <c r="O598" s="149">
        <f t="shared" si="155"/>
        <v>0</v>
      </c>
      <c r="P598" s="216">
        <f t="shared" si="156"/>
        <v>0</v>
      </c>
      <c r="Q598" s="150">
        <f t="shared" si="157"/>
        <v>0</v>
      </c>
      <c r="S598" s="143">
        <f t="shared" si="148"/>
        <v>0</v>
      </c>
      <c r="X598" s="143">
        <f t="shared" si="149"/>
        <v>0</v>
      </c>
      <c r="Y598" s="143" t="s">
        <v>806</v>
      </c>
    </row>
    <row r="599" spans="1:27" ht="12.75" customHeight="1" x14ac:dyDescent="0.2">
      <c r="A599" s="143" t="s">
        <v>296</v>
      </c>
      <c r="F599" s="143" t="s">
        <v>807</v>
      </c>
      <c r="J599" s="147" t="s">
        <v>309</v>
      </c>
      <c r="K599" s="149">
        <f t="shared" si="152"/>
        <v>0</v>
      </c>
      <c r="L599" s="149">
        <f t="shared" si="153"/>
        <v>0</v>
      </c>
      <c r="M599" s="149">
        <f t="shared" si="154"/>
        <v>0</v>
      </c>
      <c r="N599" s="149"/>
      <c r="O599" s="149">
        <f t="shared" si="155"/>
        <v>0</v>
      </c>
      <c r="P599" s="216">
        <f t="shared" si="156"/>
        <v>0</v>
      </c>
      <c r="Q599" s="150">
        <f t="shared" si="157"/>
        <v>0</v>
      </c>
      <c r="S599" s="143">
        <f t="shared" si="148"/>
        <v>0</v>
      </c>
      <c r="X599" s="143">
        <f t="shared" si="149"/>
        <v>0</v>
      </c>
      <c r="Y599" s="143" t="s">
        <v>808</v>
      </c>
    </row>
    <row r="600" spans="1:27" ht="12.75" customHeight="1" x14ac:dyDescent="0.2">
      <c r="A600" s="143" t="s">
        <v>296</v>
      </c>
      <c r="F600" s="143" t="s">
        <v>809</v>
      </c>
      <c r="J600" s="147" t="s">
        <v>309</v>
      </c>
      <c r="K600" s="149">
        <f t="shared" si="152"/>
        <v>0</v>
      </c>
      <c r="L600" s="149">
        <f t="shared" si="153"/>
        <v>0</v>
      </c>
      <c r="M600" s="149">
        <f t="shared" si="154"/>
        <v>0</v>
      </c>
      <c r="N600" s="149"/>
      <c r="O600" s="149">
        <f t="shared" si="155"/>
        <v>0</v>
      </c>
      <c r="P600" s="216">
        <f t="shared" si="156"/>
        <v>0</v>
      </c>
      <c r="Q600" s="150">
        <f t="shared" si="157"/>
        <v>0</v>
      </c>
      <c r="S600" s="143">
        <f t="shared" si="148"/>
        <v>0</v>
      </c>
      <c r="X600" s="143">
        <f t="shared" si="149"/>
        <v>0</v>
      </c>
      <c r="Y600" s="143" t="s">
        <v>810</v>
      </c>
    </row>
    <row r="601" spans="1:27" ht="12.75" customHeight="1" x14ac:dyDescent="0.2">
      <c r="A601" s="143" t="s">
        <v>296</v>
      </c>
      <c r="F601" s="143" t="s">
        <v>811</v>
      </c>
      <c r="J601" s="147" t="s">
        <v>309</v>
      </c>
      <c r="K601" s="149">
        <f t="shared" si="152"/>
        <v>0</v>
      </c>
      <c r="L601" s="149">
        <f t="shared" si="153"/>
        <v>0</v>
      </c>
      <c r="M601" s="149">
        <f t="shared" si="154"/>
        <v>0</v>
      </c>
      <c r="N601" s="149"/>
      <c r="O601" s="149">
        <f t="shared" si="155"/>
        <v>0</v>
      </c>
      <c r="P601" s="216">
        <f t="shared" si="156"/>
        <v>0</v>
      </c>
      <c r="Q601" s="150">
        <f t="shared" si="157"/>
        <v>0</v>
      </c>
      <c r="S601" s="143">
        <f t="shared" si="148"/>
        <v>0</v>
      </c>
      <c r="X601" s="143">
        <f t="shared" si="149"/>
        <v>0</v>
      </c>
      <c r="Y601" s="143" t="s">
        <v>812</v>
      </c>
    </row>
    <row r="602" spans="1:27" ht="12.75" customHeight="1" x14ac:dyDescent="0.2">
      <c r="A602" s="143" t="s">
        <v>296</v>
      </c>
      <c r="F602" s="143" t="s">
        <v>813</v>
      </c>
      <c r="J602" s="147" t="s">
        <v>309</v>
      </c>
      <c r="K602" s="149">
        <f t="shared" si="152"/>
        <v>0</v>
      </c>
      <c r="L602" s="149">
        <f t="shared" si="153"/>
        <v>0</v>
      </c>
      <c r="M602" s="149">
        <f t="shared" si="154"/>
        <v>0</v>
      </c>
      <c r="N602" s="149"/>
      <c r="O602" s="149">
        <f t="shared" si="155"/>
        <v>0</v>
      </c>
      <c r="P602" s="216">
        <f t="shared" si="156"/>
        <v>0</v>
      </c>
      <c r="Q602" s="150">
        <f t="shared" si="157"/>
        <v>0</v>
      </c>
      <c r="S602" s="143">
        <f t="shared" si="148"/>
        <v>0</v>
      </c>
      <c r="X602" s="143">
        <f t="shared" si="149"/>
        <v>0</v>
      </c>
      <c r="Y602" s="143" t="s">
        <v>814</v>
      </c>
    </row>
    <row r="603" spans="1:27" ht="12.75" customHeight="1" x14ac:dyDescent="0.2">
      <c r="A603" s="143" t="s">
        <v>296</v>
      </c>
      <c r="F603" s="143" t="s">
        <v>815</v>
      </c>
      <c r="J603" s="147" t="s">
        <v>309</v>
      </c>
      <c r="K603" s="149">
        <f t="shared" si="152"/>
        <v>0</v>
      </c>
      <c r="L603" s="149">
        <f t="shared" si="153"/>
        <v>0</v>
      </c>
      <c r="M603" s="149">
        <f t="shared" si="154"/>
        <v>0</v>
      </c>
      <c r="N603" s="149"/>
      <c r="O603" s="149">
        <f t="shared" si="155"/>
        <v>0</v>
      </c>
      <c r="P603" s="216">
        <f t="shared" si="156"/>
        <v>0</v>
      </c>
      <c r="Q603" s="150">
        <f t="shared" si="157"/>
        <v>0</v>
      </c>
      <c r="S603" s="143">
        <f t="shared" si="148"/>
        <v>0</v>
      </c>
      <c r="X603" s="143">
        <f t="shared" si="149"/>
        <v>0</v>
      </c>
      <c r="Y603" s="143" t="s">
        <v>816</v>
      </c>
    </row>
    <row r="604" spans="1:27" ht="12.75" customHeight="1" x14ac:dyDescent="0.2">
      <c r="A604" s="143" t="s">
        <v>296</v>
      </c>
      <c r="F604" s="143" t="s">
        <v>817</v>
      </c>
      <c r="J604" s="147" t="s">
        <v>309</v>
      </c>
      <c r="K604" s="149">
        <f t="shared" si="152"/>
        <v>0</v>
      </c>
      <c r="L604" s="149">
        <f t="shared" si="153"/>
        <v>0</v>
      </c>
      <c r="M604" s="149">
        <f t="shared" si="154"/>
        <v>0</v>
      </c>
      <c r="N604" s="149"/>
      <c r="O604" s="149">
        <f t="shared" si="155"/>
        <v>0</v>
      </c>
      <c r="P604" s="216">
        <f t="shared" si="156"/>
        <v>0</v>
      </c>
      <c r="Q604" s="150">
        <f t="shared" si="157"/>
        <v>0</v>
      </c>
      <c r="S604" s="143">
        <f t="shared" si="148"/>
        <v>0</v>
      </c>
      <c r="X604" s="143">
        <f t="shared" si="149"/>
        <v>0</v>
      </c>
      <c r="Y604" s="143" t="s">
        <v>818</v>
      </c>
    </row>
    <row r="605" spans="1:27" ht="12.75" customHeight="1" x14ac:dyDescent="0.2">
      <c r="A605" s="143" t="s">
        <v>296</v>
      </c>
      <c r="F605" s="143" t="s">
        <v>819</v>
      </c>
      <c r="J605" s="147" t="s">
        <v>309</v>
      </c>
      <c r="K605" s="149">
        <f t="shared" si="152"/>
        <v>0</v>
      </c>
      <c r="L605" s="149">
        <f t="shared" si="153"/>
        <v>0</v>
      </c>
      <c r="M605" s="149">
        <f t="shared" si="154"/>
        <v>0</v>
      </c>
      <c r="N605" s="149"/>
      <c r="O605" s="149">
        <f t="shared" si="155"/>
        <v>0</v>
      </c>
      <c r="P605" s="216">
        <f t="shared" si="156"/>
        <v>0</v>
      </c>
      <c r="Q605" s="150">
        <f t="shared" si="157"/>
        <v>0</v>
      </c>
      <c r="S605" s="143">
        <f t="shared" si="148"/>
        <v>0</v>
      </c>
      <c r="X605" s="143">
        <f t="shared" si="149"/>
        <v>0</v>
      </c>
      <c r="Y605" s="143" t="s">
        <v>820</v>
      </c>
    </row>
    <row r="606" spans="1:27" ht="12.75" customHeight="1" x14ac:dyDescent="0.2">
      <c r="A606" s="143" t="s">
        <v>296</v>
      </c>
      <c r="F606" s="143" t="s">
        <v>821</v>
      </c>
      <c r="J606" s="147" t="s">
        <v>309</v>
      </c>
      <c r="K606" s="149">
        <f t="shared" si="152"/>
        <v>0</v>
      </c>
      <c r="L606" s="149">
        <f t="shared" si="153"/>
        <v>0</v>
      </c>
      <c r="M606" s="149">
        <f t="shared" si="154"/>
        <v>0</v>
      </c>
      <c r="N606" s="149"/>
      <c r="O606" s="149">
        <f t="shared" si="155"/>
        <v>0</v>
      </c>
      <c r="P606" s="216">
        <f t="shared" si="156"/>
        <v>0</v>
      </c>
      <c r="Q606" s="150">
        <f t="shared" si="157"/>
        <v>0</v>
      </c>
      <c r="S606" s="143">
        <f t="shared" si="148"/>
        <v>0</v>
      </c>
      <c r="X606" s="143">
        <f t="shared" si="149"/>
        <v>0</v>
      </c>
      <c r="Y606" s="143" t="s">
        <v>822</v>
      </c>
    </row>
    <row r="607" spans="1:27" ht="12.75" customHeight="1" x14ac:dyDescent="0.2">
      <c r="A607" s="143" t="s">
        <v>296</v>
      </c>
      <c r="F607" s="143" t="s">
        <v>823</v>
      </c>
      <c r="J607" s="147" t="s">
        <v>309</v>
      </c>
      <c r="K607" s="149">
        <f t="shared" si="152"/>
        <v>0</v>
      </c>
      <c r="L607" s="149">
        <f t="shared" si="153"/>
        <v>0</v>
      </c>
      <c r="M607" s="149">
        <f t="shared" si="154"/>
        <v>0</v>
      </c>
      <c r="N607" s="149"/>
      <c r="O607" s="149">
        <f t="shared" si="155"/>
        <v>0</v>
      </c>
      <c r="P607" s="216">
        <f t="shared" si="156"/>
        <v>0</v>
      </c>
      <c r="Q607" s="150">
        <f t="shared" si="157"/>
        <v>0</v>
      </c>
      <c r="S607" s="143">
        <f t="shared" si="148"/>
        <v>0</v>
      </c>
      <c r="X607" s="143">
        <f t="shared" si="149"/>
        <v>0</v>
      </c>
      <c r="Y607" s="143" t="s">
        <v>824</v>
      </c>
    </row>
    <row r="608" spans="1:27" ht="12.75" customHeight="1" x14ac:dyDescent="0.2">
      <c r="A608" s="143" t="s">
        <v>296</v>
      </c>
      <c r="F608" s="143" t="s">
        <v>825</v>
      </c>
      <c r="J608" s="147" t="s">
        <v>309</v>
      </c>
      <c r="K608" s="149">
        <f t="shared" si="152"/>
        <v>0</v>
      </c>
      <c r="L608" s="149">
        <f t="shared" si="153"/>
        <v>0</v>
      </c>
      <c r="M608" s="149">
        <f t="shared" si="154"/>
        <v>0</v>
      </c>
      <c r="N608" s="149"/>
      <c r="O608" s="149">
        <f t="shared" si="155"/>
        <v>0</v>
      </c>
      <c r="P608" s="216">
        <f t="shared" si="156"/>
        <v>0</v>
      </c>
      <c r="Q608" s="150">
        <f t="shared" si="157"/>
        <v>0</v>
      </c>
      <c r="S608" s="143">
        <f t="shared" si="148"/>
        <v>0</v>
      </c>
      <c r="X608" s="143">
        <f t="shared" si="149"/>
        <v>0</v>
      </c>
      <c r="Y608" s="143" t="s">
        <v>826</v>
      </c>
    </row>
    <row r="609" spans="1:27" ht="12.75" customHeight="1" x14ac:dyDescent="0.2">
      <c r="A609" s="143" t="s">
        <v>296</v>
      </c>
      <c r="F609" s="143" t="s">
        <v>827</v>
      </c>
      <c r="J609" s="147" t="s">
        <v>309</v>
      </c>
      <c r="K609" s="149">
        <f t="shared" si="152"/>
        <v>0</v>
      </c>
      <c r="L609" s="149">
        <f t="shared" si="153"/>
        <v>0</v>
      </c>
      <c r="M609" s="149">
        <f t="shared" si="154"/>
        <v>0</v>
      </c>
      <c r="N609" s="149"/>
      <c r="O609" s="149">
        <f t="shared" si="155"/>
        <v>0</v>
      </c>
      <c r="P609" s="216">
        <f t="shared" si="156"/>
        <v>0</v>
      </c>
      <c r="Q609" s="150">
        <f t="shared" si="157"/>
        <v>0</v>
      </c>
      <c r="S609" s="143">
        <f t="shared" si="148"/>
        <v>0</v>
      </c>
      <c r="X609" s="143">
        <f t="shared" si="149"/>
        <v>0</v>
      </c>
      <c r="Y609" s="143" t="s">
        <v>828</v>
      </c>
    </row>
    <row r="610" spans="1:27" ht="12.75" customHeight="1" x14ac:dyDescent="0.2">
      <c r="A610" s="143" t="s">
        <v>296</v>
      </c>
      <c r="F610" s="143" t="s">
        <v>829</v>
      </c>
      <c r="J610" s="147" t="s">
        <v>309</v>
      </c>
      <c r="K610" s="149">
        <f>R610*tax*markup*IF(Y610&lt;&gt;"",VLOOKUP(LEFT(Y610,2),cityindex,2,0),1)</f>
        <v>0</v>
      </c>
      <c r="L610" s="149">
        <f>S610*markup*difficulty*IF(Y610&lt;&gt;"",VLOOKUP(LEFT(Y610,2),cityindex,3,0),1)</f>
        <v>0</v>
      </c>
      <c r="M610" s="149">
        <f>W610*markup*difficulty*IF(Y610&lt;&gt;"",VLOOKUP(LEFT(Y610,2),cityindex,3,0),1)</f>
        <v>0</v>
      </c>
      <c r="N610" s="149"/>
      <c r="O610" s="149">
        <f>SUM(K610:N610)*embed</f>
        <v>0</v>
      </c>
      <c r="P610" s="216">
        <f>ROUND((O610*I610),0)</f>
        <v>0</v>
      </c>
      <c r="Q610" s="150">
        <f>IF(O610=0,0,IF(X610=0,"manual",(O610/(R610*tax*markup*IF(Y610&lt;&gt;"",VLOOKUP(LEFT(Y610,2),cityindex,2,0),1)+S610*markup*difficulty*IF(Y610&lt;&gt;"",VLOOKUP(LEFT(Y610,2),cityindex,3,0),1)+W610*markup*difficulty*IF(Y610&lt;&gt;"",VLOOKUP(LEFT(Y610,2),cityindex,3,0),1)))-1))</f>
        <v>0</v>
      </c>
      <c r="S610" s="143">
        <f>U610*V610</f>
        <v>0</v>
      </c>
      <c r="X610" s="143">
        <f>SUM(R610,S610,W610)</f>
        <v>0</v>
      </c>
      <c r="Y610" s="143" t="s">
        <v>830</v>
      </c>
    </row>
    <row r="611" spans="1:27" ht="12.75" customHeight="1" x14ac:dyDescent="0.2">
      <c r="A611" s="143" t="s">
        <v>296</v>
      </c>
      <c r="K611" s="149">
        <f t="shared" si="152"/>
        <v>0</v>
      </c>
      <c r="L611" s="149">
        <f t="shared" si="153"/>
        <v>0</v>
      </c>
      <c r="M611" s="149">
        <f t="shared" si="154"/>
        <v>0</v>
      </c>
      <c r="N611" s="149"/>
      <c r="O611" s="149">
        <f t="shared" si="155"/>
        <v>0</v>
      </c>
      <c r="P611" s="216">
        <f t="shared" si="156"/>
        <v>0</v>
      </c>
      <c r="Q611" s="150">
        <f t="shared" si="157"/>
        <v>0</v>
      </c>
      <c r="S611" s="143">
        <f t="shared" si="148"/>
        <v>0</v>
      </c>
      <c r="X611" s="143">
        <f t="shared" si="149"/>
        <v>0</v>
      </c>
    </row>
    <row r="612" spans="1:27" ht="12.75" customHeight="1" x14ac:dyDescent="0.2">
      <c r="A612" s="143" t="s">
        <v>296</v>
      </c>
      <c r="E612" s="143" t="s">
        <v>831</v>
      </c>
      <c r="J612" s="147" t="s">
        <v>301</v>
      </c>
      <c r="K612" s="149">
        <f>R612*tax*markup*IF(Y612&lt;&gt;"",VLOOKUP(LEFT(Y612,2),cityindex,2,0),1)</f>
        <v>0</v>
      </c>
      <c r="L612" s="149">
        <f>S612*markup*difficulty*IF(Y612&lt;&gt;"",VLOOKUP(LEFT(Y612,2),cityindex,3,0),1)</f>
        <v>0</v>
      </c>
      <c r="M612" s="149">
        <f>W612*markup*difficulty*IF(Y612&lt;&gt;"",VLOOKUP(LEFT(Y612,2),cityindex,3,0),1)</f>
        <v>0</v>
      </c>
      <c r="N612" s="149"/>
      <c r="O612" s="149">
        <f t="shared" si="155"/>
        <v>0</v>
      </c>
      <c r="P612" s="216">
        <f>ROUND((O612*I612),0)</f>
        <v>0</v>
      </c>
      <c r="Q612" s="150">
        <f t="shared" si="157"/>
        <v>0</v>
      </c>
      <c r="S612" s="143">
        <f t="shared" si="148"/>
        <v>0</v>
      </c>
      <c r="X612" s="143">
        <f t="shared" si="149"/>
        <v>0</v>
      </c>
      <c r="Y612" s="143" t="s">
        <v>832</v>
      </c>
    </row>
    <row r="613" spans="1:27" ht="12.75" customHeight="1" x14ac:dyDescent="0.2">
      <c r="A613" s="143" t="s">
        <v>296</v>
      </c>
      <c r="E613" s="143" t="s">
        <v>833</v>
      </c>
      <c r="J613" s="147" t="s">
        <v>301</v>
      </c>
      <c r="K613" s="149">
        <f>R613*tax*markup*IF(Y613&lt;&gt;"",VLOOKUP(LEFT(Y613,2),cityindex,2,0),1)</f>
        <v>0</v>
      </c>
      <c r="L613" s="149">
        <f>S613*markup*difficulty*IF(Y613&lt;&gt;"",VLOOKUP(LEFT(Y613,2),cityindex,3,0),1)</f>
        <v>0</v>
      </c>
      <c r="M613" s="149">
        <f>W613*markup*difficulty*IF(Y613&lt;&gt;"",VLOOKUP(LEFT(Y613,2),cityindex,3,0),1)</f>
        <v>0</v>
      </c>
      <c r="N613" s="149"/>
      <c r="O613" s="149">
        <f t="shared" si="155"/>
        <v>0</v>
      </c>
      <c r="P613" s="216">
        <f>ROUND((O613*I613),0)</f>
        <v>0</v>
      </c>
      <c r="Q613" s="150">
        <f t="shared" si="157"/>
        <v>0</v>
      </c>
      <c r="S613" s="143">
        <f t="shared" si="148"/>
        <v>0</v>
      </c>
      <c r="X613" s="143">
        <f t="shared" si="149"/>
        <v>0</v>
      </c>
      <c r="Y613" s="143" t="s">
        <v>834</v>
      </c>
    </row>
    <row r="614" spans="1:27" x14ac:dyDescent="0.2">
      <c r="K614" s="149">
        <f t="shared" si="152"/>
        <v>0</v>
      </c>
      <c r="L614" s="149">
        <f t="shared" si="153"/>
        <v>0</v>
      </c>
      <c r="M614" s="149">
        <f t="shared" si="154"/>
        <v>0</v>
      </c>
      <c r="N614" s="149"/>
      <c r="O614" s="149">
        <f t="shared" si="155"/>
        <v>0</v>
      </c>
      <c r="P614" s="216">
        <f t="shared" si="156"/>
        <v>0</v>
      </c>
      <c r="Q614" s="150">
        <f>IF(O614=0,0,IF(X614=0,"manual",O614/((R614*tax*markup*IF(Y614&lt;&gt;"",VLOOKUP(LEFT(Y614,2),cityindex,2,0),1))+S614*markup*difficulty*IF(Y614&lt;&gt;"",VLOOKUP(LEFT(Y614,2),cityindex,3,0),1)+W614*markup*difficulty*IF(Y614&lt;&gt;"",VLOOKUP(LEFT(Y614,2),cityindex,3,0),1))))</f>
        <v>0</v>
      </c>
      <c r="S614" s="143">
        <f t="shared" si="148"/>
        <v>0</v>
      </c>
      <c r="X614" s="143">
        <f t="shared" si="149"/>
        <v>0</v>
      </c>
    </row>
    <row r="615" spans="1:27" ht="24.75" customHeight="1" x14ac:dyDescent="0.2">
      <c r="D615" s="217" t="str">
        <f>"TOTAL - " &amp; D595</f>
        <v>TOTAL - 12  FURNISHINGS</v>
      </c>
      <c r="E615" s="217"/>
      <c r="F615" s="217"/>
      <c r="G615" s="217"/>
      <c r="H615" s="217"/>
      <c r="I615" s="218"/>
      <c r="J615" s="219"/>
      <c r="K615" s="220"/>
      <c r="L615" s="220"/>
      <c r="M615" s="220"/>
      <c r="N615" s="220"/>
      <c r="O615" s="221"/>
      <c r="P615" s="222">
        <f>SUM(P595:P614)</f>
        <v>0</v>
      </c>
      <c r="Q615" s="223"/>
      <c r="S615" s="143">
        <f t="shared" si="148"/>
        <v>0</v>
      </c>
      <c r="X615" s="143">
        <f t="shared" si="149"/>
        <v>0</v>
      </c>
      <c r="Z615" s="224">
        <f>P615/GFA</f>
        <v>0</v>
      </c>
      <c r="AA615" s="225" t="s">
        <v>295</v>
      </c>
    </row>
    <row r="616" spans="1:27" x14ac:dyDescent="0.2">
      <c r="K616" s="149"/>
      <c r="L616" s="149"/>
      <c r="M616" s="149"/>
      <c r="N616" s="149"/>
      <c r="P616" s="216"/>
      <c r="Q616" s="150">
        <f>IF(O616=0,0,IF(X616=0,"manual",O616/((R616*tax*markup*IF(Y616&lt;&gt;"",VLOOKUP(LEFT(Y616,2),cityindex,2,0),1))+S616*markup*difficulty*IF(Y616&lt;&gt;"",VLOOKUP(LEFT(Y616,2),cityindex,3,0),1)+W616*markup*difficulty*IF(Y616&lt;&gt;"",VLOOKUP(LEFT(Y616,2),cityindex,3,0),1))))</f>
        <v>0</v>
      </c>
      <c r="S616" s="143">
        <f t="shared" si="148"/>
        <v>0</v>
      </c>
      <c r="X616" s="143">
        <f t="shared" si="149"/>
        <v>0</v>
      </c>
    </row>
    <row r="617" spans="1:27" x14ac:dyDescent="0.2">
      <c r="D617" s="214" t="s">
        <v>279</v>
      </c>
      <c r="E617" s="215"/>
      <c r="F617" s="215"/>
      <c r="G617" s="215"/>
      <c r="H617" s="215"/>
      <c r="K617" s="149"/>
      <c r="L617" s="149"/>
      <c r="M617" s="149"/>
      <c r="N617" s="149"/>
      <c r="P617" s="216"/>
      <c r="Q617" s="150">
        <f>IF(O617=0,0,IF(X617=0,"manual",O617/((R617*tax*markup*IF(Y617&lt;&gt;"",VLOOKUP(LEFT(Y617,2),cityindex,2,0),1))+S617*markup*difficulty*IF(Y617&lt;&gt;"",VLOOKUP(LEFT(Y617,2),cityindex,3,0),1)+W617*markup*difficulty*IF(Y617&lt;&gt;"",VLOOKUP(LEFT(Y617,2),cityindex,3,0),1))))</f>
        <v>0</v>
      </c>
      <c r="S617" s="143">
        <f t="shared" si="148"/>
        <v>0</v>
      </c>
      <c r="X617" s="143">
        <f t="shared" si="149"/>
        <v>0</v>
      </c>
    </row>
    <row r="618" spans="1:27" x14ac:dyDescent="0.2">
      <c r="K618" s="149">
        <f>R618*tax*markup*IF(Y618&lt;&gt;"",VLOOKUP(LEFT(Y618,2),cityindex,2,0),1)</f>
        <v>0</v>
      </c>
      <c r="L618" s="149">
        <f>S618*markup*difficulty*IF(Y618&lt;&gt;"",VLOOKUP(LEFT(Y618,2),cityindex,3,0),1)</f>
        <v>0</v>
      </c>
      <c r="M618" s="149">
        <f>W618*markup*difficulty*IF(Y618&lt;&gt;"",VLOOKUP(LEFT(Y618,2),cityindex,3,0),1)</f>
        <v>0</v>
      </c>
      <c r="N618" s="149"/>
      <c r="O618" s="149">
        <f>SUM(K618:N618)*embed</f>
        <v>0</v>
      </c>
      <c r="P618" s="216">
        <f>ROUND((O618*I618),0)</f>
        <v>0</v>
      </c>
      <c r="Q618" s="150">
        <f>IF(O618=0,0,IF(X618=0,"manual",O618/((R618*tax*markup*IF(Y618&lt;&gt;"",VLOOKUP(LEFT(Y618,2),cityindex,2,0),1))+S618*markup*difficulty*IF(Y618&lt;&gt;"",VLOOKUP(LEFT(Y618,2),cityindex,3,0),1)+W618*markup*difficulty*IF(Y618&lt;&gt;"",VLOOKUP(LEFT(Y618,2),cityindex,3,0),1))))</f>
        <v>0</v>
      </c>
      <c r="S618" s="143">
        <f t="shared" si="148"/>
        <v>0</v>
      </c>
      <c r="X618" s="143">
        <f t="shared" si="149"/>
        <v>0</v>
      </c>
    </row>
    <row r="619" spans="1:27" ht="24.75" customHeight="1" x14ac:dyDescent="0.2">
      <c r="D619" s="217" t="str">
        <f>"TOTAL - " &amp; D617</f>
        <v>TOTAL - 13  SPECIAL CONSTRUCTION</v>
      </c>
      <c r="E619" s="217"/>
      <c r="F619" s="217"/>
      <c r="G619" s="217"/>
      <c r="H619" s="217"/>
      <c r="I619" s="218"/>
      <c r="J619" s="219"/>
      <c r="K619" s="220"/>
      <c r="L619" s="220"/>
      <c r="M619" s="220"/>
      <c r="N619" s="220"/>
      <c r="O619" s="221"/>
      <c r="P619" s="222">
        <f>SUM(P617:P618)</f>
        <v>0</v>
      </c>
      <c r="Q619" s="223"/>
      <c r="S619" s="143">
        <f t="shared" si="148"/>
        <v>0</v>
      </c>
      <c r="X619" s="143">
        <f t="shared" si="149"/>
        <v>0</v>
      </c>
      <c r="Z619" s="224">
        <f>P619/GFA</f>
        <v>0</v>
      </c>
      <c r="AA619" s="225" t="s">
        <v>295</v>
      </c>
    </row>
    <row r="620" spans="1:27" x14ac:dyDescent="0.2">
      <c r="K620" s="149"/>
      <c r="L620" s="149"/>
      <c r="M620" s="149"/>
      <c r="N620" s="149"/>
      <c r="P620" s="216"/>
      <c r="Q620" s="150">
        <f>IF(O620=0,0,IF(X620=0,"manual",O620/((R620*tax*markup*IF(Y620&lt;&gt;"",VLOOKUP(LEFT(Y620,2),cityindex,2,0),1))+S620*markup*difficulty*IF(Y620&lt;&gt;"",VLOOKUP(LEFT(Y620,2),cityindex,3,0),1)+W620*markup*difficulty*IF(Y620&lt;&gt;"",VLOOKUP(LEFT(Y620,2),cityindex,3,0),1))))</f>
        <v>0</v>
      </c>
      <c r="S620" s="143">
        <f t="shared" si="148"/>
        <v>0</v>
      </c>
      <c r="X620" s="143">
        <f t="shared" si="149"/>
        <v>0</v>
      </c>
    </row>
    <row r="621" spans="1:27" x14ac:dyDescent="0.2">
      <c r="D621" s="214" t="s">
        <v>280</v>
      </c>
      <c r="E621" s="215"/>
      <c r="F621" s="215"/>
      <c r="G621" s="215"/>
      <c r="H621" s="215"/>
      <c r="K621" s="149"/>
      <c r="L621" s="149"/>
      <c r="M621" s="149"/>
      <c r="N621" s="149"/>
      <c r="P621" s="216"/>
      <c r="Q621" s="150">
        <f>IF(O621=0,0,IF(X621=0,"manual",O621/((R621*tax*markup*IF(Y621&lt;&gt;"",VLOOKUP(LEFT(Y621,2),cityindex,2,0),1))+S621*markup*difficulty*IF(Y621&lt;&gt;"",VLOOKUP(LEFT(Y621,2),cityindex,3,0),1)+W621*markup*difficulty*IF(Y621&lt;&gt;"",VLOOKUP(LEFT(Y621,2),cityindex,3,0),1))))</f>
        <v>0</v>
      </c>
      <c r="S621" s="143">
        <f t="shared" si="148"/>
        <v>0</v>
      </c>
      <c r="X621" s="143">
        <f t="shared" si="149"/>
        <v>0</v>
      </c>
    </row>
    <row r="622" spans="1:27" x14ac:dyDescent="0.2">
      <c r="K622" s="149">
        <f>R622*tax*markup*IF(Y622&lt;&gt;"",VLOOKUP(LEFT(Y622,2),cityindex,2,0),1)</f>
        <v>0</v>
      </c>
      <c r="L622" s="149">
        <f>S622*markup*difficulty*IF(Y622&lt;&gt;"",VLOOKUP(LEFT(Y622,2),cityindex,3,0),1)</f>
        <v>0</v>
      </c>
      <c r="M622" s="149">
        <f>W622*markup*difficulty*IF(Y622&lt;&gt;"",VLOOKUP(LEFT(Y622,2),cityindex,3,0),1)</f>
        <v>0</v>
      </c>
      <c r="N622" s="149"/>
      <c r="O622" s="149">
        <f>SUM(K622:N622)*embed</f>
        <v>0</v>
      </c>
      <c r="P622" s="216">
        <f>ROUND((O622*I622),0)</f>
        <v>0</v>
      </c>
      <c r="Q622" s="150">
        <f>IF(O622=0,0,IF(X622=0,"manual",O622/((R622*tax*markup*IF(Y622&lt;&gt;"",VLOOKUP(LEFT(Y622,2),cityindex,2,0),1))+S622*markup*difficulty*IF(Y622&lt;&gt;"",VLOOKUP(LEFT(Y622,2),cityindex,3,0),1)+W622*markup*difficulty*IF(Y622&lt;&gt;"",VLOOKUP(LEFT(Y622,2),cityindex,3,0),1))))</f>
        <v>0</v>
      </c>
      <c r="S622" s="143">
        <f t="shared" si="148"/>
        <v>0</v>
      </c>
      <c r="X622" s="143">
        <f t="shared" si="149"/>
        <v>0</v>
      </c>
    </row>
    <row r="623" spans="1:27" ht="24.75" customHeight="1" x14ac:dyDescent="0.2">
      <c r="D623" s="217" t="str">
        <f>"TOTAL - " &amp; D621</f>
        <v>TOTAL - 14  CONVEYING EQUIPMENT</v>
      </c>
      <c r="E623" s="217"/>
      <c r="F623" s="217"/>
      <c r="G623" s="217"/>
      <c r="H623" s="217"/>
      <c r="I623" s="218"/>
      <c r="J623" s="219"/>
      <c r="K623" s="220"/>
      <c r="L623" s="220"/>
      <c r="M623" s="220"/>
      <c r="N623" s="220"/>
      <c r="O623" s="221"/>
      <c r="P623" s="222">
        <f>SUM(P621:P622)</f>
        <v>0</v>
      </c>
      <c r="Q623" s="223"/>
      <c r="S623" s="143">
        <f t="shared" si="148"/>
        <v>0</v>
      </c>
      <c r="X623" s="143">
        <f t="shared" si="149"/>
        <v>0</v>
      </c>
      <c r="Z623" s="224">
        <f>P623/GFA</f>
        <v>0</v>
      </c>
      <c r="AA623" s="225" t="s">
        <v>295</v>
      </c>
    </row>
    <row r="624" spans="1:27" x14ac:dyDescent="0.2">
      <c r="K624" s="149"/>
      <c r="L624" s="149"/>
      <c r="M624" s="149"/>
      <c r="N624" s="149"/>
      <c r="P624" s="216"/>
      <c r="Q624" s="150">
        <f>IF(O624=0,0,IF(X624=0,"manual",O624/((R624*tax*markup*IF(Y624&lt;&gt;"",VLOOKUP(LEFT(Y624,2),cityindex,2,0),1))+S624*markup*difficulty*IF(Y624&lt;&gt;"",VLOOKUP(LEFT(Y624,2),cityindex,3,0),1)+W624*markup*difficulty*IF(Y624&lt;&gt;"",VLOOKUP(LEFT(Y624,2),cityindex,3,0),1))))</f>
        <v>0</v>
      </c>
      <c r="S624" s="143">
        <f t="shared" si="148"/>
        <v>0</v>
      </c>
      <c r="X624" s="143">
        <f t="shared" si="149"/>
        <v>0</v>
      </c>
    </row>
    <row r="625" spans="4:27" x14ac:dyDescent="0.2">
      <c r="D625" s="214" t="s">
        <v>281</v>
      </c>
      <c r="E625" s="215"/>
      <c r="F625" s="215"/>
      <c r="G625" s="215"/>
      <c r="H625" s="215"/>
      <c r="K625" s="149"/>
      <c r="L625" s="149"/>
      <c r="M625" s="149"/>
      <c r="N625" s="149"/>
      <c r="P625" s="216"/>
      <c r="Q625" s="150">
        <f>IF(O625=0,0,IF(X625=0,"manual",O625/((R625*tax*markup*IF(Y625&lt;&gt;"",VLOOKUP(LEFT(Y625,2),cityindex,2,0),1))+S625*markup*difficulty*IF(Y625&lt;&gt;"",VLOOKUP(LEFT(Y625,2),cityindex,3,0),1)+W625*markup*difficulty*IF(Y625&lt;&gt;"",VLOOKUP(LEFT(Y625,2),cityindex,3,0),1))))</f>
        <v>0</v>
      </c>
      <c r="S625" s="143">
        <f t="shared" si="148"/>
        <v>0</v>
      </c>
      <c r="X625" s="143">
        <f t="shared" si="149"/>
        <v>0</v>
      </c>
    </row>
    <row r="626" spans="4:27" x14ac:dyDescent="0.2">
      <c r="K626" s="149">
        <f>R626*tax*markup*IF(Y626&lt;&gt;"",VLOOKUP(LEFT(Y626,2),cityindex,2,0),1)</f>
        <v>0</v>
      </c>
      <c r="L626" s="149">
        <f>S626*markup*difficulty*IF(Y626&lt;&gt;"",VLOOKUP(LEFT(Y626,2),cityindex,3,0),1)</f>
        <v>0</v>
      </c>
      <c r="M626" s="149">
        <f>W626*markup*difficulty*IF(Y626&lt;&gt;"",VLOOKUP(LEFT(Y626,2),cityindex,3,0),1)</f>
        <v>0</v>
      </c>
      <c r="N626" s="149"/>
      <c r="O626" s="149">
        <f>SUM(K626:N626)*embed</f>
        <v>0</v>
      </c>
      <c r="P626" s="216">
        <f>ROUND((O626*I626),0)</f>
        <v>0</v>
      </c>
      <c r="Q626" s="150">
        <f>IF(O626=0,0,IF(X626=0,"manual",O626/((R626*tax*markup*IF(Y626&lt;&gt;"",VLOOKUP(LEFT(Y626,2),cityindex,2,0),1))+S626*markup*difficulty*IF(Y626&lt;&gt;"",VLOOKUP(LEFT(Y626,2),cityindex,3,0),1)+W626*markup*difficulty*IF(Y626&lt;&gt;"",VLOOKUP(LEFT(Y626,2),cityindex,3,0),1))))</f>
        <v>0</v>
      </c>
      <c r="S626" s="143">
        <f t="shared" si="148"/>
        <v>0</v>
      </c>
      <c r="X626" s="143">
        <f t="shared" si="149"/>
        <v>0</v>
      </c>
    </row>
    <row r="627" spans="4:27" ht="24.75" customHeight="1" x14ac:dyDescent="0.2">
      <c r="D627" s="217" t="str">
        <f>"TOTAL - " &amp; D625</f>
        <v>TOTAL - 21  FIRE SUPPRESSION</v>
      </c>
      <c r="E627" s="217"/>
      <c r="F627" s="217"/>
      <c r="G627" s="217"/>
      <c r="H627" s="217"/>
      <c r="I627" s="218"/>
      <c r="J627" s="219"/>
      <c r="K627" s="220"/>
      <c r="L627" s="220"/>
      <c r="M627" s="220"/>
      <c r="N627" s="220"/>
      <c r="O627" s="221"/>
      <c r="P627" s="222">
        <f>SUM(P625:P626)</f>
        <v>0</v>
      </c>
      <c r="Q627" s="223"/>
      <c r="S627" s="143">
        <f t="shared" si="148"/>
        <v>0</v>
      </c>
      <c r="X627" s="143">
        <f t="shared" si="149"/>
        <v>0</v>
      </c>
      <c r="Z627" s="224">
        <f>P627/GFA</f>
        <v>0</v>
      </c>
      <c r="AA627" s="225" t="s">
        <v>295</v>
      </c>
    </row>
    <row r="628" spans="4:27" x14ac:dyDescent="0.2">
      <c r="K628" s="149"/>
      <c r="L628" s="149"/>
      <c r="M628" s="149"/>
      <c r="N628" s="149"/>
      <c r="P628" s="216"/>
      <c r="Q628" s="150">
        <f>IF(O628=0,0,IF(X628=0,"manual",O628/((R628*tax*markup*IF(Y628&lt;&gt;"",VLOOKUP(LEFT(Y628,2),cityindex,2,0),1))+S628*markup*difficulty*IF(Y628&lt;&gt;"",VLOOKUP(LEFT(Y628,2),cityindex,3,0),1)+W628*markup*difficulty*IF(Y628&lt;&gt;"",VLOOKUP(LEFT(Y628,2),cityindex,3,0),1))))</f>
        <v>0</v>
      </c>
      <c r="S628" s="143">
        <f t="shared" si="148"/>
        <v>0</v>
      </c>
      <c r="X628" s="143">
        <f t="shared" si="149"/>
        <v>0</v>
      </c>
    </row>
    <row r="629" spans="4:27" x14ac:dyDescent="0.2">
      <c r="D629" s="214" t="s">
        <v>282</v>
      </c>
      <c r="E629" s="215"/>
      <c r="F629" s="215"/>
      <c r="G629" s="215"/>
      <c r="H629" s="215"/>
      <c r="K629" s="149"/>
      <c r="L629" s="149"/>
      <c r="M629" s="149"/>
      <c r="N629" s="149"/>
      <c r="P629" s="216"/>
      <c r="Q629" s="150">
        <f>IF(O629=0,0,IF(X629=0,"manual",O629/((R629*tax*markup*IF(Y629&lt;&gt;"",VLOOKUP(LEFT(Y629,2),cityindex,2,0),1))+S629*markup*difficulty*IF(Y629&lt;&gt;"",VLOOKUP(LEFT(Y629,2),cityindex,3,0),1)+W629*markup*difficulty*IF(Y629&lt;&gt;"",VLOOKUP(LEFT(Y629,2),cityindex,3,0),1))))</f>
        <v>0</v>
      </c>
      <c r="S629" s="143">
        <f t="shared" ref="S629:S731" si="158">U629*V629</f>
        <v>0</v>
      </c>
      <c r="X629" s="143">
        <f t="shared" ref="X629:X731" si="159">SUM(R629,S629,W629)</f>
        <v>0</v>
      </c>
    </row>
    <row r="630" spans="4:27" x14ac:dyDescent="0.2">
      <c r="K630" s="149">
        <f>R630*tax*markup*IF(Y630&lt;&gt;"",VLOOKUP(LEFT(Y630,2),cityindex,2,0),1)</f>
        <v>0</v>
      </c>
      <c r="L630" s="149">
        <f>S630*markup*difficulty*IF(Y630&lt;&gt;"",VLOOKUP(LEFT(Y630,2),cityindex,3,0),1)</f>
        <v>0</v>
      </c>
      <c r="M630" s="149">
        <f>W630*markup*difficulty*IF(Y630&lt;&gt;"",VLOOKUP(LEFT(Y630,2),cityindex,3,0),1)</f>
        <v>0</v>
      </c>
      <c r="N630" s="149"/>
      <c r="O630" s="149">
        <f>SUM(K630:N630)*embed</f>
        <v>0</v>
      </c>
      <c r="P630" s="216">
        <f>ROUND((O630*I630),0)</f>
        <v>0</v>
      </c>
      <c r="Q630" s="150">
        <f>IF(O630=0,0,IF(X630=0,"manual",O630/((R630*tax*markup*IF(Y630&lt;&gt;"",VLOOKUP(LEFT(Y630,2),cityindex,2,0),1))+S630*markup*difficulty*IF(Y630&lt;&gt;"",VLOOKUP(LEFT(Y630,2),cityindex,3,0),1)+W630*markup*difficulty*IF(Y630&lt;&gt;"",VLOOKUP(LEFT(Y630,2),cityindex,3,0),1))))</f>
        <v>0</v>
      </c>
      <c r="S630" s="143">
        <f t="shared" si="158"/>
        <v>0</v>
      </c>
      <c r="X630" s="143">
        <f t="shared" si="159"/>
        <v>0</v>
      </c>
      <c r="Z630" s="227"/>
    </row>
    <row r="631" spans="4:27" ht="24.75" customHeight="1" x14ac:dyDescent="0.2">
      <c r="D631" s="217" t="str">
        <f>"TOTAL - " &amp; D629</f>
        <v>TOTAL - 22  PLUMBING</v>
      </c>
      <c r="E631" s="217"/>
      <c r="F631" s="217"/>
      <c r="G631" s="217"/>
      <c r="H631" s="217"/>
      <c r="I631" s="218"/>
      <c r="J631" s="219"/>
      <c r="K631" s="220"/>
      <c r="L631" s="220"/>
      <c r="M631" s="220"/>
      <c r="N631" s="220"/>
      <c r="O631" s="221"/>
      <c r="P631" s="222">
        <f>SUM(P629:P630)</f>
        <v>0</v>
      </c>
      <c r="Q631" s="223"/>
      <c r="S631" s="143">
        <f t="shared" si="158"/>
        <v>0</v>
      </c>
      <c r="X631" s="143">
        <f t="shared" si="159"/>
        <v>0</v>
      </c>
      <c r="Z631" s="224">
        <f>P631/GFA</f>
        <v>0</v>
      </c>
      <c r="AA631" s="225" t="s">
        <v>295</v>
      </c>
    </row>
    <row r="632" spans="4:27" x14ac:dyDescent="0.2">
      <c r="K632" s="149"/>
      <c r="L632" s="149"/>
      <c r="M632" s="149"/>
      <c r="N632" s="149"/>
      <c r="P632" s="216"/>
      <c r="Q632" s="150">
        <f>IF(O632=0,0,IF(X632=0,"manual",O632/((R632*tax*markup*IF(Y632&lt;&gt;"",VLOOKUP(LEFT(Y632,2),cityindex,2,0),1))+S632*markup*difficulty*IF(Y632&lt;&gt;"",VLOOKUP(LEFT(Y632,2),cityindex,3,0),1)+W632*markup*difficulty*IF(Y632&lt;&gt;"",VLOOKUP(LEFT(Y632,2),cityindex,3,0),1))))</f>
        <v>0</v>
      </c>
      <c r="S632" s="143">
        <f t="shared" si="158"/>
        <v>0</v>
      </c>
      <c r="X632" s="143">
        <f t="shared" si="159"/>
        <v>0</v>
      </c>
      <c r="Z632" s="227"/>
    </row>
    <row r="633" spans="4:27" x14ac:dyDescent="0.2">
      <c r="D633" s="214" t="s">
        <v>283</v>
      </c>
      <c r="E633" s="215"/>
      <c r="F633" s="215"/>
      <c r="G633" s="215"/>
      <c r="H633" s="215"/>
      <c r="K633" s="149"/>
      <c r="L633" s="149"/>
      <c r="M633" s="149"/>
      <c r="N633" s="149"/>
      <c r="P633" s="216"/>
      <c r="Q633" s="150">
        <f>IF(O633=0,0,IF(X633=0,"manual",O633/((R633*tax*markup*IF(Y633&lt;&gt;"",VLOOKUP(LEFT(Y633,2),cityindex,2,0),1))+S633*markup*difficulty*IF(Y633&lt;&gt;"",VLOOKUP(LEFT(Y633,2),cityindex,3,0),1)+W633*markup*difficulty*IF(Y633&lt;&gt;"",VLOOKUP(LEFT(Y633,2),cityindex,3,0),1))))</f>
        <v>0</v>
      </c>
      <c r="S633" s="143">
        <f t="shared" si="158"/>
        <v>0</v>
      </c>
      <c r="X633" s="143">
        <f t="shared" si="159"/>
        <v>0</v>
      </c>
      <c r="Z633" s="227"/>
    </row>
    <row r="634" spans="4:27" x14ac:dyDescent="0.2">
      <c r="K634" s="149">
        <f>R634*tax*markup*IF(Y634&lt;&gt;"",VLOOKUP(LEFT(Y634,2),cityindex,2,0),1)</f>
        <v>0</v>
      </c>
      <c r="L634" s="149">
        <f>S634*markup*difficulty*IF(Y634&lt;&gt;"",VLOOKUP(LEFT(Y634,2),cityindex,3,0),1)</f>
        <v>0</v>
      </c>
      <c r="M634" s="149">
        <f>W634*markup*difficulty*IF(Y634&lt;&gt;"",VLOOKUP(LEFT(Y634,2),cityindex,3,0),1)</f>
        <v>0</v>
      </c>
      <c r="N634" s="149"/>
      <c r="O634" s="149">
        <f>SUM(K634:N634)*embed</f>
        <v>0</v>
      </c>
      <c r="P634" s="216">
        <f>ROUND((O634*I634),0)</f>
        <v>0</v>
      </c>
      <c r="Q634" s="150">
        <f>IF(O634=0,0,IF(X634=0,"manual",O634/((R634*tax*markup*IF(Y634&lt;&gt;"",VLOOKUP(LEFT(Y634,2),cityindex,2,0),1))+S634*markup*difficulty*IF(Y634&lt;&gt;"",VLOOKUP(LEFT(Y634,2),cityindex,3,0),1)+W634*markup*difficulty*IF(Y634&lt;&gt;"",VLOOKUP(LEFT(Y634,2),cityindex,3,0),1))))</f>
        <v>0</v>
      </c>
      <c r="S634" s="143">
        <f t="shared" si="158"/>
        <v>0</v>
      </c>
      <c r="X634" s="143">
        <f t="shared" si="159"/>
        <v>0</v>
      </c>
      <c r="Z634" s="227"/>
    </row>
    <row r="635" spans="4:27" ht="24.75" customHeight="1" x14ac:dyDescent="0.2">
      <c r="D635" s="217" t="str">
        <f>"TOTAL - " &amp; D633</f>
        <v>TOTAL - 23  HEATING, VENTILATING, AND AIR CONDITIONING</v>
      </c>
      <c r="E635" s="217"/>
      <c r="F635" s="217"/>
      <c r="G635" s="217"/>
      <c r="H635" s="217"/>
      <c r="I635" s="218"/>
      <c r="J635" s="219"/>
      <c r="K635" s="220"/>
      <c r="L635" s="220"/>
      <c r="M635" s="220"/>
      <c r="N635" s="220"/>
      <c r="O635" s="221"/>
      <c r="P635" s="222">
        <f>SUM(P633:P634)</f>
        <v>0</v>
      </c>
      <c r="Q635" s="223"/>
      <c r="S635" s="143">
        <f t="shared" si="158"/>
        <v>0</v>
      </c>
      <c r="X635" s="143">
        <f t="shared" si="159"/>
        <v>0</v>
      </c>
      <c r="Z635" s="224">
        <f>P635/GFA</f>
        <v>0</v>
      </c>
      <c r="AA635" s="225" t="s">
        <v>295</v>
      </c>
    </row>
    <row r="636" spans="4:27" x14ac:dyDescent="0.2">
      <c r="K636" s="149"/>
      <c r="L636" s="149"/>
      <c r="M636" s="149"/>
      <c r="N636" s="149"/>
      <c r="P636" s="216"/>
      <c r="Q636" s="150">
        <f t="shared" ref="Q636:Q649" si="160">IF(O636=0,0,IF(X636=0,"manual",O636/((R636*tax*markup*IF(Y636&lt;&gt;"",VLOOKUP(LEFT(Y636,2),cityindex,2,0),1))+S636*markup*difficulty*IF(Y636&lt;&gt;"",VLOOKUP(LEFT(Y636,2),cityindex,3,0),1)+W636*markup*difficulty*IF(Y636&lt;&gt;"",VLOOKUP(LEFT(Y636,2),cityindex,3,0),1))))</f>
        <v>0</v>
      </c>
      <c r="S636" s="143">
        <f t="shared" si="158"/>
        <v>0</v>
      </c>
      <c r="X636" s="143">
        <f t="shared" si="159"/>
        <v>0</v>
      </c>
      <c r="Z636" s="227"/>
    </row>
    <row r="637" spans="4:27" x14ac:dyDescent="0.2">
      <c r="D637" s="214" t="s">
        <v>284</v>
      </c>
      <c r="E637" s="215"/>
      <c r="F637" s="215"/>
      <c r="G637" s="215"/>
      <c r="H637" s="215"/>
      <c r="K637" s="149"/>
      <c r="L637" s="149"/>
      <c r="M637" s="149"/>
      <c r="N637" s="149"/>
      <c r="P637" s="216"/>
      <c r="Q637" s="150">
        <f t="shared" si="160"/>
        <v>0</v>
      </c>
      <c r="S637" s="143">
        <f t="shared" si="158"/>
        <v>0</v>
      </c>
      <c r="X637" s="143">
        <f t="shared" si="159"/>
        <v>0</v>
      </c>
      <c r="Z637" s="227"/>
    </row>
    <row r="638" spans="4:27" x14ac:dyDescent="0.2">
      <c r="K638" s="149">
        <f>R638*tax*markup*IF(Y638&lt;&gt;"",VLOOKUP(LEFT(Y638,2),cityindex,2,0),1)</f>
        <v>0</v>
      </c>
      <c r="L638" s="149">
        <f>S638*markup*difficulty*IF(Y638&lt;&gt;"",VLOOKUP(LEFT(Y638,2),cityindex,3,0),1)</f>
        <v>0</v>
      </c>
      <c r="M638" s="149">
        <f>W638*markup*difficulty*IF(Y638&lt;&gt;"",VLOOKUP(LEFT(Y638,2),cityindex,3,0),1)</f>
        <v>0</v>
      </c>
      <c r="N638" s="149"/>
      <c r="O638" s="149">
        <f>SUM(K638:N638)*embed</f>
        <v>0</v>
      </c>
      <c r="P638" s="216">
        <f>ROUND((O638*I638),0)</f>
        <v>0</v>
      </c>
      <c r="Q638" s="150">
        <f t="shared" si="160"/>
        <v>0</v>
      </c>
      <c r="S638" s="143">
        <f t="shared" si="158"/>
        <v>0</v>
      </c>
      <c r="X638" s="143">
        <f t="shared" si="159"/>
        <v>0</v>
      </c>
      <c r="Z638" s="227"/>
    </row>
    <row r="639" spans="4:27" ht="24.75" customHeight="1" x14ac:dyDescent="0.2">
      <c r="D639" s="217" t="str">
        <f>"TOTAL - " &amp; D637</f>
        <v>TOTAL - 26  ELECTRICAL</v>
      </c>
      <c r="E639" s="217"/>
      <c r="F639" s="217"/>
      <c r="G639" s="217"/>
      <c r="H639" s="217"/>
      <c r="I639" s="218"/>
      <c r="J639" s="219"/>
      <c r="K639" s="220"/>
      <c r="L639" s="220"/>
      <c r="M639" s="220"/>
      <c r="N639" s="220"/>
      <c r="O639" s="221"/>
      <c r="P639" s="222">
        <f>SUM(P637:P638)</f>
        <v>0</v>
      </c>
      <c r="Q639" s="223"/>
      <c r="S639" s="143">
        <f t="shared" si="158"/>
        <v>0</v>
      </c>
      <c r="X639" s="143">
        <f t="shared" si="159"/>
        <v>0</v>
      </c>
      <c r="Z639" s="224">
        <f>P639/GFA</f>
        <v>0</v>
      </c>
      <c r="AA639" s="225" t="s">
        <v>295</v>
      </c>
    </row>
    <row r="640" spans="4:27" x14ac:dyDescent="0.2">
      <c r="K640" s="149"/>
      <c r="L640" s="149"/>
      <c r="M640" s="149"/>
      <c r="N640" s="149"/>
      <c r="P640" s="216"/>
      <c r="Q640" s="150">
        <f t="shared" si="160"/>
        <v>0</v>
      </c>
      <c r="S640" s="143">
        <f t="shared" si="158"/>
        <v>0</v>
      </c>
      <c r="X640" s="143">
        <f t="shared" si="159"/>
        <v>0</v>
      </c>
      <c r="Z640" s="227"/>
    </row>
    <row r="641" spans="1:27" x14ac:dyDescent="0.2">
      <c r="D641" s="214" t="s">
        <v>285</v>
      </c>
      <c r="E641" s="215"/>
      <c r="F641" s="215"/>
      <c r="G641" s="215"/>
      <c r="H641" s="215"/>
      <c r="K641" s="149"/>
      <c r="L641" s="149"/>
      <c r="M641" s="149"/>
      <c r="N641" s="149"/>
      <c r="P641" s="216"/>
      <c r="Q641" s="150">
        <f t="shared" si="160"/>
        <v>0</v>
      </c>
      <c r="S641" s="143">
        <f t="shared" si="158"/>
        <v>0</v>
      </c>
      <c r="X641" s="143">
        <f t="shared" si="159"/>
        <v>0</v>
      </c>
      <c r="Z641" s="227"/>
    </row>
    <row r="642" spans="1:27" x14ac:dyDescent="0.2">
      <c r="K642" s="149">
        <f>R642*tax*markup*IF(Y642&lt;&gt;"",VLOOKUP(LEFT(Y642,2),cityindex,2,0),1)</f>
        <v>0</v>
      </c>
      <c r="L642" s="149">
        <f>S642*markup*difficulty*IF(Y642&lt;&gt;"",VLOOKUP(LEFT(Y642,2),cityindex,3,0),1)</f>
        <v>0</v>
      </c>
      <c r="M642" s="149">
        <f>W642*markup*difficulty*IF(Y642&lt;&gt;"",VLOOKUP(LEFT(Y642,2),cityindex,3,0),1)</f>
        <v>0</v>
      </c>
      <c r="N642" s="149"/>
      <c r="O642" s="149">
        <f>SUM(K642:N642)*embed</f>
        <v>0</v>
      </c>
      <c r="P642" s="216">
        <f>ROUND((O642*I642),0)</f>
        <v>0</v>
      </c>
      <c r="Q642" s="150">
        <f t="shared" si="160"/>
        <v>0</v>
      </c>
      <c r="S642" s="143">
        <f t="shared" si="158"/>
        <v>0</v>
      </c>
      <c r="X642" s="143">
        <f t="shared" si="159"/>
        <v>0</v>
      </c>
    </row>
    <row r="643" spans="1:27" ht="24.75" customHeight="1" x14ac:dyDescent="0.2">
      <c r="D643" s="217" t="str">
        <f>"TOTAL - " &amp; D641</f>
        <v>TOTAL - 27  COMMUNICATIONS</v>
      </c>
      <c r="E643" s="217"/>
      <c r="F643" s="217"/>
      <c r="G643" s="217"/>
      <c r="H643" s="217"/>
      <c r="I643" s="218"/>
      <c r="J643" s="219"/>
      <c r="K643" s="220"/>
      <c r="L643" s="220"/>
      <c r="M643" s="220"/>
      <c r="N643" s="220"/>
      <c r="O643" s="221"/>
      <c r="P643" s="222">
        <f>SUM(P641:P642)</f>
        <v>0</v>
      </c>
      <c r="Q643" s="223"/>
      <c r="S643" s="143">
        <f t="shared" si="158"/>
        <v>0</v>
      </c>
      <c r="X643" s="143">
        <f t="shared" si="159"/>
        <v>0</v>
      </c>
      <c r="Z643" s="224">
        <f>P643/GFA</f>
        <v>0</v>
      </c>
      <c r="AA643" s="225" t="s">
        <v>295</v>
      </c>
    </row>
    <row r="644" spans="1:27" x14ac:dyDescent="0.2">
      <c r="K644" s="149"/>
      <c r="L644" s="149"/>
      <c r="M644" s="149"/>
      <c r="N644" s="149"/>
      <c r="P644" s="216"/>
      <c r="Q644" s="150">
        <f t="shared" si="160"/>
        <v>0</v>
      </c>
      <c r="S644" s="143">
        <f t="shared" si="158"/>
        <v>0</v>
      </c>
      <c r="X644" s="143">
        <f t="shared" si="159"/>
        <v>0</v>
      </c>
    </row>
    <row r="645" spans="1:27" x14ac:dyDescent="0.2">
      <c r="D645" s="214" t="s">
        <v>286</v>
      </c>
      <c r="E645" s="215"/>
      <c r="F645" s="215"/>
      <c r="G645" s="215"/>
      <c r="H645" s="215"/>
      <c r="K645" s="149"/>
      <c r="L645" s="149"/>
      <c r="M645" s="149"/>
      <c r="N645" s="149"/>
      <c r="P645" s="216"/>
      <c r="Q645" s="150">
        <f t="shared" si="160"/>
        <v>0</v>
      </c>
      <c r="S645" s="143">
        <f t="shared" si="158"/>
        <v>0</v>
      </c>
      <c r="X645" s="143">
        <f t="shared" si="159"/>
        <v>0</v>
      </c>
    </row>
    <row r="646" spans="1:27" x14ac:dyDescent="0.2">
      <c r="K646" s="149">
        <f>R646*tax*markup*IF(Y646&lt;&gt;"",VLOOKUP(LEFT(Y646,2),cityindex,2,0),1)</f>
        <v>0</v>
      </c>
      <c r="L646" s="149">
        <f>S646*markup*difficulty*IF(Y646&lt;&gt;"",VLOOKUP(LEFT(Y646,2),cityindex,3,0),1)</f>
        <v>0</v>
      </c>
      <c r="M646" s="149">
        <f>W646*markup*difficulty*IF(Y646&lt;&gt;"",VLOOKUP(LEFT(Y646,2),cityindex,3,0),1)</f>
        <v>0</v>
      </c>
      <c r="N646" s="149"/>
      <c r="O646" s="149">
        <f>SUM(K646:N646)*embed</f>
        <v>0</v>
      </c>
      <c r="P646" s="216">
        <f>ROUND((O646*I646),0)</f>
        <v>0</v>
      </c>
      <c r="Q646" s="150">
        <f t="shared" si="160"/>
        <v>0</v>
      </c>
      <c r="S646" s="143">
        <f t="shared" si="158"/>
        <v>0</v>
      </c>
      <c r="X646" s="143">
        <f t="shared" si="159"/>
        <v>0</v>
      </c>
    </row>
    <row r="647" spans="1:27" ht="24.75" customHeight="1" x14ac:dyDescent="0.2">
      <c r="D647" s="217" t="str">
        <f>"TOTAL - " &amp; D645</f>
        <v>TOTAL - 28  ELECTRONIC SAFETY AND SECURITY</v>
      </c>
      <c r="E647" s="217"/>
      <c r="F647" s="217"/>
      <c r="G647" s="217"/>
      <c r="H647" s="217"/>
      <c r="I647" s="218"/>
      <c r="J647" s="219"/>
      <c r="K647" s="220"/>
      <c r="L647" s="220"/>
      <c r="M647" s="220"/>
      <c r="N647" s="220"/>
      <c r="O647" s="221"/>
      <c r="P647" s="222">
        <f>SUM(P645:P646)</f>
        <v>0</v>
      </c>
      <c r="Q647" s="223"/>
      <c r="S647" s="143">
        <f t="shared" si="158"/>
        <v>0</v>
      </c>
      <c r="X647" s="143">
        <f t="shared" si="159"/>
        <v>0</v>
      </c>
      <c r="Z647" s="224">
        <f>P647/GFA</f>
        <v>0</v>
      </c>
      <c r="AA647" s="225" t="s">
        <v>295</v>
      </c>
    </row>
    <row r="648" spans="1:27" x14ac:dyDescent="0.2">
      <c r="K648" s="149"/>
      <c r="L648" s="149"/>
      <c r="M648" s="149"/>
      <c r="N648" s="149"/>
      <c r="P648" s="216"/>
      <c r="Q648" s="150">
        <f t="shared" si="160"/>
        <v>0</v>
      </c>
      <c r="S648" s="143">
        <f t="shared" si="158"/>
        <v>0</v>
      </c>
      <c r="X648" s="143">
        <f t="shared" si="159"/>
        <v>0</v>
      </c>
    </row>
    <row r="649" spans="1:27" x14ac:dyDescent="0.2">
      <c r="D649" s="214" t="s">
        <v>287</v>
      </c>
      <c r="E649" s="215"/>
      <c r="F649" s="215"/>
      <c r="G649" s="215"/>
      <c r="H649" s="215"/>
      <c r="K649" s="149"/>
      <c r="L649" s="149"/>
      <c r="M649" s="149"/>
      <c r="N649" s="149"/>
      <c r="P649" s="216"/>
      <c r="Q649" s="150">
        <f t="shared" si="160"/>
        <v>0</v>
      </c>
      <c r="S649" s="143">
        <f t="shared" si="158"/>
        <v>0</v>
      </c>
      <c r="X649" s="143">
        <f t="shared" si="159"/>
        <v>0</v>
      </c>
    </row>
    <row r="650" spans="1:27" ht="12.75" customHeight="1" x14ac:dyDescent="0.2">
      <c r="A650" s="143" t="s">
        <v>296</v>
      </c>
      <c r="E650" s="143" t="s">
        <v>835</v>
      </c>
      <c r="K650" s="149">
        <f t="shared" ref="K650:K659" si="161">R650*tax*markup*IF(Y650&lt;&gt;"",VLOOKUP(LEFT(Y650,2),cityindex,2,0),1)</f>
        <v>0</v>
      </c>
      <c r="L650" s="149">
        <f t="shared" ref="L650:L659" si="162">S650*markup*difficulty*IF(Y650&lt;&gt;"",VLOOKUP(LEFT(Y650,2),cityindex,3,0),1)</f>
        <v>0</v>
      </c>
      <c r="M650" s="149">
        <f t="shared" ref="M650:M659" si="163">W650*markup*difficulty*IF(Y650&lt;&gt;"",VLOOKUP(LEFT(Y650,2),cityindex,3,0),1)</f>
        <v>0</v>
      </c>
      <c r="N650" s="149"/>
      <c r="O650" s="149">
        <f t="shared" ref="O650:O659" si="164">SUM(K650:N650)*embed</f>
        <v>0</v>
      </c>
      <c r="P650" s="216">
        <f t="shared" ref="P650:P665" si="165">ROUND((O650*I650),0)</f>
        <v>0</v>
      </c>
      <c r="Q650" s="150">
        <f>IF(O650=0,0,IF(X650=0,"manual",(O650/(R650*tax*markup*IF(Y650&lt;&gt;"",VLOOKUP(LEFT(Y650,2),cityindex,2,0),1)+S650*markup*difficulty*IF(Y650&lt;&gt;"",VLOOKUP(LEFT(Y650,2),cityindex,3,0),1)+W650*markup*difficulty*IF(Y650&lt;&gt;"",VLOOKUP(LEFT(Y650,2),cityindex,3,0),1)))-1))</f>
        <v>0</v>
      </c>
      <c r="S650" s="143">
        <f t="shared" si="158"/>
        <v>0</v>
      </c>
      <c r="X650" s="143">
        <f t="shared" si="159"/>
        <v>0</v>
      </c>
    </row>
    <row r="651" spans="1:27" ht="12.75" customHeight="1" x14ac:dyDescent="0.2">
      <c r="A651" s="143" t="s">
        <v>296</v>
      </c>
      <c r="F651" s="143" t="s">
        <v>836</v>
      </c>
      <c r="J651" s="147" t="s">
        <v>390</v>
      </c>
      <c r="K651" s="149">
        <f t="shared" si="161"/>
        <v>0</v>
      </c>
      <c r="L651" s="149">
        <f t="shared" si="162"/>
        <v>0</v>
      </c>
      <c r="M651" s="149">
        <f t="shared" si="163"/>
        <v>0</v>
      </c>
      <c r="N651" s="149"/>
      <c r="O651" s="149">
        <f t="shared" si="164"/>
        <v>0</v>
      </c>
      <c r="P651" s="216">
        <f t="shared" si="165"/>
        <v>0</v>
      </c>
      <c r="Q651" s="150">
        <f>IF(O651=0,0,IF(X651=0,"manual",(O651/(R651*tax*markup*IF(Y651&lt;&gt;"",VLOOKUP(LEFT(Y651,2),cityindex,2,0),1)+S651*markup*difficulty*IF(Y651&lt;&gt;"",VLOOKUP(LEFT(Y651,2),cityindex,3,0),1)+W651*markup*difficulty*IF(Y651&lt;&gt;"",VLOOKUP(LEFT(Y651,2),cityindex,3,0),1)))-1))</f>
        <v>0</v>
      </c>
      <c r="S651" s="143">
        <f t="shared" si="158"/>
        <v>0</v>
      </c>
      <c r="X651" s="143">
        <f t="shared" si="159"/>
        <v>0</v>
      </c>
      <c r="Y651" s="143" t="s">
        <v>837</v>
      </c>
    </row>
    <row r="652" spans="1:27" ht="12.75" customHeight="1" x14ac:dyDescent="0.2">
      <c r="A652" s="143" t="s">
        <v>296</v>
      </c>
      <c r="F652" s="143" t="s">
        <v>838</v>
      </c>
      <c r="J652" s="147" t="s">
        <v>390</v>
      </c>
      <c r="K652" s="149">
        <f t="shared" si="161"/>
        <v>0</v>
      </c>
      <c r="L652" s="149">
        <f t="shared" si="162"/>
        <v>0</v>
      </c>
      <c r="M652" s="149">
        <f t="shared" si="163"/>
        <v>0</v>
      </c>
      <c r="N652" s="149"/>
      <c r="O652" s="149">
        <f t="shared" si="164"/>
        <v>0</v>
      </c>
      <c r="P652" s="216">
        <f t="shared" si="165"/>
        <v>0</v>
      </c>
      <c r="Q652" s="150">
        <f>IF(O652=0,0,IF(X652=0,"manual",(O652/(R652*tax*markup*IF(Y652&lt;&gt;"",VLOOKUP(LEFT(Y652,2),cityindex,2,0),1)+S652*markup*difficulty*IF(Y652&lt;&gt;"",VLOOKUP(LEFT(Y652,2),cityindex,3,0),1)+W652*markup*difficulty*IF(Y652&lt;&gt;"",VLOOKUP(LEFT(Y652,2),cityindex,3,0),1)))-1))</f>
        <v>0</v>
      </c>
      <c r="S652" s="143">
        <f t="shared" si="158"/>
        <v>0</v>
      </c>
      <c r="X652" s="143">
        <f t="shared" si="159"/>
        <v>0</v>
      </c>
      <c r="Y652" s="143" t="s">
        <v>839</v>
      </c>
    </row>
    <row r="653" spans="1:27" ht="12.75" customHeight="1" x14ac:dyDescent="0.2">
      <c r="A653" s="143" t="s">
        <v>296</v>
      </c>
      <c r="F653" s="143" t="s">
        <v>840</v>
      </c>
      <c r="J653" s="147" t="s">
        <v>390</v>
      </c>
      <c r="K653" s="149">
        <f t="shared" si="161"/>
        <v>0</v>
      </c>
      <c r="L653" s="149">
        <f t="shared" si="162"/>
        <v>0</v>
      </c>
      <c r="M653" s="149">
        <f t="shared" si="163"/>
        <v>0</v>
      </c>
      <c r="N653" s="149"/>
      <c r="O653" s="149">
        <f t="shared" si="164"/>
        <v>0</v>
      </c>
      <c r="P653" s="216">
        <f t="shared" si="165"/>
        <v>0</v>
      </c>
      <c r="Q653" s="150">
        <f>IF(O653=0,0,IF(X653=0,"manual",(O653/(R653*tax*markup*IF(Y653&lt;&gt;"",VLOOKUP(LEFT(Y653,2),cityindex,2,0),1)+S653*markup*difficulty*IF(Y653&lt;&gt;"",VLOOKUP(LEFT(Y653,2),cityindex,3,0),1)+W653*markup*difficulty*IF(Y653&lt;&gt;"",VLOOKUP(LEFT(Y653,2),cityindex,3,0),1)))-1))</f>
        <v>0</v>
      </c>
      <c r="S653" s="143">
        <f t="shared" si="158"/>
        <v>0</v>
      </c>
      <c r="X653" s="143">
        <f t="shared" si="159"/>
        <v>0</v>
      </c>
      <c r="Y653" s="143" t="s">
        <v>841</v>
      </c>
    </row>
    <row r="654" spans="1:27" ht="12.75" customHeight="1" x14ac:dyDescent="0.2">
      <c r="A654" s="143" t="s">
        <v>296</v>
      </c>
      <c r="F654" s="143" t="s">
        <v>842</v>
      </c>
      <c r="J654" s="147" t="s">
        <v>301</v>
      </c>
      <c r="K654" s="149">
        <f t="shared" si="161"/>
        <v>0</v>
      </c>
      <c r="L654" s="149">
        <f t="shared" si="162"/>
        <v>0</v>
      </c>
      <c r="M654" s="149">
        <f t="shared" si="163"/>
        <v>0</v>
      </c>
      <c r="N654" s="149"/>
      <c r="O654" s="149">
        <f t="shared" si="164"/>
        <v>0</v>
      </c>
      <c r="P654" s="216">
        <f t="shared" si="165"/>
        <v>0</v>
      </c>
      <c r="Q654" s="150">
        <f>IF(O654=0,0,IF(X654=0,"manual",(O654/(R654*tax*markup*IF(Y654&lt;&gt;"",VLOOKUP(LEFT(Y654,2),cityindex,2,0),1)+S654*markup*difficulty*IF(Y654&lt;&gt;"",VLOOKUP(LEFT(Y654,2),cityindex,3,0),1)+W654*markup*difficulty*IF(Y654&lt;&gt;"",VLOOKUP(LEFT(Y654,2),cityindex,3,0),1)))-1))</f>
        <v>0</v>
      </c>
      <c r="S654" s="143">
        <f t="shared" si="158"/>
        <v>0</v>
      </c>
      <c r="X654" s="143">
        <f t="shared" si="159"/>
        <v>0</v>
      </c>
      <c r="Y654" s="143" t="s">
        <v>843</v>
      </c>
    </row>
    <row r="655" spans="1:27" x14ac:dyDescent="0.2">
      <c r="A655" s="143" t="s">
        <v>296</v>
      </c>
      <c r="K655" s="149">
        <f t="shared" si="161"/>
        <v>0</v>
      </c>
      <c r="L655" s="149">
        <f t="shared" si="162"/>
        <v>0</v>
      </c>
      <c r="M655" s="149">
        <f t="shared" si="163"/>
        <v>0</v>
      </c>
      <c r="N655" s="149"/>
      <c r="O655" s="149">
        <f t="shared" si="164"/>
        <v>0</v>
      </c>
      <c r="P655" s="216">
        <f t="shared" si="165"/>
        <v>0</v>
      </c>
      <c r="Q655" s="150">
        <f>IF(O655=0,0,IF(X655=0,"manual",O655/((R655*tax*markup*IF(Y655&lt;&gt;"",VLOOKUP(LEFT(Y655,2),cityindex,2,0),1))+S655*markup*difficulty*IF(Y655&lt;&gt;"",VLOOKUP(LEFT(Y655,2),cityindex,3,0),1)+W655*markup*difficulty*IF(Y655&lt;&gt;"",VLOOKUP(LEFT(Y655,2),cityindex,3,0),1))))</f>
        <v>0</v>
      </c>
      <c r="S655" s="143">
        <f>U655*V655</f>
        <v>0</v>
      </c>
      <c r="X655" s="143">
        <f>SUM(R655,S655,W655)</f>
        <v>0</v>
      </c>
    </row>
    <row r="656" spans="1:27" s="228" customFormat="1" ht="12.75" customHeight="1" x14ac:dyDescent="0.2">
      <c r="A656" s="228" t="s">
        <v>296</v>
      </c>
      <c r="B656" s="229"/>
      <c r="E656" s="228" t="s">
        <v>844</v>
      </c>
      <c r="I656" s="230"/>
      <c r="J656" s="231"/>
      <c r="K656" s="232">
        <f t="shared" si="161"/>
        <v>0</v>
      </c>
      <c r="L656" s="232">
        <f t="shared" si="162"/>
        <v>0</v>
      </c>
      <c r="M656" s="232">
        <f t="shared" si="163"/>
        <v>0</v>
      </c>
      <c r="N656" s="232"/>
      <c r="O656" s="232">
        <f t="shared" si="164"/>
        <v>0</v>
      </c>
      <c r="P656" s="233">
        <f t="shared" si="165"/>
        <v>0</v>
      </c>
      <c r="Q656" s="234">
        <f>IF(O656=0,0,IF(X656=0,"manual",(O656/(R656*tax*markup*IF(Y656&lt;&gt;"",VLOOKUP(LEFT(Y656,2),cityindex,2,0),1)+S656*markup*difficulty*IF(Y656&lt;&gt;"",VLOOKUP(LEFT(Y656,2),cityindex,3,0),1)+W656*markup*difficulty*IF(Y656&lt;&gt;"",VLOOKUP(LEFT(Y656,2),cityindex,3,0),1)))-1))</f>
        <v>0</v>
      </c>
      <c r="S656" s="228">
        <f>U656*V656</f>
        <v>0</v>
      </c>
      <c r="X656" s="228">
        <f>SUM(R656,S656,W656)</f>
        <v>0</v>
      </c>
    </row>
    <row r="657" spans="1:27" s="228" customFormat="1" ht="12.75" customHeight="1" x14ac:dyDescent="0.2">
      <c r="A657" s="228" t="s">
        <v>296</v>
      </c>
      <c r="B657" s="229"/>
      <c r="F657" s="228" t="s">
        <v>845</v>
      </c>
      <c r="I657" s="230"/>
      <c r="J657" s="231" t="s">
        <v>301</v>
      </c>
      <c r="K657" s="232">
        <f t="shared" si="161"/>
        <v>0</v>
      </c>
      <c r="L657" s="232">
        <f t="shared" si="162"/>
        <v>0</v>
      </c>
      <c r="M657" s="232">
        <f t="shared" si="163"/>
        <v>0</v>
      </c>
      <c r="N657" s="232"/>
      <c r="O657" s="232">
        <f t="shared" si="164"/>
        <v>0</v>
      </c>
      <c r="P657" s="233">
        <f t="shared" si="165"/>
        <v>0</v>
      </c>
      <c r="Q657" s="234">
        <f>IF(O657=0,0,IF(X657=0,"manual",(O657/(R657*tax*markup*IF(Y657&lt;&gt;"",VLOOKUP(LEFT(Y657,2),cityindex,2,0),1)+S657*markup*difficulty*IF(Y657&lt;&gt;"",VLOOKUP(LEFT(Y657,2),cityindex,3,0),1)+W657*markup*difficulty*IF(Y657&lt;&gt;"",VLOOKUP(LEFT(Y657,2),cityindex,3,0),1)))-1))</f>
        <v>0</v>
      </c>
      <c r="S657" s="228">
        <f>U657*V657</f>
        <v>0</v>
      </c>
      <c r="X657" s="228">
        <f>SUM(R657,S657,W657)</f>
        <v>0</v>
      </c>
      <c r="Y657" s="228" t="s">
        <v>846</v>
      </c>
    </row>
    <row r="658" spans="1:27" s="228" customFormat="1" ht="12.75" customHeight="1" x14ac:dyDescent="0.2">
      <c r="A658" s="228" t="s">
        <v>296</v>
      </c>
      <c r="B658" s="229"/>
      <c r="F658" s="228" t="s">
        <v>847</v>
      </c>
      <c r="I658" s="230"/>
      <c r="J658" s="231" t="s">
        <v>301</v>
      </c>
      <c r="K658" s="232">
        <f t="shared" si="161"/>
        <v>0</v>
      </c>
      <c r="L658" s="232">
        <f t="shared" si="162"/>
        <v>0</v>
      </c>
      <c r="M658" s="232">
        <f t="shared" si="163"/>
        <v>0</v>
      </c>
      <c r="N658" s="232"/>
      <c r="O658" s="232">
        <f t="shared" si="164"/>
        <v>0</v>
      </c>
      <c r="P658" s="233">
        <f t="shared" si="165"/>
        <v>0</v>
      </c>
      <c r="Q658" s="234">
        <f>IF(O658=0,0,IF(X658=0,"manual",(O658/(R658*tax*markup*IF(Y658&lt;&gt;"",VLOOKUP(LEFT(Y658,2),cityindex,2,0),1)+S658*markup*difficulty*IF(Y658&lt;&gt;"",VLOOKUP(LEFT(Y658,2),cityindex,3,0),1)+W658*markup*difficulty*IF(Y658&lt;&gt;"",VLOOKUP(LEFT(Y658,2),cityindex,3,0),1)))-1))</f>
        <v>0</v>
      </c>
      <c r="S658" s="228">
        <f>U658*V658</f>
        <v>0</v>
      </c>
      <c r="X658" s="228">
        <f>SUM(R658,S658,W658)</f>
        <v>0</v>
      </c>
      <c r="Y658" s="228" t="s">
        <v>848</v>
      </c>
    </row>
    <row r="659" spans="1:27" s="228" customFormat="1" ht="12.75" customHeight="1" x14ac:dyDescent="0.2">
      <c r="A659" s="228" t="s">
        <v>296</v>
      </c>
      <c r="B659" s="229"/>
      <c r="F659" s="228" t="s">
        <v>849</v>
      </c>
      <c r="I659" s="230"/>
      <c r="J659" s="231" t="s">
        <v>301</v>
      </c>
      <c r="K659" s="232">
        <f t="shared" si="161"/>
        <v>0</v>
      </c>
      <c r="L659" s="232">
        <f t="shared" si="162"/>
        <v>0</v>
      </c>
      <c r="M659" s="232">
        <f t="shared" si="163"/>
        <v>0</v>
      </c>
      <c r="N659" s="232"/>
      <c r="O659" s="232">
        <f t="shared" si="164"/>
        <v>0</v>
      </c>
      <c r="P659" s="233">
        <f t="shared" si="165"/>
        <v>0</v>
      </c>
      <c r="Q659" s="234">
        <f>IF(O659=0,0,IF(X659=0,"manual",(O659/(R659*tax*markup*IF(Y659&lt;&gt;"",VLOOKUP(LEFT(Y659,2),cityindex,2,0),1)+S659*markup*difficulty*IF(Y659&lt;&gt;"",VLOOKUP(LEFT(Y659,2),cityindex,3,0),1)+W659*markup*difficulty*IF(Y659&lt;&gt;"",VLOOKUP(LEFT(Y659,2),cityindex,3,0),1)))-1))</f>
        <v>0</v>
      </c>
      <c r="S659" s="228">
        <f>U659*V659</f>
        <v>0</v>
      </c>
      <c r="X659" s="228">
        <f>SUM(R659,S659,W659)</f>
        <v>0</v>
      </c>
      <c r="Y659" s="228" t="s">
        <v>850</v>
      </c>
    </row>
    <row r="660" spans="1:27" ht="12.75" customHeight="1" x14ac:dyDescent="0.2">
      <c r="A660" s="143" t="s">
        <v>296</v>
      </c>
      <c r="K660" s="149">
        <f t="shared" ref="K660:K665" si="166">R660*tax*markup*IF(Y660&lt;&gt;"",VLOOKUP(LEFT(Y660,2),cityindex,2,0),1)</f>
        <v>0</v>
      </c>
      <c r="L660" s="149">
        <f t="shared" ref="L660:L665" si="167">S660*markup*difficulty*IF(Y660&lt;&gt;"",VLOOKUP(LEFT(Y660,2),cityindex,3,0),1)</f>
        <v>0</v>
      </c>
      <c r="M660" s="149">
        <f t="shared" ref="M660:M665" si="168">W660*markup*difficulty*IF(Y660&lt;&gt;"",VLOOKUP(LEFT(Y660,2),cityindex,3,0),1)</f>
        <v>0</v>
      </c>
      <c r="N660" s="149"/>
      <c r="O660" s="149">
        <f t="shared" ref="O660:O665" si="169">SUM(K660:N660)*embed</f>
        <v>0</v>
      </c>
      <c r="P660" s="216">
        <f t="shared" si="165"/>
        <v>0</v>
      </c>
      <c r="Q660" s="150">
        <f t="shared" ref="Q660:Q665" si="170">IF(O660=0,0,IF(X660=0,"manual",(O660/(R660*tax*markup*IF(Y660&lt;&gt;"",VLOOKUP(LEFT(Y660,2),cityindex,2,0),1)+S660*markup*difficulty*IF(Y660&lt;&gt;"",VLOOKUP(LEFT(Y660,2),cityindex,3,0),1)+W660*markup*difficulty*IF(Y660&lt;&gt;"",VLOOKUP(LEFT(Y660,2),cityindex,3,0),1)))-1))</f>
        <v>0</v>
      </c>
      <c r="S660" s="143">
        <f t="shared" ref="S660:S665" si="171">U660*V660</f>
        <v>0</v>
      </c>
      <c r="X660" s="143">
        <f t="shared" ref="X660:X665" si="172">SUM(R660,S660,W660)</f>
        <v>0</v>
      </c>
    </row>
    <row r="661" spans="1:27" ht="12.75" customHeight="1" x14ac:dyDescent="0.2">
      <c r="A661" s="143" t="s">
        <v>296</v>
      </c>
      <c r="E661" s="143" t="s">
        <v>851</v>
      </c>
      <c r="K661" s="149">
        <f t="shared" si="166"/>
        <v>0</v>
      </c>
      <c r="L661" s="149">
        <f t="shared" si="167"/>
        <v>0</v>
      </c>
      <c r="M661" s="149">
        <f t="shared" si="168"/>
        <v>0</v>
      </c>
      <c r="N661" s="149"/>
      <c r="O661" s="149">
        <f t="shared" si="169"/>
        <v>0</v>
      </c>
      <c r="P661" s="216">
        <f t="shared" si="165"/>
        <v>0</v>
      </c>
      <c r="Q661" s="150">
        <f t="shared" si="170"/>
        <v>0</v>
      </c>
      <c r="S661" s="143">
        <f t="shared" si="171"/>
        <v>0</v>
      </c>
      <c r="X661" s="143">
        <f t="shared" si="172"/>
        <v>0</v>
      </c>
    </row>
    <row r="662" spans="1:27" ht="12.75" customHeight="1" x14ac:dyDescent="0.2">
      <c r="A662" s="143" t="s">
        <v>296</v>
      </c>
      <c r="F662" s="143" t="s">
        <v>852</v>
      </c>
      <c r="J662" s="147" t="s">
        <v>333</v>
      </c>
      <c r="K662" s="149">
        <f t="shared" si="166"/>
        <v>0</v>
      </c>
      <c r="L662" s="149">
        <f t="shared" si="167"/>
        <v>0</v>
      </c>
      <c r="M662" s="149">
        <f t="shared" si="168"/>
        <v>0</v>
      </c>
      <c r="N662" s="149"/>
      <c r="O662" s="149">
        <f t="shared" si="169"/>
        <v>0</v>
      </c>
      <c r="P662" s="216">
        <f t="shared" si="165"/>
        <v>0</v>
      </c>
      <c r="Q662" s="150">
        <f t="shared" si="170"/>
        <v>0</v>
      </c>
      <c r="S662" s="143">
        <f t="shared" si="171"/>
        <v>0</v>
      </c>
      <c r="X662" s="143">
        <f t="shared" si="172"/>
        <v>0</v>
      </c>
      <c r="Y662" s="143" t="s">
        <v>334</v>
      </c>
    </row>
    <row r="663" spans="1:27" ht="12.75" customHeight="1" x14ac:dyDescent="0.2">
      <c r="A663" s="143" t="s">
        <v>296</v>
      </c>
      <c r="F663" s="143" t="s">
        <v>853</v>
      </c>
      <c r="J663" s="147" t="s">
        <v>333</v>
      </c>
      <c r="K663" s="149">
        <f t="shared" si="166"/>
        <v>0</v>
      </c>
      <c r="L663" s="149">
        <f t="shared" si="167"/>
        <v>0</v>
      </c>
      <c r="M663" s="149">
        <f t="shared" si="168"/>
        <v>0</v>
      </c>
      <c r="N663" s="149"/>
      <c r="O663" s="149">
        <f t="shared" si="169"/>
        <v>0</v>
      </c>
      <c r="P663" s="216">
        <f t="shared" si="165"/>
        <v>0</v>
      </c>
      <c r="Q663" s="150">
        <f t="shared" si="170"/>
        <v>0</v>
      </c>
      <c r="S663" s="143">
        <f t="shared" si="171"/>
        <v>0</v>
      </c>
      <c r="X663" s="143">
        <f t="shared" si="172"/>
        <v>0</v>
      </c>
      <c r="Y663" s="143" t="s">
        <v>343</v>
      </c>
    </row>
    <row r="664" spans="1:27" ht="12.75" customHeight="1" x14ac:dyDescent="0.2">
      <c r="A664" s="143" t="s">
        <v>296</v>
      </c>
      <c r="F664" s="143" t="s">
        <v>854</v>
      </c>
      <c r="J664" s="147" t="s">
        <v>333</v>
      </c>
      <c r="K664" s="149">
        <f t="shared" si="166"/>
        <v>0</v>
      </c>
      <c r="L664" s="149">
        <f t="shared" si="167"/>
        <v>0</v>
      </c>
      <c r="M664" s="149">
        <f t="shared" si="168"/>
        <v>0</v>
      </c>
      <c r="N664" s="149"/>
      <c r="O664" s="149">
        <f t="shared" si="169"/>
        <v>0</v>
      </c>
      <c r="P664" s="216">
        <f t="shared" si="165"/>
        <v>0</v>
      </c>
      <c r="Q664" s="150">
        <f t="shared" si="170"/>
        <v>0</v>
      </c>
      <c r="S664" s="143">
        <f t="shared" si="171"/>
        <v>0</v>
      </c>
      <c r="X664" s="143">
        <f t="shared" si="172"/>
        <v>0</v>
      </c>
      <c r="Y664" s="143" t="s">
        <v>855</v>
      </c>
    </row>
    <row r="665" spans="1:27" ht="12.75" customHeight="1" x14ac:dyDescent="0.2">
      <c r="A665" s="143" t="s">
        <v>296</v>
      </c>
      <c r="F665" s="143" t="s">
        <v>344</v>
      </c>
      <c r="J665" s="147" t="s">
        <v>333</v>
      </c>
      <c r="K665" s="149">
        <f t="shared" si="166"/>
        <v>0</v>
      </c>
      <c r="L665" s="149">
        <f t="shared" si="167"/>
        <v>0</v>
      </c>
      <c r="M665" s="149">
        <f t="shared" si="168"/>
        <v>0</v>
      </c>
      <c r="N665" s="149"/>
      <c r="O665" s="149">
        <f t="shared" si="169"/>
        <v>0</v>
      </c>
      <c r="P665" s="216">
        <f t="shared" si="165"/>
        <v>0</v>
      </c>
      <c r="Q665" s="150">
        <f t="shared" si="170"/>
        <v>0</v>
      </c>
      <c r="S665" s="143">
        <f t="shared" si="171"/>
        <v>0</v>
      </c>
      <c r="X665" s="143">
        <f t="shared" si="172"/>
        <v>0</v>
      </c>
      <c r="Y665" s="143" t="s">
        <v>345</v>
      </c>
    </row>
    <row r="666" spans="1:27" x14ac:dyDescent="0.2">
      <c r="K666" s="149">
        <f>R666*tax*markup*IF(Y666&lt;&gt;"",VLOOKUP(LEFT(Y666,2),cityindex,2,0),1)</f>
        <v>0</v>
      </c>
      <c r="L666" s="149">
        <f>S666*markup*difficulty*IF(Y666&lt;&gt;"",VLOOKUP(LEFT(Y666,2),cityindex,3,0),1)</f>
        <v>0</v>
      </c>
      <c r="M666" s="149">
        <f>W666*markup*difficulty*IF(Y666&lt;&gt;"",VLOOKUP(LEFT(Y666,2),cityindex,3,0),1)</f>
        <v>0</v>
      </c>
      <c r="N666" s="149"/>
      <c r="O666" s="149">
        <f>SUM(K666:N666)*embed</f>
        <v>0</v>
      </c>
      <c r="P666" s="216">
        <f>ROUND((O666*I666),0)</f>
        <v>0</v>
      </c>
      <c r="Q666" s="150">
        <f>IF(O666=0,0,IF(X666=0,"manual",O666/((R666*tax*markup*IF(Y666&lt;&gt;"",VLOOKUP(LEFT(Y666,2),cityindex,2,0),1))+S666*markup*difficulty*IF(Y666&lt;&gt;"",VLOOKUP(LEFT(Y666,2),cityindex,3,0),1)+W666*markup*difficulty*IF(Y666&lt;&gt;"",VLOOKUP(LEFT(Y666,2),cityindex,3,0),1))))</f>
        <v>0</v>
      </c>
      <c r="S666" s="143">
        <f t="shared" si="158"/>
        <v>0</v>
      </c>
      <c r="X666" s="143">
        <f t="shared" si="159"/>
        <v>0</v>
      </c>
    </row>
    <row r="667" spans="1:27" ht="24.75" customHeight="1" x14ac:dyDescent="0.2">
      <c r="D667" s="217" t="str">
        <f>"TOTAL - " &amp; D649</f>
        <v>TOTAL - 31  EARTHWORK</v>
      </c>
      <c r="E667" s="217"/>
      <c r="F667" s="217"/>
      <c r="G667" s="217"/>
      <c r="H667" s="217"/>
      <c r="I667" s="218"/>
      <c r="J667" s="219"/>
      <c r="K667" s="220"/>
      <c r="L667" s="220"/>
      <c r="M667" s="220"/>
      <c r="N667" s="220"/>
      <c r="O667" s="221"/>
      <c r="P667" s="222">
        <f>SUM(P649:P666)</f>
        <v>0</v>
      </c>
      <c r="Q667" s="223"/>
      <c r="S667" s="143">
        <f t="shared" si="158"/>
        <v>0</v>
      </c>
      <c r="X667" s="143">
        <f t="shared" si="159"/>
        <v>0</v>
      </c>
      <c r="Z667" s="224">
        <f>P667/GFA</f>
        <v>0</v>
      </c>
      <c r="AA667" s="225" t="s">
        <v>295</v>
      </c>
    </row>
    <row r="668" spans="1:27" x14ac:dyDescent="0.2">
      <c r="K668" s="149"/>
      <c r="L668" s="149"/>
      <c r="M668" s="149"/>
      <c r="N668" s="149"/>
      <c r="P668" s="216"/>
      <c r="Q668" s="150">
        <f>IF(O668=0,0,IF(X668=0,"manual",O668/((R668*tax*markup*IF(Y668&lt;&gt;"",VLOOKUP(LEFT(Y668,2),cityindex,2,0),1))+S668*markup*difficulty*IF(Y668&lt;&gt;"",VLOOKUP(LEFT(Y668,2),cityindex,3,0),1)+W668*markup*difficulty*IF(Y668&lt;&gt;"",VLOOKUP(LEFT(Y668,2),cityindex,3,0),1))))</f>
        <v>0</v>
      </c>
      <c r="S668" s="143">
        <f t="shared" si="158"/>
        <v>0</v>
      </c>
      <c r="X668" s="143">
        <f t="shared" si="159"/>
        <v>0</v>
      </c>
    </row>
    <row r="669" spans="1:27" x14ac:dyDescent="0.2">
      <c r="D669" s="214" t="s">
        <v>288</v>
      </c>
      <c r="E669" s="215"/>
      <c r="F669" s="215"/>
      <c r="G669" s="215"/>
      <c r="H669" s="215"/>
      <c r="K669" s="149"/>
      <c r="L669" s="149"/>
      <c r="M669" s="149"/>
      <c r="N669" s="149"/>
      <c r="P669" s="216"/>
      <c r="Q669" s="150">
        <f>IF(O669=0,0,IF(X669=0,"manual",O669/((R669*tax*markup*IF(Y669&lt;&gt;"",VLOOKUP(LEFT(Y669,2),cityindex,2,0),1))+S669*markup*difficulty*IF(Y669&lt;&gt;"",VLOOKUP(LEFT(Y669,2),cityindex,3,0),1)+W669*markup*difficulty*IF(Y669&lt;&gt;"",VLOOKUP(LEFT(Y669,2),cityindex,3,0),1))))</f>
        <v>0</v>
      </c>
      <c r="S669" s="143">
        <f t="shared" si="158"/>
        <v>0</v>
      </c>
      <c r="X669" s="143">
        <f t="shared" si="159"/>
        <v>0</v>
      </c>
    </row>
    <row r="670" spans="1:27" s="228" customFormat="1" ht="12.75" customHeight="1" x14ac:dyDescent="0.2">
      <c r="A670" s="228" t="s">
        <v>296</v>
      </c>
      <c r="B670" s="229"/>
      <c r="E670" s="228" t="s">
        <v>856</v>
      </c>
      <c r="I670" s="230"/>
      <c r="J670" s="231"/>
      <c r="K670" s="232">
        <f t="shared" ref="K670:K715" si="173">R670*tax*markup*IF(Y670&lt;&gt;"",VLOOKUP(LEFT(Y670,2),cityindex,2,0),1)</f>
        <v>0</v>
      </c>
      <c r="L670" s="232">
        <f t="shared" ref="L670:L715" si="174">S670*markup*difficulty*IF(Y670&lt;&gt;"",VLOOKUP(LEFT(Y670,2),cityindex,3,0),1)</f>
        <v>0</v>
      </c>
      <c r="M670" s="232">
        <f t="shared" ref="M670:M715" si="175">W670*markup*difficulty*IF(Y670&lt;&gt;"",VLOOKUP(LEFT(Y670,2),cityindex,3,0),1)</f>
        <v>0</v>
      </c>
      <c r="N670" s="232"/>
      <c r="O670" s="232">
        <f t="shared" ref="O670:O715" si="176">SUM(K670:N670)*embed</f>
        <v>0</v>
      </c>
      <c r="P670" s="233">
        <f t="shared" ref="P670:P715" si="177">ROUND((O670*I670),0)</f>
        <v>0</v>
      </c>
      <c r="Q670" s="234">
        <f t="shared" ref="Q670:Q714" si="178">IF(O670=0,0,IF(X670=0,"manual",(O670/(R670*tax*markup*IF(Y670&lt;&gt;"",VLOOKUP(LEFT(Y670,2),cityindex,2,0),1)+S670*markup*difficulty*IF(Y670&lt;&gt;"",VLOOKUP(LEFT(Y670,2),cityindex,3,0),1)+W670*markup*difficulty*IF(Y670&lt;&gt;"",VLOOKUP(LEFT(Y670,2),cityindex,3,0),1)))-1))</f>
        <v>0</v>
      </c>
      <c r="S670" s="228">
        <f t="shared" si="158"/>
        <v>0</v>
      </c>
      <c r="X670" s="228">
        <f t="shared" si="159"/>
        <v>0</v>
      </c>
    </row>
    <row r="671" spans="1:27" s="228" customFormat="1" ht="12.75" customHeight="1" x14ac:dyDescent="0.2">
      <c r="A671" s="228" t="s">
        <v>296</v>
      </c>
      <c r="B671" s="229"/>
      <c r="F671" s="228" t="s">
        <v>857</v>
      </c>
      <c r="I671" s="230"/>
      <c r="J671" s="231" t="s">
        <v>301</v>
      </c>
      <c r="K671" s="232">
        <f t="shared" si="173"/>
        <v>0</v>
      </c>
      <c r="L671" s="232">
        <f t="shared" si="174"/>
        <v>0</v>
      </c>
      <c r="M671" s="232">
        <f t="shared" si="175"/>
        <v>0</v>
      </c>
      <c r="N671" s="232"/>
      <c r="O671" s="232">
        <f t="shared" si="176"/>
        <v>0</v>
      </c>
      <c r="P671" s="233">
        <f t="shared" si="177"/>
        <v>0</v>
      </c>
      <c r="Q671" s="234">
        <f t="shared" si="178"/>
        <v>0</v>
      </c>
      <c r="S671" s="228">
        <f t="shared" si="158"/>
        <v>0</v>
      </c>
      <c r="X671" s="228">
        <f t="shared" si="159"/>
        <v>0</v>
      </c>
      <c r="Y671" s="228" t="s">
        <v>858</v>
      </c>
    </row>
    <row r="672" spans="1:27" s="228" customFormat="1" ht="12.75" customHeight="1" x14ac:dyDescent="0.2">
      <c r="A672" s="228" t="s">
        <v>296</v>
      </c>
      <c r="B672" s="229"/>
      <c r="F672" s="228" t="s">
        <v>859</v>
      </c>
      <c r="I672" s="230"/>
      <c r="J672" s="231" t="s">
        <v>301</v>
      </c>
      <c r="K672" s="232">
        <f t="shared" si="173"/>
        <v>0</v>
      </c>
      <c r="L672" s="232">
        <f t="shared" si="174"/>
        <v>0</v>
      </c>
      <c r="M672" s="232">
        <f t="shared" si="175"/>
        <v>0</v>
      </c>
      <c r="N672" s="232"/>
      <c r="O672" s="232">
        <f t="shared" si="176"/>
        <v>0</v>
      </c>
      <c r="P672" s="233">
        <f t="shared" si="177"/>
        <v>0</v>
      </c>
      <c r="Q672" s="234">
        <f t="shared" si="178"/>
        <v>0</v>
      </c>
      <c r="S672" s="228">
        <f t="shared" si="158"/>
        <v>0</v>
      </c>
      <c r="X672" s="228">
        <f t="shared" si="159"/>
        <v>0</v>
      </c>
      <c r="Y672" s="228" t="s">
        <v>860</v>
      </c>
    </row>
    <row r="673" spans="1:25" s="228" customFormat="1" ht="12.75" customHeight="1" x14ac:dyDescent="0.2">
      <c r="A673" s="228" t="s">
        <v>296</v>
      </c>
      <c r="B673" s="229"/>
      <c r="F673" s="228" t="s">
        <v>861</v>
      </c>
      <c r="I673" s="230"/>
      <c r="J673" s="231" t="s">
        <v>301</v>
      </c>
      <c r="K673" s="232">
        <f t="shared" si="173"/>
        <v>0</v>
      </c>
      <c r="L673" s="232">
        <f t="shared" si="174"/>
        <v>0</v>
      </c>
      <c r="M673" s="232">
        <f t="shared" si="175"/>
        <v>0</v>
      </c>
      <c r="N673" s="232"/>
      <c r="O673" s="232">
        <f t="shared" si="176"/>
        <v>0</v>
      </c>
      <c r="P673" s="233">
        <f t="shared" si="177"/>
        <v>0</v>
      </c>
      <c r="Q673" s="234">
        <f t="shared" si="178"/>
        <v>0</v>
      </c>
      <c r="S673" s="228">
        <f t="shared" si="158"/>
        <v>0</v>
      </c>
      <c r="X673" s="228">
        <f t="shared" si="159"/>
        <v>0</v>
      </c>
      <c r="Y673" s="228" t="s">
        <v>862</v>
      </c>
    </row>
    <row r="674" spans="1:25" s="228" customFormat="1" ht="12.75" customHeight="1" x14ac:dyDescent="0.2">
      <c r="A674" s="228" t="s">
        <v>296</v>
      </c>
      <c r="B674" s="229"/>
      <c r="F674" s="228" t="s">
        <v>863</v>
      </c>
      <c r="I674" s="230"/>
      <c r="J674" s="231" t="s">
        <v>301</v>
      </c>
      <c r="K674" s="232">
        <f t="shared" si="173"/>
        <v>0</v>
      </c>
      <c r="L674" s="232">
        <f t="shared" si="174"/>
        <v>0</v>
      </c>
      <c r="M674" s="232">
        <f t="shared" si="175"/>
        <v>0</v>
      </c>
      <c r="N674" s="232"/>
      <c r="O674" s="232">
        <f t="shared" si="176"/>
        <v>0</v>
      </c>
      <c r="P674" s="233">
        <f t="shared" si="177"/>
        <v>0</v>
      </c>
      <c r="Q674" s="234">
        <f t="shared" si="178"/>
        <v>0</v>
      </c>
      <c r="S674" s="228">
        <f t="shared" si="158"/>
        <v>0</v>
      </c>
      <c r="X674" s="228">
        <f t="shared" si="159"/>
        <v>0</v>
      </c>
      <c r="Y674" s="228" t="s">
        <v>864</v>
      </c>
    </row>
    <row r="675" spans="1:25" s="228" customFormat="1" ht="12.75" customHeight="1" x14ac:dyDescent="0.2">
      <c r="A675" s="228" t="s">
        <v>296</v>
      </c>
      <c r="B675" s="229"/>
      <c r="F675" s="228" t="s">
        <v>865</v>
      </c>
      <c r="I675" s="230"/>
      <c r="J675" s="231" t="s">
        <v>301</v>
      </c>
      <c r="K675" s="232">
        <f t="shared" si="173"/>
        <v>0</v>
      </c>
      <c r="L675" s="232">
        <f t="shared" si="174"/>
        <v>0</v>
      </c>
      <c r="M675" s="232">
        <f t="shared" si="175"/>
        <v>0</v>
      </c>
      <c r="N675" s="232"/>
      <c r="O675" s="232">
        <f t="shared" si="176"/>
        <v>0</v>
      </c>
      <c r="P675" s="233">
        <f t="shared" si="177"/>
        <v>0</v>
      </c>
      <c r="Q675" s="234">
        <f t="shared" si="178"/>
        <v>0</v>
      </c>
      <c r="S675" s="228">
        <f t="shared" si="158"/>
        <v>0</v>
      </c>
      <c r="X675" s="228">
        <f t="shared" si="159"/>
        <v>0</v>
      </c>
      <c r="Y675" s="228" t="s">
        <v>866</v>
      </c>
    </row>
    <row r="676" spans="1:25" s="228" customFormat="1" ht="12.75" customHeight="1" x14ac:dyDescent="0.2">
      <c r="A676" s="228" t="s">
        <v>296</v>
      </c>
      <c r="B676" s="229"/>
      <c r="G676" s="228" t="s">
        <v>867</v>
      </c>
      <c r="I676" s="230"/>
      <c r="J676" s="231" t="s">
        <v>301</v>
      </c>
      <c r="K676" s="232">
        <f t="shared" si="173"/>
        <v>0</v>
      </c>
      <c r="L676" s="232">
        <f t="shared" si="174"/>
        <v>0</v>
      </c>
      <c r="M676" s="232">
        <f t="shared" si="175"/>
        <v>0</v>
      </c>
      <c r="N676" s="232"/>
      <c r="O676" s="232">
        <f t="shared" si="176"/>
        <v>0</v>
      </c>
      <c r="P676" s="233">
        <f t="shared" si="177"/>
        <v>0</v>
      </c>
      <c r="Q676" s="234">
        <f t="shared" si="178"/>
        <v>0</v>
      </c>
      <c r="S676" s="228">
        <f t="shared" si="158"/>
        <v>0</v>
      </c>
      <c r="X676" s="228">
        <f t="shared" si="159"/>
        <v>0</v>
      </c>
      <c r="Y676" s="228" t="s">
        <v>868</v>
      </c>
    </row>
    <row r="677" spans="1:25" s="228" customFormat="1" ht="12.75" customHeight="1" x14ac:dyDescent="0.2">
      <c r="A677" s="228" t="s">
        <v>296</v>
      </c>
      <c r="B677" s="229"/>
      <c r="F677" s="228" t="s">
        <v>869</v>
      </c>
      <c r="I677" s="230"/>
      <c r="J677" s="231" t="s">
        <v>309</v>
      </c>
      <c r="K677" s="232">
        <f t="shared" si="173"/>
        <v>0</v>
      </c>
      <c r="L677" s="232">
        <f t="shared" si="174"/>
        <v>0</v>
      </c>
      <c r="M677" s="232">
        <f t="shared" si="175"/>
        <v>0</v>
      </c>
      <c r="N677" s="232"/>
      <c r="O677" s="232">
        <f t="shared" si="176"/>
        <v>0</v>
      </c>
      <c r="P677" s="233">
        <f t="shared" si="177"/>
        <v>0</v>
      </c>
      <c r="Q677" s="234">
        <f t="shared" si="178"/>
        <v>0</v>
      </c>
      <c r="S677" s="228">
        <f t="shared" si="158"/>
        <v>0</v>
      </c>
      <c r="X677" s="228">
        <f t="shared" si="159"/>
        <v>0</v>
      </c>
      <c r="Y677" s="228" t="s">
        <v>870</v>
      </c>
    </row>
    <row r="678" spans="1:25" s="228" customFormat="1" ht="12.75" customHeight="1" x14ac:dyDescent="0.2">
      <c r="A678" s="228" t="s">
        <v>296</v>
      </c>
      <c r="B678" s="229"/>
      <c r="F678" s="228" t="s">
        <v>871</v>
      </c>
      <c r="I678" s="230"/>
      <c r="J678" s="231" t="s">
        <v>309</v>
      </c>
      <c r="K678" s="232">
        <f t="shared" si="173"/>
        <v>0</v>
      </c>
      <c r="L678" s="232">
        <f t="shared" si="174"/>
        <v>0</v>
      </c>
      <c r="M678" s="232">
        <f t="shared" si="175"/>
        <v>0</v>
      </c>
      <c r="N678" s="232"/>
      <c r="O678" s="232">
        <f t="shared" si="176"/>
        <v>0</v>
      </c>
      <c r="P678" s="233">
        <f t="shared" si="177"/>
        <v>0</v>
      </c>
      <c r="Q678" s="234">
        <f t="shared" si="178"/>
        <v>0</v>
      </c>
      <c r="S678" s="228">
        <f t="shared" si="158"/>
        <v>0</v>
      </c>
      <c r="X678" s="228">
        <f t="shared" si="159"/>
        <v>0</v>
      </c>
      <c r="Y678" s="228" t="s">
        <v>872</v>
      </c>
    </row>
    <row r="679" spans="1:25" s="228" customFormat="1" ht="12.75" customHeight="1" x14ac:dyDescent="0.2">
      <c r="A679" s="228" t="s">
        <v>296</v>
      </c>
      <c r="B679" s="229"/>
      <c r="I679" s="230"/>
      <c r="J679" s="231"/>
      <c r="K679" s="232">
        <f t="shared" si="173"/>
        <v>0</v>
      </c>
      <c r="L679" s="232">
        <f t="shared" si="174"/>
        <v>0</v>
      </c>
      <c r="M679" s="232">
        <f t="shared" si="175"/>
        <v>0</v>
      </c>
      <c r="N679" s="232"/>
      <c r="O679" s="232">
        <f t="shared" si="176"/>
        <v>0</v>
      </c>
      <c r="P679" s="233">
        <f t="shared" si="177"/>
        <v>0</v>
      </c>
      <c r="Q679" s="234">
        <f t="shared" si="178"/>
        <v>0</v>
      </c>
      <c r="S679" s="228">
        <f t="shared" si="158"/>
        <v>0</v>
      </c>
      <c r="X679" s="228">
        <f t="shared" si="159"/>
        <v>0</v>
      </c>
    </row>
    <row r="680" spans="1:25" s="228" customFormat="1" ht="12.75" customHeight="1" x14ac:dyDescent="0.2">
      <c r="A680" s="228" t="s">
        <v>296</v>
      </c>
      <c r="B680" s="229"/>
      <c r="E680" s="228" t="s">
        <v>873</v>
      </c>
      <c r="I680" s="230"/>
      <c r="J680" s="231"/>
      <c r="K680" s="232">
        <f t="shared" si="173"/>
        <v>0</v>
      </c>
      <c r="L680" s="232">
        <f t="shared" si="174"/>
        <v>0</v>
      </c>
      <c r="M680" s="232">
        <f t="shared" si="175"/>
        <v>0</v>
      </c>
      <c r="N680" s="232"/>
      <c r="O680" s="232">
        <f t="shared" si="176"/>
        <v>0</v>
      </c>
      <c r="P680" s="233">
        <f t="shared" si="177"/>
        <v>0</v>
      </c>
      <c r="Q680" s="234">
        <f t="shared" si="178"/>
        <v>0</v>
      </c>
      <c r="S680" s="228">
        <f t="shared" si="158"/>
        <v>0</v>
      </c>
      <c r="X680" s="228">
        <f t="shared" si="159"/>
        <v>0</v>
      </c>
    </row>
    <row r="681" spans="1:25" s="228" customFormat="1" ht="12.75" customHeight="1" x14ac:dyDescent="0.2">
      <c r="A681" s="228" t="s">
        <v>296</v>
      </c>
      <c r="B681" s="229"/>
      <c r="F681" s="228" t="s">
        <v>874</v>
      </c>
      <c r="I681" s="230"/>
      <c r="J681" s="231" t="s">
        <v>390</v>
      </c>
      <c r="K681" s="232">
        <f t="shared" si="173"/>
        <v>0</v>
      </c>
      <c r="L681" s="232">
        <f t="shared" si="174"/>
        <v>0</v>
      </c>
      <c r="M681" s="232">
        <f t="shared" si="175"/>
        <v>0</v>
      </c>
      <c r="N681" s="232"/>
      <c r="O681" s="232">
        <f t="shared" si="176"/>
        <v>0</v>
      </c>
      <c r="P681" s="233">
        <f t="shared" si="177"/>
        <v>0</v>
      </c>
      <c r="Q681" s="234">
        <f t="shared" si="178"/>
        <v>0</v>
      </c>
      <c r="S681" s="228">
        <f t="shared" si="158"/>
        <v>0</v>
      </c>
      <c r="X681" s="228">
        <f t="shared" si="159"/>
        <v>0</v>
      </c>
      <c r="Y681" s="228" t="s">
        <v>875</v>
      </c>
    </row>
    <row r="682" spans="1:25" s="228" customFormat="1" ht="12.75" customHeight="1" x14ac:dyDescent="0.2">
      <c r="A682" s="228" t="s">
        <v>296</v>
      </c>
      <c r="B682" s="229"/>
      <c r="F682" s="228" t="s">
        <v>876</v>
      </c>
      <c r="I682" s="230"/>
      <c r="J682" s="231" t="s">
        <v>390</v>
      </c>
      <c r="K682" s="232">
        <f t="shared" si="173"/>
        <v>0</v>
      </c>
      <c r="L682" s="232">
        <f t="shared" si="174"/>
        <v>0</v>
      </c>
      <c r="M682" s="232">
        <f t="shared" si="175"/>
        <v>0</v>
      </c>
      <c r="N682" s="232"/>
      <c r="O682" s="232">
        <f t="shared" si="176"/>
        <v>0</v>
      </c>
      <c r="P682" s="233">
        <f t="shared" si="177"/>
        <v>0</v>
      </c>
      <c r="Q682" s="234">
        <f t="shared" si="178"/>
        <v>0</v>
      </c>
      <c r="S682" s="228">
        <f t="shared" si="158"/>
        <v>0</v>
      </c>
      <c r="X682" s="228">
        <f t="shared" si="159"/>
        <v>0</v>
      </c>
      <c r="Y682" s="228" t="s">
        <v>877</v>
      </c>
    </row>
    <row r="683" spans="1:25" s="228" customFormat="1" ht="12.75" customHeight="1" x14ac:dyDescent="0.2">
      <c r="A683" s="228" t="s">
        <v>296</v>
      </c>
      <c r="B683" s="229"/>
      <c r="F683" s="228" t="s">
        <v>878</v>
      </c>
      <c r="I683" s="230"/>
      <c r="J683" s="231" t="s">
        <v>390</v>
      </c>
      <c r="K683" s="232">
        <f t="shared" si="173"/>
        <v>0</v>
      </c>
      <c r="L683" s="232">
        <f t="shared" si="174"/>
        <v>0</v>
      </c>
      <c r="M683" s="232">
        <f t="shared" si="175"/>
        <v>0</v>
      </c>
      <c r="N683" s="232"/>
      <c r="O683" s="232">
        <f t="shared" si="176"/>
        <v>0</v>
      </c>
      <c r="P683" s="233">
        <f t="shared" si="177"/>
        <v>0</v>
      </c>
      <c r="Q683" s="234">
        <f t="shared" si="178"/>
        <v>0</v>
      </c>
      <c r="S683" s="228">
        <f t="shared" si="158"/>
        <v>0</v>
      </c>
      <c r="X683" s="228">
        <f t="shared" si="159"/>
        <v>0</v>
      </c>
      <c r="Y683" s="228" t="s">
        <v>879</v>
      </c>
    </row>
    <row r="684" spans="1:25" s="228" customFormat="1" ht="12.75" customHeight="1" x14ac:dyDescent="0.2">
      <c r="A684" s="228" t="s">
        <v>296</v>
      </c>
      <c r="B684" s="229"/>
      <c r="F684" s="228" t="s">
        <v>880</v>
      </c>
      <c r="I684" s="230"/>
      <c r="J684" s="231" t="s">
        <v>301</v>
      </c>
      <c r="K684" s="232">
        <f t="shared" si="173"/>
        <v>0</v>
      </c>
      <c r="L684" s="232">
        <f t="shared" si="174"/>
        <v>0</v>
      </c>
      <c r="M684" s="232">
        <f t="shared" si="175"/>
        <v>0</v>
      </c>
      <c r="N684" s="232"/>
      <c r="O684" s="232">
        <f t="shared" si="176"/>
        <v>0</v>
      </c>
      <c r="P684" s="233">
        <f t="shared" si="177"/>
        <v>0</v>
      </c>
      <c r="Q684" s="234">
        <f t="shared" si="178"/>
        <v>0</v>
      </c>
      <c r="S684" s="228">
        <f t="shared" si="158"/>
        <v>0</v>
      </c>
      <c r="X684" s="228">
        <f t="shared" si="159"/>
        <v>0</v>
      </c>
      <c r="Y684" s="228" t="s">
        <v>881</v>
      </c>
    </row>
    <row r="685" spans="1:25" s="228" customFormat="1" ht="12.75" customHeight="1" x14ac:dyDescent="0.2">
      <c r="A685" s="228" t="s">
        <v>296</v>
      </c>
      <c r="B685" s="229"/>
      <c r="F685" s="228" t="s">
        <v>882</v>
      </c>
      <c r="I685" s="230"/>
      <c r="J685" s="231" t="s">
        <v>390</v>
      </c>
      <c r="K685" s="232">
        <f t="shared" si="173"/>
        <v>0</v>
      </c>
      <c r="L685" s="232">
        <f t="shared" si="174"/>
        <v>0</v>
      </c>
      <c r="M685" s="232">
        <f t="shared" si="175"/>
        <v>0</v>
      </c>
      <c r="N685" s="232"/>
      <c r="O685" s="232">
        <f t="shared" si="176"/>
        <v>0</v>
      </c>
      <c r="P685" s="233">
        <f t="shared" si="177"/>
        <v>0</v>
      </c>
      <c r="Q685" s="234">
        <f t="shared" si="178"/>
        <v>0</v>
      </c>
      <c r="S685" s="228">
        <f t="shared" si="158"/>
        <v>0</v>
      </c>
      <c r="X685" s="228">
        <f t="shared" si="159"/>
        <v>0</v>
      </c>
      <c r="Y685" s="228" t="s">
        <v>883</v>
      </c>
    </row>
    <row r="686" spans="1:25" s="228" customFormat="1" ht="12.75" customHeight="1" x14ac:dyDescent="0.2">
      <c r="A686" s="228" t="s">
        <v>296</v>
      </c>
      <c r="B686" s="229"/>
      <c r="I686" s="230"/>
      <c r="J686" s="231"/>
      <c r="K686" s="232">
        <f t="shared" si="173"/>
        <v>0</v>
      </c>
      <c r="L686" s="232">
        <f t="shared" si="174"/>
        <v>0</v>
      </c>
      <c r="M686" s="232">
        <f t="shared" si="175"/>
        <v>0</v>
      </c>
      <c r="N686" s="232"/>
      <c r="O686" s="232">
        <f t="shared" si="176"/>
        <v>0</v>
      </c>
      <c r="P686" s="233">
        <f t="shared" si="177"/>
        <v>0</v>
      </c>
      <c r="Q686" s="234">
        <f t="shared" si="178"/>
        <v>0</v>
      </c>
      <c r="S686" s="228">
        <f t="shared" si="158"/>
        <v>0</v>
      </c>
      <c r="X686" s="228">
        <f t="shared" si="159"/>
        <v>0</v>
      </c>
    </row>
    <row r="687" spans="1:25" s="228" customFormat="1" ht="12.75" customHeight="1" x14ac:dyDescent="0.2">
      <c r="A687" s="228" t="s">
        <v>296</v>
      </c>
      <c r="B687" s="229"/>
      <c r="E687" s="228" t="s">
        <v>884</v>
      </c>
      <c r="I687" s="230"/>
      <c r="J687" s="231"/>
      <c r="K687" s="232">
        <f t="shared" si="173"/>
        <v>0</v>
      </c>
      <c r="L687" s="232">
        <f t="shared" si="174"/>
        <v>0</v>
      </c>
      <c r="M687" s="232">
        <f t="shared" si="175"/>
        <v>0</v>
      </c>
      <c r="N687" s="232"/>
      <c r="O687" s="232">
        <f t="shared" si="176"/>
        <v>0</v>
      </c>
      <c r="P687" s="233">
        <f t="shared" si="177"/>
        <v>0</v>
      </c>
      <c r="Q687" s="234">
        <f t="shared" si="178"/>
        <v>0</v>
      </c>
      <c r="S687" s="228">
        <f t="shared" si="158"/>
        <v>0</v>
      </c>
      <c r="X687" s="228">
        <f t="shared" si="159"/>
        <v>0</v>
      </c>
    </row>
    <row r="688" spans="1:25" s="228" customFormat="1" ht="12.75" customHeight="1" x14ac:dyDescent="0.2">
      <c r="A688" s="228" t="s">
        <v>296</v>
      </c>
      <c r="B688" s="229"/>
      <c r="F688" s="228" t="s">
        <v>885</v>
      </c>
      <c r="I688" s="230"/>
      <c r="J688" s="231" t="s">
        <v>301</v>
      </c>
      <c r="K688" s="232">
        <f t="shared" si="173"/>
        <v>0</v>
      </c>
      <c r="L688" s="232">
        <f t="shared" si="174"/>
        <v>0</v>
      </c>
      <c r="M688" s="232">
        <f t="shared" si="175"/>
        <v>0</v>
      </c>
      <c r="N688" s="232"/>
      <c r="O688" s="232">
        <f t="shared" si="176"/>
        <v>0</v>
      </c>
      <c r="P688" s="233">
        <f t="shared" si="177"/>
        <v>0</v>
      </c>
      <c r="Q688" s="234">
        <f t="shared" si="178"/>
        <v>0</v>
      </c>
      <c r="S688" s="228">
        <f t="shared" si="158"/>
        <v>0</v>
      </c>
      <c r="X688" s="228">
        <f t="shared" si="159"/>
        <v>0</v>
      </c>
      <c r="Y688" s="228" t="s">
        <v>886</v>
      </c>
    </row>
    <row r="689" spans="1:25" s="228" customFormat="1" ht="12.75" customHeight="1" x14ac:dyDescent="0.2">
      <c r="A689" s="228" t="s">
        <v>296</v>
      </c>
      <c r="B689" s="229"/>
      <c r="F689" s="228" t="s">
        <v>887</v>
      </c>
      <c r="I689" s="230"/>
      <c r="J689" s="231" t="s">
        <v>301</v>
      </c>
      <c r="K689" s="232">
        <f t="shared" si="173"/>
        <v>0</v>
      </c>
      <c r="L689" s="232">
        <f t="shared" si="174"/>
        <v>0</v>
      </c>
      <c r="M689" s="232">
        <f t="shared" si="175"/>
        <v>0</v>
      </c>
      <c r="N689" s="232"/>
      <c r="O689" s="232">
        <f t="shared" si="176"/>
        <v>0</v>
      </c>
      <c r="P689" s="233">
        <f t="shared" si="177"/>
        <v>0</v>
      </c>
      <c r="Q689" s="234">
        <f t="shared" si="178"/>
        <v>0</v>
      </c>
      <c r="S689" s="228">
        <f t="shared" si="158"/>
        <v>0</v>
      </c>
      <c r="X689" s="228">
        <f t="shared" si="159"/>
        <v>0</v>
      </c>
      <c r="Y689" s="228" t="s">
        <v>888</v>
      </c>
    </row>
    <row r="690" spans="1:25" s="228" customFormat="1" ht="12.75" customHeight="1" x14ac:dyDescent="0.2">
      <c r="A690" s="228" t="s">
        <v>351</v>
      </c>
      <c r="B690" s="229"/>
      <c r="F690" s="228" t="s">
        <v>889</v>
      </c>
      <c r="I690" s="230"/>
      <c r="J690" s="231" t="s">
        <v>301</v>
      </c>
      <c r="K690" s="232">
        <f t="shared" si="173"/>
        <v>0</v>
      </c>
      <c r="L690" s="232">
        <f t="shared" si="174"/>
        <v>0</v>
      </c>
      <c r="M690" s="232">
        <f t="shared" si="175"/>
        <v>0</v>
      </c>
      <c r="N690" s="232"/>
      <c r="O690" s="232">
        <f t="shared" si="176"/>
        <v>0</v>
      </c>
      <c r="P690" s="233">
        <f t="shared" si="177"/>
        <v>0</v>
      </c>
      <c r="Q690" s="234">
        <f t="shared" si="178"/>
        <v>0</v>
      </c>
      <c r="S690" s="228">
        <f t="shared" si="158"/>
        <v>0</v>
      </c>
      <c r="X690" s="228">
        <f t="shared" si="159"/>
        <v>0</v>
      </c>
      <c r="Y690" s="228" t="s">
        <v>890</v>
      </c>
    </row>
    <row r="691" spans="1:25" s="228" customFormat="1" ht="12.75" customHeight="1" x14ac:dyDescent="0.2">
      <c r="A691" s="228" t="s">
        <v>296</v>
      </c>
      <c r="B691" s="229"/>
      <c r="F691" s="228" t="s">
        <v>891</v>
      </c>
      <c r="I691" s="230"/>
      <c r="J691" s="231" t="s">
        <v>301</v>
      </c>
      <c r="K691" s="232">
        <f t="shared" si="173"/>
        <v>0</v>
      </c>
      <c r="L691" s="232">
        <f t="shared" si="174"/>
        <v>0</v>
      </c>
      <c r="M691" s="232">
        <f t="shared" si="175"/>
        <v>0</v>
      </c>
      <c r="N691" s="232"/>
      <c r="O691" s="232">
        <f t="shared" si="176"/>
        <v>0</v>
      </c>
      <c r="P691" s="233">
        <f t="shared" si="177"/>
        <v>0</v>
      </c>
      <c r="Q691" s="234">
        <f t="shared" si="178"/>
        <v>0</v>
      </c>
      <c r="S691" s="228">
        <f t="shared" si="158"/>
        <v>0</v>
      </c>
      <c r="X691" s="228">
        <f t="shared" si="159"/>
        <v>0</v>
      </c>
      <c r="Y691" s="228" t="s">
        <v>892</v>
      </c>
    </row>
    <row r="692" spans="1:25" s="228" customFormat="1" ht="12.75" customHeight="1" x14ac:dyDescent="0.2">
      <c r="A692" s="228" t="s">
        <v>330</v>
      </c>
      <c r="B692" s="229"/>
      <c r="F692" s="228" t="s">
        <v>893</v>
      </c>
      <c r="I692" s="230"/>
      <c r="J692" s="231" t="s">
        <v>301</v>
      </c>
      <c r="K692" s="232">
        <f t="shared" si="173"/>
        <v>0</v>
      </c>
      <c r="L692" s="232">
        <f t="shared" si="174"/>
        <v>0</v>
      </c>
      <c r="M692" s="232">
        <f t="shared" si="175"/>
        <v>0</v>
      </c>
      <c r="N692" s="232"/>
      <c r="O692" s="232">
        <f t="shared" si="176"/>
        <v>0</v>
      </c>
      <c r="P692" s="233">
        <f t="shared" si="177"/>
        <v>0</v>
      </c>
      <c r="Q692" s="234">
        <f t="shared" si="178"/>
        <v>0</v>
      </c>
      <c r="S692" s="228">
        <f t="shared" si="158"/>
        <v>0</v>
      </c>
      <c r="X692" s="228">
        <f t="shared" si="159"/>
        <v>0</v>
      </c>
      <c r="Y692" s="228" t="s">
        <v>894</v>
      </c>
    </row>
    <row r="693" spans="1:25" s="228" customFormat="1" ht="12.75" customHeight="1" x14ac:dyDescent="0.2">
      <c r="A693" s="228" t="s">
        <v>330</v>
      </c>
      <c r="B693" s="229"/>
      <c r="F693" s="228" t="s">
        <v>895</v>
      </c>
      <c r="I693" s="230"/>
      <c r="J693" s="231"/>
      <c r="K693" s="232">
        <f t="shared" si="173"/>
        <v>0</v>
      </c>
      <c r="L693" s="232">
        <f t="shared" si="174"/>
        <v>0</v>
      </c>
      <c r="M693" s="232">
        <f t="shared" si="175"/>
        <v>0</v>
      </c>
      <c r="N693" s="232"/>
      <c r="O693" s="232">
        <f t="shared" si="176"/>
        <v>0</v>
      </c>
      <c r="P693" s="233">
        <f t="shared" si="177"/>
        <v>0</v>
      </c>
      <c r="Q693" s="234">
        <f t="shared" si="178"/>
        <v>0</v>
      </c>
      <c r="S693" s="228">
        <f t="shared" si="158"/>
        <v>0</v>
      </c>
      <c r="X693" s="228">
        <f t="shared" si="159"/>
        <v>0</v>
      </c>
    </row>
    <row r="694" spans="1:25" s="228" customFormat="1" ht="12.75" customHeight="1" x14ac:dyDescent="0.2">
      <c r="A694" s="228" t="s">
        <v>330</v>
      </c>
      <c r="B694" s="229"/>
      <c r="G694" s="228" t="s">
        <v>896</v>
      </c>
      <c r="I694" s="230"/>
      <c r="J694" s="231" t="s">
        <v>390</v>
      </c>
      <c r="K694" s="232">
        <f t="shared" si="173"/>
        <v>0</v>
      </c>
      <c r="L694" s="232">
        <f t="shared" si="174"/>
        <v>0</v>
      </c>
      <c r="M694" s="232">
        <f t="shared" si="175"/>
        <v>0</v>
      </c>
      <c r="N694" s="232"/>
      <c r="O694" s="232">
        <f t="shared" si="176"/>
        <v>0</v>
      </c>
      <c r="P694" s="233">
        <f t="shared" si="177"/>
        <v>0</v>
      </c>
      <c r="Q694" s="234">
        <f t="shared" si="178"/>
        <v>0</v>
      </c>
      <c r="S694" s="228">
        <f t="shared" si="158"/>
        <v>0</v>
      </c>
      <c r="X694" s="228">
        <f t="shared" si="159"/>
        <v>0</v>
      </c>
      <c r="Y694" s="228" t="s">
        <v>897</v>
      </c>
    </row>
    <row r="695" spans="1:25" s="228" customFormat="1" ht="12.75" customHeight="1" x14ac:dyDescent="0.2">
      <c r="A695" s="228" t="s">
        <v>330</v>
      </c>
      <c r="B695" s="229"/>
      <c r="G695" s="228" t="s">
        <v>898</v>
      </c>
      <c r="I695" s="230"/>
      <c r="J695" s="231" t="s">
        <v>390</v>
      </c>
      <c r="K695" s="232">
        <f t="shared" si="173"/>
        <v>0</v>
      </c>
      <c r="L695" s="232">
        <f t="shared" si="174"/>
        <v>0</v>
      </c>
      <c r="M695" s="232">
        <f t="shared" si="175"/>
        <v>0</v>
      </c>
      <c r="N695" s="232"/>
      <c r="O695" s="232">
        <f t="shared" si="176"/>
        <v>0</v>
      </c>
      <c r="P695" s="233">
        <f t="shared" si="177"/>
        <v>0</v>
      </c>
      <c r="Q695" s="234">
        <f t="shared" si="178"/>
        <v>0</v>
      </c>
      <c r="S695" s="228">
        <f t="shared" si="158"/>
        <v>0</v>
      </c>
      <c r="X695" s="228">
        <f t="shared" si="159"/>
        <v>0</v>
      </c>
      <c r="Y695" s="228" t="s">
        <v>899</v>
      </c>
    </row>
    <row r="696" spans="1:25" s="228" customFormat="1" ht="12.75" customHeight="1" x14ac:dyDescent="0.2">
      <c r="A696" s="228" t="s">
        <v>296</v>
      </c>
      <c r="B696" s="229"/>
      <c r="F696" s="228" t="s">
        <v>900</v>
      </c>
      <c r="I696" s="230"/>
      <c r="J696" s="231"/>
      <c r="K696" s="232">
        <f t="shared" si="173"/>
        <v>0</v>
      </c>
      <c r="L696" s="232">
        <f t="shared" si="174"/>
        <v>0</v>
      </c>
      <c r="M696" s="232">
        <f t="shared" si="175"/>
        <v>0</v>
      </c>
      <c r="N696" s="232"/>
      <c r="O696" s="232">
        <f t="shared" si="176"/>
        <v>0</v>
      </c>
      <c r="P696" s="233">
        <f t="shared" si="177"/>
        <v>0</v>
      </c>
      <c r="Q696" s="234">
        <f t="shared" si="178"/>
        <v>0</v>
      </c>
      <c r="S696" s="228">
        <f t="shared" si="158"/>
        <v>0</v>
      </c>
      <c r="X696" s="228">
        <f t="shared" si="159"/>
        <v>0</v>
      </c>
    </row>
    <row r="697" spans="1:25" s="228" customFormat="1" ht="12.75" customHeight="1" x14ac:dyDescent="0.2">
      <c r="A697" s="228" t="s">
        <v>296</v>
      </c>
      <c r="B697" s="229"/>
      <c r="G697" s="228" t="s">
        <v>901</v>
      </c>
      <c r="I697" s="230"/>
      <c r="J697" s="231" t="s">
        <v>390</v>
      </c>
      <c r="K697" s="232">
        <f t="shared" si="173"/>
        <v>0</v>
      </c>
      <c r="L697" s="232">
        <f t="shared" si="174"/>
        <v>0</v>
      </c>
      <c r="M697" s="232">
        <f t="shared" si="175"/>
        <v>0</v>
      </c>
      <c r="N697" s="232"/>
      <c r="O697" s="232">
        <f t="shared" si="176"/>
        <v>0</v>
      </c>
      <c r="P697" s="233">
        <f t="shared" si="177"/>
        <v>0</v>
      </c>
      <c r="Q697" s="234">
        <f t="shared" si="178"/>
        <v>0</v>
      </c>
      <c r="S697" s="228">
        <f t="shared" si="158"/>
        <v>0</v>
      </c>
      <c r="X697" s="228">
        <f t="shared" si="159"/>
        <v>0</v>
      </c>
      <c r="Y697" s="228" t="s">
        <v>902</v>
      </c>
    </row>
    <row r="698" spans="1:25" s="228" customFormat="1" ht="12.75" customHeight="1" x14ac:dyDescent="0.2">
      <c r="A698" s="228" t="s">
        <v>296</v>
      </c>
      <c r="B698" s="229"/>
      <c r="G698" s="228" t="s">
        <v>903</v>
      </c>
      <c r="I698" s="230"/>
      <c r="J698" s="231" t="s">
        <v>390</v>
      </c>
      <c r="K698" s="232">
        <f t="shared" si="173"/>
        <v>0</v>
      </c>
      <c r="L698" s="232">
        <f t="shared" si="174"/>
        <v>0</v>
      </c>
      <c r="M698" s="232">
        <f t="shared" si="175"/>
        <v>0</v>
      </c>
      <c r="N698" s="232"/>
      <c r="O698" s="232">
        <f t="shared" si="176"/>
        <v>0</v>
      </c>
      <c r="P698" s="233">
        <f t="shared" si="177"/>
        <v>0</v>
      </c>
      <c r="Q698" s="234">
        <f t="shared" si="178"/>
        <v>0</v>
      </c>
      <c r="S698" s="228">
        <f t="shared" si="158"/>
        <v>0</v>
      </c>
      <c r="X698" s="228">
        <f t="shared" si="159"/>
        <v>0</v>
      </c>
      <c r="Y698" s="228" t="s">
        <v>904</v>
      </c>
    </row>
    <row r="699" spans="1:25" s="228" customFormat="1" ht="12.75" customHeight="1" x14ac:dyDescent="0.2">
      <c r="A699" s="228" t="s">
        <v>296</v>
      </c>
      <c r="B699" s="229"/>
      <c r="G699" s="228" t="s">
        <v>905</v>
      </c>
      <c r="I699" s="230"/>
      <c r="J699" s="231" t="s">
        <v>390</v>
      </c>
      <c r="K699" s="232">
        <f t="shared" si="173"/>
        <v>0</v>
      </c>
      <c r="L699" s="232">
        <f t="shared" si="174"/>
        <v>0</v>
      </c>
      <c r="M699" s="232">
        <f t="shared" si="175"/>
        <v>0</v>
      </c>
      <c r="N699" s="232"/>
      <c r="O699" s="232">
        <f t="shared" si="176"/>
        <v>0</v>
      </c>
      <c r="P699" s="233">
        <f t="shared" si="177"/>
        <v>0</v>
      </c>
      <c r="Q699" s="234">
        <f t="shared" si="178"/>
        <v>0</v>
      </c>
      <c r="S699" s="228">
        <f t="shared" si="158"/>
        <v>0</v>
      </c>
      <c r="X699" s="228">
        <f t="shared" si="159"/>
        <v>0</v>
      </c>
      <c r="Y699" s="228" t="s">
        <v>906</v>
      </c>
    </row>
    <row r="700" spans="1:25" s="228" customFormat="1" ht="12.75" customHeight="1" x14ac:dyDescent="0.2">
      <c r="A700" s="228" t="s">
        <v>296</v>
      </c>
      <c r="B700" s="229"/>
      <c r="G700" s="228" t="s">
        <v>907</v>
      </c>
      <c r="I700" s="230"/>
      <c r="J700" s="231" t="s">
        <v>390</v>
      </c>
      <c r="K700" s="232">
        <f t="shared" si="173"/>
        <v>0</v>
      </c>
      <c r="L700" s="232">
        <f t="shared" si="174"/>
        <v>0</v>
      </c>
      <c r="M700" s="232">
        <f t="shared" si="175"/>
        <v>0</v>
      </c>
      <c r="N700" s="232"/>
      <c r="O700" s="232">
        <f t="shared" si="176"/>
        <v>0</v>
      </c>
      <c r="P700" s="233">
        <f t="shared" si="177"/>
        <v>0</v>
      </c>
      <c r="Q700" s="234">
        <f t="shared" si="178"/>
        <v>0</v>
      </c>
      <c r="S700" s="228">
        <f t="shared" si="158"/>
        <v>0</v>
      </c>
      <c r="X700" s="228">
        <f t="shared" si="159"/>
        <v>0</v>
      </c>
      <c r="Y700" s="228" t="s">
        <v>908</v>
      </c>
    </row>
    <row r="701" spans="1:25" s="228" customFormat="1" ht="12.75" customHeight="1" x14ac:dyDescent="0.2">
      <c r="A701" s="228" t="s">
        <v>296</v>
      </c>
      <c r="B701" s="229"/>
      <c r="G701" s="228" t="s">
        <v>909</v>
      </c>
      <c r="I701" s="230"/>
      <c r="J701" s="231" t="s">
        <v>390</v>
      </c>
      <c r="K701" s="232">
        <f t="shared" si="173"/>
        <v>0</v>
      </c>
      <c r="L701" s="232">
        <f t="shared" si="174"/>
        <v>0</v>
      </c>
      <c r="M701" s="232">
        <f t="shared" si="175"/>
        <v>0</v>
      </c>
      <c r="N701" s="232"/>
      <c r="O701" s="232">
        <f t="shared" si="176"/>
        <v>0</v>
      </c>
      <c r="P701" s="233">
        <f t="shared" si="177"/>
        <v>0</v>
      </c>
      <c r="Q701" s="234">
        <f t="shared" si="178"/>
        <v>0</v>
      </c>
      <c r="S701" s="228">
        <f t="shared" si="158"/>
        <v>0</v>
      </c>
      <c r="X701" s="228">
        <f t="shared" si="159"/>
        <v>0</v>
      </c>
      <c r="Y701" s="228" t="s">
        <v>910</v>
      </c>
    </row>
    <row r="702" spans="1:25" s="228" customFormat="1" ht="12.75" customHeight="1" x14ac:dyDescent="0.2">
      <c r="A702" s="228" t="s">
        <v>296</v>
      </c>
      <c r="B702" s="229"/>
      <c r="G702" s="228" t="s">
        <v>911</v>
      </c>
      <c r="I702" s="230"/>
      <c r="J702" s="231" t="s">
        <v>390</v>
      </c>
      <c r="K702" s="232">
        <f t="shared" si="173"/>
        <v>0</v>
      </c>
      <c r="L702" s="232">
        <f t="shared" si="174"/>
        <v>0</v>
      </c>
      <c r="M702" s="232">
        <f t="shared" si="175"/>
        <v>0</v>
      </c>
      <c r="N702" s="232"/>
      <c r="O702" s="232">
        <f t="shared" si="176"/>
        <v>0</v>
      </c>
      <c r="P702" s="233">
        <f t="shared" si="177"/>
        <v>0</v>
      </c>
      <c r="Q702" s="234">
        <f t="shared" si="178"/>
        <v>0</v>
      </c>
      <c r="S702" s="228">
        <f t="shared" si="158"/>
        <v>0</v>
      </c>
      <c r="X702" s="228">
        <f t="shared" si="159"/>
        <v>0</v>
      </c>
      <c r="Y702" s="228" t="s">
        <v>912</v>
      </c>
    </row>
    <row r="703" spans="1:25" s="228" customFormat="1" ht="12.75" customHeight="1" x14ac:dyDescent="0.2">
      <c r="A703" s="228" t="s">
        <v>296</v>
      </c>
      <c r="B703" s="229"/>
      <c r="G703" s="228" t="s">
        <v>913</v>
      </c>
      <c r="I703" s="230"/>
      <c r="J703" s="231" t="s">
        <v>390</v>
      </c>
      <c r="K703" s="232">
        <f t="shared" si="173"/>
        <v>0</v>
      </c>
      <c r="L703" s="232">
        <f t="shared" si="174"/>
        <v>0</v>
      </c>
      <c r="M703" s="232">
        <f t="shared" si="175"/>
        <v>0</v>
      </c>
      <c r="N703" s="232"/>
      <c r="O703" s="232">
        <f t="shared" si="176"/>
        <v>0</v>
      </c>
      <c r="P703" s="233">
        <f t="shared" si="177"/>
        <v>0</v>
      </c>
      <c r="Q703" s="234">
        <f t="shared" si="178"/>
        <v>0</v>
      </c>
      <c r="S703" s="228">
        <f t="shared" si="158"/>
        <v>0</v>
      </c>
      <c r="X703" s="228">
        <f t="shared" si="159"/>
        <v>0</v>
      </c>
      <c r="Y703" s="228" t="s">
        <v>914</v>
      </c>
    </row>
    <row r="704" spans="1:25" s="228" customFormat="1" ht="12.75" customHeight="1" x14ac:dyDescent="0.2">
      <c r="A704" s="228" t="s">
        <v>296</v>
      </c>
      <c r="B704" s="229"/>
      <c r="G704" s="228" t="s">
        <v>915</v>
      </c>
      <c r="I704" s="230"/>
      <c r="J704" s="231" t="s">
        <v>390</v>
      </c>
      <c r="K704" s="232">
        <f t="shared" si="173"/>
        <v>0</v>
      </c>
      <c r="L704" s="232">
        <f t="shared" si="174"/>
        <v>0</v>
      </c>
      <c r="M704" s="232">
        <f t="shared" si="175"/>
        <v>0</v>
      </c>
      <c r="N704" s="232"/>
      <c r="O704" s="232">
        <f t="shared" si="176"/>
        <v>0</v>
      </c>
      <c r="P704" s="233">
        <f t="shared" si="177"/>
        <v>0</v>
      </c>
      <c r="Q704" s="234">
        <f t="shared" si="178"/>
        <v>0</v>
      </c>
      <c r="S704" s="228">
        <f t="shared" si="158"/>
        <v>0</v>
      </c>
      <c r="X704" s="228">
        <f t="shared" si="159"/>
        <v>0</v>
      </c>
      <c r="Y704" s="228" t="s">
        <v>916</v>
      </c>
    </row>
    <row r="705" spans="1:27" s="228" customFormat="1" ht="12.75" customHeight="1" x14ac:dyDescent="0.2">
      <c r="A705" s="228" t="s">
        <v>296</v>
      </c>
      <c r="B705" s="229"/>
      <c r="G705" s="228" t="s">
        <v>917</v>
      </c>
      <c r="I705" s="230"/>
      <c r="J705" s="231" t="s">
        <v>390</v>
      </c>
      <c r="K705" s="232">
        <f t="shared" si="173"/>
        <v>0</v>
      </c>
      <c r="L705" s="232">
        <f t="shared" si="174"/>
        <v>0</v>
      </c>
      <c r="M705" s="232">
        <f t="shared" si="175"/>
        <v>0</v>
      </c>
      <c r="N705" s="232"/>
      <c r="O705" s="232">
        <f t="shared" si="176"/>
        <v>0</v>
      </c>
      <c r="P705" s="233">
        <f t="shared" si="177"/>
        <v>0</v>
      </c>
      <c r="Q705" s="234">
        <f t="shared" si="178"/>
        <v>0</v>
      </c>
      <c r="S705" s="228">
        <f t="shared" si="158"/>
        <v>0</v>
      </c>
      <c r="X705" s="228">
        <f t="shared" si="159"/>
        <v>0</v>
      </c>
      <c r="Y705" s="228" t="s">
        <v>918</v>
      </c>
    </row>
    <row r="706" spans="1:27" s="228" customFormat="1" ht="12.75" customHeight="1" x14ac:dyDescent="0.2">
      <c r="A706" s="228" t="s">
        <v>296</v>
      </c>
      <c r="B706" s="229"/>
      <c r="G706" s="228" t="s">
        <v>919</v>
      </c>
      <c r="I706" s="230"/>
      <c r="J706" s="231" t="s">
        <v>390</v>
      </c>
      <c r="K706" s="232">
        <f t="shared" si="173"/>
        <v>0</v>
      </c>
      <c r="L706" s="232">
        <f t="shared" si="174"/>
        <v>0</v>
      </c>
      <c r="M706" s="232">
        <f t="shared" si="175"/>
        <v>0</v>
      </c>
      <c r="N706" s="232"/>
      <c r="O706" s="232">
        <f t="shared" si="176"/>
        <v>0</v>
      </c>
      <c r="P706" s="233">
        <f t="shared" si="177"/>
        <v>0</v>
      </c>
      <c r="Q706" s="234">
        <f t="shared" si="178"/>
        <v>0</v>
      </c>
      <c r="S706" s="228">
        <f t="shared" si="158"/>
        <v>0</v>
      </c>
      <c r="X706" s="228">
        <f t="shared" si="159"/>
        <v>0</v>
      </c>
      <c r="Y706" s="228" t="s">
        <v>920</v>
      </c>
    </row>
    <row r="707" spans="1:27" s="228" customFormat="1" ht="12.75" customHeight="1" x14ac:dyDescent="0.2">
      <c r="A707" s="228" t="s">
        <v>296</v>
      </c>
      <c r="B707" s="229"/>
      <c r="F707" s="228" t="s">
        <v>378</v>
      </c>
      <c r="I707" s="230"/>
      <c r="J707" s="231"/>
      <c r="K707" s="232">
        <f t="shared" si="173"/>
        <v>0</v>
      </c>
      <c r="L707" s="232">
        <f t="shared" si="174"/>
        <v>0</v>
      </c>
      <c r="M707" s="232">
        <f t="shared" si="175"/>
        <v>0</v>
      </c>
      <c r="N707" s="232"/>
      <c r="O707" s="232">
        <f t="shared" si="176"/>
        <v>0</v>
      </c>
      <c r="P707" s="233">
        <f t="shared" si="177"/>
        <v>0</v>
      </c>
      <c r="Q707" s="234">
        <f t="shared" si="178"/>
        <v>0</v>
      </c>
      <c r="S707" s="228">
        <f t="shared" si="158"/>
        <v>0</v>
      </c>
      <c r="X707" s="228">
        <f t="shared" si="159"/>
        <v>0</v>
      </c>
    </row>
    <row r="708" spans="1:27" s="228" customFormat="1" ht="12.75" customHeight="1" x14ac:dyDescent="0.2">
      <c r="A708" s="228" t="s">
        <v>296</v>
      </c>
      <c r="B708" s="229"/>
      <c r="G708" s="228" t="s">
        <v>921</v>
      </c>
      <c r="I708" s="230"/>
      <c r="J708" s="231" t="s">
        <v>301</v>
      </c>
      <c r="K708" s="232">
        <f t="shared" si="173"/>
        <v>0</v>
      </c>
      <c r="L708" s="232">
        <f t="shared" si="174"/>
        <v>0</v>
      </c>
      <c r="M708" s="232">
        <f t="shared" si="175"/>
        <v>0</v>
      </c>
      <c r="N708" s="232"/>
      <c r="O708" s="232">
        <f t="shared" si="176"/>
        <v>0</v>
      </c>
      <c r="P708" s="233">
        <f t="shared" si="177"/>
        <v>0</v>
      </c>
      <c r="Q708" s="234">
        <f t="shared" si="178"/>
        <v>0</v>
      </c>
      <c r="S708" s="228">
        <f t="shared" si="158"/>
        <v>0</v>
      </c>
      <c r="X708" s="228">
        <f t="shared" si="159"/>
        <v>0</v>
      </c>
      <c r="Y708" s="228" t="s">
        <v>922</v>
      </c>
    </row>
    <row r="709" spans="1:27" s="228" customFormat="1" ht="12.75" customHeight="1" x14ac:dyDescent="0.2">
      <c r="A709" s="228" t="s">
        <v>296</v>
      </c>
      <c r="B709" s="229"/>
      <c r="G709" s="228" t="s">
        <v>923</v>
      </c>
      <c r="I709" s="230"/>
      <c r="J709" s="231" t="s">
        <v>309</v>
      </c>
      <c r="K709" s="232">
        <f t="shared" si="173"/>
        <v>0</v>
      </c>
      <c r="L709" s="232">
        <f t="shared" si="174"/>
        <v>0</v>
      </c>
      <c r="M709" s="232">
        <f t="shared" si="175"/>
        <v>0</v>
      </c>
      <c r="N709" s="232"/>
      <c r="O709" s="232">
        <f t="shared" si="176"/>
        <v>0</v>
      </c>
      <c r="P709" s="233">
        <f t="shared" si="177"/>
        <v>0</v>
      </c>
      <c r="Q709" s="234">
        <f t="shared" si="178"/>
        <v>0</v>
      </c>
      <c r="S709" s="228">
        <f t="shared" si="158"/>
        <v>0</v>
      </c>
      <c r="X709" s="228">
        <f t="shared" si="159"/>
        <v>0</v>
      </c>
      <c r="Y709" s="228" t="s">
        <v>924</v>
      </c>
    </row>
    <row r="710" spans="1:27" s="228" customFormat="1" ht="12.75" customHeight="1" x14ac:dyDescent="0.2">
      <c r="A710" s="228" t="s">
        <v>296</v>
      </c>
      <c r="B710" s="229"/>
      <c r="G710" s="228" t="s">
        <v>925</v>
      </c>
      <c r="I710" s="230"/>
      <c r="J710" s="231" t="s">
        <v>301</v>
      </c>
      <c r="K710" s="232">
        <f t="shared" si="173"/>
        <v>0</v>
      </c>
      <c r="L710" s="232">
        <f t="shared" si="174"/>
        <v>0</v>
      </c>
      <c r="M710" s="232">
        <f t="shared" si="175"/>
        <v>0</v>
      </c>
      <c r="N710" s="232"/>
      <c r="O710" s="232">
        <f t="shared" si="176"/>
        <v>0</v>
      </c>
      <c r="P710" s="233">
        <f t="shared" si="177"/>
        <v>0</v>
      </c>
      <c r="Q710" s="234">
        <f t="shared" si="178"/>
        <v>0</v>
      </c>
      <c r="S710" s="228">
        <f t="shared" si="158"/>
        <v>0</v>
      </c>
      <c r="X710" s="228">
        <f t="shared" si="159"/>
        <v>0</v>
      </c>
      <c r="Y710" s="228" t="s">
        <v>926</v>
      </c>
    </row>
    <row r="711" spans="1:27" s="228" customFormat="1" ht="12.75" customHeight="1" x14ac:dyDescent="0.2">
      <c r="A711" s="228" t="s">
        <v>296</v>
      </c>
      <c r="B711" s="229"/>
      <c r="G711" s="228" t="s">
        <v>927</v>
      </c>
      <c r="I711" s="230"/>
      <c r="J711" s="231" t="s">
        <v>333</v>
      </c>
      <c r="K711" s="232">
        <f t="shared" si="173"/>
        <v>0</v>
      </c>
      <c r="L711" s="232">
        <f t="shared" si="174"/>
        <v>0</v>
      </c>
      <c r="M711" s="232">
        <f t="shared" si="175"/>
        <v>0</v>
      </c>
      <c r="N711" s="232"/>
      <c r="O711" s="232">
        <f t="shared" si="176"/>
        <v>0</v>
      </c>
      <c r="P711" s="233">
        <f t="shared" si="177"/>
        <v>0</v>
      </c>
      <c r="Q711" s="234">
        <f t="shared" si="178"/>
        <v>0</v>
      </c>
      <c r="S711" s="228">
        <f t="shared" si="158"/>
        <v>0</v>
      </c>
      <c r="X711" s="228">
        <f t="shared" si="159"/>
        <v>0</v>
      </c>
      <c r="Y711" s="228" t="s">
        <v>928</v>
      </c>
    </row>
    <row r="712" spans="1:27" s="228" customFormat="1" ht="12.75" customHeight="1" x14ac:dyDescent="0.2">
      <c r="A712" s="228" t="s">
        <v>330</v>
      </c>
      <c r="B712" s="229"/>
      <c r="G712" s="228" t="s">
        <v>929</v>
      </c>
      <c r="I712" s="230"/>
      <c r="J712" s="231" t="s">
        <v>301</v>
      </c>
      <c r="K712" s="232">
        <f t="shared" si="173"/>
        <v>0</v>
      </c>
      <c r="L712" s="232">
        <f t="shared" si="174"/>
        <v>0</v>
      </c>
      <c r="M712" s="232">
        <f t="shared" si="175"/>
        <v>0</v>
      </c>
      <c r="N712" s="232"/>
      <c r="O712" s="232">
        <f t="shared" si="176"/>
        <v>0</v>
      </c>
      <c r="P712" s="233">
        <f t="shared" si="177"/>
        <v>0</v>
      </c>
      <c r="Q712" s="234">
        <f t="shared" si="178"/>
        <v>0</v>
      </c>
      <c r="S712" s="228">
        <f t="shared" si="158"/>
        <v>0</v>
      </c>
      <c r="X712" s="228">
        <f t="shared" si="159"/>
        <v>0</v>
      </c>
      <c r="Y712" s="228" t="s">
        <v>930</v>
      </c>
    </row>
    <row r="713" spans="1:27" s="228" customFormat="1" ht="12.75" customHeight="1" x14ac:dyDescent="0.2">
      <c r="A713" s="228" t="s">
        <v>296</v>
      </c>
      <c r="B713" s="229"/>
      <c r="G713" s="228" t="s">
        <v>931</v>
      </c>
      <c r="I713" s="230"/>
      <c r="J713" s="231" t="s">
        <v>333</v>
      </c>
      <c r="K713" s="232">
        <f t="shared" si="173"/>
        <v>0</v>
      </c>
      <c r="L713" s="232">
        <f t="shared" si="174"/>
        <v>0</v>
      </c>
      <c r="M713" s="232">
        <f t="shared" si="175"/>
        <v>0</v>
      </c>
      <c r="N713" s="232"/>
      <c r="O713" s="232">
        <f t="shared" si="176"/>
        <v>0</v>
      </c>
      <c r="P713" s="233">
        <f t="shared" si="177"/>
        <v>0</v>
      </c>
      <c r="Q713" s="234">
        <f t="shared" si="178"/>
        <v>0</v>
      </c>
      <c r="S713" s="228">
        <f t="shared" si="158"/>
        <v>0</v>
      </c>
      <c r="X713" s="228">
        <f t="shared" si="159"/>
        <v>0</v>
      </c>
      <c r="Y713" s="228" t="s">
        <v>932</v>
      </c>
    </row>
    <row r="714" spans="1:27" s="228" customFormat="1" ht="12.75" customHeight="1" x14ac:dyDescent="0.2">
      <c r="A714" s="228" t="s">
        <v>296</v>
      </c>
      <c r="B714" s="229"/>
      <c r="G714" s="228" t="s">
        <v>933</v>
      </c>
      <c r="I714" s="230"/>
      <c r="J714" s="231" t="s">
        <v>301</v>
      </c>
      <c r="K714" s="232">
        <f t="shared" si="173"/>
        <v>0</v>
      </c>
      <c r="L714" s="232">
        <f t="shared" si="174"/>
        <v>0</v>
      </c>
      <c r="M714" s="232">
        <f t="shared" si="175"/>
        <v>0</v>
      </c>
      <c r="N714" s="232"/>
      <c r="O714" s="232">
        <f t="shared" si="176"/>
        <v>0</v>
      </c>
      <c r="P714" s="233">
        <f t="shared" si="177"/>
        <v>0</v>
      </c>
      <c r="Q714" s="234">
        <f t="shared" si="178"/>
        <v>0</v>
      </c>
      <c r="S714" s="228">
        <f t="shared" si="158"/>
        <v>0</v>
      </c>
      <c r="X714" s="228">
        <f t="shared" si="159"/>
        <v>0</v>
      </c>
      <c r="Y714" s="228" t="s">
        <v>934</v>
      </c>
    </row>
    <row r="715" spans="1:27" x14ac:dyDescent="0.2">
      <c r="K715" s="149">
        <f t="shared" si="173"/>
        <v>0</v>
      </c>
      <c r="L715" s="149">
        <f t="shared" si="174"/>
        <v>0</v>
      </c>
      <c r="M715" s="149">
        <f t="shared" si="175"/>
        <v>0</v>
      </c>
      <c r="N715" s="149"/>
      <c r="O715" s="149">
        <f t="shared" si="176"/>
        <v>0</v>
      </c>
      <c r="P715" s="216">
        <f t="shared" si="177"/>
        <v>0</v>
      </c>
      <c r="Q715" s="150">
        <f t="shared" ref="Q715:Q721" si="179">IF(O715=0,0,IF(X715=0,"manual",O715/((R715*tax*markup*IF(Y715&lt;&gt;"",VLOOKUP(LEFT(Y715,2),cityindex,2,0),1))+S715*markup*difficulty*IF(Y715&lt;&gt;"",VLOOKUP(LEFT(Y715,2),cityindex,3,0),1)+W715*markup*difficulty*IF(Y715&lt;&gt;"",VLOOKUP(LEFT(Y715,2),cityindex,3,0),1))))</f>
        <v>0</v>
      </c>
      <c r="S715" s="143">
        <f t="shared" si="158"/>
        <v>0</v>
      </c>
      <c r="X715" s="143">
        <f t="shared" si="159"/>
        <v>0</v>
      </c>
    </row>
    <row r="716" spans="1:27" ht="24.75" customHeight="1" x14ac:dyDescent="0.2">
      <c r="D716" s="217" t="str">
        <f>"TOTAL - " &amp; D669</f>
        <v>TOTAL - 32  EXTERIOR IMPROVEMENTS</v>
      </c>
      <c r="E716" s="217"/>
      <c r="F716" s="217"/>
      <c r="G716" s="217"/>
      <c r="H716" s="217"/>
      <c r="I716" s="218"/>
      <c r="J716" s="219"/>
      <c r="K716" s="220"/>
      <c r="L716" s="220"/>
      <c r="M716" s="220"/>
      <c r="N716" s="220"/>
      <c r="O716" s="221"/>
      <c r="P716" s="222">
        <f>SUM(P669:P715)</f>
        <v>0</v>
      </c>
      <c r="Q716" s="223"/>
      <c r="S716" s="143">
        <f t="shared" si="158"/>
        <v>0</v>
      </c>
      <c r="X716" s="143">
        <f t="shared" si="159"/>
        <v>0</v>
      </c>
      <c r="Z716" s="224">
        <f>P716/GFA</f>
        <v>0</v>
      </c>
      <c r="AA716" s="225" t="s">
        <v>295</v>
      </c>
    </row>
    <row r="717" spans="1:27" x14ac:dyDescent="0.2">
      <c r="K717" s="149"/>
      <c r="L717" s="149"/>
      <c r="M717" s="149"/>
      <c r="N717" s="149"/>
      <c r="P717" s="216"/>
      <c r="Q717" s="150">
        <f t="shared" si="179"/>
        <v>0</v>
      </c>
      <c r="S717" s="143">
        <f t="shared" si="158"/>
        <v>0</v>
      </c>
      <c r="X717" s="143">
        <f t="shared" si="159"/>
        <v>0</v>
      </c>
    </row>
    <row r="718" spans="1:27" x14ac:dyDescent="0.2">
      <c r="D718" s="214" t="s">
        <v>289</v>
      </c>
      <c r="E718" s="215"/>
      <c r="F718" s="215"/>
      <c r="G718" s="215"/>
      <c r="H718" s="215"/>
      <c r="K718" s="149"/>
      <c r="L718" s="149"/>
      <c r="M718" s="149"/>
      <c r="N718" s="149"/>
      <c r="P718" s="216"/>
      <c r="Q718" s="150">
        <f t="shared" si="179"/>
        <v>0</v>
      </c>
      <c r="S718" s="143">
        <f t="shared" si="158"/>
        <v>0</v>
      </c>
      <c r="X718" s="143">
        <f t="shared" si="159"/>
        <v>0</v>
      </c>
    </row>
    <row r="719" spans="1:27" x14ac:dyDescent="0.2">
      <c r="K719" s="149">
        <f>R719*tax*markup*IF(Y719&lt;&gt;"",VLOOKUP(LEFT(Y719,2),cityindex,2,0),1)</f>
        <v>0</v>
      </c>
      <c r="L719" s="149">
        <f>S719*markup*difficulty*IF(Y719&lt;&gt;"",VLOOKUP(LEFT(Y719,2),cityindex,3,0),1)</f>
        <v>0</v>
      </c>
      <c r="M719" s="149">
        <f>W719*markup*difficulty*IF(Y719&lt;&gt;"",VLOOKUP(LEFT(Y719,2),cityindex,3,0),1)</f>
        <v>0</v>
      </c>
      <c r="N719" s="149"/>
      <c r="O719" s="149">
        <f>SUM(K719:N719)*embed</f>
        <v>0</v>
      </c>
      <c r="P719" s="216">
        <f>ROUND((O719*I719),0)</f>
        <v>0</v>
      </c>
      <c r="Q719" s="150">
        <f t="shared" si="179"/>
        <v>0</v>
      </c>
      <c r="S719" s="143">
        <f t="shared" si="158"/>
        <v>0</v>
      </c>
      <c r="X719" s="143">
        <f t="shared" si="159"/>
        <v>0</v>
      </c>
    </row>
    <row r="720" spans="1:27" ht="24.75" customHeight="1" x14ac:dyDescent="0.2">
      <c r="D720" s="217" t="str">
        <f>"TOTAL - " &amp; D718</f>
        <v>TOTAL - 33  UTILITIES</v>
      </c>
      <c r="E720" s="217"/>
      <c r="F720" s="217"/>
      <c r="G720" s="217"/>
      <c r="H720" s="217"/>
      <c r="I720" s="218"/>
      <c r="J720" s="219"/>
      <c r="K720" s="220"/>
      <c r="L720" s="220"/>
      <c r="M720" s="220"/>
      <c r="N720" s="220"/>
      <c r="O720" s="221"/>
      <c r="P720" s="222">
        <f>SUM(P718:P719)</f>
        <v>0</v>
      </c>
      <c r="Q720" s="223"/>
      <c r="S720" s="143">
        <f t="shared" si="158"/>
        <v>0</v>
      </c>
      <c r="X720" s="143">
        <f t="shared" si="159"/>
        <v>0</v>
      </c>
      <c r="Z720" s="224">
        <f>P720/GFA</f>
        <v>0</v>
      </c>
      <c r="AA720" s="225" t="s">
        <v>295</v>
      </c>
    </row>
    <row r="721" spans="4:27" hidden="1" x14ac:dyDescent="0.2">
      <c r="K721" s="149"/>
      <c r="L721" s="149"/>
      <c r="M721" s="149"/>
      <c r="N721" s="149"/>
      <c r="P721" s="216"/>
      <c r="Q721" s="150">
        <f t="shared" si="179"/>
        <v>0</v>
      </c>
      <c r="S721" s="143">
        <f t="shared" si="158"/>
        <v>0</v>
      </c>
      <c r="X721" s="143">
        <f t="shared" si="159"/>
        <v>0</v>
      </c>
    </row>
    <row r="722" spans="4:27" hidden="1" x14ac:dyDescent="0.2">
      <c r="D722" s="214" t="s">
        <v>290</v>
      </c>
      <c r="E722" s="215"/>
      <c r="F722" s="215"/>
      <c r="G722" s="215"/>
      <c r="H722" s="215"/>
      <c r="K722" s="149"/>
      <c r="L722" s="149"/>
      <c r="M722" s="149"/>
      <c r="N722" s="149"/>
      <c r="P722" s="216"/>
      <c r="Q722" s="150">
        <f t="shared" ref="Q722:Q735" si="180">IF(O722=0,0,IF(X722=0,"manual",O722/((R722*tax*markup*IF(Y722&lt;&gt;"",VLOOKUP(LEFT(Y722,2),cityindex,2,0),1))+S722*markup*difficulty*IF(Y722&lt;&gt;"",VLOOKUP(LEFT(Y722,2),cityindex,3,0),1)+W722*markup*difficulty*IF(Y722&lt;&gt;"",VLOOKUP(LEFT(Y722,2),cityindex,3,0),1))))</f>
        <v>0</v>
      </c>
      <c r="S722" s="143">
        <f t="shared" si="158"/>
        <v>0</v>
      </c>
      <c r="X722" s="143">
        <f t="shared" si="159"/>
        <v>0</v>
      </c>
    </row>
    <row r="723" spans="4:27" hidden="1" x14ac:dyDescent="0.2">
      <c r="K723" s="149">
        <f>R723*tax*markup*IF(Y723&lt;&gt;"",VLOOKUP(LEFT(Y723,2),cityindex,2,0),1)</f>
        <v>0</v>
      </c>
      <c r="L723" s="149">
        <f>S723*markup*difficulty*IF(Y723&lt;&gt;"",VLOOKUP(LEFT(Y723,2),cityindex,3,0),1)</f>
        <v>0</v>
      </c>
      <c r="M723" s="149">
        <f>W723*markup*difficulty*IF(Y723&lt;&gt;"",VLOOKUP(LEFT(Y723,2),cityindex,3,0),1)</f>
        <v>0</v>
      </c>
      <c r="N723" s="149"/>
      <c r="O723" s="149">
        <f>SUM(K723:N723)*embed</f>
        <v>0</v>
      </c>
      <c r="P723" s="216">
        <f>ROUND((O723*I723),0)</f>
        <v>0</v>
      </c>
      <c r="Q723" s="150">
        <f t="shared" si="180"/>
        <v>0</v>
      </c>
      <c r="S723" s="143">
        <f t="shared" si="158"/>
        <v>0</v>
      </c>
      <c r="X723" s="143">
        <f t="shared" si="159"/>
        <v>0</v>
      </c>
    </row>
    <row r="724" spans="4:27" ht="24.75" hidden="1" customHeight="1" x14ac:dyDescent="0.2">
      <c r="D724" s="217" t="str">
        <f>"TOTAL - " &amp; D722</f>
        <v>TOTAL - 34  TRANSPORTATION</v>
      </c>
      <c r="E724" s="217"/>
      <c r="F724" s="217"/>
      <c r="G724" s="217"/>
      <c r="H724" s="217"/>
      <c r="I724" s="218"/>
      <c r="J724" s="219"/>
      <c r="K724" s="220"/>
      <c r="L724" s="220"/>
      <c r="M724" s="220"/>
      <c r="N724" s="220"/>
      <c r="O724" s="221"/>
      <c r="P724" s="222">
        <f>SUM(P722:P723)</f>
        <v>0</v>
      </c>
      <c r="Q724" s="223"/>
      <c r="S724" s="143">
        <f t="shared" si="158"/>
        <v>0</v>
      </c>
      <c r="X724" s="143">
        <f t="shared" si="159"/>
        <v>0</v>
      </c>
      <c r="Z724" s="224">
        <f>P724/GFA</f>
        <v>0</v>
      </c>
      <c r="AA724" s="225" t="s">
        <v>295</v>
      </c>
    </row>
    <row r="725" spans="4:27" hidden="1" x14ac:dyDescent="0.2">
      <c r="K725" s="149"/>
      <c r="L725" s="149"/>
      <c r="M725" s="149"/>
      <c r="N725" s="149"/>
      <c r="P725" s="216"/>
      <c r="Q725" s="150">
        <f t="shared" si="180"/>
        <v>0</v>
      </c>
      <c r="S725" s="143">
        <f t="shared" si="158"/>
        <v>0</v>
      </c>
      <c r="X725" s="143">
        <f t="shared" si="159"/>
        <v>0</v>
      </c>
    </row>
    <row r="726" spans="4:27" hidden="1" x14ac:dyDescent="0.2">
      <c r="D726" s="214" t="s">
        <v>291</v>
      </c>
      <c r="E726" s="215"/>
      <c r="F726" s="215"/>
      <c r="G726" s="215"/>
      <c r="H726" s="215"/>
      <c r="K726" s="149"/>
      <c r="L726" s="149"/>
      <c r="M726" s="149"/>
      <c r="N726" s="149"/>
      <c r="P726" s="216"/>
      <c r="Q726" s="150">
        <f t="shared" si="180"/>
        <v>0</v>
      </c>
      <c r="S726" s="143">
        <f t="shared" si="158"/>
        <v>0</v>
      </c>
      <c r="X726" s="143">
        <f t="shared" si="159"/>
        <v>0</v>
      </c>
    </row>
    <row r="727" spans="4:27" hidden="1" x14ac:dyDescent="0.2">
      <c r="K727" s="149">
        <f>R727*tax*markup*IF(Y727&lt;&gt;"",VLOOKUP(LEFT(Y727,2),cityindex,2,0),1)</f>
        <v>0</v>
      </c>
      <c r="L727" s="149">
        <f>S727*markup*difficulty*IF(Y727&lt;&gt;"",VLOOKUP(LEFT(Y727,2),cityindex,3,0),1)</f>
        <v>0</v>
      </c>
      <c r="M727" s="149">
        <f>W727*markup*difficulty*IF(Y727&lt;&gt;"",VLOOKUP(LEFT(Y727,2),cityindex,3,0),1)</f>
        <v>0</v>
      </c>
      <c r="N727" s="149"/>
      <c r="O727" s="149">
        <f>SUM(K727:N727)*embed</f>
        <v>0</v>
      </c>
      <c r="P727" s="216">
        <f>ROUND((O727*I727),0)</f>
        <v>0</v>
      </c>
      <c r="Q727" s="150">
        <f t="shared" si="180"/>
        <v>0</v>
      </c>
      <c r="S727" s="143">
        <f t="shared" si="158"/>
        <v>0</v>
      </c>
      <c r="X727" s="143">
        <f t="shared" si="159"/>
        <v>0</v>
      </c>
    </row>
    <row r="728" spans="4:27" ht="24.75" hidden="1" customHeight="1" x14ac:dyDescent="0.2">
      <c r="D728" s="217" t="str">
        <f>"TOTAL - " &amp; D726</f>
        <v>TOTAL - 35  WATERWAY AND MARINE</v>
      </c>
      <c r="E728" s="217"/>
      <c r="F728" s="217"/>
      <c r="G728" s="217"/>
      <c r="H728" s="217"/>
      <c r="I728" s="218"/>
      <c r="J728" s="219"/>
      <c r="K728" s="220"/>
      <c r="L728" s="220"/>
      <c r="M728" s="220"/>
      <c r="N728" s="220"/>
      <c r="O728" s="221"/>
      <c r="P728" s="222">
        <f>SUM(P726:P727)</f>
        <v>0</v>
      </c>
      <c r="Q728" s="223"/>
      <c r="S728" s="143">
        <f t="shared" si="158"/>
        <v>0</v>
      </c>
      <c r="X728" s="143">
        <f t="shared" si="159"/>
        <v>0</v>
      </c>
      <c r="Z728" s="224">
        <f>P728/GFA</f>
        <v>0</v>
      </c>
      <c r="AA728" s="225" t="s">
        <v>295</v>
      </c>
    </row>
    <row r="729" spans="4:27" hidden="1" x14ac:dyDescent="0.2">
      <c r="K729" s="149"/>
      <c r="L729" s="149"/>
      <c r="M729" s="149"/>
      <c r="N729" s="149"/>
      <c r="P729" s="216"/>
      <c r="Q729" s="150">
        <f t="shared" si="180"/>
        <v>0</v>
      </c>
      <c r="S729" s="143">
        <f t="shared" si="158"/>
        <v>0</v>
      </c>
      <c r="X729" s="143">
        <f t="shared" si="159"/>
        <v>0</v>
      </c>
    </row>
    <row r="730" spans="4:27" hidden="1" x14ac:dyDescent="0.2">
      <c r="D730" s="214" t="s">
        <v>292</v>
      </c>
      <c r="E730" s="215"/>
      <c r="F730" s="215"/>
      <c r="G730" s="215"/>
      <c r="H730" s="215"/>
      <c r="K730" s="149"/>
      <c r="L730" s="149"/>
      <c r="M730" s="149"/>
      <c r="N730" s="149"/>
      <c r="P730" s="216"/>
      <c r="Q730" s="150">
        <f t="shared" si="180"/>
        <v>0</v>
      </c>
      <c r="S730" s="143">
        <f t="shared" si="158"/>
        <v>0</v>
      </c>
      <c r="X730" s="143">
        <f t="shared" si="159"/>
        <v>0</v>
      </c>
    </row>
    <row r="731" spans="4:27" hidden="1" x14ac:dyDescent="0.2">
      <c r="K731" s="149">
        <f>R731*tax*markup*IF(Y731&lt;&gt;"",VLOOKUP(LEFT(Y731,2),cityindex,2,0),1)</f>
        <v>0</v>
      </c>
      <c r="L731" s="149">
        <f>S731*markup*difficulty*IF(Y731&lt;&gt;"",VLOOKUP(LEFT(Y731,2),cityindex,3,0),1)</f>
        <v>0</v>
      </c>
      <c r="M731" s="149">
        <f>W731*markup*difficulty*IF(Y731&lt;&gt;"",VLOOKUP(LEFT(Y731,2),cityindex,3,0),1)</f>
        <v>0</v>
      </c>
      <c r="N731" s="149"/>
      <c r="O731" s="149">
        <f>SUM(K731:N731)*embed</f>
        <v>0</v>
      </c>
      <c r="P731" s="216">
        <f>ROUND((O731*I731),0)</f>
        <v>0</v>
      </c>
      <c r="Q731" s="150">
        <f t="shared" si="180"/>
        <v>0</v>
      </c>
      <c r="S731" s="143">
        <f t="shared" si="158"/>
        <v>0</v>
      </c>
      <c r="X731" s="143">
        <f t="shared" si="159"/>
        <v>0</v>
      </c>
    </row>
    <row r="732" spans="4:27" ht="24.75" hidden="1" customHeight="1" x14ac:dyDescent="0.2">
      <c r="D732" s="217" t="str">
        <f>"TOTAL - " &amp; D730</f>
        <v>TOTAL - 41  MATERIAL PROCESSING AND HANDLING EQUIPMENT</v>
      </c>
      <c r="E732" s="217"/>
      <c r="F732" s="217"/>
      <c r="G732" s="217"/>
      <c r="H732" s="217"/>
      <c r="I732" s="218"/>
      <c r="J732" s="219"/>
      <c r="K732" s="220"/>
      <c r="L732" s="220"/>
      <c r="M732" s="220"/>
      <c r="N732" s="220"/>
      <c r="O732" s="221"/>
      <c r="P732" s="222">
        <f>SUM(P730:P731)</f>
        <v>0</v>
      </c>
      <c r="Q732" s="223"/>
      <c r="S732" s="143">
        <f>U732*V732</f>
        <v>0</v>
      </c>
      <c r="X732" s="143">
        <f>SUM(R732,S732,W732)</f>
        <v>0</v>
      </c>
      <c r="Z732" s="224">
        <f>P732/GFA</f>
        <v>0</v>
      </c>
      <c r="AA732" s="225" t="s">
        <v>295</v>
      </c>
    </row>
    <row r="733" spans="4:27" hidden="1" x14ac:dyDescent="0.2">
      <c r="K733" s="149"/>
      <c r="L733" s="149"/>
      <c r="M733" s="149"/>
      <c r="N733" s="149"/>
      <c r="P733" s="216"/>
      <c r="Q733" s="150">
        <f t="shared" si="180"/>
        <v>0</v>
      </c>
      <c r="S733" s="143">
        <f>U733*V733</f>
        <v>0</v>
      </c>
      <c r="X733" s="143">
        <f>SUM(R733,S733,W733)</f>
        <v>0</v>
      </c>
    </row>
    <row r="734" spans="4:27" hidden="1" x14ac:dyDescent="0.2">
      <c r="D734" s="214" t="s">
        <v>293</v>
      </c>
      <c r="E734" s="215"/>
      <c r="F734" s="215"/>
      <c r="G734" s="215"/>
      <c r="H734" s="215"/>
      <c r="K734" s="149"/>
      <c r="L734" s="149"/>
      <c r="M734" s="149"/>
      <c r="N734" s="149"/>
      <c r="P734" s="216"/>
      <c r="Q734" s="150">
        <f t="shared" si="180"/>
        <v>0</v>
      </c>
      <c r="S734" s="143">
        <f>U734*V734</f>
        <v>0</v>
      </c>
      <c r="X734" s="143">
        <f>SUM(R734,S734,W734)</f>
        <v>0</v>
      </c>
    </row>
    <row r="735" spans="4:27" hidden="1" x14ac:dyDescent="0.2">
      <c r="K735" s="149">
        <f>R735*tax*markup*IF(Y735&lt;&gt;"",VLOOKUP(LEFT(Y735,2),cityindex,2,0),1)</f>
        <v>0</v>
      </c>
      <c r="L735" s="149">
        <f>S735*markup*difficulty*IF(Y735&lt;&gt;"",VLOOKUP(LEFT(Y735,2),cityindex,3,0),1)</f>
        <v>0</v>
      </c>
      <c r="M735" s="149">
        <f>W735*markup*difficulty*IF(Y735&lt;&gt;"",VLOOKUP(LEFT(Y735,2),cityindex,3,0),1)</f>
        <v>0</v>
      </c>
      <c r="N735" s="149"/>
      <c r="O735" s="149">
        <f>SUM(K735:N735)*embed</f>
        <v>0</v>
      </c>
      <c r="P735" s="216">
        <f>ROUND((O735*I735),0)</f>
        <v>0</v>
      </c>
      <c r="Q735" s="150">
        <f t="shared" si="180"/>
        <v>0</v>
      </c>
      <c r="S735" s="143">
        <f>U735*V735</f>
        <v>0</v>
      </c>
      <c r="X735" s="143">
        <f>SUM(R735,S735,W735)</f>
        <v>0</v>
      </c>
    </row>
    <row r="736" spans="4:27" ht="24.75" hidden="1" customHeight="1" x14ac:dyDescent="0.2">
      <c r="D736" s="217" t="str">
        <f>"TOTAL - " &amp; D734</f>
        <v>TOTAL - 44  POLLUTION CONTROL EQUIPMENT</v>
      </c>
      <c r="E736" s="217"/>
      <c r="F736" s="217"/>
      <c r="G736" s="217"/>
      <c r="H736" s="217"/>
      <c r="I736" s="218"/>
      <c r="J736" s="219"/>
      <c r="K736" s="220"/>
      <c r="L736" s="220"/>
      <c r="M736" s="220"/>
      <c r="N736" s="220"/>
      <c r="O736" s="221"/>
      <c r="P736" s="222">
        <f>SUM(P734:P735)</f>
        <v>0</v>
      </c>
      <c r="Q736" s="223"/>
      <c r="S736" s="143">
        <f>U736*V736</f>
        <v>0</v>
      </c>
      <c r="X736" s="143">
        <f>SUM(R736,S736,W736)</f>
        <v>0</v>
      </c>
      <c r="Z736" s="224">
        <f>P736/GFA</f>
        <v>0</v>
      </c>
      <c r="AA736" s="225" t="s">
        <v>295</v>
      </c>
    </row>
    <row r="737" spans="1:16" x14ac:dyDescent="0.2">
      <c r="A737" s="143" t="s">
        <v>935</v>
      </c>
      <c r="B737" s="237" t="s">
        <v>936</v>
      </c>
      <c r="N737" s="238"/>
      <c r="P737" s="216"/>
    </row>
    <row r="738" spans="1:16" x14ac:dyDescent="0.2">
      <c r="N738" s="238"/>
      <c r="P738" s="216"/>
    </row>
    <row r="739" spans="1:16" x14ac:dyDescent="0.2">
      <c r="P739" s="216"/>
    </row>
    <row r="740" spans="1:16" x14ac:dyDescent="0.2">
      <c r="P740" s="216"/>
    </row>
    <row r="741" spans="1:16" x14ac:dyDescent="0.2">
      <c r="P741" s="216"/>
    </row>
    <row r="742" spans="1:16" x14ac:dyDescent="0.2">
      <c r="P742" s="216"/>
    </row>
    <row r="743" spans="1:16" x14ac:dyDescent="0.2">
      <c r="P743" s="216"/>
    </row>
    <row r="744" spans="1:16" x14ac:dyDescent="0.2">
      <c r="P744" s="216"/>
    </row>
    <row r="745" spans="1:16" x14ac:dyDescent="0.2">
      <c r="P745" s="216"/>
    </row>
    <row r="746" spans="1:16" x14ac:dyDescent="0.2">
      <c r="P746" s="216"/>
    </row>
    <row r="747" spans="1:16" x14ac:dyDescent="0.2">
      <c r="P747" s="216"/>
    </row>
    <row r="748" spans="1:16" x14ac:dyDescent="0.2">
      <c r="P748" s="216"/>
    </row>
    <row r="749" spans="1:16" x14ac:dyDescent="0.2">
      <c r="P749" s="216"/>
    </row>
    <row r="750" spans="1:16" x14ac:dyDescent="0.2">
      <c r="P750" s="216"/>
    </row>
    <row r="751" spans="1:16" x14ac:dyDescent="0.2">
      <c r="P751" s="216"/>
    </row>
  </sheetData>
  <sheetProtection formatCells="0" formatColumns="0" formatRows="0" insertColumns="0" insertRows="0" insertHyperlinks="0" deleteColumns="0" deleteRows="0" sort="0" autoFilter="0" pivotTables="0"/>
  <dataConsolidate/>
  <mergeCells count="1">
    <mergeCell ref="AG21:AL21"/>
  </mergeCells>
  <dataValidations count="1">
    <dataValidation type="list" allowBlank="1" showInputMessage="1" showErrorMessage="1" sqref="H8 JD8 SZ8 ACV8 AMR8 AWN8 BGJ8 BQF8 CAB8 CJX8 CTT8 DDP8 DNL8 DXH8 EHD8 EQZ8 FAV8 FKR8 FUN8 GEJ8 GOF8 GYB8 HHX8 HRT8 IBP8 ILL8 IVH8 JFD8 JOZ8 JYV8 KIR8 KSN8 LCJ8 LMF8 LWB8 MFX8 MPT8 MZP8 NJL8 NTH8 ODD8 OMZ8 OWV8 PGR8 PQN8 QAJ8 QKF8 QUB8 RDX8 RNT8 RXP8 SHL8 SRH8 TBD8 TKZ8 TUV8 UER8 UON8 UYJ8 VIF8 VSB8 WBX8 WLT8 WVP8 H65544 JD65544 SZ65544 ACV65544 AMR65544 AWN65544 BGJ65544 BQF65544 CAB65544 CJX65544 CTT65544 DDP65544 DNL65544 DXH65544 EHD65544 EQZ65544 FAV65544 FKR65544 FUN65544 GEJ65544 GOF65544 GYB65544 HHX65544 HRT65544 IBP65544 ILL65544 IVH65544 JFD65544 JOZ65544 JYV65544 KIR65544 KSN65544 LCJ65544 LMF65544 LWB65544 MFX65544 MPT65544 MZP65544 NJL65544 NTH65544 ODD65544 OMZ65544 OWV65544 PGR65544 PQN65544 QAJ65544 QKF65544 QUB65544 RDX65544 RNT65544 RXP65544 SHL65544 SRH65544 TBD65544 TKZ65544 TUV65544 UER65544 UON65544 UYJ65544 VIF65544 VSB65544 WBX65544 WLT65544 WVP65544 H131080 JD131080 SZ131080 ACV131080 AMR131080 AWN131080 BGJ131080 BQF131080 CAB131080 CJX131080 CTT131080 DDP131080 DNL131080 DXH131080 EHD131080 EQZ131080 FAV131080 FKR131080 FUN131080 GEJ131080 GOF131080 GYB131080 HHX131080 HRT131080 IBP131080 ILL131080 IVH131080 JFD131080 JOZ131080 JYV131080 KIR131080 KSN131080 LCJ131080 LMF131080 LWB131080 MFX131080 MPT131080 MZP131080 NJL131080 NTH131080 ODD131080 OMZ131080 OWV131080 PGR131080 PQN131080 QAJ131080 QKF131080 QUB131080 RDX131080 RNT131080 RXP131080 SHL131080 SRH131080 TBD131080 TKZ131080 TUV131080 UER131080 UON131080 UYJ131080 VIF131080 VSB131080 WBX131080 WLT131080 WVP131080 H196616 JD196616 SZ196616 ACV196616 AMR196616 AWN196616 BGJ196616 BQF196616 CAB196616 CJX196616 CTT196616 DDP196616 DNL196616 DXH196616 EHD196616 EQZ196616 FAV196616 FKR196616 FUN196616 GEJ196616 GOF196616 GYB196616 HHX196616 HRT196616 IBP196616 ILL196616 IVH196616 JFD196616 JOZ196616 JYV196616 KIR196616 KSN196616 LCJ196616 LMF196616 LWB196616 MFX196616 MPT196616 MZP196616 NJL196616 NTH196616 ODD196616 OMZ196616 OWV196616 PGR196616 PQN196616 QAJ196616 QKF196616 QUB196616 RDX196616 RNT196616 RXP196616 SHL196616 SRH196616 TBD196616 TKZ196616 TUV196616 UER196616 UON196616 UYJ196616 VIF196616 VSB196616 WBX196616 WLT196616 WVP196616 H262152 JD262152 SZ262152 ACV262152 AMR262152 AWN262152 BGJ262152 BQF262152 CAB262152 CJX262152 CTT262152 DDP262152 DNL262152 DXH262152 EHD262152 EQZ262152 FAV262152 FKR262152 FUN262152 GEJ262152 GOF262152 GYB262152 HHX262152 HRT262152 IBP262152 ILL262152 IVH262152 JFD262152 JOZ262152 JYV262152 KIR262152 KSN262152 LCJ262152 LMF262152 LWB262152 MFX262152 MPT262152 MZP262152 NJL262152 NTH262152 ODD262152 OMZ262152 OWV262152 PGR262152 PQN262152 QAJ262152 QKF262152 QUB262152 RDX262152 RNT262152 RXP262152 SHL262152 SRH262152 TBD262152 TKZ262152 TUV262152 UER262152 UON262152 UYJ262152 VIF262152 VSB262152 WBX262152 WLT262152 WVP262152 H327688 JD327688 SZ327688 ACV327688 AMR327688 AWN327688 BGJ327688 BQF327688 CAB327688 CJX327688 CTT327688 DDP327688 DNL327688 DXH327688 EHD327688 EQZ327688 FAV327688 FKR327688 FUN327688 GEJ327688 GOF327688 GYB327688 HHX327688 HRT327688 IBP327688 ILL327688 IVH327688 JFD327688 JOZ327688 JYV327688 KIR327688 KSN327688 LCJ327688 LMF327688 LWB327688 MFX327688 MPT327688 MZP327688 NJL327688 NTH327688 ODD327688 OMZ327688 OWV327688 PGR327688 PQN327688 QAJ327688 QKF327688 QUB327688 RDX327688 RNT327688 RXP327688 SHL327688 SRH327688 TBD327688 TKZ327688 TUV327688 UER327688 UON327688 UYJ327688 VIF327688 VSB327688 WBX327688 WLT327688 WVP327688 H393224 JD393224 SZ393224 ACV393224 AMR393224 AWN393224 BGJ393224 BQF393224 CAB393224 CJX393224 CTT393224 DDP393224 DNL393224 DXH393224 EHD393224 EQZ393224 FAV393224 FKR393224 FUN393224 GEJ393224 GOF393224 GYB393224 HHX393224 HRT393224 IBP393224 ILL393224 IVH393224 JFD393224 JOZ393224 JYV393224 KIR393224 KSN393224 LCJ393224 LMF393224 LWB393224 MFX393224 MPT393224 MZP393224 NJL393224 NTH393224 ODD393224 OMZ393224 OWV393224 PGR393224 PQN393224 QAJ393224 QKF393224 QUB393224 RDX393224 RNT393224 RXP393224 SHL393224 SRH393224 TBD393224 TKZ393224 TUV393224 UER393224 UON393224 UYJ393224 VIF393224 VSB393224 WBX393224 WLT393224 WVP393224 H458760 JD458760 SZ458760 ACV458760 AMR458760 AWN458760 BGJ458760 BQF458760 CAB458760 CJX458760 CTT458760 DDP458760 DNL458760 DXH458760 EHD458760 EQZ458760 FAV458760 FKR458760 FUN458760 GEJ458760 GOF458760 GYB458760 HHX458760 HRT458760 IBP458760 ILL458760 IVH458760 JFD458760 JOZ458760 JYV458760 KIR458760 KSN458760 LCJ458760 LMF458760 LWB458760 MFX458760 MPT458760 MZP458760 NJL458760 NTH458760 ODD458760 OMZ458760 OWV458760 PGR458760 PQN458760 QAJ458760 QKF458760 QUB458760 RDX458760 RNT458760 RXP458760 SHL458760 SRH458760 TBD458760 TKZ458760 TUV458760 UER458760 UON458760 UYJ458760 VIF458760 VSB458760 WBX458760 WLT458760 WVP458760 H524296 JD524296 SZ524296 ACV524296 AMR524296 AWN524296 BGJ524296 BQF524296 CAB524296 CJX524296 CTT524296 DDP524296 DNL524296 DXH524296 EHD524296 EQZ524296 FAV524296 FKR524296 FUN524296 GEJ524296 GOF524296 GYB524296 HHX524296 HRT524296 IBP524296 ILL524296 IVH524296 JFD524296 JOZ524296 JYV524296 KIR524296 KSN524296 LCJ524296 LMF524296 LWB524296 MFX524296 MPT524296 MZP524296 NJL524296 NTH524296 ODD524296 OMZ524296 OWV524296 PGR524296 PQN524296 QAJ524296 QKF524296 QUB524296 RDX524296 RNT524296 RXP524296 SHL524296 SRH524296 TBD524296 TKZ524296 TUV524296 UER524296 UON524296 UYJ524296 VIF524296 VSB524296 WBX524296 WLT524296 WVP524296 H589832 JD589832 SZ589832 ACV589832 AMR589832 AWN589832 BGJ589832 BQF589832 CAB589832 CJX589832 CTT589832 DDP589832 DNL589832 DXH589832 EHD589832 EQZ589832 FAV589832 FKR589832 FUN589832 GEJ589832 GOF589832 GYB589832 HHX589832 HRT589832 IBP589832 ILL589832 IVH589832 JFD589832 JOZ589832 JYV589832 KIR589832 KSN589832 LCJ589832 LMF589832 LWB589832 MFX589832 MPT589832 MZP589832 NJL589832 NTH589832 ODD589832 OMZ589832 OWV589832 PGR589832 PQN589832 QAJ589832 QKF589832 QUB589832 RDX589832 RNT589832 RXP589832 SHL589832 SRH589832 TBD589832 TKZ589832 TUV589832 UER589832 UON589832 UYJ589832 VIF589832 VSB589832 WBX589832 WLT589832 WVP589832 H655368 JD655368 SZ655368 ACV655368 AMR655368 AWN655368 BGJ655368 BQF655368 CAB655368 CJX655368 CTT655368 DDP655368 DNL655368 DXH655368 EHD655368 EQZ655368 FAV655368 FKR655368 FUN655368 GEJ655368 GOF655368 GYB655368 HHX655368 HRT655368 IBP655368 ILL655368 IVH655368 JFD655368 JOZ655368 JYV655368 KIR655368 KSN655368 LCJ655368 LMF655368 LWB655368 MFX655368 MPT655368 MZP655368 NJL655368 NTH655368 ODD655368 OMZ655368 OWV655368 PGR655368 PQN655368 QAJ655368 QKF655368 QUB655368 RDX655368 RNT655368 RXP655368 SHL655368 SRH655368 TBD655368 TKZ655368 TUV655368 UER655368 UON655368 UYJ655368 VIF655368 VSB655368 WBX655368 WLT655368 WVP655368 H720904 JD720904 SZ720904 ACV720904 AMR720904 AWN720904 BGJ720904 BQF720904 CAB720904 CJX720904 CTT720904 DDP720904 DNL720904 DXH720904 EHD720904 EQZ720904 FAV720904 FKR720904 FUN720904 GEJ720904 GOF720904 GYB720904 HHX720904 HRT720904 IBP720904 ILL720904 IVH720904 JFD720904 JOZ720904 JYV720904 KIR720904 KSN720904 LCJ720904 LMF720904 LWB720904 MFX720904 MPT720904 MZP720904 NJL720904 NTH720904 ODD720904 OMZ720904 OWV720904 PGR720904 PQN720904 QAJ720904 QKF720904 QUB720904 RDX720904 RNT720904 RXP720904 SHL720904 SRH720904 TBD720904 TKZ720904 TUV720904 UER720904 UON720904 UYJ720904 VIF720904 VSB720904 WBX720904 WLT720904 WVP720904 H786440 JD786440 SZ786440 ACV786440 AMR786440 AWN786440 BGJ786440 BQF786440 CAB786440 CJX786440 CTT786440 DDP786440 DNL786440 DXH786440 EHD786440 EQZ786440 FAV786440 FKR786440 FUN786440 GEJ786440 GOF786440 GYB786440 HHX786440 HRT786440 IBP786440 ILL786440 IVH786440 JFD786440 JOZ786440 JYV786440 KIR786440 KSN786440 LCJ786440 LMF786440 LWB786440 MFX786440 MPT786440 MZP786440 NJL786440 NTH786440 ODD786440 OMZ786440 OWV786440 PGR786440 PQN786440 QAJ786440 QKF786440 QUB786440 RDX786440 RNT786440 RXP786440 SHL786440 SRH786440 TBD786440 TKZ786440 TUV786440 UER786440 UON786440 UYJ786440 VIF786440 VSB786440 WBX786440 WLT786440 WVP786440 H851976 JD851976 SZ851976 ACV851976 AMR851976 AWN851976 BGJ851976 BQF851976 CAB851976 CJX851976 CTT851976 DDP851976 DNL851976 DXH851976 EHD851976 EQZ851976 FAV851976 FKR851976 FUN851976 GEJ851976 GOF851976 GYB851976 HHX851976 HRT851976 IBP851976 ILL851976 IVH851976 JFD851976 JOZ851976 JYV851976 KIR851976 KSN851976 LCJ851976 LMF851976 LWB851976 MFX851976 MPT851976 MZP851976 NJL851976 NTH851976 ODD851976 OMZ851976 OWV851976 PGR851976 PQN851976 QAJ851976 QKF851976 QUB851976 RDX851976 RNT851976 RXP851976 SHL851976 SRH851976 TBD851976 TKZ851976 TUV851976 UER851976 UON851976 UYJ851976 VIF851976 VSB851976 WBX851976 WLT851976 WVP851976 H917512 JD917512 SZ917512 ACV917512 AMR917512 AWN917512 BGJ917512 BQF917512 CAB917512 CJX917512 CTT917512 DDP917512 DNL917512 DXH917512 EHD917512 EQZ917512 FAV917512 FKR917512 FUN917512 GEJ917512 GOF917512 GYB917512 HHX917512 HRT917512 IBP917512 ILL917512 IVH917512 JFD917512 JOZ917512 JYV917512 KIR917512 KSN917512 LCJ917512 LMF917512 LWB917512 MFX917512 MPT917512 MZP917512 NJL917512 NTH917512 ODD917512 OMZ917512 OWV917512 PGR917512 PQN917512 QAJ917512 QKF917512 QUB917512 RDX917512 RNT917512 RXP917512 SHL917512 SRH917512 TBD917512 TKZ917512 TUV917512 UER917512 UON917512 UYJ917512 VIF917512 VSB917512 WBX917512 WLT917512 WVP917512 H983048 JD983048 SZ983048 ACV983048 AMR983048 AWN983048 BGJ983048 BQF983048 CAB983048 CJX983048 CTT983048 DDP983048 DNL983048 DXH983048 EHD983048 EQZ983048 FAV983048 FKR983048 FUN983048 GEJ983048 GOF983048 GYB983048 HHX983048 HRT983048 IBP983048 ILL983048 IVH983048 JFD983048 JOZ983048 JYV983048 KIR983048 KSN983048 LCJ983048 LMF983048 LWB983048 MFX983048 MPT983048 MZP983048 NJL983048 NTH983048 ODD983048 OMZ983048 OWV983048 PGR983048 PQN983048 QAJ983048 QKF983048 QUB983048 RDX983048 RNT983048 RXP983048 SHL983048 SRH983048 TBD983048 TKZ983048 TUV983048 UER983048 UON983048 UYJ983048 VIF983048 VSB983048 WBX983048 WLT983048 WVP983048" xr:uid="{6FB9F406-0C75-4AE2-B32D-C4C8AD518448}">
      <formula1>"TRUE,FALSE"</formula1>
    </dataValidation>
  </dataValidations>
  <pageMargins left="0.5" right="0.5" top="0.5" bottom="0.75" header="0" footer="0.5"/>
  <pageSetup fitToHeight="1000" orientation="portrait" r:id="rId1"/>
  <headerFooter alignWithMargins="0">
    <oddFooter>&amp;L&amp;"Calibri,Regular"Prepared by:  OCMI&amp;R&amp;"Calibri,Regular"Sheet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98753" r:id="rId4" name="Button 1">
              <controlPr locked="0" defaultSize="0" autoFill="0" autoPict="0" macro="[0]!Module5.hideShowSF2">
                <anchor moveWithCells="1" sizeWithCells="1">
                  <from>
                    <xdr:col>32</xdr:col>
                    <xdr:colOff>57150</xdr:colOff>
                    <xdr:row>6</xdr:row>
                    <xdr:rowOff>76200</xdr:rowOff>
                  </from>
                  <to>
                    <xdr:col>32</xdr:col>
                    <xdr:colOff>1238250</xdr:colOff>
                    <xdr:row>8</xdr:row>
                    <xdr:rowOff>66675</xdr:rowOff>
                  </to>
                </anchor>
              </controlPr>
            </control>
          </mc:Choice>
        </mc:AlternateContent>
        <mc:AlternateContent xmlns:mc="http://schemas.openxmlformats.org/markup-compatibility/2006">
          <mc:Choice Requires="x14">
            <control shapeId="1098754" r:id="rId5" name="Button 2">
              <controlPr defaultSize="0" print="0" autoFill="0" autoPict="0" macro="[0]!jumpToDetail">
                <anchor moveWithCells="1" sizeWithCells="1">
                  <from>
                    <xdr:col>37</xdr:col>
                    <xdr:colOff>28575</xdr:colOff>
                    <xdr:row>11</xdr:row>
                    <xdr:rowOff>133350</xdr:rowOff>
                  </from>
                  <to>
                    <xdr:col>37</xdr:col>
                    <xdr:colOff>838200</xdr:colOff>
                    <xdr:row>13</xdr:row>
                    <xdr:rowOff>38100</xdr:rowOff>
                  </to>
                </anchor>
              </controlPr>
            </control>
          </mc:Choice>
        </mc:AlternateContent>
        <mc:AlternateContent xmlns:mc="http://schemas.openxmlformats.org/markup-compatibility/2006">
          <mc:Choice Requires="x14">
            <control shapeId="1098755" r:id="rId6" name="Button 3">
              <controlPr defaultSize="0" print="0" autoFill="0" autoPict="0" macro="[0]!jumpToSummary">
                <anchor moveWithCells="1" sizeWithCells="1">
                  <from>
                    <xdr:col>15</xdr:col>
                    <xdr:colOff>238125</xdr:colOff>
                    <xdr:row>736</xdr:row>
                    <xdr:rowOff>95250</xdr:rowOff>
                  </from>
                  <to>
                    <xdr:col>15</xdr:col>
                    <xdr:colOff>1066800</xdr:colOff>
                    <xdr:row>738</xdr:row>
                    <xdr:rowOff>0</xdr:rowOff>
                  </to>
                </anchor>
              </controlPr>
            </control>
          </mc:Choice>
        </mc:AlternateContent>
        <mc:AlternateContent xmlns:mc="http://schemas.openxmlformats.org/markup-compatibility/2006">
          <mc:Choice Requires="x14">
            <control shapeId="1098756" r:id="rId7" name="SiteCheck">
              <controlPr defaultSize="0" autoFill="0" autoLine="0" autoPict="0" macro="[0]!callSiteClick">
                <anchor moveWithCells="1" sizeWithCells="1">
                  <from>
                    <xdr:col>6</xdr:col>
                    <xdr:colOff>133350</xdr:colOff>
                    <xdr:row>6</xdr:row>
                    <xdr:rowOff>133350</xdr:rowOff>
                  </from>
                  <to>
                    <xdr:col>7</xdr:col>
                    <xdr:colOff>190500</xdr:colOff>
                    <xdr:row>8</xdr:row>
                    <xdr:rowOff>19050</xdr:rowOff>
                  </to>
                </anchor>
              </controlPr>
            </control>
          </mc:Choice>
        </mc:AlternateContent>
        <mc:AlternateContent xmlns:mc="http://schemas.openxmlformats.org/markup-compatibility/2006">
          <mc:Choice Requires="x14">
            <control shapeId="1098757" r:id="rId8" name="Button 5">
              <controlPr locked="0" defaultSize="0" autoFill="0" autoPict="0" macro="[0]!orientPortrait">
                <anchor moveWithCells="1" sizeWithCells="1">
                  <from>
                    <xdr:col>7</xdr:col>
                    <xdr:colOff>1914525</xdr:colOff>
                    <xdr:row>2</xdr:row>
                    <xdr:rowOff>0</xdr:rowOff>
                  </from>
                  <to>
                    <xdr:col>7</xdr:col>
                    <xdr:colOff>2733675</xdr:colOff>
                    <xdr:row>3</xdr:row>
                    <xdr:rowOff>57150</xdr:rowOff>
                  </to>
                </anchor>
              </controlPr>
            </control>
          </mc:Choice>
        </mc:AlternateContent>
        <mc:AlternateContent xmlns:mc="http://schemas.openxmlformats.org/markup-compatibility/2006">
          <mc:Choice Requires="x14">
            <control shapeId="1098758" r:id="rId9" name="Button 6">
              <controlPr locked="0" defaultSize="0" autoFill="0" autoPict="0" macro="[0]!orientLandscape">
                <anchor moveWithCells="1" sizeWithCells="1">
                  <from>
                    <xdr:col>7</xdr:col>
                    <xdr:colOff>1914525</xdr:colOff>
                    <xdr:row>3</xdr:row>
                    <xdr:rowOff>114300</xdr:rowOff>
                  </from>
                  <to>
                    <xdr:col>7</xdr:col>
                    <xdr:colOff>2733675</xdr:colOff>
                    <xdr:row>5</xdr:row>
                    <xdr:rowOff>19050</xdr:rowOff>
                  </to>
                </anchor>
              </controlPr>
            </control>
          </mc:Choice>
        </mc:AlternateContent>
        <mc:AlternateContent xmlns:mc="http://schemas.openxmlformats.org/markup-compatibility/2006">
          <mc:Choice Requires="x14">
            <control shapeId="1098759" r:id="rId10" name="MaterialCheck">
              <controlPr defaultSize="0" autoFill="0" autoLine="0" autoPict="0" macro="[0]!callMaterialColumn">
                <anchor moveWithCells="1" sizeWithCells="1">
                  <from>
                    <xdr:col>8</xdr:col>
                    <xdr:colOff>180975</xdr:colOff>
                    <xdr:row>1</xdr:row>
                    <xdr:rowOff>133350</xdr:rowOff>
                  </from>
                  <to>
                    <xdr:col>9</xdr:col>
                    <xdr:colOff>323850</xdr:colOff>
                    <xdr:row>3</xdr:row>
                    <xdr:rowOff>38100</xdr:rowOff>
                  </to>
                </anchor>
              </controlPr>
            </control>
          </mc:Choice>
        </mc:AlternateContent>
        <mc:AlternateContent xmlns:mc="http://schemas.openxmlformats.org/markup-compatibility/2006">
          <mc:Choice Requires="x14">
            <control shapeId="1098760" r:id="rId11" name="LaborCheck">
              <controlPr defaultSize="0" autoFill="0" autoLine="0" autoPict="0" macro="[0]!callLaborColumn">
                <anchor moveWithCells="1" sizeWithCells="1">
                  <from>
                    <xdr:col>8</xdr:col>
                    <xdr:colOff>180975</xdr:colOff>
                    <xdr:row>3</xdr:row>
                    <xdr:rowOff>9525</xdr:rowOff>
                  </from>
                  <to>
                    <xdr:col>9</xdr:col>
                    <xdr:colOff>323850</xdr:colOff>
                    <xdr:row>4</xdr:row>
                    <xdr:rowOff>76200</xdr:rowOff>
                  </to>
                </anchor>
              </controlPr>
            </control>
          </mc:Choice>
        </mc:AlternateContent>
        <mc:AlternateContent xmlns:mc="http://schemas.openxmlformats.org/markup-compatibility/2006">
          <mc:Choice Requires="x14">
            <control shapeId="1098761" r:id="rId12" name="EquipmentCheck">
              <controlPr defaultSize="0" autoFill="0" autoLine="0" autoPict="0" macro="[0]!callEquipmentColumn">
                <anchor moveWithCells="1" sizeWithCells="1">
                  <from>
                    <xdr:col>8</xdr:col>
                    <xdr:colOff>180975</xdr:colOff>
                    <xdr:row>4</xdr:row>
                    <xdr:rowOff>57150</xdr:rowOff>
                  </from>
                  <to>
                    <xdr:col>9</xdr:col>
                    <xdr:colOff>323850</xdr:colOff>
                    <xdr:row>5</xdr:row>
                    <xdr:rowOff>123825</xdr:rowOff>
                  </to>
                </anchor>
              </controlPr>
            </control>
          </mc:Choice>
        </mc:AlternateContent>
        <mc:AlternateContent xmlns:mc="http://schemas.openxmlformats.org/markup-compatibility/2006">
          <mc:Choice Requires="x14">
            <control shapeId="1098762" r:id="rId13" name="OtherCheck">
              <controlPr defaultSize="0" autoFill="0" autoLine="0" autoPict="0" macro="[0]!callOtherColumn">
                <anchor moveWithCells="1" sizeWithCells="1">
                  <from>
                    <xdr:col>8</xdr:col>
                    <xdr:colOff>180975</xdr:colOff>
                    <xdr:row>5</xdr:row>
                    <xdr:rowOff>95250</xdr:rowOff>
                  </from>
                  <to>
                    <xdr:col>9</xdr:col>
                    <xdr:colOff>323850</xdr:colOff>
                    <xdr:row>7</xdr:row>
                    <xdr:rowOff>0</xdr:rowOff>
                  </to>
                </anchor>
              </controlPr>
            </control>
          </mc:Choice>
        </mc:AlternateContent>
        <mc:AlternateContent xmlns:mc="http://schemas.openxmlformats.org/markup-compatibility/2006">
          <mc:Choice Requires="x14">
            <control shapeId="1098763" r:id="rId14" name="Button 11">
              <controlPr defaultSize="0" print="0" autoFill="0" autoPict="0" macro="[0]!jumpToSummary">
                <anchor moveWithCells="1" sizeWithCells="1">
                  <from>
                    <xdr:col>14</xdr:col>
                    <xdr:colOff>95250</xdr:colOff>
                    <xdr:row>1</xdr:row>
                    <xdr:rowOff>161925</xdr:rowOff>
                  </from>
                  <to>
                    <xdr:col>15</xdr:col>
                    <xdr:colOff>19050</xdr:colOff>
                    <xdr:row>3</xdr:row>
                    <xdr:rowOff>57150</xdr:rowOff>
                  </to>
                </anchor>
              </controlPr>
            </control>
          </mc:Choice>
        </mc:AlternateContent>
        <mc:AlternateContent xmlns:mc="http://schemas.openxmlformats.org/markup-compatibility/2006">
          <mc:Choice Requires="x14">
            <control shapeId="1098764" r:id="rId15" name="Button 12">
              <controlPr defaultSize="0" print="0" autoFill="0" autoPict="0" macro="[0]!jumpToDetail">
                <anchor moveWithCells="1" sizeWithCells="1">
                  <from>
                    <xdr:col>14</xdr:col>
                    <xdr:colOff>95250</xdr:colOff>
                    <xdr:row>3</xdr:row>
                    <xdr:rowOff>104775</xdr:rowOff>
                  </from>
                  <to>
                    <xdr:col>15</xdr:col>
                    <xdr:colOff>19050</xdr:colOff>
                    <xdr:row>5</xdr:row>
                    <xdr:rowOff>9525</xdr:rowOff>
                  </to>
                </anchor>
              </controlPr>
            </control>
          </mc:Choice>
        </mc:AlternateContent>
        <mc:AlternateContent xmlns:mc="http://schemas.openxmlformats.org/markup-compatibility/2006">
          <mc:Choice Requires="x14">
            <control shapeId="1098765" r:id="rId16" name="Button 13">
              <controlPr locked="0" defaultSize="0" autoFill="0" autoPict="0" macro="[0]!Module5.runQAQC">
                <anchor moveWithCells="1" sizeWithCells="1">
                  <from>
                    <xdr:col>7</xdr:col>
                    <xdr:colOff>1914525</xdr:colOff>
                    <xdr:row>6</xdr:row>
                    <xdr:rowOff>114300</xdr:rowOff>
                  </from>
                  <to>
                    <xdr:col>7</xdr:col>
                    <xdr:colOff>2266950</xdr:colOff>
                    <xdr:row>8</xdr:row>
                    <xdr:rowOff>19050</xdr:rowOff>
                  </to>
                </anchor>
              </controlPr>
            </control>
          </mc:Choice>
        </mc:AlternateContent>
        <mc:AlternateContent xmlns:mc="http://schemas.openxmlformats.org/markup-compatibility/2006">
          <mc:Choice Requires="x14">
            <control shapeId="1098766" r:id="rId17" name="Button 14">
              <controlPr locked="0" defaultSize="0" autoFill="0" autoPict="0" macro="[0]!Module5.undoQAQC">
                <anchor moveWithCells="1" sizeWithCells="1">
                  <from>
                    <xdr:col>7</xdr:col>
                    <xdr:colOff>2352675</xdr:colOff>
                    <xdr:row>6</xdr:row>
                    <xdr:rowOff>114300</xdr:rowOff>
                  </from>
                  <to>
                    <xdr:col>7</xdr:col>
                    <xdr:colOff>2714625</xdr:colOff>
                    <xdr:row>8</xdr:row>
                    <xdr:rowOff>19050</xdr:rowOff>
                  </to>
                </anchor>
              </controlPr>
            </control>
          </mc:Choice>
        </mc:AlternateContent>
        <mc:AlternateContent xmlns:mc="http://schemas.openxmlformats.org/markup-compatibility/2006">
          <mc:Choice Requires="x14">
            <control shapeId="1098767" r:id="rId18" name="Button 15">
              <controlPr defaultSize="0" print="0" autoFill="0" autoPict="0" macro="[0]!Module12.ControlQuanti">
                <anchor moveWithCells="1" sizeWithCells="1">
                  <from>
                    <xdr:col>15</xdr:col>
                    <xdr:colOff>295275</xdr:colOff>
                    <xdr:row>1</xdr:row>
                    <xdr:rowOff>57150</xdr:rowOff>
                  </from>
                  <to>
                    <xdr:col>16</xdr:col>
                    <xdr:colOff>400050</xdr:colOff>
                    <xdr:row>4</xdr:row>
                    <xdr:rowOff>9525</xdr:rowOff>
                  </to>
                </anchor>
              </controlPr>
            </control>
          </mc:Choice>
        </mc:AlternateContent>
        <mc:AlternateContent xmlns:mc="http://schemas.openxmlformats.org/markup-compatibility/2006">
          <mc:Choice Requires="x14">
            <control shapeId="1098768" r:id="rId19" name="Button 16">
              <controlPr defaultSize="0" print="0" autoFill="0" autoPict="0" macro="[0]!itemSelector_Click">
                <anchor moveWithCells="1" sizeWithCells="1">
                  <from>
                    <xdr:col>15</xdr:col>
                    <xdr:colOff>304800</xdr:colOff>
                    <xdr:row>4</xdr:row>
                    <xdr:rowOff>114300</xdr:rowOff>
                  </from>
                  <to>
                    <xdr:col>16</xdr:col>
                    <xdr:colOff>409575</xdr:colOff>
                    <xdr:row>7</xdr:row>
                    <xdr:rowOff>57150</xdr:rowOff>
                  </to>
                </anchor>
              </controlPr>
            </control>
          </mc:Choice>
        </mc:AlternateContent>
        <mc:AlternateContent xmlns:mc="http://schemas.openxmlformats.org/markup-compatibility/2006">
          <mc:Choice Requires="x14">
            <control shapeId="1098769" r:id="rId20" name="Button 17">
              <controlPr locked="0" defaultSize="0" autoFill="0" autoPict="0" macro="[0]!hideEmptySections">
                <anchor moveWithCells="1" sizeWithCells="1">
                  <from>
                    <xdr:col>32</xdr:col>
                    <xdr:colOff>47625</xdr:colOff>
                    <xdr:row>2</xdr:row>
                    <xdr:rowOff>38100</xdr:rowOff>
                  </from>
                  <to>
                    <xdr:col>32</xdr:col>
                    <xdr:colOff>1504950</xdr:colOff>
                    <xdr:row>3</xdr:row>
                    <xdr:rowOff>123825</xdr:rowOff>
                  </to>
                </anchor>
              </controlPr>
            </control>
          </mc:Choice>
        </mc:AlternateContent>
        <mc:AlternateContent xmlns:mc="http://schemas.openxmlformats.org/markup-compatibility/2006">
          <mc:Choice Requires="x14">
            <control shapeId="1098770" r:id="rId21" name="Button 18">
              <controlPr locked="0" defaultSize="0" autoFill="0" autoPict="0" macro="[0]!unhideAllSections">
                <anchor moveWithCells="1" sizeWithCells="1">
                  <from>
                    <xdr:col>32</xdr:col>
                    <xdr:colOff>47625</xdr:colOff>
                    <xdr:row>4</xdr:row>
                    <xdr:rowOff>19050</xdr:rowOff>
                  </from>
                  <to>
                    <xdr:col>32</xdr:col>
                    <xdr:colOff>1504950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3BFC-2E28-4EAA-9210-6DDF6B070B0B}">
  <sheetPr codeName="Sheet3">
    <tabColor theme="4"/>
  </sheetPr>
  <dimension ref="A1:BA138"/>
  <sheetViews>
    <sheetView showGridLines="0" topLeftCell="B1" zoomScale="115" zoomScaleNormal="115" zoomScaleSheetLayoutView="130" workbookViewId="0">
      <selection activeCell="B22" sqref="A22:XFD22"/>
    </sheetView>
  </sheetViews>
  <sheetFormatPr defaultColWidth="10.140625" defaultRowHeight="15" outlineLevelCol="1" x14ac:dyDescent="0.25"/>
  <cols>
    <col min="1" max="1" width="23.140625" style="422" hidden="1" customWidth="1"/>
    <col min="2" max="3" width="19.7109375" style="422" customWidth="1"/>
    <col min="4" max="4" width="22.5703125" style="445" customWidth="1"/>
    <col min="5" max="5" width="21.7109375" style="445" customWidth="1"/>
    <col min="6" max="6" width="7.7109375" style="445" customWidth="1"/>
    <col min="7" max="7" width="9.140625" style="445" customWidth="1"/>
    <col min="8" max="20" width="12" style="445" customWidth="1"/>
    <col min="21" max="21" width="12" style="544" customWidth="1"/>
    <col min="22" max="22" width="6.42578125" style="493" customWidth="1"/>
    <col min="23" max="23" width="10.140625" style="354"/>
    <col min="24" max="30" width="11.5703125" style="354" customWidth="1" outlineLevel="1"/>
    <col min="31" max="43" width="11.5703125" style="445" customWidth="1" outlineLevel="1"/>
    <col min="44" max="16384" width="10.140625" style="445"/>
  </cols>
  <sheetData>
    <row r="1" spans="1:45" s="424" customFormat="1" ht="39" customHeight="1" x14ac:dyDescent="0.25">
      <c r="A1" s="422"/>
      <c r="B1" s="423"/>
      <c r="C1" s="423"/>
      <c r="X1" s="555" t="s">
        <v>1296</v>
      </c>
      <c r="Y1" s="556" t="s">
        <v>1185</v>
      </c>
      <c r="Z1" s="556" t="s">
        <v>1186</v>
      </c>
      <c r="AA1" s="557">
        <v>240540</v>
      </c>
      <c r="AB1" s="556"/>
      <c r="AC1" s="556" t="s">
        <v>1588</v>
      </c>
      <c r="AD1" s="556" t="s">
        <v>964</v>
      </c>
      <c r="AE1" s="556" t="s">
        <v>1297</v>
      </c>
      <c r="AF1" s="558">
        <v>45632</v>
      </c>
      <c r="AG1" s="558">
        <v>45645</v>
      </c>
      <c r="AH1" s="558">
        <v>45646</v>
      </c>
      <c r="AI1" s="556" t="s">
        <v>1187</v>
      </c>
      <c r="AJ1" s="556" t="s">
        <v>1187</v>
      </c>
      <c r="AK1" s="556" t="s">
        <v>1298</v>
      </c>
      <c r="AL1" s="556" t="s">
        <v>1299</v>
      </c>
      <c r="AM1" s="556" t="s">
        <v>1300</v>
      </c>
      <c r="AN1" s="559">
        <v>10100</v>
      </c>
      <c r="AO1" s="560">
        <v>29</v>
      </c>
      <c r="AP1" s="560">
        <v>26</v>
      </c>
      <c r="AQ1" s="560">
        <v>15</v>
      </c>
      <c r="AR1" s="561">
        <v>11</v>
      </c>
      <c r="AS1" s="424">
        <v>11</v>
      </c>
    </row>
    <row r="3" spans="1:45" s="428" customFormat="1" ht="15.75" x14ac:dyDescent="0.25">
      <c r="A3" s="425"/>
      <c r="B3" s="425"/>
      <c r="C3" s="425"/>
      <c r="D3" s="346"/>
      <c r="E3" s="347"/>
      <c r="F3" s="348"/>
      <c r="G3" s="349"/>
      <c r="H3" s="350"/>
      <c r="I3" s="426"/>
      <c r="J3" s="351"/>
      <c r="K3" s="352"/>
      <c r="L3" s="352"/>
      <c r="M3" s="352"/>
      <c r="N3" s="352"/>
      <c r="O3" s="352"/>
      <c r="P3" s="352"/>
      <c r="Q3" s="427"/>
      <c r="R3" s="427"/>
      <c r="S3" s="427"/>
      <c r="T3" s="427"/>
      <c r="U3" s="353" t="str">
        <f>project_name</f>
        <v>Hunt County Government Building</v>
      </c>
      <c r="W3" s="354"/>
      <c r="X3" s="354"/>
      <c r="Y3" s="354"/>
      <c r="Z3" s="354"/>
      <c r="AA3" s="354"/>
      <c r="AB3" s="354"/>
      <c r="AC3" s="354"/>
      <c r="AD3" s="354"/>
    </row>
    <row r="4" spans="1:45" s="431" customFormat="1" ht="4.5" customHeight="1" x14ac:dyDescent="0.25">
      <c r="A4" s="429"/>
      <c r="B4" s="429"/>
      <c r="C4" s="429"/>
      <c r="D4" s="355"/>
      <c r="E4" s="356"/>
      <c r="F4" s="163"/>
      <c r="G4" s="357"/>
      <c r="H4" s="358"/>
      <c r="I4" s="430"/>
      <c r="J4" s="143"/>
      <c r="K4" s="169"/>
      <c r="L4" s="169"/>
      <c r="M4" s="169"/>
      <c r="N4" s="169"/>
      <c r="O4" s="169"/>
      <c r="P4" s="169"/>
      <c r="U4" s="359"/>
      <c r="W4" s="354"/>
      <c r="X4" s="354"/>
      <c r="Y4" s="354"/>
      <c r="Z4" s="354"/>
      <c r="AA4" s="354"/>
      <c r="AB4" s="354"/>
      <c r="AC4" s="354"/>
      <c r="AD4" s="354"/>
    </row>
    <row r="5" spans="1:45" s="431" customFormat="1" ht="14.25" customHeight="1" x14ac:dyDescent="0.25">
      <c r="A5" s="429"/>
      <c r="B5" s="429"/>
      <c r="C5" s="429"/>
      <c r="D5" s="360"/>
      <c r="E5" s="356"/>
      <c r="F5" s="163"/>
      <c r="G5" s="361"/>
      <c r="H5" s="362"/>
      <c r="I5" s="430"/>
      <c r="J5" s="143"/>
      <c r="K5" s="169"/>
      <c r="L5" s="169"/>
      <c r="M5" s="169"/>
      <c r="N5" s="169"/>
      <c r="O5" s="169"/>
      <c r="P5" s="169"/>
      <c r="U5" s="363" t="str">
        <f>project_location</f>
        <v>Greenville, TX</v>
      </c>
      <c r="W5" s="354"/>
      <c r="X5" s="354"/>
      <c r="Y5" s="354"/>
      <c r="Z5" s="354"/>
      <c r="AA5" s="354"/>
      <c r="AB5" s="354"/>
      <c r="AC5" s="354"/>
      <c r="AD5" s="354"/>
    </row>
    <row r="6" spans="1:45" s="431" customFormat="1" ht="4.5" customHeight="1" x14ac:dyDescent="0.25">
      <c r="A6" s="364"/>
      <c r="B6" s="364"/>
      <c r="C6" s="364"/>
      <c r="D6" s="360"/>
      <c r="E6" s="356"/>
      <c r="F6" s="163"/>
      <c r="G6" s="361"/>
      <c r="H6" s="362"/>
      <c r="I6" s="430"/>
      <c r="J6" s="143"/>
      <c r="K6" s="169"/>
      <c r="L6" s="169"/>
      <c r="M6" s="169"/>
      <c r="N6" s="169"/>
      <c r="O6" s="169"/>
      <c r="P6" s="169"/>
      <c r="U6" s="365"/>
      <c r="W6" s="354"/>
      <c r="X6" s="354"/>
      <c r="Y6" s="354"/>
      <c r="Z6" s="354"/>
      <c r="AA6" s="354"/>
      <c r="AB6" s="354"/>
      <c r="AC6" s="354"/>
      <c r="AD6" s="354"/>
    </row>
    <row r="7" spans="1:45" s="354" customFormat="1" ht="14.25" customHeight="1" x14ac:dyDescent="0.25">
      <c r="A7" s="364"/>
      <c r="B7" s="364"/>
      <c r="C7" s="364"/>
      <c r="D7" s="366" t="s">
        <v>1295</v>
      </c>
      <c r="E7" s="356"/>
      <c r="F7" s="163"/>
      <c r="G7" s="361"/>
      <c r="H7" s="362"/>
      <c r="I7" s="430"/>
      <c r="J7" s="143"/>
      <c r="K7" s="169"/>
      <c r="L7" s="169"/>
      <c r="M7" s="169"/>
      <c r="N7" s="169"/>
      <c r="O7" s="169"/>
      <c r="P7" s="169"/>
      <c r="Q7" s="431"/>
      <c r="R7" s="431"/>
      <c r="S7" s="431"/>
      <c r="T7" s="431"/>
      <c r="U7" s="367" t="str">
        <f>"OCMI JOB #: "&amp; Initial!C2 &amp; " | " &amp; Initial!C6</f>
        <v>OCMI JOB #: 240540.000 | 24 December 2024</v>
      </c>
    </row>
    <row r="8" spans="1:45" s="354" customFormat="1" ht="4.5" customHeight="1" thickBot="1" x14ac:dyDescent="0.3">
      <c r="A8" s="364" t="s">
        <v>1189</v>
      </c>
      <c r="B8" s="364"/>
      <c r="C8" s="364"/>
      <c r="D8" s="368"/>
      <c r="E8" s="356"/>
      <c r="F8" s="163"/>
      <c r="G8" s="361"/>
      <c r="H8" s="362"/>
      <c r="I8" s="430"/>
      <c r="J8" s="143"/>
      <c r="K8" s="169"/>
      <c r="L8" s="169"/>
      <c r="M8" s="169"/>
      <c r="N8" s="169"/>
      <c r="O8" s="169"/>
      <c r="P8" s="169"/>
      <c r="Q8" s="431"/>
      <c r="R8" s="431"/>
      <c r="S8" s="431"/>
      <c r="T8" s="254"/>
      <c r="U8" s="432"/>
    </row>
    <row r="9" spans="1:45" s="354" customFormat="1" ht="24" thickBot="1" x14ac:dyDescent="0.25">
      <c r="A9" s="364" t="str">
        <f>$D$9</f>
        <v>01 PROJECT OVERVIEW</v>
      </c>
      <c r="B9" s="364"/>
      <c r="C9" s="364"/>
      <c r="D9" s="646" t="s">
        <v>1190</v>
      </c>
      <c r="E9" s="644"/>
      <c r="F9" s="644"/>
      <c r="G9" s="644"/>
      <c r="H9" s="644"/>
      <c r="I9" s="644"/>
      <c r="J9" s="644"/>
      <c r="K9" s="644"/>
      <c r="L9" s="644"/>
      <c r="M9" s="644"/>
      <c r="N9" s="644"/>
      <c r="O9" s="644"/>
      <c r="P9" s="644"/>
      <c r="Q9" s="644"/>
      <c r="R9" s="644"/>
      <c r="S9" s="644"/>
      <c r="T9" s="644"/>
      <c r="U9" s="647"/>
      <c r="X9" s="369" t="s">
        <v>1191</v>
      </c>
      <c r="Y9" s="369" t="s">
        <v>1192</v>
      </c>
      <c r="Z9" s="369" t="s">
        <v>1193</v>
      </c>
      <c r="AA9" s="369" t="s">
        <v>1194</v>
      </c>
      <c r="AB9" s="369" t="s">
        <v>1195</v>
      </c>
    </row>
    <row r="10" spans="1:45" s="354" customFormat="1" ht="15" customHeight="1" x14ac:dyDescent="0.25">
      <c r="A10" s="364" t="str">
        <f t="shared" ref="A10:A39" si="0">$D$9</f>
        <v>01 PROJECT OVERVIEW</v>
      </c>
      <c r="B10" s="364"/>
      <c r="C10" s="364"/>
      <c r="D10" s="433"/>
      <c r="E10" s="434"/>
      <c r="F10" s="434"/>
      <c r="G10" s="434"/>
      <c r="H10" s="434"/>
      <c r="I10" s="434"/>
      <c r="J10" s="434"/>
      <c r="K10" s="434"/>
      <c r="L10" s="434"/>
      <c r="M10" s="434"/>
      <c r="N10" s="434"/>
      <c r="O10" s="434"/>
      <c r="P10" s="434"/>
      <c r="Q10" s="434"/>
      <c r="R10" s="434"/>
      <c r="S10" s="434"/>
      <c r="T10" s="435"/>
      <c r="U10" s="436"/>
      <c r="X10" s="437" t="s">
        <v>1196</v>
      </c>
      <c r="Y10" s="437" t="s">
        <v>1196</v>
      </c>
      <c r="Z10" s="437" t="s">
        <v>1196</v>
      </c>
      <c r="AA10" s="437" t="s">
        <v>1196</v>
      </c>
      <c r="AB10" s="437" t="s">
        <v>1196</v>
      </c>
    </row>
    <row r="11" spans="1:45" s="354" customFormat="1" ht="15" customHeight="1" x14ac:dyDescent="0.25">
      <c r="A11" s="364" t="str">
        <f t="shared" si="0"/>
        <v>01 PROJECT OVERVIEW</v>
      </c>
      <c r="B11" s="364"/>
      <c r="C11" s="364"/>
      <c r="D11" s="370" t="s">
        <v>1197</v>
      </c>
      <c r="E11" s="438" t="s">
        <v>1198</v>
      </c>
      <c r="F11" s="439"/>
      <c r="G11" s="371" t="s">
        <v>1199</v>
      </c>
      <c r="H11" s="648" t="s">
        <v>1176</v>
      </c>
      <c r="I11" s="648"/>
      <c r="J11" s="648"/>
      <c r="L11" s="371" t="s">
        <v>1200</v>
      </c>
      <c r="M11" s="440"/>
      <c r="N11" s="435"/>
      <c r="O11" s="440"/>
      <c r="P11" s="440"/>
      <c r="Q11" s="440"/>
      <c r="R11" s="440"/>
      <c r="S11" s="440"/>
      <c r="T11" s="440"/>
      <c r="U11" s="436"/>
      <c r="X11" s="372" t="s">
        <v>1201</v>
      </c>
      <c r="Y11" s="372" t="s">
        <v>1202</v>
      </c>
      <c r="Z11" s="372" t="s">
        <v>1203</v>
      </c>
      <c r="AA11" s="372" t="s">
        <v>91</v>
      </c>
      <c r="AB11" s="372" t="s">
        <v>1204</v>
      </c>
    </row>
    <row r="12" spans="1:45" s="354" customFormat="1" ht="15" customHeight="1" x14ac:dyDescent="0.25">
      <c r="A12" s="364" t="str">
        <f t="shared" si="0"/>
        <v>01 PROJECT OVERVIEW</v>
      </c>
      <c r="B12" s="364"/>
      <c r="C12" s="364"/>
      <c r="D12" s="370" t="s">
        <v>1205</v>
      </c>
      <c r="E12" s="438" t="s">
        <v>19</v>
      </c>
      <c r="F12" s="441"/>
      <c r="G12" s="371" t="s">
        <v>1206</v>
      </c>
      <c r="H12" s="648"/>
      <c r="I12" s="648"/>
      <c r="J12" s="442"/>
      <c r="K12" s="435"/>
      <c r="L12" s="435"/>
      <c r="M12" s="440"/>
      <c r="N12" s="440"/>
      <c r="O12" s="440"/>
      <c r="P12" s="440"/>
      <c r="Q12" s="440"/>
      <c r="R12" s="440"/>
      <c r="S12" s="440"/>
      <c r="T12" s="440"/>
      <c r="U12" s="436"/>
      <c r="X12" s="372" t="s">
        <v>1207</v>
      </c>
      <c r="Y12" s="372" t="s">
        <v>1208</v>
      </c>
      <c r="Z12" s="372" t="s">
        <v>1209</v>
      </c>
      <c r="AA12" s="372" t="s">
        <v>154</v>
      </c>
      <c r="AB12" s="372" t="s">
        <v>1210</v>
      </c>
    </row>
    <row r="13" spans="1:45" s="354" customFormat="1" ht="15" customHeight="1" x14ac:dyDescent="0.25">
      <c r="A13" s="364" t="str">
        <f t="shared" si="0"/>
        <v>01 PROJECT OVERVIEW</v>
      </c>
      <c r="B13" s="364"/>
      <c r="C13" s="364"/>
      <c r="D13" s="373" t="s">
        <v>1211</v>
      </c>
      <c r="E13" s="443" t="s">
        <v>1212</v>
      </c>
      <c r="F13" s="435"/>
      <c r="G13" s="371" t="s">
        <v>955</v>
      </c>
      <c r="H13" s="438" t="str">
        <f>AD1</f>
        <v>Grace Hebert Curtis Architects</v>
      </c>
      <c r="I13" s="442"/>
      <c r="J13" s="442"/>
      <c r="K13" s="435"/>
      <c r="L13" s="435"/>
      <c r="M13" s="440"/>
      <c r="N13" s="440"/>
      <c r="O13" s="440"/>
      <c r="P13" s="440"/>
      <c r="Q13" s="440"/>
      <c r="R13" s="440"/>
      <c r="S13" s="440"/>
      <c r="T13" s="440"/>
      <c r="U13" s="436"/>
      <c r="X13" s="372" t="s">
        <v>1213</v>
      </c>
      <c r="Y13" s="372" t="s">
        <v>1214</v>
      </c>
      <c r="Z13" s="372" t="s">
        <v>1215</v>
      </c>
      <c r="AA13" s="372" t="s">
        <v>1216</v>
      </c>
      <c r="AB13" s="372" t="s">
        <v>1217</v>
      </c>
    </row>
    <row r="14" spans="1:45" ht="15" customHeight="1" x14ac:dyDescent="0.25">
      <c r="A14" s="364" t="str">
        <f t="shared" si="0"/>
        <v>01 PROJECT OVERVIEW</v>
      </c>
      <c r="B14" s="364"/>
      <c r="C14" s="364"/>
      <c r="D14" s="373" t="s">
        <v>1218</v>
      </c>
      <c r="E14" s="443" t="str">
        <f>'Cover Sheet'!DeliveryMethodDropdown</f>
        <v>Design-Bid-Build</v>
      </c>
      <c r="F14" s="435"/>
      <c r="G14" s="371" t="s">
        <v>1219</v>
      </c>
      <c r="H14" s="648" t="str">
        <f>AE1</f>
        <v>Ben Marshall</v>
      </c>
      <c r="I14" s="648"/>
      <c r="J14" s="648"/>
      <c r="K14" s="434"/>
      <c r="L14" s="444"/>
      <c r="M14" s="440"/>
      <c r="N14" s="440"/>
      <c r="O14" s="440"/>
      <c r="P14" s="440"/>
      <c r="Q14" s="440"/>
      <c r="R14" s="440"/>
      <c r="S14" s="440"/>
      <c r="T14" s="440"/>
      <c r="U14" s="436"/>
      <c r="V14" s="354"/>
      <c r="X14" s="372" t="s">
        <v>1220</v>
      </c>
      <c r="Y14" s="372" t="s">
        <v>1221</v>
      </c>
      <c r="Z14" s="372" t="s">
        <v>1222</v>
      </c>
      <c r="AA14" s="372" t="s">
        <v>1223</v>
      </c>
      <c r="AB14" s="372" t="s">
        <v>1224</v>
      </c>
    </row>
    <row r="15" spans="1:45" ht="15" customHeight="1" x14ac:dyDescent="0.25">
      <c r="A15" s="364" t="str">
        <f t="shared" si="0"/>
        <v>01 PROJECT OVERVIEW</v>
      </c>
      <c r="B15" s="364"/>
      <c r="C15" s="364"/>
      <c r="D15" s="370" t="s">
        <v>1225</v>
      </c>
      <c r="E15" s="446">
        <f>AG1</f>
        <v>45645</v>
      </c>
      <c r="F15" s="447"/>
      <c r="G15" s="371" t="s">
        <v>1226</v>
      </c>
      <c r="H15" s="649"/>
      <c r="I15" s="650"/>
      <c r="J15" s="650"/>
      <c r="K15" s="434"/>
      <c r="L15" s="444"/>
      <c r="M15" s="440"/>
      <c r="N15" s="440"/>
      <c r="O15" s="440"/>
      <c r="P15" s="440"/>
      <c r="Q15" s="440"/>
      <c r="R15" s="440"/>
      <c r="S15" s="440"/>
      <c r="T15" s="440"/>
      <c r="U15" s="436"/>
      <c r="V15" s="354"/>
      <c r="X15" s="372" t="s">
        <v>1227</v>
      </c>
      <c r="Y15" s="372" t="s">
        <v>1228</v>
      </c>
      <c r="Z15" s="372" t="s">
        <v>1229</v>
      </c>
      <c r="AA15" s="372" t="s">
        <v>1230</v>
      </c>
      <c r="AB15" s="372" t="s">
        <v>1231</v>
      </c>
    </row>
    <row r="16" spans="1:45" ht="15" customHeight="1" x14ac:dyDescent="0.25">
      <c r="A16" s="364" t="str">
        <f t="shared" si="0"/>
        <v>01 PROJECT OVERVIEW</v>
      </c>
      <c r="B16" s="364"/>
      <c r="C16" s="364"/>
      <c r="D16" s="370" t="s">
        <v>1232</v>
      </c>
      <c r="E16" s="446">
        <f>AH1</f>
        <v>45646</v>
      </c>
      <c r="F16" s="448"/>
      <c r="G16" s="371" t="s">
        <v>1233</v>
      </c>
      <c r="H16" s="651">
        <v>9000000</v>
      </c>
      <c r="I16" s="651"/>
      <c r="J16" s="650"/>
      <c r="K16" s="434"/>
      <c r="L16" s="444"/>
      <c r="M16" s="440"/>
      <c r="N16" s="440"/>
      <c r="O16" s="440"/>
      <c r="P16" s="440"/>
      <c r="Q16" s="440"/>
      <c r="R16" s="440"/>
      <c r="S16" s="440"/>
      <c r="T16" s="440"/>
      <c r="U16" s="436"/>
      <c r="V16" s="445"/>
      <c r="X16" s="372" t="s">
        <v>1234</v>
      </c>
      <c r="Y16" s="449"/>
      <c r="Z16" s="372" t="s">
        <v>1235</v>
      </c>
      <c r="AA16" s="449"/>
      <c r="AB16" s="372" t="s">
        <v>1236</v>
      </c>
    </row>
    <row r="17" spans="1:28" ht="15" customHeight="1" x14ac:dyDescent="0.25">
      <c r="A17" s="364" t="str">
        <f t="shared" si="0"/>
        <v>01 PROJECT OVERVIEW</v>
      </c>
      <c r="B17" s="364"/>
      <c r="C17" s="364"/>
      <c r="D17" s="450"/>
      <c r="E17" s="451"/>
      <c r="F17" s="435"/>
      <c r="G17" s="435"/>
      <c r="H17" s="435"/>
      <c r="I17" s="435"/>
      <c r="J17" s="434"/>
      <c r="K17" s="434"/>
      <c r="L17" s="444"/>
      <c r="M17" s="440"/>
      <c r="N17" s="440"/>
      <c r="O17" s="440"/>
      <c r="P17" s="440"/>
      <c r="Q17" s="440"/>
      <c r="R17" s="440"/>
      <c r="S17" s="440"/>
      <c r="T17" s="440"/>
      <c r="U17" s="436"/>
      <c r="V17" s="452"/>
      <c r="X17" s="372" t="s">
        <v>1237</v>
      </c>
      <c r="Y17" s="372"/>
      <c r="Z17" s="372" t="s">
        <v>1238</v>
      </c>
      <c r="AA17" s="372"/>
      <c r="AB17" s="372" t="s">
        <v>1239</v>
      </c>
    </row>
    <row r="18" spans="1:28" ht="15" customHeight="1" x14ac:dyDescent="0.25">
      <c r="A18" s="364" t="str">
        <f t="shared" si="0"/>
        <v>01 PROJECT OVERVIEW</v>
      </c>
      <c r="B18" s="364"/>
      <c r="C18" s="364"/>
      <c r="D18" s="370" t="s">
        <v>1240</v>
      </c>
      <c r="E18" s="453" t="s">
        <v>1188</v>
      </c>
      <c r="F18" s="441"/>
      <c r="G18" s="371" t="s">
        <v>16</v>
      </c>
      <c r="H18" s="545" t="str">
        <f>Initial!C4</f>
        <v>Greenville, TX</v>
      </c>
      <c r="I18" s="434"/>
      <c r="J18" s="435"/>
      <c r="K18" s="434"/>
      <c r="L18" s="434"/>
      <c r="M18" s="440"/>
      <c r="N18" s="440"/>
      <c r="O18" s="440"/>
      <c r="P18" s="440"/>
      <c r="Q18" s="440"/>
      <c r="R18" s="440"/>
      <c r="S18" s="440"/>
      <c r="T18" s="440"/>
      <c r="U18" s="436"/>
      <c r="V18" s="445"/>
      <c r="X18" s="372" t="s">
        <v>1241</v>
      </c>
      <c r="Y18" s="372"/>
      <c r="Z18" s="372" t="s">
        <v>1242</v>
      </c>
      <c r="AA18" s="372"/>
      <c r="AB18" s="372" t="s">
        <v>19</v>
      </c>
    </row>
    <row r="19" spans="1:28" ht="15" customHeight="1" x14ac:dyDescent="0.25">
      <c r="A19" s="364" t="str">
        <f t="shared" si="0"/>
        <v>01 PROJECT OVERVIEW</v>
      </c>
      <c r="B19" s="364"/>
      <c r="C19" s="364"/>
      <c r="D19" s="370" t="s">
        <v>1243</v>
      </c>
      <c r="E19" s="453" t="str">
        <f>AI1</f>
        <v>Heather Nicholson</v>
      </c>
      <c r="F19" s="435"/>
      <c r="G19" s="371" t="s">
        <v>1244</v>
      </c>
      <c r="H19" s="374" t="s">
        <v>1245</v>
      </c>
      <c r="I19" s="375"/>
      <c r="J19" s="435"/>
      <c r="K19" s="434"/>
      <c r="L19" s="444"/>
      <c r="M19" s="440"/>
      <c r="N19" s="440"/>
      <c r="O19" s="440"/>
      <c r="P19" s="440"/>
      <c r="Q19" s="440"/>
      <c r="R19" s="440"/>
      <c r="S19" s="440"/>
      <c r="T19" s="440"/>
      <c r="U19" s="436"/>
      <c r="V19" s="445"/>
      <c r="X19" s="372" t="s">
        <v>1246</v>
      </c>
      <c r="Y19" s="372"/>
      <c r="Z19" s="372" t="s">
        <v>1247</v>
      </c>
      <c r="AA19" s="372"/>
    </row>
    <row r="20" spans="1:28" ht="15" customHeight="1" x14ac:dyDescent="0.25">
      <c r="A20" s="364" t="str">
        <f t="shared" si="0"/>
        <v>01 PROJECT OVERVIEW</v>
      </c>
      <c r="B20" s="364"/>
      <c r="C20" s="364"/>
      <c r="D20" s="370" t="s">
        <v>1248</v>
      </c>
      <c r="E20" s="446">
        <f>AF1</f>
        <v>45632</v>
      </c>
      <c r="F20" s="435"/>
      <c r="G20" s="376" t="s">
        <v>1249</v>
      </c>
      <c r="H20" s="652">
        <f>Initial!D51</f>
        <v>45778</v>
      </c>
      <c r="I20" s="652"/>
      <c r="J20" s="652"/>
      <c r="K20" s="434"/>
      <c r="L20" s="444"/>
      <c r="M20" s="444"/>
      <c r="N20" s="454"/>
      <c r="O20" s="434"/>
      <c r="P20" s="434"/>
      <c r="Q20" s="434"/>
      <c r="R20" s="434"/>
      <c r="S20" s="434"/>
      <c r="T20" s="434"/>
      <c r="U20" s="436"/>
      <c r="V20" s="445"/>
      <c r="X20" s="372" t="s">
        <v>1250</v>
      </c>
      <c r="Y20" s="372"/>
      <c r="Z20" s="372"/>
    </row>
    <row r="21" spans="1:28" ht="15" customHeight="1" x14ac:dyDescent="0.25">
      <c r="A21" s="364" t="str">
        <f t="shared" si="0"/>
        <v>01 PROJECT OVERVIEW</v>
      </c>
      <c r="B21" s="364"/>
      <c r="C21" s="364"/>
      <c r="D21" s="370" t="s">
        <v>1251</v>
      </c>
      <c r="E21" s="443" t="str">
        <f>Initial!C9</f>
        <v>CSI (2004)</v>
      </c>
      <c r="F21" s="435"/>
      <c r="G21" s="376" t="s">
        <v>1252</v>
      </c>
      <c r="H21" s="455" t="str">
        <f>_xlfn.CONCAT(durationMonths," Mos.")</f>
        <v>18 Mos.</v>
      </c>
      <c r="I21" s="435"/>
      <c r="J21" s="435"/>
      <c r="K21" s="434"/>
      <c r="L21" s="444"/>
      <c r="M21" s="444"/>
      <c r="N21" s="456"/>
      <c r="O21" s="434"/>
      <c r="P21" s="434"/>
      <c r="Q21" s="457"/>
      <c r="R21" s="434"/>
      <c r="S21" s="434"/>
      <c r="T21" s="434"/>
      <c r="U21" s="436"/>
      <c r="V21" s="458"/>
      <c r="X21" s="372" t="s">
        <v>1209</v>
      </c>
      <c r="Y21" s="372"/>
      <c r="Z21" s="372"/>
    </row>
    <row r="22" spans="1:28" ht="15" customHeight="1" x14ac:dyDescent="0.25">
      <c r="A22" s="364" t="str">
        <f t="shared" si="0"/>
        <v>01 PROJECT OVERVIEW</v>
      </c>
      <c r="B22" s="364"/>
      <c r="C22" s="364"/>
      <c r="D22" s="373" t="s">
        <v>1253</v>
      </c>
      <c r="E22" s="435" t="str">
        <f>Summary!C16</f>
        <v>01. BUILDING</v>
      </c>
      <c r="F22" s="435"/>
      <c r="G22" s="376" t="s">
        <v>1254</v>
      </c>
      <c r="H22" s="443" t="s">
        <v>1301</v>
      </c>
      <c r="I22" s="435"/>
      <c r="J22" s="459" t="b">
        <v>1</v>
      </c>
      <c r="L22" s="444"/>
      <c r="M22" s="444"/>
      <c r="N22" s="456"/>
      <c r="O22" s="434"/>
      <c r="P22" s="460"/>
      <c r="Q22" s="434"/>
      <c r="R22" s="434"/>
      <c r="S22" s="434"/>
      <c r="T22" s="434"/>
      <c r="U22" s="436"/>
      <c r="V22" s="458"/>
    </row>
    <row r="23" spans="1:28" ht="15" customHeight="1" x14ac:dyDescent="0.25">
      <c r="A23" s="364" t="str">
        <f t="shared" si="0"/>
        <v>01 PROJECT OVERVIEW</v>
      </c>
      <c r="B23" s="364"/>
      <c r="C23" s="364"/>
      <c r="D23" s="461"/>
      <c r="E23" s="435" t="str">
        <f>Summary!C18</f>
        <v>02. SITE</v>
      </c>
      <c r="F23" s="435"/>
      <c r="G23" s="435"/>
      <c r="H23" s="443" t="s">
        <v>1302</v>
      </c>
      <c r="I23" s="435"/>
      <c r="J23" s="459" t="b">
        <v>1</v>
      </c>
      <c r="L23" s="434"/>
      <c r="M23" s="434"/>
      <c r="N23" s="454"/>
      <c r="O23" s="434"/>
      <c r="P23" s="460" t="s">
        <v>1255</v>
      </c>
      <c r="Q23" s="434"/>
      <c r="R23" s="434"/>
      <c r="S23" s="434"/>
      <c r="T23" s="434"/>
      <c r="U23" s="436"/>
      <c r="V23" s="458"/>
    </row>
    <row r="24" spans="1:28" ht="15" customHeight="1" x14ac:dyDescent="0.25">
      <c r="A24" s="364" t="str">
        <f t="shared" si="0"/>
        <v>01 PROJECT OVERVIEW</v>
      </c>
      <c r="B24" s="364"/>
      <c r="C24" s="364"/>
      <c r="D24" s="461"/>
      <c r="E24" s="435"/>
      <c r="F24" s="435"/>
      <c r="G24" s="435"/>
      <c r="H24" s="443" t="s">
        <v>1303</v>
      </c>
      <c r="J24" s="459" t="b">
        <v>1</v>
      </c>
      <c r="L24" s="444"/>
      <c r="M24" s="444"/>
      <c r="N24" s="456"/>
      <c r="O24" s="434"/>
      <c r="P24" s="460"/>
      <c r="Q24" s="434"/>
      <c r="R24" s="434"/>
      <c r="S24" s="434"/>
      <c r="T24" s="434"/>
      <c r="U24" s="436"/>
      <c r="V24" s="452"/>
    </row>
    <row r="25" spans="1:28" ht="15" customHeight="1" x14ac:dyDescent="0.25">
      <c r="A25" s="364" t="str">
        <f t="shared" si="0"/>
        <v>01 PROJECT OVERVIEW</v>
      </c>
      <c r="B25" s="364"/>
      <c r="C25" s="364"/>
      <c r="D25" s="461"/>
      <c r="E25" s="435"/>
      <c r="F25" s="435"/>
      <c r="G25" s="435"/>
      <c r="H25" s="435"/>
      <c r="I25" s="435"/>
      <c r="J25" s="434"/>
      <c r="L25" s="434"/>
      <c r="M25" s="434"/>
      <c r="N25" s="454"/>
      <c r="O25" s="434"/>
      <c r="P25" s="460" t="s">
        <v>1255</v>
      </c>
      <c r="Q25" s="434"/>
      <c r="R25" s="434"/>
      <c r="S25" s="434"/>
      <c r="T25" s="434"/>
      <c r="U25" s="436"/>
      <c r="V25" s="445"/>
    </row>
    <row r="26" spans="1:28" ht="15" customHeight="1" x14ac:dyDescent="0.25">
      <c r="A26" s="364" t="str">
        <f t="shared" si="0"/>
        <v>01 PROJECT OVERVIEW</v>
      </c>
      <c r="B26" s="364"/>
      <c r="C26" s="364"/>
      <c r="D26" s="462"/>
      <c r="K26" s="434"/>
      <c r="L26" s="444"/>
      <c r="M26" s="444"/>
      <c r="N26" s="454"/>
      <c r="O26" s="434"/>
      <c r="P26" s="434"/>
      <c r="Q26" s="434"/>
      <c r="R26" s="434"/>
      <c r="S26" s="434"/>
      <c r="T26" s="434"/>
      <c r="U26" s="436"/>
      <c r="V26" s="445"/>
    </row>
    <row r="27" spans="1:28" ht="15" customHeight="1" x14ac:dyDescent="0.25">
      <c r="A27" s="364" t="str">
        <f t="shared" si="0"/>
        <v>01 PROJECT OVERVIEW</v>
      </c>
      <c r="B27" s="364"/>
      <c r="C27" s="364"/>
      <c r="D27" s="461"/>
      <c r="E27" s="435"/>
      <c r="F27" s="435"/>
      <c r="G27" s="435"/>
      <c r="H27" s="434"/>
      <c r="I27" s="434"/>
      <c r="J27" s="434"/>
      <c r="K27" s="434"/>
      <c r="L27" s="444"/>
      <c r="M27" s="444"/>
      <c r="N27" s="454"/>
      <c r="O27" s="434"/>
      <c r="P27" s="434"/>
      <c r="Q27" s="434"/>
      <c r="R27" s="434"/>
      <c r="S27" s="434"/>
      <c r="T27" s="434"/>
      <c r="U27" s="436"/>
      <c r="V27" s="445"/>
    </row>
    <row r="28" spans="1:28" ht="15" customHeight="1" x14ac:dyDescent="0.25">
      <c r="A28" s="364" t="str">
        <f t="shared" si="0"/>
        <v>01 PROJECT OVERVIEW</v>
      </c>
      <c r="B28" s="364"/>
      <c r="C28" s="364"/>
      <c r="D28" s="462"/>
      <c r="F28" s="435"/>
      <c r="J28" s="434"/>
      <c r="K28" s="434"/>
      <c r="L28" s="444"/>
      <c r="M28" s="444"/>
      <c r="N28" s="456"/>
      <c r="O28" s="434"/>
      <c r="P28" s="434"/>
      <c r="Q28" s="457"/>
      <c r="R28" s="434"/>
      <c r="S28" s="434"/>
      <c r="T28" s="434"/>
      <c r="U28" s="436"/>
      <c r="V28" s="458"/>
    </row>
    <row r="29" spans="1:28" ht="15" customHeight="1" x14ac:dyDescent="0.25">
      <c r="A29" s="364" t="str">
        <f t="shared" si="0"/>
        <v>01 PROJECT OVERVIEW</v>
      </c>
      <c r="B29" s="364"/>
      <c r="C29" s="364"/>
      <c r="D29" s="462"/>
      <c r="F29" s="435"/>
      <c r="I29" s="434"/>
      <c r="J29" s="434"/>
      <c r="K29" s="434"/>
      <c r="L29" s="444"/>
      <c r="M29" s="444"/>
      <c r="N29" s="456"/>
      <c r="O29" s="434"/>
      <c r="P29" s="460"/>
      <c r="Q29" s="434"/>
      <c r="R29" s="434"/>
      <c r="S29" s="434"/>
      <c r="T29" s="434"/>
      <c r="U29" s="436"/>
      <c r="V29" s="458"/>
    </row>
    <row r="30" spans="1:28" ht="15" customHeight="1" x14ac:dyDescent="0.25">
      <c r="A30" s="364" t="str">
        <f t="shared" si="0"/>
        <v>01 PROJECT OVERVIEW</v>
      </c>
      <c r="B30" s="364"/>
      <c r="C30" s="364"/>
      <c r="D30" s="462"/>
      <c r="F30" s="448"/>
      <c r="I30" s="434"/>
      <c r="J30" s="434"/>
      <c r="K30" s="434"/>
      <c r="L30" s="434"/>
      <c r="M30" s="434"/>
      <c r="N30" s="454"/>
      <c r="O30" s="434"/>
      <c r="P30" s="460" t="s">
        <v>1255</v>
      </c>
      <c r="Q30" s="434"/>
      <c r="R30" s="434"/>
      <c r="S30" s="434"/>
      <c r="T30" s="434"/>
      <c r="U30" s="436"/>
      <c r="V30" s="458"/>
    </row>
    <row r="31" spans="1:28" ht="15" customHeight="1" x14ac:dyDescent="0.25">
      <c r="A31" s="364" t="str">
        <f t="shared" si="0"/>
        <v>01 PROJECT OVERVIEW</v>
      </c>
      <c r="B31" s="364"/>
      <c r="C31" s="364"/>
      <c r="D31" s="462"/>
      <c r="J31" s="434"/>
      <c r="K31" s="463"/>
      <c r="L31" s="444"/>
      <c r="M31" s="444"/>
      <c r="N31" s="454"/>
      <c r="O31" s="463"/>
      <c r="P31" s="463"/>
      <c r="Q31" s="463"/>
      <c r="R31" s="463"/>
      <c r="S31" s="463"/>
      <c r="T31" s="463"/>
      <c r="U31" s="436"/>
      <c r="V31" s="458"/>
    </row>
    <row r="32" spans="1:28" ht="15" customHeight="1" x14ac:dyDescent="0.25">
      <c r="A32" s="364" t="str">
        <f t="shared" si="0"/>
        <v>01 PROJECT OVERVIEW</v>
      </c>
      <c r="B32" s="364"/>
      <c r="C32" s="364"/>
      <c r="D32" s="377" t="s">
        <v>1233</v>
      </c>
      <c r="E32" s="378" t="s">
        <v>1256</v>
      </c>
      <c r="J32" s="434"/>
      <c r="K32" s="463"/>
      <c r="L32" s="444"/>
      <c r="M32" s="444"/>
      <c r="N32" s="454"/>
      <c r="O32" s="463"/>
      <c r="P32" s="463"/>
      <c r="Q32" s="463"/>
      <c r="R32" s="463"/>
      <c r="S32" s="463"/>
      <c r="T32" s="463"/>
      <c r="U32" s="436"/>
      <c r="V32" s="458"/>
    </row>
    <row r="33" spans="1:30" s="449" customFormat="1" ht="15" customHeight="1" x14ac:dyDescent="0.25">
      <c r="A33" s="364" t="str">
        <f t="shared" si="0"/>
        <v>01 PROJECT OVERVIEW</v>
      </c>
      <c r="B33" s="364"/>
      <c r="C33" s="364"/>
      <c r="D33" s="464">
        <f>H16</f>
        <v>9000000</v>
      </c>
      <c r="E33" s="465">
        <f>Summary!E81</f>
        <v>13001496.722816197</v>
      </c>
      <c r="F33" s="435"/>
      <c r="K33" s="434"/>
      <c r="L33" s="444"/>
      <c r="M33" s="444"/>
      <c r="N33" s="454"/>
      <c r="O33" s="434"/>
      <c r="P33" s="434"/>
      <c r="Q33" s="434"/>
      <c r="R33" s="434"/>
      <c r="S33" s="434"/>
      <c r="T33" s="434"/>
      <c r="U33" s="436"/>
      <c r="W33" s="354"/>
      <c r="X33" s="354"/>
      <c r="Y33" s="354"/>
      <c r="Z33" s="354"/>
      <c r="AA33" s="354"/>
      <c r="AB33" s="354"/>
      <c r="AC33" s="354"/>
      <c r="AD33" s="354"/>
    </row>
    <row r="34" spans="1:30" s="449" customFormat="1" ht="15" customHeight="1" x14ac:dyDescent="0.25">
      <c r="A34" s="364" t="str">
        <f t="shared" si="0"/>
        <v>01 PROJECT OVERVIEW</v>
      </c>
      <c r="B34" s="364"/>
      <c r="C34" s="364"/>
      <c r="D34" s="462"/>
      <c r="E34" s="445"/>
      <c r="F34" s="445"/>
      <c r="K34" s="434"/>
      <c r="L34" s="444"/>
      <c r="M34" s="444"/>
      <c r="N34" s="454"/>
      <c r="O34" s="434"/>
      <c r="P34" s="434"/>
      <c r="Q34" s="434"/>
      <c r="R34" s="434"/>
      <c r="S34" s="434"/>
      <c r="T34" s="434"/>
      <c r="U34" s="436"/>
      <c r="W34" s="354"/>
      <c r="X34" s="354"/>
      <c r="Y34" s="354"/>
      <c r="Z34" s="354"/>
      <c r="AA34" s="354"/>
      <c r="AB34" s="354"/>
      <c r="AC34" s="354"/>
      <c r="AD34" s="354"/>
    </row>
    <row r="35" spans="1:30" s="449" customFormat="1" ht="15" customHeight="1" x14ac:dyDescent="0.25">
      <c r="A35" s="364" t="str">
        <f t="shared" si="0"/>
        <v>01 PROJECT OVERVIEW</v>
      </c>
      <c r="B35" s="364"/>
      <c r="C35" s="364"/>
      <c r="D35" s="462"/>
      <c r="E35" s="445"/>
      <c r="F35" s="445"/>
      <c r="K35" s="434"/>
      <c r="L35" s="444"/>
      <c r="M35" s="444"/>
      <c r="N35" s="456"/>
      <c r="O35" s="434"/>
      <c r="P35" s="434"/>
      <c r="Q35" s="457"/>
      <c r="R35" s="434"/>
      <c r="S35" s="434"/>
      <c r="T35" s="434"/>
      <c r="U35" s="436"/>
      <c r="W35" s="354"/>
      <c r="X35" s="354"/>
      <c r="Y35" s="354"/>
      <c r="Z35" s="354"/>
      <c r="AA35" s="354"/>
      <c r="AB35" s="354"/>
      <c r="AC35" s="354"/>
      <c r="AD35" s="354"/>
    </row>
    <row r="36" spans="1:30" s="449" customFormat="1" ht="15" customHeight="1" x14ac:dyDescent="0.25">
      <c r="A36" s="364" t="str">
        <f t="shared" si="0"/>
        <v>01 PROJECT OVERVIEW</v>
      </c>
      <c r="B36" s="364"/>
      <c r="C36" s="364"/>
      <c r="D36" s="466"/>
      <c r="F36" s="445"/>
      <c r="G36" s="445"/>
      <c r="H36" s="445"/>
      <c r="I36" s="445"/>
      <c r="J36" s="445"/>
      <c r="K36" s="434"/>
      <c r="L36" s="444"/>
      <c r="M36" s="444"/>
      <c r="N36" s="456"/>
      <c r="O36" s="434"/>
      <c r="P36" s="460"/>
      <c r="Q36" s="434"/>
      <c r="R36" s="434"/>
      <c r="S36" s="434"/>
      <c r="T36" s="434"/>
      <c r="U36" s="436"/>
      <c r="W36" s="354"/>
      <c r="X36" s="354"/>
      <c r="Y36" s="354"/>
      <c r="Z36" s="354"/>
      <c r="AA36" s="354"/>
      <c r="AB36" s="354"/>
      <c r="AC36" s="354"/>
      <c r="AD36" s="354"/>
    </row>
    <row r="37" spans="1:30" s="449" customFormat="1" ht="15" customHeight="1" x14ac:dyDescent="0.25">
      <c r="A37" s="364" t="str">
        <f t="shared" si="0"/>
        <v>01 PROJECT OVERVIEW</v>
      </c>
      <c r="B37" s="364"/>
      <c r="C37" s="364"/>
      <c r="D37" s="461"/>
      <c r="E37" s="435"/>
      <c r="F37" s="441"/>
      <c r="G37" s="435"/>
      <c r="H37" s="435"/>
      <c r="I37" s="434"/>
      <c r="J37" s="434"/>
      <c r="K37" s="434"/>
      <c r="L37" s="434"/>
      <c r="M37" s="434"/>
      <c r="N37" s="454"/>
      <c r="O37" s="434"/>
      <c r="P37" s="460" t="s">
        <v>1255</v>
      </c>
      <c r="Q37" s="434"/>
      <c r="R37" s="434"/>
      <c r="S37" s="434"/>
      <c r="T37" s="434"/>
      <c r="U37" s="436"/>
      <c r="W37" s="354"/>
      <c r="X37" s="354"/>
      <c r="Y37" s="354"/>
      <c r="Z37" s="354"/>
      <c r="AA37" s="354"/>
      <c r="AB37" s="354"/>
      <c r="AC37" s="354"/>
      <c r="AD37" s="354"/>
    </row>
    <row r="38" spans="1:30" s="449" customFormat="1" ht="15" customHeight="1" x14ac:dyDescent="0.25">
      <c r="A38" s="364" t="str">
        <f t="shared" si="0"/>
        <v>01 PROJECT OVERVIEW</v>
      </c>
      <c r="B38" s="364"/>
      <c r="C38" s="364"/>
      <c r="D38" s="462"/>
      <c r="E38" s="445"/>
      <c r="F38" s="445"/>
      <c r="G38" s="445"/>
      <c r="H38" s="445"/>
      <c r="I38" s="463"/>
      <c r="J38" s="463"/>
      <c r="K38" s="463"/>
      <c r="L38" s="444"/>
      <c r="M38" s="444"/>
      <c r="N38" s="454"/>
      <c r="O38" s="463"/>
      <c r="P38" s="463"/>
      <c r="Q38" s="463"/>
      <c r="R38" s="463"/>
      <c r="S38" s="463"/>
      <c r="T38" s="463"/>
      <c r="U38" s="436"/>
      <c r="W38" s="354"/>
      <c r="X38" s="354"/>
      <c r="Y38" s="354"/>
      <c r="Z38" s="354"/>
      <c r="AA38" s="354"/>
      <c r="AB38" s="354"/>
      <c r="AC38" s="354"/>
      <c r="AD38" s="354"/>
    </row>
    <row r="39" spans="1:30" s="449" customFormat="1" ht="15" customHeight="1" thickBot="1" x14ac:dyDescent="0.3">
      <c r="A39" s="364" t="str">
        <f t="shared" si="0"/>
        <v>01 PROJECT OVERVIEW</v>
      </c>
      <c r="B39" s="364"/>
      <c r="C39" s="364"/>
      <c r="D39" s="467"/>
      <c r="E39" s="468"/>
      <c r="F39" s="468"/>
      <c r="G39" s="468"/>
      <c r="H39" s="468"/>
      <c r="I39" s="469"/>
      <c r="J39" s="469"/>
      <c r="K39" s="469"/>
      <c r="L39" s="470"/>
      <c r="M39" s="470"/>
      <c r="N39" s="471"/>
      <c r="O39" s="469"/>
      <c r="P39" s="469"/>
      <c r="Q39" s="469"/>
      <c r="R39" s="469"/>
      <c r="S39" s="469"/>
      <c r="T39" s="469"/>
      <c r="U39" s="472"/>
      <c r="W39" s="354"/>
      <c r="X39" s="354"/>
      <c r="Y39" s="354"/>
      <c r="Z39" s="354"/>
      <c r="AA39" s="354"/>
      <c r="AB39" s="354"/>
      <c r="AC39" s="354"/>
      <c r="AD39" s="354"/>
    </row>
    <row r="40" spans="1:30" ht="24" thickBot="1" x14ac:dyDescent="0.3">
      <c r="A40" s="364" t="str">
        <f t="shared" ref="A40:A70" si="1">$D$40</f>
        <v>02 TASKING SUMMARY</v>
      </c>
      <c r="B40" s="364"/>
      <c r="C40" s="364"/>
      <c r="D40" s="646" t="s">
        <v>1257</v>
      </c>
      <c r="E40" s="644"/>
      <c r="F40" s="644"/>
      <c r="G40" s="644"/>
      <c r="H40" s="644"/>
      <c r="I40" s="644"/>
      <c r="J40" s="644"/>
      <c r="K40" s="644"/>
      <c r="L40" s="644"/>
      <c r="M40" s="644"/>
      <c r="N40" s="644"/>
      <c r="O40" s="644"/>
      <c r="P40" s="644"/>
      <c r="Q40" s="644"/>
      <c r="R40" s="644"/>
      <c r="S40" s="644"/>
      <c r="T40" s="644"/>
      <c r="U40" s="647"/>
      <c r="V40" s="458"/>
    </row>
    <row r="41" spans="1:30" ht="15" customHeight="1" x14ac:dyDescent="0.25">
      <c r="A41" s="364" t="str">
        <f t="shared" si="1"/>
        <v>02 TASKING SUMMARY</v>
      </c>
      <c r="B41" s="364"/>
      <c r="C41" s="364"/>
      <c r="D41" s="373"/>
      <c r="E41" s="376"/>
      <c r="F41" s="376"/>
      <c r="G41" s="376"/>
      <c r="H41" s="376"/>
      <c r="I41" s="376"/>
      <c r="J41" s="376"/>
      <c r="K41" s="376"/>
      <c r="L41" s="376"/>
      <c r="M41" s="376"/>
      <c r="N41" s="376"/>
      <c r="O41" s="473"/>
      <c r="P41" s="473"/>
      <c r="Q41" s="473"/>
      <c r="R41" s="473"/>
      <c r="S41" s="473"/>
      <c r="T41" s="473"/>
      <c r="U41" s="474"/>
      <c r="V41" s="458"/>
    </row>
    <row r="42" spans="1:30" ht="15" customHeight="1" x14ac:dyDescent="0.25">
      <c r="A42" s="364" t="str">
        <f t="shared" si="1"/>
        <v>02 TASKING SUMMARY</v>
      </c>
      <c r="B42" s="364"/>
      <c r="C42" s="364"/>
      <c r="D42" s="379" t="s">
        <v>1258</v>
      </c>
      <c r="E42" s="380" t="s">
        <v>1259</v>
      </c>
      <c r="F42" s="435"/>
      <c r="G42" s="380" t="s">
        <v>1260</v>
      </c>
      <c r="H42" s="435"/>
      <c r="I42" s="381" t="s">
        <v>1261</v>
      </c>
      <c r="J42" s="475"/>
      <c r="K42" s="381" t="s">
        <v>1262</v>
      </c>
      <c r="L42" s="381"/>
      <c r="M42" s="381" t="s">
        <v>1263</v>
      </c>
      <c r="N42" s="475"/>
      <c r="O42" s="382"/>
      <c r="P42" s="476"/>
      <c r="Q42" s="382"/>
      <c r="R42" s="383"/>
      <c r="S42" s="477"/>
      <c r="T42" s="383"/>
      <c r="U42" s="478"/>
      <c r="V42" s="458"/>
    </row>
    <row r="43" spans="1:30" ht="15" customHeight="1" x14ac:dyDescent="0.25">
      <c r="A43" s="364" t="str">
        <f t="shared" si="1"/>
        <v>02 TASKING SUMMARY</v>
      </c>
      <c r="B43" s="364"/>
      <c r="C43" s="364"/>
      <c r="D43" s="479" t="str">
        <f>AJ1</f>
        <v>Heather Nicholson</v>
      </c>
      <c r="E43" s="480" t="s">
        <v>1264</v>
      </c>
      <c r="F43" s="435"/>
      <c r="G43" s="481" t="b">
        <v>1</v>
      </c>
      <c r="I43" s="482">
        <f>AF1+1</f>
        <v>45633</v>
      </c>
      <c r="J43" s="483"/>
      <c r="K43" s="484">
        <v>1</v>
      </c>
      <c r="L43" s="485"/>
      <c r="M43" s="486">
        <f t="shared" ref="M43:M48" si="2">K43/$K$49</f>
        <v>1.8181818181818181E-2</v>
      </c>
      <c r="N43" s="425"/>
      <c r="O43" s="487"/>
      <c r="P43" s="487"/>
      <c r="Q43" s="487"/>
      <c r="R43" s="487"/>
      <c r="S43" s="487"/>
      <c r="T43" s="487"/>
      <c r="U43" s="488"/>
      <c r="V43" s="354"/>
    </row>
    <row r="44" spans="1:30" ht="15" customHeight="1" x14ac:dyDescent="0.25">
      <c r="A44" s="364" t="str">
        <f t="shared" si="1"/>
        <v>02 TASKING SUMMARY</v>
      </c>
      <c r="B44" s="364"/>
      <c r="C44" s="364"/>
      <c r="D44" s="479" t="str">
        <f>AJ1</f>
        <v>Heather Nicholson</v>
      </c>
      <c r="E44" s="480" t="s">
        <v>1265</v>
      </c>
      <c r="F44" s="435"/>
      <c r="G44" s="481" t="b">
        <v>0</v>
      </c>
      <c r="I44" s="482">
        <f>AG1-1</f>
        <v>45644</v>
      </c>
      <c r="J44" s="475"/>
      <c r="K44" s="484">
        <f>AO1-K43-K48-K47</f>
        <v>25</v>
      </c>
      <c r="L44" s="485"/>
      <c r="M44" s="486">
        <f t="shared" si="2"/>
        <v>0.45454545454545453</v>
      </c>
      <c r="N44" s="425"/>
      <c r="O44" s="487"/>
      <c r="P44" s="487"/>
      <c r="Q44" s="487"/>
      <c r="R44" s="487"/>
      <c r="S44" s="487"/>
      <c r="T44" s="487"/>
      <c r="U44" s="488"/>
      <c r="V44" s="354"/>
    </row>
    <row r="45" spans="1:30" s="490" customFormat="1" ht="15" customHeight="1" x14ac:dyDescent="0.2">
      <c r="A45" s="364" t="str">
        <f t="shared" si="1"/>
        <v>02 TASKING SUMMARY</v>
      </c>
      <c r="B45" s="364"/>
      <c r="C45" s="364"/>
      <c r="D45" s="479" t="str">
        <f>AK1</f>
        <v>Aravind Kallahally</v>
      </c>
      <c r="E45" s="480" t="s">
        <v>1266</v>
      </c>
      <c r="F45" s="489"/>
      <c r="G45" s="481" t="b">
        <v>0</v>
      </c>
      <c r="I45" s="482">
        <f>AG1-1</f>
        <v>45644</v>
      </c>
      <c r="J45" s="491"/>
      <c r="K45" s="484">
        <f>AQ1</f>
        <v>15</v>
      </c>
      <c r="L45" s="485"/>
      <c r="M45" s="486">
        <f t="shared" si="2"/>
        <v>0.27272727272727271</v>
      </c>
      <c r="N45" s="425"/>
      <c r="O45" s="487"/>
      <c r="P45" s="487"/>
      <c r="Q45" s="487"/>
      <c r="R45" s="487"/>
      <c r="S45" s="487"/>
      <c r="T45" s="487"/>
      <c r="U45" s="488"/>
      <c r="V45" s="354"/>
      <c r="W45" s="354"/>
      <c r="X45" s="354"/>
      <c r="Y45" s="354"/>
      <c r="Z45" s="354"/>
      <c r="AA45" s="354"/>
      <c r="AB45" s="354"/>
      <c r="AC45" s="354"/>
      <c r="AD45" s="354"/>
    </row>
    <row r="46" spans="1:30" s="490" customFormat="1" ht="15" customHeight="1" x14ac:dyDescent="0.2">
      <c r="A46" s="364" t="str">
        <f t="shared" si="1"/>
        <v>02 TASKING SUMMARY</v>
      </c>
      <c r="B46" s="364"/>
      <c r="C46" s="364"/>
      <c r="D46" s="479" t="str">
        <f>AL1</f>
        <v>Nishant More</v>
      </c>
      <c r="E46" s="480" t="s">
        <v>1267</v>
      </c>
      <c r="F46" s="489"/>
      <c r="G46" s="481" t="b">
        <v>0</v>
      </c>
      <c r="I46" s="482">
        <f>AG1-1</f>
        <v>45644</v>
      </c>
      <c r="J46" s="491"/>
      <c r="K46" s="484">
        <f>AR1</f>
        <v>11</v>
      </c>
      <c r="L46" s="485"/>
      <c r="M46" s="486">
        <f t="shared" si="2"/>
        <v>0.2</v>
      </c>
      <c r="N46" s="425"/>
      <c r="O46" s="487"/>
      <c r="P46" s="487"/>
      <c r="Q46" s="487"/>
      <c r="R46" s="487"/>
      <c r="S46" s="487"/>
      <c r="T46" s="487"/>
      <c r="U46" s="488"/>
      <c r="V46" s="354"/>
      <c r="W46" s="354"/>
      <c r="X46" s="354"/>
      <c r="Y46" s="354"/>
      <c r="Z46" s="354"/>
      <c r="AA46" s="354"/>
      <c r="AB46" s="354"/>
      <c r="AC46" s="354"/>
      <c r="AD46" s="354"/>
    </row>
    <row r="47" spans="1:30" s="449" customFormat="1" ht="15" customHeight="1" x14ac:dyDescent="0.25">
      <c r="A47" s="364" t="str">
        <f t="shared" si="1"/>
        <v>02 TASKING SUMMARY</v>
      </c>
      <c r="B47" s="364"/>
      <c r="C47" s="364"/>
      <c r="D47" s="479" t="str">
        <f>AM1</f>
        <v>Raymond Bodo</v>
      </c>
      <c r="E47" s="480" t="s">
        <v>1268</v>
      </c>
      <c r="F47" s="473"/>
      <c r="G47" s="481" t="b">
        <v>0</v>
      </c>
      <c r="I47" s="482">
        <f>AG1</f>
        <v>45645</v>
      </c>
      <c r="J47" s="491"/>
      <c r="K47" s="484">
        <v>1</v>
      </c>
      <c r="L47" s="485"/>
      <c r="M47" s="486">
        <f t="shared" si="2"/>
        <v>1.8181818181818181E-2</v>
      </c>
      <c r="N47" s="425"/>
      <c r="O47" s="487"/>
      <c r="P47" s="487"/>
      <c r="Q47" s="487"/>
      <c r="R47" s="487"/>
      <c r="S47" s="487"/>
      <c r="T47" s="487"/>
      <c r="U47" s="488"/>
      <c r="W47" s="354"/>
      <c r="X47" s="354"/>
      <c r="Y47" s="354"/>
      <c r="Z47" s="354"/>
      <c r="AA47" s="354"/>
      <c r="AB47" s="354"/>
      <c r="AC47" s="354"/>
      <c r="AD47" s="354"/>
    </row>
    <row r="48" spans="1:30" ht="15" customHeight="1" x14ac:dyDescent="0.25">
      <c r="A48" s="364" t="str">
        <f t="shared" si="1"/>
        <v>02 TASKING SUMMARY</v>
      </c>
      <c r="B48" s="364"/>
      <c r="C48" s="364"/>
      <c r="D48" s="479" t="str">
        <f>AI1</f>
        <v>Heather Nicholson</v>
      </c>
      <c r="E48" s="480" t="s">
        <v>1269</v>
      </c>
      <c r="F48" s="435"/>
      <c r="G48" s="481" t="b">
        <v>0</v>
      </c>
      <c r="I48" s="482">
        <f>AH1</f>
        <v>45646</v>
      </c>
      <c r="J48" s="491"/>
      <c r="K48" s="484">
        <v>2</v>
      </c>
      <c r="L48" s="485"/>
      <c r="M48" s="486">
        <f t="shared" si="2"/>
        <v>3.6363636363636362E-2</v>
      </c>
      <c r="N48" s="425"/>
      <c r="O48" s="487"/>
      <c r="P48" s="487"/>
      <c r="Q48" s="487"/>
      <c r="R48" s="487"/>
      <c r="S48" s="487"/>
      <c r="T48" s="487"/>
      <c r="U48" s="488"/>
      <c r="V48" s="354"/>
    </row>
    <row r="49" spans="1:30" s="449" customFormat="1" ht="15" customHeight="1" x14ac:dyDescent="0.25">
      <c r="A49" s="364" t="str">
        <f t="shared" si="1"/>
        <v>02 TASKING SUMMARY</v>
      </c>
      <c r="B49" s="364"/>
      <c r="C49" s="364"/>
      <c r="D49" s="384"/>
      <c r="E49" s="385"/>
      <c r="F49" s="385"/>
      <c r="G49" s="385"/>
      <c r="H49" s="386"/>
      <c r="I49" s="385" t="s">
        <v>1270</v>
      </c>
      <c r="J49" s="385"/>
      <c r="K49" s="387">
        <f>SUM(K43:K48)</f>
        <v>55</v>
      </c>
      <c r="L49" s="385"/>
      <c r="M49" s="388">
        <f>SUM(M43:M48)</f>
        <v>0.99999999999999989</v>
      </c>
      <c r="N49" s="425"/>
      <c r="O49" s="487"/>
      <c r="P49" s="487"/>
      <c r="Q49" s="487"/>
      <c r="R49" s="487"/>
      <c r="S49" s="487"/>
      <c r="T49" s="487"/>
      <c r="U49" s="389"/>
      <c r="V49" s="492"/>
      <c r="W49" s="354"/>
      <c r="X49" s="354"/>
      <c r="Y49" s="354"/>
      <c r="Z49" s="354"/>
      <c r="AA49" s="354"/>
      <c r="AB49" s="354"/>
      <c r="AC49" s="354"/>
      <c r="AD49" s="354"/>
    </row>
    <row r="50" spans="1:30" s="449" customFormat="1" ht="15" customHeight="1" x14ac:dyDescent="0.25">
      <c r="A50" s="364" t="str">
        <f t="shared" si="1"/>
        <v>02 TASKING SUMMARY</v>
      </c>
      <c r="B50" s="364"/>
      <c r="C50" s="364"/>
      <c r="D50" s="390"/>
      <c r="E50" s="391"/>
      <c r="F50" s="391"/>
      <c r="G50" s="391"/>
      <c r="H50" s="391"/>
      <c r="I50" s="391"/>
      <c r="J50" s="391"/>
      <c r="K50" s="391"/>
      <c r="L50" s="391"/>
      <c r="M50" s="391"/>
      <c r="N50" s="391"/>
      <c r="O50" s="392"/>
      <c r="P50" s="392"/>
      <c r="Q50" s="392"/>
      <c r="R50" s="392"/>
      <c r="S50" s="392"/>
      <c r="T50" s="392"/>
      <c r="U50" s="393"/>
      <c r="V50" s="492"/>
      <c r="W50" s="354"/>
      <c r="X50" s="354"/>
      <c r="Y50" s="354"/>
      <c r="Z50" s="354"/>
      <c r="AA50" s="354"/>
      <c r="AB50" s="354"/>
      <c r="AC50" s="354"/>
      <c r="AD50" s="354"/>
    </row>
    <row r="51" spans="1:30" s="449" customFormat="1" ht="15" customHeight="1" x14ac:dyDescent="0.25">
      <c r="A51" s="364" t="str">
        <f t="shared" si="1"/>
        <v>02 TASKING SUMMARY</v>
      </c>
      <c r="B51" s="364"/>
      <c r="C51" s="364"/>
      <c r="D51" s="390"/>
      <c r="E51" s="391"/>
      <c r="F51" s="391"/>
      <c r="G51" s="391"/>
      <c r="H51" s="391"/>
      <c r="I51" s="391"/>
      <c r="J51" s="391"/>
      <c r="K51" s="391"/>
      <c r="L51" s="391"/>
      <c r="M51" s="391"/>
      <c r="N51" s="391"/>
      <c r="O51" s="391"/>
      <c r="P51" s="391"/>
      <c r="Q51" s="391"/>
      <c r="R51" s="391"/>
      <c r="S51" s="391"/>
      <c r="T51" s="391"/>
      <c r="U51" s="394"/>
      <c r="V51" s="492"/>
      <c r="W51" s="354"/>
      <c r="X51" s="354"/>
      <c r="Y51" s="354"/>
      <c r="Z51" s="354"/>
      <c r="AA51" s="354"/>
      <c r="AB51" s="354"/>
      <c r="AC51" s="354"/>
      <c r="AD51" s="354"/>
    </row>
    <row r="52" spans="1:30" s="449" customFormat="1" ht="15" customHeight="1" x14ac:dyDescent="0.25">
      <c r="A52" s="364" t="str">
        <f t="shared" si="1"/>
        <v>02 TASKING SUMMARY</v>
      </c>
      <c r="B52" s="364"/>
      <c r="C52" s="364"/>
      <c r="D52" s="395"/>
      <c r="E52" s="354"/>
      <c r="F52" s="354"/>
      <c r="G52" s="391"/>
      <c r="H52" s="391"/>
      <c r="I52" s="391"/>
      <c r="J52" s="391"/>
      <c r="K52" s="391"/>
      <c r="L52" s="391"/>
      <c r="M52" s="391"/>
      <c r="N52" s="391"/>
      <c r="O52" s="391"/>
      <c r="P52" s="391"/>
      <c r="Q52" s="391"/>
      <c r="R52" s="391"/>
      <c r="S52" s="391"/>
      <c r="T52" s="391"/>
      <c r="U52" s="394"/>
      <c r="V52" s="492"/>
      <c r="W52" s="354"/>
      <c r="X52" s="354"/>
      <c r="Y52" s="354"/>
      <c r="Z52" s="354"/>
      <c r="AA52" s="354"/>
      <c r="AB52" s="354"/>
      <c r="AC52" s="354"/>
      <c r="AD52" s="354"/>
    </row>
    <row r="53" spans="1:30" s="449" customFormat="1" ht="15" customHeight="1" x14ac:dyDescent="0.25">
      <c r="A53" s="364" t="str">
        <f t="shared" si="1"/>
        <v>02 TASKING SUMMARY</v>
      </c>
      <c r="B53" s="364"/>
      <c r="C53" s="364"/>
      <c r="D53" s="395"/>
      <c r="E53" s="354"/>
      <c r="F53" s="354"/>
      <c r="G53" s="391"/>
      <c r="H53" s="391"/>
      <c r="I53" s="391"/>
      <c r="J53" s="391"/>
      <c r="K53" s="391"/>
      <c r="L53" s="391"/>
      <c r="M53" s="391"/>
      <c r="N53" s="391"/>
      <c r="O53" s="391"/>
      <c r="P53" s="391"/>
      <c r="Q53" s="391"/>
      <c r="R53" s="391"/>
      <c r="S53" s="391"/>
      <c r="T53" s="391"/>
      <c r="U53" s="394"/>
      <c r="V53" s="492"/>
      <c r="W53" s="354"/>
      <c r="X53" s="354"/>
      <c r="Y53" s="354"/>
      <c r="Z53" s="354"/>
      <c r="AA53" s="354"/>
      <c r="AB53" s="354"/>
      <c r="AC53" s="354"/>
      <c r="AD53" s="354"/>
    </row>
    <row r="54" spans="1:30" s="449" customFormat="1" ht="15" customHeight="1" x14ac:dyDescent="0.25">
      <c r="A54" s="364" t="str">
        <f t="shared" si="1"/>
        <v>02 TASKING SUMMARY</v>
      </c>
      <c r="B54" s="364"/>
      <c r="C54" s="364"/>
      <c r="D54" s="395"/>
      <c r="E54" s="354"/>
      <c r="F54" s="354"/>
      <c r="G54" s="391"/>
      <c r="H54" s="391"/>
      <c r="I54" s="391"/>
      <c r="J54" s="391"/>
      <c r="K54" s="391"/>
      <c r="L54" s="391"/>
      <c r="M54" s="391"/>
      <c r="N54" s="391"/>
      <c r="O54" s="391"/>
      <c r="P54" s="391"/>
      <c r="Q54" s="391"/>
      <c r="R54" s="391"/>
      <c r="S54" s="391"/>
      <c r="T54" s="391"/>
      <c r="U54" s="394"/>
      <c r="V54" s="492"/>
      <c r="W54" s="354"/>
      <c r="X54" s="354"/>
      <c r="Y54" s="354"/>
      <c r="Z54" s="354"/>
      <c r="AA54" s="354"/>
      <c r="AB54" s="354"/>
      <c r="AC54" s="354"/>
      <c r="AD54" s="354"/>
    </row>
    <row r="55" spans="1:30" ht="15" customHeight="1" x14ac:dyDescent="0.25">
      <c r="A55" s="364" t="str">
        <f t="shared" si="1"/>
        <v>02 TASKING SUMMARY</v>
      </c>
      <c r="B55" s="364"/>
      <c r="C55" s="364"/>
      <c r="D55" s="395"/>
      <c r="E55" s="354"/>
      <c r="F55" s="354"/>
      <c r="G55" s="391"/>
      <c r="H55" s="391"/>
      <c r="I55" s="391"/>
      <c r="J55" s="391"/>
      <c r="K55" s="391"/>
      <c r="L55" s="391"/>
      <c r="M55" s="391"/>
      <c r="N55" s="391"/>
      <c r="O55" s="391"/>
      <c r="P55" s="391"/>
      <c r="Q55" s="391"/>
      <c r="R55" s="391"/>
      <c r="S55" s="391"/>
      <c r="T55" s="391"/>
      <c r="U55" s="394"/>
    </row>
    <row r="56" spans="1:30" ht="15" customHeight="1" x14ac:dyDescent="0.25">
      <c r="A56" s="364" t="str">
        <f t="shared" si="1"/>
        <v>02 TASKING SUMMARY</v>
      </c>
      <c r="B56" s="364"/>
      <c r="C56" s="364"/>
      <c r="D56" s="395"/>
      <c r="E56" s="354"/>
      <c r="F56" s="354"/>
      <c r="G56" s="391"/>
      <c r="H56" s="391"/>
      <c r="I56" s="391"/>
      <c r="J56" s="391"/>
      <c r="K56" s="391"/>
      <c r="L56" s="354"/>
      <c r="M56" s="354"/>
      <c r="N56" s="354"/>
      <c r="O56" s="354"/>
      <c r="P56" s="354"/>
      <c r="Q56" s="354"/>
      <c r="R56" s="354"/>
      <c r="S56" s="354"/>
      <c r="T56" s="354"/>
      <c r="U56" s="394"/>
    </row>
    <row r="57" spans="1:30" ht="15" customHeight="1" x14ac:dyDescent="0.25">
      <c r="A57" s="364" t="str">
        <f t="shared" si="1"/>
        <v>02 TASKING SUMMARY</v>
      </c>
      <c r="B57" s="364"/>
      <c r="C57" s="364"/>
      <c r="D57" s="462"/>
      <c r="G57" s="391"/>
      <c r="J57" s="391"/>
      <c r="K57" s="391"/>
      <c r="L57" s="354"/>
      <c r="M57" s="354"/>
      <c r="N57" s="354"/>
      <c r="O57" s="354"/>
      <c r="P57" s="354"/>
      <c r="Q57" s="354"/>
      <c r="R57" s="354"/>
      <c r="S57" s="354"/>
      <c r="T57" s="354"/>
      <c r="U57" s="394"/>
    </row>
    <row r="58" spans="1:30" ht="15" customHeight="1" x14ac:dyDescent="0.25">
      <c r="A58" s="364" t="str">
        <f t="shared" si="1"/>
        <v>02 TASKING SUMMARY</v>
      </c>
      <c r="B58" s="364"/>
      <c r="C58" s="364"/>
      <c r="D58" s="462"/>
      <c r="G58" s="391"/>
      <c r="J58" s="391"/>
      <c r="K58" s="391"/>
      <c r="L58" s="354"/>
      <c r="M58" s="354"/>
      <c r="N58" s="354"/>
      <c r="O58" s="354"/>
      <c r="P58" s="354"/>
      <c r="Q58" s="354"/>
      <c r="R58" s="354"/>
      <c r="S58" s="354"/>
      <c r="T58" s="354"/>
      <c r="U58" s="394"/>
    </row>
    <row r="59" spans="1:30" s="493" customFormat="1" x14ac:dyDescent="0.25">
      <c r="A59" s="364" t="str">
        <f t="shared" si="1"/>
        <v>02 TASKING SUMMARY</v>
      </c>
      <c r="B59" s="364"/>
      <c r="C59" s="364"/>
      <c r="D59" s="494"/>
      <c r="E59" s="495"/>
      <c r="F59" s="495"/>
      <c r="G59" s="391"/>
      <c r="H59" s="496"/>
      <c r="I59" s="496"/>
      <c r="J59" s="391"/>
      <c r="K59" s="391"/>
      <c r="L59" s="354"/>
      <c r="M59" s="354"/>
      <c r="N59" s="354"/>
      <c r="O59" s="354"/>
      <c r="P59" s="354"/>
      <c r="Q59" s="354"/>
      <c r="R59" s="354"/>
      <c r="S59" s="354"/>
      <c r="T59" s="354"/>
      <c r="U59" s="394"/>
      <c r="W59" s="354"/>
      <c r="X59" s="354"/>
      <c r="Y59" s="354"/>
      <c r="Z59" s="354"/>
      <c r="AA59" s="354"/>
      <c r="AB59" s="354"/>
      <c r="AC59" s="354"/>
      <c r="AD59" s="354"/>
    </row>
    <row r="60" spans="1:30" s="499" customFormat="1" ht="15" customHeight="1" x14ac:dyDescent="0.2">
      <c r="A60" s="364" t="str">
        <f t="shared" si="1"/>
        <v>02 TASKING SUMMARY</v>
      </c>
      <c r="B60" s="364"/>
      <c r="C60" s="364"/>
      <c r="D60" s="497"/>
      <c r="E60" s="498"/>
      <c r="F60" s="498"/>
      <c r="G60" s="391"/>
      <c r="H60" s="496"/>
      <c r="I60" s="496"/>
      <c r="J60" s="391"/>
      <c r="K60" s="391"/>
      <c r="L60" s="354"/>
      <c r="M60" s="354"/>
      <c r="N60" s="354"/>
      <c r="O60" s="354"/>
      <c r="P60" s="354"/>
      <c r="Q60" s="354"/>
      <c r="R60" s="354"/>
      <c r="S60" s="354"/>
      <c r="T60" s="354"/>
      <c r="U60" s="394"/>
      <c r="W60" s="354"/>
      <c r="X60" s="354"/>
      <c r="Y60" s="354"/>
      <c r="Z60" s="354"/>
      <c r="AA60" s="354"/>
      <c r="AB60" s="354"/>
      <c r="AC60" s="354"/>
      <c r="AD60" s="354"/>
    </row>
    <row r="61" spans="1:30" s="431" customFormat="1" ht="15" customHeight="1" x14ac:dyDescent="0.2">
      <c r="A61" s="364" t="str">
        <f t="shared" si="1"/>
        <v>02 TASKING SUMMARY</v>
      </c>
      <c r="B61" s="364"/>
      <c r="C61" s="364"/>
      <c r="D61" s="500"/>
      <c r="G61" s="391"/>
      <c r="H61" s="496"/>
      <c r="I61" s="496"/>
      <c r="J61" s="391"/>
      <c r="K61" s="391"/>
      <c r="L61" s="354"/>
      <c r="M61" s="354"/>
      <c r="N61" s="354"/>
      <c r="O61" s="354"/>
      <c r="P61" s="354"/>
      <c r="Q61" s="354"/>
      <c r="R61" s="354"/>
      <c r="S61" s="354"/>
      <c r="T61" s="354"/>
      <c r="U61" s="394"/>
      <c r="V61" s="499"/>
      <c r="W61" s="354"/>
      <c r="X61" s="354"/>
      <c r="Y61" s="354"/>
      <c r="Z61" s="354"/>
      <c r="AA61" s="354"/>
      <c r="AB61" s="354"/>
      <c r="AC61" s="354"/>
      <c r="AD61" s="354"/>
    </row>
    <row r="62" spans="1:30" s="431" customFormat="1" ht="15" customHeight="1" x14ac:dyDescent="0.2">
      <c r="A62" s="364" t="str">
        <f t="shared" si="1"/>
        <v>02 TASKING SUMMARY</v>
      </c>
      <c r="B62" s="364"/>
      <c r="C62" s="364"/>
      <c r="D62" s="395"/>
      <c r="E62" s="354"/>
      <c r="F62" s="354"/>
      <c r="G62" s="391"/>
      <c r="H62" s="496"/>
      <c r="I62" s="496"/>
      <c r="J62" s="391"/>
      <c r="K62" s="391"/>
      <c r="L62" s="354"/>
      <c r="M62" s="354"/>
      <c r="N62" s="354"/>
      <c r="O62" s="354"/>
      <c r="P62" s="354"/>
      <c r="Q62" s="354"/>
      <c r="R62" s="354"/>
      <c r="S62" s="354"/>
      <c r="T62" s="354"/>
      <c r="U62" s="394"/>
      <c r="V62" s="499"/>
      <c r="W62" s="354"/>
      <c r="X62" s="354"/>
      <c r="Y62" s="354"/>
      <c r="Z62" s="354"/>
      <c r="AA62" s="354"/>
      <c r="AB62" s="354"/>
      <c r="AC62" s="354"/>
      <c r="AD62" s="354"/>
    </row>
    <row r="63" spans="1:30" s="431" customFormat="1" ht="15" customHeight="1" x14ac:dyDescent="0.2">
      <c r="A63" s="364" t="str">
        <f t="shared" si="1"/>
        <v>02 TASKING SUMMARY</v>
      </c>
      <c r="B63" s="364"/>
      <c r="C63" s="364"/>
      <c r="D63" s="396" t="s">
        <v>1258</v>
      </c>
      <c r="E63" s="397" t="s">
        <v>1262</v>
      </c>
      <c r="F63" s="397" t="s">
        <v>1271</v>
      </c>
      <c r="G63" s="398"/>
      <c r="H63" s="397" t="s">
        <v>1260</v>
      </c>
      <c r="I63" s="397" t="s">
        <v>1272</v>
      </c>
      <c r="J63" s="398"/>
      <c r="K63" s="398"/>
      <c r="L63" s="354"/>
      <c r="M63" s="354"/>
      <c r="N63" s="354"/>
      <c r="O63" s="354"/>
      <c r="P63" s="354"/>
      <c r="Q63" s="354"/>
      <c r="R63" s="354"/>
      <c r="S63" s="354"/>
      <c r="T63" s="354"/>
      <c r="U63" s="394"/>
      <c r="V63" s="499"/>
      <c r="W63" s="354"/>
      <c r="X63" s="354"/>
      <c r="Y63" s="354"/>
      <c r="Z63" s="354"/>
      <c r="AA63" s="354"/>
      <c r="AB63" s="354"/>
      <c r="AC63" s="354"/>
      <c r="AD63" s="354"/>
    </row>
    <row r="64" spans="1:30" s="431" customFormat="1" ht="15" customHeight="1" x14ac:dyDescent="0.2">
      <c r="A64" s="364" t="str">
        <f t="shared" si="1"/>
        <v>02 TASKING SUMMARY</v>
      </c>
      <c r="B64" s="364"/>
      <c r="C64" s="364"/>
      <c r="D64" s="399" t="str" cm="1">
        <f t="array" ref="D64:D67">_xlfn.UNIQUE(D43:D48,)</f>
        <v>Heather Nicholson</v>
      </c>
      <c r="E64" s="400">
        <f>SUMIF($D$42:$D$51,D64,$K$42:$K$51)</f>
        <v>28</v>
      </c>
      <c r="F64" s="400">
        <f>SUMIF($D$42:$D$51,D64,$O$42:$O$51)</f>
        <v>0</v>
      </c>
      <c r="G64" s="398"/>
      <c r="H64" s="501">
        <f ca="1">SUMIF(G43:G52,"true",M43:M51)</f>
        <v>1.8181818181818181E-2</v>
      </c>
      <c r="I64" s="501">
        <f ca="1">SUMIF(G43:G52,"false",M43:M51)</f>
        <v>0.98181818181818181</v>
      </c>
      <c r="J64" s="398"/>
      <c r="K64" s="398"/>
      <c r="L64" s="354"/>
      <c r="M64" s="354"/>
      <c r="N64" s="354"/>
      <c r="O64" s="354"/>
      <c r="P64" s="354"/>
      <c r="Q64" s="354"/>
      <c r="R64" s="354"/>
      <c r="S64" s="354"/>
      <c r="T64" s="354"/>
      <c r="U64" s="394"/>
      <c r="V64" s="499"/>
      <c r="W64" s="354"/>
      <c r="X64" s="354"/>
      <c r="Y64" s="354"/>
      <c r="Z64" s="354"/>
      <c r="AA64" s="354"/>
      <c r="AB64" s="354"/>
      <c r="AC64" s="354"/>
      <c r="AD64" s="354"/>
    </row>
    <row r="65" spans="1:30" s="431" customFormat="1" ht="15" customHeight="1" x14ac:dyDescent="0.2">
      <c r="A65" s="364" t="str">
        <f t="shared" si="1"/>
        <v>02 TASKING SUMMARY</v>
      </c>
      <c r="B65" s="364"/>
      <c r="C65" s="364"/>
      <c r="D65" s="399" t="str">
        <v>Aravind Kallahally</v>
      </c>
      <c r="E65" s="400">
        <f>SUMIF($D$42:$D$51,D65,$K$42:$K$51)</f>
        <v>15</v>
      </c>
      <c r="F65" s="400">
        <f>SUMIF($D$42:$D$51,D65,$O$42:$O$51)</f>
        <v>0</v>
      </c>
      <c r="G65" s="398"/>
      <c r="H65" s="501"/>
      <c r="I65" s="501"/>
      <c r="J65" s="398"/>
      <c r="K65" s="398"/>
      <c r="L65" s="354"/>
      <c r="M65" s="354"/>
      <c r="N65" s="354"/>
      <c r="O65" s="354"/>
      <c r="P65" s="354"/>
      <c r="Q65" s="354"/>
      <c r="R65" s="354"/>
      <c r="S65" s="354"/>
      <c r="T65" s="354"/>
      <c r="U65" s="394"/>
      <c r="V65" s="499"/>
      <c r="W65" s="354"/>
      <c r="X65" s="354"/>
      <c r="Y65" s="354"/>
      <c r="Z65" s="354"/>
      <c r="AA65" s="354"/>
      <c r="AB65" s="354"/>
      <c r="AC65" s="354"/>
      <c r="AD65" s="354"/>
    </row>
    <row r="66" spans="1:30" s="431" customFormat="1" ht="15" customHeight="1" x14ac:dyDescent="0.2">
      <c r="A66" s="364" t="str">
        <f t="shared" si="1"/>
        <v>02 TASKING SUMMARY</v>
      </c>
      <c r="B66" s="364"/>
      <c r="C66" s="364"/>
      <c r="D66" s="399" t="str">
        <v>Nishant More</v>
      </c>
      <c r="E66" s="400">
        <f>SUMIF($D$42:$D$51,D66,$K$42:$K$51)</f>
        <v>11</v>
      </c>
      <c r="F66" s="400">
        <f>SUMIF($D$42:$D$51,D66,$O$42:$O$51)</f>
        <v>0</v>
      </c>
      <c r="G66" s="398"/>
      <c r="H66" s="398"/>
      <c r="I66" s="398"/>
      <c r="J66" s="398"/>
      <c r="K66" s="398"/>
      <c r="L66" s="354"/>
      <c r="M66" s="354"/>
      <c r="N66" s="354"/>
      <c r="O66" s="354"/>
      <c r="P66" s="354"/>
      <c r="Q66" s="354"/>
      <c r="R66" s="354"/>
      <c r="S66" s="354"/>
      <c r="T66" s="354"/>
      <c r="U66" s="394"/>
      <c r="V66" s="499"/>
      <c r="W66" s="354"/>
      <c r="X66" s="354"/>
      <c r="Y66" s="354"/>
      <c r="Z66" s="354"/>
      <c r="AA66" s="354"/>
      <c r="AB66" s="354"/>
      <c r="AC66" s="354"/>
      <c r="AD66" s="354"/>
    </row>
    <row r="67" spans="1:30" s="431" customFormat="1" ht="15" customHeight="1" x14ac:dyDescent="0.2">
      <c r="A67" s="364" t="str">
        <f t="shared" si="1"/>
        <v>02 TASKING SUMMARY</v>
      </c>
      <c r="B67" s="364"/>
      <c r="C67" s="364"/>
      <c r="D67" s="399" t="str">
        <v>Raymond Bodo</v>
      </c>
      <c r="E67" s="400">
        <f>SUMIF($D$42:$D$51,D67,$K$42:$K$51)</f>
        <v>1</v>
      </c>
      <c r="F67" s="400">
        <f>SUMIF($D$42:$D$51,D67,$O$42:$O$51)</f>
        <v>0</v>
      </c>
      <c r="G67" s="398"/>
      <c r="H67" s="398"/>
      <c r="I67" s="398"/>
      <c r="J67" s="398"/>
      <c r="K67" s="398"/>
      <c r="L67" s="354"/>
      <c r="M67" s="354"/>
      <c r="N67" s="354"/>
      <c r="O67" s="354"/>
      <c r="P67" s="354"/>
      <c r="Q67" s="354"/>
      <c r="R67" s="354"/>
      <c r="S67" s="354"/>
      <c r="T67" s="354"/>
      <c r="U67" s="394"/>
      <c r="V67" s="499"/>
      <c r="W67" s="354"/>
      <c r="X67" s="354"/>
      <c r="Y67" s="354"/>
      <c r="Z67" s="354"/>
      <c r="AA67" s="354"/>
      <c r="AB67" s="354"/>
      <c r="AC67" s="354"/>
      <c r="AD67" s="354"/>
    </row>
    <row r="68" spans="1:30" s="431" customFormat="1" ht="15" customHeight="1" x14ac:dyDescent="0.2">
      <c r="A68" s="364" t="str">
        <f t="shared" si="1"/>
        <v>02 TASKING SUMMARY</v>
      </c>
      <c r="B68" s="364"/>
      <c r="C68" s="364"/>
      <c r="D68" s="401"/>
      <c r="E68" s="402"/>
      <c r="F68" s="402"/>
      <c r="G68" s="398"/>
      <c r="H68" s="398"/>
      <c r="I68" s="398"/>
      <c r="J68" s="398"/>
      <c r="K68" s="398"/>
      <c r="L68" s="354"/>
      <c r="M68" s="354"/>
      <c r="N68" s="354"/>
      <c r="O68" s="354"/>
      <c r="P68" s="354"/>
      <c r="Q68" s="354"/>
      <c r="R68" s="354"/>
      <c r="S68" s="354"/>
      <c r="T68" s="354"/>
      <c r="U68" s="394"/>
      <c r="V68" s="499"/>
      <c r="W68" s="354"/>
      <c r="X68" s="354"/>
      <c r="Y68" s="354"/>
      <c r="Z68" s="354"/>
      <c r="AA68" s="354"/>
      <c r="AB68" s="354"/>
      <c r="AC68" s="354"/>
      <c r="AD68" s="354"/>
    </row>
    <row r="69" spans="1:30" s="431" customFormat="1" ht="15" customHeight="1" x14ac:dyDescent="0.2">
      <c r="A69" s="364" t="str">
        <f t="shared" si="1"/>
        <v>02 TASKING SUMMARY</v>
      </c>
      <c r="B69" s="364"/>
      <c r="C69" s="364"/>
      <c r="D69" s="401"/>
      <c r="E69" s="402"/>
      <c r="F69" s="402"/>
      <c r="G69" s="398"/>
      <c r="H69" s="398"/>
      <c r="I69" s="398"/>
      <c r="J69" s="398"/>
      <c r="K69" s="398"/>
      <c r="L69" s="354"/>
      <c r="M69" s="354"/>
      <c r="N69" s="354"/>
      <c r="O69" s="354"/>
      <c r="P69" s="354"/>
      <c r="Q69" s="354"/>
      <c r="R69" s="354"/>
      <c r="S69" s="354"/>
      <c r="T69" s="354"/>
      <c r="U69" s="394"/>
      <c r="V69" s="499"/>
      <c r="W69" s="354"/>
      <c r="X69" s="354"/>
      <c r="Y69" s="354"/>
      <c r="Z69" s="354"/>
      <c r="AA69" s="354"/>
      <c r="AB69" s="354"/>
      <c r="AC69" s="354"/>
      <c r="AD69" s="354"/>
    </row>
    <row r="70" spans="1:30" s="431" customFormat="1" ht="15" customHeight="1" thickBot="1" x14ac:dyDescent="0.25">
      <c r="A70" s="364" t="str">
        <f t="shared" si="1"/>
        <v>02 TASKING SUMMARY</v>
      </c>
      <c r="B70" s="364"/>
      <c r="C70" s="364"/>
      <c r="D70" s="390"/>
      <c r="E70" s="391"/>
      <c r="F70" s="391"/>
      <c r="G70" s="391"/>
      <c r="H70" s="391"/>
      <c r="I70" s="391"/>
      <c r="J70" s="391"/>
      <c r="K70" s="391"/>
      <c r="L70" s="391"/>
      <c r="M70" s="391"/>
      <c r="N70" s="391"/>
      <c r="O70" s="391"/>
      <c r="P70" s="391"/>
      <c r="Q70" s="391"/>
      <c r="R70" s="391"/>
      <c r="S70" s="391"/>
      <c r="T70" s="391"/>
      <c r="U70" s="394"/>
      <c r="V70" s="499"/>
      <c r="W70" s="354"/>
      <c r="X70" s="354"/>
      <c r="Y70" s="354"/>
      <c r="Z70" s="354"/>
      <c r="AA70" s="354"/>
      <c r="AB70" s="354"/>
      <c r="AC70" s="354"/>
      <c r="AD70" s="354"/>
    </row>
    <row r="71" spans="1:30" s="449" customFormat="1" ht="24" thickBot="1" x14ac:dyDescent="0.3">
      <c r="A71" s="364" t="str">
        <f t="shared" ref="A71:A101" si="3">$D$71</f>
        <v>03 KICKOFF NOTES</v>
      </c>
      <c r="B71" s="364"/>
      <c r="C71" s="364"/>
      <c r="D71" s="646" t="s">
        <v>1273</v>
      </c>
      <c r="E71" s="644"/>
      <c r="F71" s="644"/>
      <c r="G71" s="644"/>
      <c r="H71" s="644"/>
      <c r="I71" s="644"/>
      <c r="J71" s="644"/>
      <c r="K71" s="644"/>
      <c r="L71" s="644"/>
      <c r="M71" s="644"/>
      <c r="N71" s="644"/>
      <c r="O71" s="644"/>
      <c r="P71" s="644"/>
      <c r="Q71" s="644"/>
      <c r="R71" s="644"/>
      <c r="S71" s="644"/>
      <c r="T71" s="644"/>
      <c r="U71" s="647"/>
      <c r="W71" s="354"/>
      <c r="AC71" s="354"/>
      <c r="AD71" s="354"/>
    </row>
    <row r="72" spans="1:30" s="449" customFormat="1" ht="15" customHeight="1" x14ac:dyDescent="0.25">
      <c r="A72" s="364" t="str">
        <f t="shared" si="3"/>
        <v>03 KICKOFF NOTES</v>
      </c>
      <c r="B72" s="364"/>
      <c r="C72" s="364"/>
      <c r="D72" s="403"/>
      <c r="E72" s="404"/>
      <c r="F72" s="404"/>
      <c r="G72" s="404"/>
      <c r="H72" s="404"/>
      <c r="I72" s="404"/>
      <c r="J72" s="404"/>
      <c r="K72" s="404"/>
      <c r="L72" s="404"/>
      <c r="M72" s="404"/>
      <c r="N72" s="404"/>
      <c r="O72" s="502"/>
      <c r="P72" s="502"/>
      <c r="Q72" s="502"/>
      <c r="R72" s="502"/>
      <c r="S72" s="502"/>
      <c r="T72" s="502"/>
      <c r="U72" s="503"/>
      <c r="W72" s="354"/>
      <c r="AC72" s="354"/>
      <c r="AD72" s="354"/>
    </row>
    <row r="73" spans="1:30" s="449" customFormat="1" ht="15" customHeight="1" x14ac:dyDescent="0.25">
      <c r="A73" s="364" t="str">
        <f t="shared" si="3"/>
        <v>03 KICKOFF NOTES</v>
      </c>
      <c r="B73" s="364"/>
      <c r="C73" s="364"/>
      <c r="D73" s="405" t="s">
        <v>1191</v>
      </c>
      <c r="E73" s="404"/>
      <c r="F73" s="404"/>
      <c r="G73" s="404"/>
      <c r="H73" s="404"/>
      <c r="I73" s="404"/>
      <c r="J73" s="404"/>
      <c r="L73" s="406" t="s">
        <v>1193</v>
      </c>
      <c r="M73" s="404"/>
      <c r="N73" s="404"/>
      <c r="O73" s="404"/>
      <c r="P73" s="404"/>
      <c r="Q73" s="404"/>
      <c r="R73" s="404"/>
      <c r="S73" s="502"/>
      <c r="T73" s="502"/>
      <c r="U73" s="503"/>
      <c r="W73" s="354"/>
      <c r="AC73" s="354"/>
      <c r="AD73" s="354"/>
    </row>
    <row r="74" spans="1:30" s="449" customFormat="1" ht="15" customHeight="1" x14ac:dyDescent="0.25">
      <c r="A74" s="364" t="str">
        <f t="shared" si="3"/>
        <v>03 KICKOFF NOTES</v>
      </c>
      <c r="B74" s="364"/>
      <c r="C74" s="364"/>
      <c r="D74" s="407" t="s">
        <v>1201</v>
      </c>
      <c r="E74" s="504" t="s">
        <v>1309</v>
      </c>
      <c r="F74" s="504"/>
      <c r="G74" s="504"/>
      <c r="H74" s="504"/>
      <c r="I74" s="504"/>
      <c r="J74" s="504"/>
      <c r="L74" s="645" t="s">
        <v>1203</v>
      </c>
      <c r="M74" s="645"/>
      <c r="N74" s="487"/>
      <c r="O74" s="487"/>
      <c r="P74" s="487"/>
      <c r="Q74" s="487"/>
      <c r="R74" s="487"/>
      <c r="S74" s="487"/>
      <c r="T74" s="487"/>
      <c r="U74" s="503"/>
      <c r="W74" s="354"/>
      <c r="AC74" s="354"/>
      <c r="AD74" s="354"/>
    </row>
    <row r="75" spans="1:30" s="449" customFormat="1" ht="15" customHeight="1" x14ac:dyDescent="0.25">
      <c r="A75" s="364" t="str">
        <f t="shared" si="3"/>
        <v>03 KICKOFF NOTES</v>
      </c>
      <c r="B75" s="364"/>
      <c r="C75" s="364"/>
      <c r="D75" s="407" t="s">
        <v>1207</v>
      </c>
      <c r="E75" s="504" t="s">
        <v>1274</v>
      </c>
      <c r="F75" s="504"/>
      <c r="G75" s="504"/>
      <c r="H75" s="504"/>
      <c r="I75" s="504"/>
      <c r="J75" s="504"/>
      <c r="L75" s="645" t="s">
        <v>1215</v>
      </c>
      <c r="M75" s="645"/>
      <c r="N75" s="487"/>
      <c r="O75" s="487"/>
      <c r="P75" s="487"/>
      <c r="Q75" s="487"/>
      <c r="R75" s="487"/>
      <c r="S75" s="487"/>
      <c r="T75" s="487"/>
      <c r="U75" s="503"/>
      <c r="W75" s="354"/>
      <c r="AC75" s="354"/>
      <c r="AD75" s="354"/>
    </row>
    <row r="76" spans="1:30" s="449" customFormat="1" ht="15" customHeight="1" x14ac:dyDescent="0.25">
      <c r="A76" s="364" t="str">
        <f t="shared" si="3"/>
        <v>03 KICKOFF NOTES</v>
      </c>
      <c r="B76" s="364"/>
      <c r="C76" s="364"/>
      <c r="D76" s="407" t="s">
        <v>1234</v>
      </c>
      <c r="E76" s="504" t="s">
        <v>1307</v>
      </c>
      <c r="F76" s="504"/>
      <c r="G76" s="504"/>
      <c r="H76" s="504"/>
      <c r="I76" s="504"/>
      <c r="J76" s="504"/>
      <c r="L76" s="645" t="s">
        <v>1229</v>
      </c>
      <c r="M76" s="645"/>
      <c r="N76" s="487" t="s">
        <v>1274</v>
      </c>
      <c r="O76" s="487"/>
      <c r="P76" s="487"/>
      <c r="Q76" s="487"/>
      <c r="R76" s="487"/>
      <c r="S76" s="487"/>
      <c r="T76" s="487"/>
      <c r="U76" s="503"/>
      <c r="W76" s="354"/>
      <c r="AC76" s="354"/>
      <c r="AD76" s="354"/>
    </row>
    <row r="77" spans="1:30" s="449" customFormat="1" ht="15" customHeight="1" x14ac:dyDescent="0.25">
      <c r="A77" s="364" t="str">
        <f t="shared" si="3"/>
        <v>03 KICKOFF NOTES</v>
      </c>
      <c r="B77" s="364"/>
      <c r="C77" s="364"/>
      <c r="D77" s="407" t="s">
        <v>1237</v>
      </c>
      <c r="E77" s="504" t="s">
        <v>1307</v>
      </c>
      <c r="F77" s="504"/>
      <c r="G77" s="504"/>
      <c r="H77" s="504"/>
      <c r="I77" s="504"/>
      <c r="J77" s="504"/>
      <c r="L77" s="645" t="s">
        <v>1196</v>
      </c>
      <c r="M77" s="645"/>
      <c r="N77" s="487"/>
      <c r="O77" s="487"/>
      <c r="P77" s="487"/>
      <c r="Q77" s="487"/>
      <c r="R77" s="487"/>
      <c r="S77" s="487"/>
      <c r="T77" s="487"/>
      <c r="U77" s="503"/>
      <c r="W77" s="354"/>
      <c r="AC77" s="354"/>
      <c r="AD77" s="354"/>
    </row>
    <row r="78" spans="1:30" s="449" customFormat="1" ht="15" customHeight="1" x14ac:dyDescent="0.25">
      <c r="A78" s="364" t="str">
        <f t="shared" si="3"/>
        <v>03 KICKOFF NOTES</v>
      </c>
      <c r="B78" s="364"/>
      <c r="C78" s="364"/>
      <c r="D78" s="407" t="s">
        <v>1241</v>
      </c>
      <c r="E78" s="504" t="s">
        <v>1308</v>
      </c>
      <c r="F78" s="504"/>
      <c r="G78" s="504"/>
      <c r="H78" s="504"/>
      <c r="I78" s="504"/>
      <c r="J78" s="504"/>
      <c r="L78" s="645" t="s">
        <v>1196</v>
      </c>
      <c r="M78" s="645"/>
      <c r="N78" s="487"/>
      <c r="O78" s="487"/>
      <c r="P78" s="487"/>
      <c r="Q78" s="487"/>
      <c r="R78" s="487"/>
      <c r="S78" s="487"/>
      <c r="T78" s="487"/>
      <c r="U78" s="503"/>
      <c r="W78" s="354"/>
      <c r="AC78" s="354"/>
      <c r="AD78" s="354"/>
    </row>
    <row r="79" spans="1:30" s="449" customFormat="1" ht="15" customHeight="1" x14ac:dyDescent="0.25">
      <c r="A79" s="364" t="str">
        <f t="shared" si="3"/>
        <v>03 KICKOFF NOTES</v>
      </c>
      <c r="B79" s="364"/>
      <c r="C79" s="364"/>
      <c r="D79" s="407" t="s">
        <v>1250</v>
      </c>
      <c r="E79" s="504" t="s">
        <v>1308</v>
      </c>
      <c r="F79" s="504"/>
      <c r="G79" s="504"/>
      <c r="H79" s="504"/>
      <c r="I79" s="504"/>
      <c r="J79" s="504"/>
      <c r="L79" s="505"/>
      <c r="M79" s="505"/>
      <c r="N79" s="505"/>
      <c r="O79" s="505"/>
      <c r="P79" s="505"/>
      <c r="Q79" s="505"/>
      <c r="R79" s="505"/>
      <c r="S79" s="505"/>
      <c r="T79" s="505"/>
      <c r="U79" s="503"/>
      <c r="W79" s="354"/>
      <c r="AC79" s="354"/>
      <c r="AD79" s="354"/>
    </row>
    <row r="80" spans="1:30" s="449" customFormat="1" ht="15" customHeight="1" x14ac:dyDescent="0.25">
      <c r="A80" s="364" t="str">
        <f t="shared" si="3"/>
        <v>03 KICKOFF NOTES</v>
      </c>
      <c r="B80" s="364"/>
      <c r="C80" s="364"/>
      <c r="D80" s="407" t="s">
        <v>1196</v>
      </c>
      <c r="E80" s="504"/>
      <c r="F80" s="504"/>
      <c r="G80" s="504"/>
      <c r="H80" s="504"/>
      <c r="I80" s="504"/>
      <c r="J80" s="504"/>
      <c r="L80" s="406" t="s">
        <v>1192</v>
      </c>
      <c r="O80" s="425"/>
      <c r="P80" s="425"/>
      <c r="Q80" s="425"/>
      <c r="R80" s="425"/>
      <c r="S80" s="425"/>
      <c r="U80" s="503"/>
      <c r="W80" s="354"/>
      <c r="AC80" s="354"/>
      <c r="AD80" s="354"/>
    </row>
    <row r="81" spans="1:53" s="449" customFormat="1" ht="15" customHeight="1" x14ac:dyDescent="0.25">
      <c r="A81" s="364" t="str">
        <f t="shared" si="3"/>
        <v>03 KICKOFF NOTES</v>
      </c>
      <c r="B81" s="364"/>
      <c r="C81" s="364"/>
      <c r="D81" s="407" t="s">
        <v>1196</v>
      </c>
      <c r="E81" s="504"/>
      <c r="F81" s="504"/>
      <c r="G81" s="504"/>
      <c r="H81" s="504"/>
      <c r="I81" s="504"/>
      <c r="J81" s="504"/>
      <c r="L81" s="409" t="s">
        <v>1221</v>
      </c>
      <c r="N81" s="487" t="s">
        <v>1311</v>
      </c>
      <c r="O81" s="487"/>
      <c r="P81" s="487"/>
      <c r="Q81" s="487"/>
      <c r="R81" s="487"/>
      <c r="S81" s="487"/>
      <c r="T81" s="487"/>
      <c r="U81" s="503"/>
      <c r="W81" s="354"/>
      <c r="AC81" s="354"/>
      <c r="AD81" s="354"/>
    </row>
    <row r="82" spans="1:53" s="449" customFormat="1" ht="15" customHeight="1" x14ac:dyDescent="0.25">
      <c r="A82" s="364" t="str">
        <f t="shared" si="3"/>
        <v>03 KICKOFF NOTES</v>
      </c>
      <c r="B82" s="364"/>
      <c r="C82" s="364"/>
      <c r="D82" s="407" t="s">
        <v>1196</v>
      </c>
      <c r="E82" s="504"/>
      <c r="F82" s="504"/>
      <c r="G82" s="504"/>
      <c r="H82" s="504"/>
      <c r="I82" s="504"/>
      <c r="J82" s="504"/>
      <c r="L82" s="409"/>
      <c r="N82" s="487" t="s">
        <v>1312</v>
      </c>
      <c r="O82" s="487"/>
      <c r="P82" s="487"/>
      <c r="Q82" s="487"/>
      <c r="R82" s="487"/>
      <c r="S82" s="487"/>
      <c r="T82" s="487"/>
      <c r="U82" s="503"/>
      <c r="W82" s="354"/>
      <c r="AC82" s="354"/>
      <c r="AD82" s="354"/>
    </row>
    <row r="83" spans="1:53" s="449" customFormat="1" ht="15" customHeight="1" x14ac:dyDescent="0.25">
      <c r="A83" s="364" t="str">
        <f t="shared" si="3"/>
        <v>03 KICKOFF NOTES</v>
      </c>
      <c r="B83" s="364"/>
      <c r="C83" s="364"/>
      <c r="D83" s="407" t="s">
        <v>1196</v>
      </c>
      <c r="E83" s="504"/>
      <c r="F83" s="504"/>
      <c r="G83" s="504"/>
      <c r="H83" s="504"/>
      <c r="I83" s="504"/>
      <c r="J83" s="504"/>
      <c r="L83" s="409" t="s">
        <v>1196</v>
      </c>
      <c r="N83" s="487"/>
      <c r="O83" s="487"/>
      <c r="P83" s="487"/>
      <c r="Q83" s="487"/>
      <c r="R83" s="487"/>
      <c r="S83" s="487"/>
      <c r="T83" s="487"/>
      <c r="U83" s="503"/>
      <c r="W83" s="354"/>
      <c r="AC83" s="354"/>
      <c r="AD83" s="354"/>
    </row>
    <row r="84" spans="1:53" s="449" customFormat="1" ht="15" customHeight="1" x14ac:dyDescent="0.25">
      <c r="A84" s="364" t="str">
        <f t="shared" si="3"/>
        <v>03 KICKOFF NOTES</v>
      </c>
      <c r="B84" s="364"/>
      <c r="C84" s="364"/>
      <c r="D84" s="407" t="s">
        <v>1196</v>
      </c>
      <c r="E84" s="504"/>
      <c r="F84" s="504"/>
      <c r="G84" s="504"/>
      <c r="H84" s="504"/>
      <c r="I84" s="504"/>
      <c r="J84" s="504"/>
      <c r="L84" s="409" t="s">
        <v>1196</v>
      </c>
      <c r="N84" s="487"/>
      <c r="O84" s="487"/>
      <c r="P84" s="487"/>
      <c r="Q84" s="487"/>
      <c r="R84" s="487"/>
      <c r="S84" s="487"/>
      <c r="T84" s="487"/>
      <c r="U84" s="503"/>
      <c r="W84" s="354"/>
      <c r="X84" s="410"/>
      <c r="Y84" s="410"/>
      <c r="Z84" s="354"/>
      <c r="AA84" s="354"/>
      <c r="AB84" s="354"/>
      <c r="AC84" s="354"/>
      <c r="AD84" s="354"/>
    </row>
    <row r="85" spans="1:53" s="449" customFormat="1" ht="15" customHeight="1" x14ac:dyDescent="0.25">
      <c r="A85" s="364" t="str">
        <f t="shared" si="3"/>
        <v>03 KICKOFF NOTES</v>
      </c>
      <c r="B85" s="364"/>
      <c r="C85" s="364"/>
      <c r="D85" s="411"/>
      <c r="E85" s="425"/>
      <c r="F85" s="425"/>
      <c r="G85" s="425"/>
      <c r="H85" s="425"/>
      <c r="I85" s="425"/>
      <c r="J85" s="425"/>
      <c r="U85" s="503"/>
      <c r="W85" s="354"/>
      <c r="X85" s="410"/>
      <c r="Y85" s="410"/>
      <c r="Z85" s="354"/>
      <c r="AA85" s="354"/>
      <c r="AB85" s="354"/>
      <c r="AC85" s="354"/>
      <c r="AD85" s="354"/>
    </row>
    <row r="86" spans="1:53" ht="15" customHeight="1" x14ac:dyDescent="0.25">
      <c r="A86" s="364" t="str">
        <f t="shared" si="3"/>
        <v>03 KICKOFF NOTES</v>
      </c>
      <c r="B86" s="364"/>
      <c r="C86" s="364"/>
      <c r="D86" s="405" t="s">
        <v>1275</v>
      </c>
      <c r="E86" s="425"/>
      <c r="F86" s="425"/>
      <c r="G86" s="425"/>
      <c r="H86" s="425"/>
      <c r="I86" s="425"/>
      <c r="J86" s="425"/>
      <c r="L86" s="406" t="s">
        <v>1276</v>
      </c>
      <c r="M86" s="425"/>
      <c r="N86" s="425"/>
      <c r="O86" s="425"/>
      <c r="P86" s="425"/>
      <c r="Q86" s="425"/>
      <c r="R86" s="425"/>
      <c r="S86" s="425"/>
      <c r="T86" s="425"/>
      <c r="U86" s="436"/>
    </row>
    <row r="87" spans="1:53" s="506" customFormat="1" ht="15" customHeight="1" x14ac:dyDescent="0.25">
      <c r="A87" s="364" t="str">
        <f t="shared" si="3"/>
        <v>03 KICKOFF NOTES</v>
      </c>
      <c r="B87" s="364"/>
      <c r="C87" s="364"/>
      <c r="D87" s="411" t="s">
        <v>91</v>
      </c>
      <c r="E87" s="508">
        <f>Initial!E21</f>
        <v>0.03</v>
      </c>
      <c r="F87" s="487"/>
      <c r="G87" s="487"/>
      <c r="H87" s="487"/>
      <c r="I87" s="487"/>
      <c r="J87" s="487"/>
      <c r="K87" s="449"/>
      <c r="L87" s="412">
        <v>1</v>
      </c>
      <c r="N87" s="487"/>
      <c r="O87" s="487"/>
      <c r="P87" s="487"/>
      <c r="Q87" s="487"/>
      <c r="R87" s="487"/>
      <c r="S87" s="487"/>
      <c r="T87" s="413" t="str">
        <f>HYPERLINK(N87,"â")</f>
        <v>â</v>
      </c>
      <c r="U87" s="507"/>
      <c r="W87" s="354"/>
      <c r="X87" s="354"/>
      <c r="Y87" s="354"/>
      <c r="Z87" s="354"/>
      <c r="AA87" s="354"/>
      <c r="AB87" s="354"/>
      <c r="AC87" s="354"/>
      <c r="AD87" s="354"/>
    </row>
    <row r="88" spans="1:53" s="506" customFormat="1" ht="15" customHeight="1" x14ac:dyDescent="0.25">
      <c r="A88" s="364" t="str">
        <f t="shared" si="3"/>
        <v>03 KICKOFF NOTES</v>
      </c>
      <c r="B88" s="364"/>
      <c r="C88" s="364"/>
      <c r="D88" s="411" t="s">
        <v>1216</v>
      </c>
      <c r="E88" s="508">
        <f>Initial!E24</f>
        <v>0.12</v>
      </c>
      <c r="F88" s="487"/>
      <c r="G88" s="487"/>
      <c r="H88" s="487"/>
      <c r="I88" s="487"/>
      <c r="J88" s="487"/>
      <c r="K88" s="449"/>
      <c r="L88" s="412">
        <v>2</v>
      </c>
      <c r="N88" s="487"/>
      <c r="O88" s="487"/>
      <c r="P88" s="487"/>
      <c r="Q88" s="487"/>
      <c r="R88" s="487"/>
      <c r="S88" s="487"/>
      <c r="T88" s="413" t="str">
        <f>HYPERLINK(N88,"â")</f>
        <v>â</v>
      </c>
      <c r="U88" s="507"/>
      <c r="W88" s="354"/>
      <c r="X88" s="354"/>
      <c r="Y88" s="354"/>
      <c r="Z88" s="354"/>
      <c r="AA88" s="354"/>
      <c r="AB88" s="354"/>
      <c r="AC88" s="354"/>
      <c r="AD88" s="354"/>
    </row>
    <row r="89" spans="1:53" ht="15" customHeight="1" x14ac:dyDescent="0.25">
      <c r="A89" s="364" t="str">
        <f t="shared" si="3"/>
        <v>03 KICKOFF NOTES</v>
      </c>
      <c r="B89" s="364"/>
      <c r="C89" s="364"/>
      <c r="D89" s="411" t="s">
        <v>1223</v>
      </c>
      <c r="E89" s="508">
        <f>Initial!E25</f>
        <v>0.08</v>
      </c>
      <c r="F89" s="487"/>
      <c r="G89" s="487"/>
      <c r="H89" s="487"/>
      <c r="I89" s="487"/>
      <c r="J89" s="487"/>
      <c r="K89" s="449"/>
      <c r="L89" s="412">
        <v>3</v>
      </c>
      <c r="N89" s="487"/>
      <c r="O89" s="487"/>
      <c r="P89" s="487"/>
      <c r="Q89" s="487"/>
      <c r="R89" s="487"/>
      <c r="S89" s="487"/>
      <c r="T89" s="413" t="str">
        <f>HYPERLINK(N89,"â")</f>
        <v>â</v>
      </c>
      <c r="U89" s="507"/>
      <c r="AR89" s="505"/>
      <c r="AS89" s="505"/>
      <c r="AT89" s="505"/>
      <c r="AU89" s="505"/>
      <c r="AV89" s="505"/>
      <c r="AW89" s="505"/>
      <c r="AX89" s="505"/>
      <c r="AY89" s="505"/>
      <c r="AZ89" s="505"/>
      <c r="BA89" s="505"/>
    </row>
    <row r="90" spans="1:53" ht="15" customHeight="1" x14ac:dyDescent="0.25">
      <c r="A90" s="364" t="str">
        <f t="shared" si="3"/>
        <v>03 KICKOFF NOTES</v>
      </c>
      <c r="B90" s="364"/>
      <c r="C90" s="364"/>
      <c r="D90" s="411" t="s">
        <v>1230</v>
      </c>
      <c r="E90" s="508">
        <f>Initial!E26</f>
        <v>2.5000000000000001E-2</v>
      </c>
      <c r="F90" s="487"/>
      <c r="G90" s="487"/>
      <c r="H90" s="487"/>
      <c r="I90" s="487"/>
      <c r="J90" s="487"/>
      <c r="K90" s="449"/>
      <c r="L90" s="412">
        <v>4</v>
      </c>
      <c r="N90" s="487"/>
      <c r="O90" s="487"/>
      <c r="P90" s="487"/>
      <c r="Q90" s="487"/>
      <c r="R90" s="487"/>
      <c r="S90" s="487"/>
      <c r="T90" s="413" t="str">
        <f>HYPERLINK(N90,"â")</f>
        <v>â</v>
      </c>
      <c r="U90" s="507"/>
      <c r="AR90" s="505"/>
      <c r="AS90" s="505"/>
      <c r="AT90" s="505"/>
      <c r="AU90" s="505"/>
      <c r="AV90" s="505"/>
      <c r="AW90" s="505"/>
      <c r="AX90" s="505"/>
      <c r="AY90" s="505"/>
      <c r="AZ90" s="505"/>
      <c r="BA90" s="505"/>
    </row>
    <row r="91" spans="1:53" s="477" customFormat="1" ht="15" customHeight="1" x14ac:dyDescent="0.25">
      <c r="A91" s="364" t="str">
        <f t="shared" si="3"/>
        <v>03 KICKOFF NOTES</v>
      </c>
      <c r="B91" s="364"/>
      <c r="C91" s="364"/>
      <c r="D91" s="411" t="s">
        <v>1196</v>
      </c>
      <c r="E91" s="508"/>
      <c r="F91" s="487"/>
      <c r="G91" s="487"/>
      <c r="H91" s="487"/>
      <c r="I91" s="487"/>
      <c r="J91" s="487"/>
      <c r="K91" s="509"/>
      <c r="U91" s="507"/>
      <c r="W91" s="354"/>
      <c r="X91" s="354"/>
      <c r="Y91" s="354"/>
      <c r="Z91" s="354"/>
      <c r="AA91" s="354"/>
      <c r="AB91" s="354"/>
      <c r="AC91" s="354"/>
      <c r="AD91" s="354"/>
      <c r="AR91" s="505"/>
      <c r="AS91" s="505"/>
      <c r="AT91" s="505"/>
      <c r="AU91" s="505"/>
      <c r="AV91" s="505"/>
      <c r="AW91" s="505"/>
      <c r="AX91" s="505"/>
      <c r="AY91" s="505"/>
      <c r="AZ91" s="505"/>
      <c r="BA91" s="505"/>
    </row>
    <row r="92" spans="1:53" s="510" customFormat="1" ht="15" customHeight="1" x14ac:dyDescent="0.25">
      <c r="A92" s="364" t="str">
        <f t="shared" si="3"/>
        <v>03 KICKOFF NOTES</v>
      </c>
      <c r="B92" s="364"/>
      <c r="C92" s="364"/>
      <c r="D92" s="414"/>
      <c r="E92" s="175"/>
      <c r="F92" s="175"/>
      <c r="G92" s="175"/>
      <c r="H92" s="175"/>
      <c r="I92" s="175"/>
      <c r="J92" s="175"/>
      <c r="K92" s="175"/>
      <c r="U92" s="507"/>
      <c r="W92" s="354"/>
      <c r="X92" s="354"/>
      <c r="Y92" s="354"/>
      <c r="Z92" s="354"/>
      <c r="AA92" s="354"/>
      <c r="AB92" s="354"/>
      <c r="AC92" s="354"/>
      <c r="AD92" s="354"/>
      <c r="AR92" s="505"/>
      <c r="AS92" s="505"/>
      <c r="AT92" s="505"/>
      <c r="AU92" s="505"/>
      <c r="AV92" s="505"/>
      <c r="AW92" s="505"/>
      <c r="AX92" s="505"/>
      <c r="AY92" s="505"/>
      <c r="AZ92" s="505"/>
      <c r="BA92" s="505"/>
    </row>
    <row r="93" spans="1:53" s="510" customFormat="1" ht="15" customHeight="1" x14ac:dyDescent="0.25">
      <c r="A93" s="364" t="str">
        <f t="shared" si="3"/>
        <v>03 KICKOFF NOTES</v>
      </c>
      <c r="B93" s="364"/>
      <c r="C93" s="364"/>
      <c r="D93" s="405" t="s">
        <v>1277</v>
      </c>
      <c r="E93" s="354"/>
      <c r="F93" s="425"/>
      <c r="G93" s="425"/>
      <c r="H93" s="425"/>
      <c r="I93" s="425"/>
      <c r="J93" s="425"/>
      <c r="K93" s="425"/>
      <c r="L93" s="369" t="s">
        <v>1278</v>
      </c>
      <c r="N93" s="425"/>
      <c r="O93" s="425"/>
      <c r="P93" s="425"/>
      <c r="Q93" s="425"/>
      <c r="R93" s="425"/>
      <c r="S93" s="415"/>
      <c r="T93" s="425"/>
      <c r="U93" s="416"/>
      <c r="W93" s="354"/>
      <c r="X93" s="354"/>
      <c r="Y93" s="354"/>
      <c r="Z93" s="354"/>
      <c r="AA93" s="354"/>
      <c r="AB93" s="354"/>
      <c r="AC93" s="354"/>
      <c r="AD93" s="354"/>
      <c r="AR93" s="505"/>
      <c r="AS93" s="505"/>
      <c r="AT93" s="505"/>
      <c r="AU93" s="505"/>
      <c r="AV93" s="505"/>
      <c r="AW93" s="505"/>
      <c r="AX93" s="505"/>
      <c r="AY93" s="505"/>
      <c r="AZ93" s="505"/>
      <c r="BA93" s="505"/>
    </row>
    <row r="94" spans="1:53" s="354" customFormat="1" ht="15" customHeight="1" x14ac:dyDescent="0.25">
      <c r="A94" s="364" t="str">
        <f t="shared" si="3"/>
        <v>03 KICKOFF NOTES</v>
      </c>
      <c r="B94" s="364"/>
      <c r="C94" s="364"/>
      <c r="D94" s="511">
        <v>1</v>
      </c>
      <c r="E94" s="487"/>
      <c r="F94" s="487"/>
      <c r="G94" s="487"/>
      <c r="H94" s="487"/>
      <c r="I94" s="487"/>
      <c r="J94" s="487"/>
      <c r="K94" s="425"/>
      <c r="L94" s="412">
        <v>1</v>
      </c>
      <c r="M94" s="425"/>
      <c r="N94" s="487"/>
      <c r="O94" s="487"/>
      <c r="P94" s="487"/>
      <c r="Q94" s="487"/>
      <c r="R94" s="487"/>
      <c r="S94" s="413"/>
      <c r="T94" s="487"/>
      <c r="U94" s="503"/>
      <c r="V94" s="493"/>
      <c r="AR94" s="505"/>
      <c r="AS94" s="505"/>
      <c r="AT94" s="505"/>
      <c r="AU94" s="505"/>
      <c r="AV94" s="505"/>
      <c r="AW94" s="505"/>
      <c r="AX94" s="505"/>
      <c r="AY94" s="505"/>
      <c r="AZ94" s="505"/>
      <c r="BA94" s="505"/>
    </row>
    <row r="95" spans="1:53" s="512" customFormat="1" ht="15" customHeight="1" x14ac:dyDescent="0.25">
      <c r="A95" s="364" t="str">
        <f t="shared" si="3"/>
        <v>03 KICKOFF NOTES</v>
      </c>
      <c r="B95" s="364"/>
      <c r="C95" s="364"/>
      <c r="D95" s="511">
        <v>2</v>
      </c>
      <c r="E95" s="487"/>
      <c r="F95" s="487"/>
      <c r="G95" s="487"/>
      <c r="H95" s="487"/>
      <c r="I95" s="487"/>
      <c r="J95" s="487"/>
      <c r="K95" s="425"/>
      <c r="L95" s="412">
        <v>2</v>
      </c>
      <c r="M95" s="425"/>
      <c r="N95" s="487"/>
      <c r="O95" s="487"/>
      <c r="P95" s="487"/>
      <c r="Q95" s="487"/>
      <c r="R95" s="487"/>
      <c r="S95" s="413"/>
      <c r="T95" s="487"/>
      <c r="U95" s="503"/>
      <c r="W95" s="354"/>
      <c r="X95" s="354"/>
      <c r="Y95" s="354"/>
      <c r="Z95" s="354"/>
      <c r="AA95" s="354"/>
      <c r="AB95" s="354"/>
      <c r="AC95" s="354"/>
      <c r="AD95" s="354"/>
      <c r="AR95" s="505"/>
      <c r="AS95" s="505"/>
      <c r="AT95" s="505"/>
      <c r="AU95" s="505"/>
      <c r="AV95" s="505"/>
      <c r="AW95" s="505"/>
      <c r="AX95" s="505"/>
      <c r="AY95" s="505"/>
      <c r="AZ95" s="505"/>
      <c r="BA95" s="505"/>
    </row>
    <row r="96" spans="1:53" ht="15" customHeight="1" x14ac:dyDescent="0.25">
      <c r="A96" s="364" t="str">
        <f t="shared" si="3"/>
        <v>03 KICKOFF NOTES</v>
      </c>
      <c r="B96" s="364"/>
      <c r="C96" s="364"/>
      <c r="D96" s="511">
        <v>3</v>
      </c>
      <c r="E96" s="487"/>
      <c r="F96" s="487"/>
      <c r="G96" s="487"/>
      <c r="H96" s="487"/>
      <c r="I96" s="487"/>
      <c r="J96" s="487"/>
      <c r="K96" s="425"/>
      <c r="L96" s="412">
        <v>3</v>
      </c>
      <c r="M96" s="425"/>
      <c r="N96" s="487"/>
      <c r="O96" s="487"/>
      <c r="P96" s="487"/>
      <c r="Q96" s="487"/>
      <c r="R96" s="487"/>
      <c r="S96" s="413"/>
      <c r="T96" s="487"/>
      <c r="U96" s="503"/>
      <c r="AR96" s="505"/>
      <c r="AS96" s="505"/>
      <c r="AT96" s="505"/>
      <c r="AU96" s="505"/>
      <c r="AV96" s="505"/>
      <c r="AW96" s="505"/>
      <c r="AX96" s="505"/>
      <c r="AY96" s="505"/>
      <c r="AZ96" s="505"/>
      <c r="BA96" s="505"/>
    </row>
    <row r="97" spans="1:53" s="513" customFormat="1" ht="15" customHeight="1" x14ac:dyDescent="0.25">
      <c r="A97" s="364" t="str">
        <f t="shared" si="3"/>
        <v>03 KICKOFF NOTES</v>
      </c>
      <c r="B97" s="364"/>
      <c r="C97" s="364"/>
      <c r="D97" s="511">
        <v>4</v>
      </c>
      <c r="E97" s="487"/>
      <c r="F97" s="487"/>
      <c r="G97" s="487"/>
      <c r="H97" s="487"/>
      <c r="I97" s="487"/>
      <c r="J97" s="487"/>
      <c r="K97" s="425"/>
      <c r="L97" s="412">
        <v>4</v>
      </c>
      <c r="M97" s="425"/>
      <c r="N97" s="487"/>
      <c r="O97" s="487"/>
      <c r="P97" s="487"/>
      <c r="Q97" s="487"/>
      <c r="R97" s="487"/>
      <c r="S97" s="413"/>
      <c r="T97" s="487"/>
      <c r="U97" s="503"/>
      <c r="W97" s="354"/>
      <c r="X97" s="354"/>
      <c r="Y97" s="354"/>
      <c r="Z97" s="354"/>
      <c r="AA97" s="354"/>
      <c r="AB97" s="354"/>
      <c r="AC97" s="354"/>
      <c r="AD97" s="354"/>
      <c r="AR97" s="505"/>
      <c r="AS97" s="505"/>
      <c r="AT97" s="505"/>
      <c r="AU97" s="505"/>
      <c r="AV97" s="505"/>
      <c r="AW97" s="505"/>
      <c r="AX97" s="505"/>
      <c r="AY97" s="505"/>
      <c r="AZ97" s="505"/>
      <c r="BA97" s="505"/>
    </row>
    <row r="98" spans="1:53" ht="15" customHeight="1" x14ac:dyDescent="0.25">
      <c r="A98" s="364" t="str">
        <f t="shared" si="3"/>
        <v>03 KICKOFF NOTES</v>
      </c>
      <c r="B98" s="364"/>
      <c r="C98" s="364"/>
      <c r="D98" s="511">
        <v>5</v>
      </c>
      <c r="E98" s="487"/>
      <c r="F98" s="487"/>
      <c r="G98" s="487"/>
      <c r="H98" s="487"/>
      <c r="I98" s="487"/>
      <c r="J98" s="487"/>
      <c r="K98" s="425"/>
      <c r="L98" s="412">
        <v>5</v>
      </c>
      <c r="M98" s="425"/>
      <c r="N98" s="487"/>
      <c r="O98" s="487"/>
      <c r="P98" s="487"/>
      <c r="Q98" s="487"/>
      <c r="R98" s="487"/>
      <c r="S98" s="413"/>
      <c r="T98" s="487"/>
      <c r="U98" s="503"/>
      <c r="AR98" s="505"/>
      <c r="AS98" s="505"/>
      <c r="AT98" s="505"/>
      <c r="AU98" s="505"/>
      <c r="AV98" s="505"/>
      <c r="AW98" s="505"/>
      <c r="AX98" s="505"/>
      <c r="AY98" s="505"/>
      <c r="AZ98" s="505"/>
      <c r="BA98" s="505"/>
    </row>
    <row r="99" spans="1:53" s="449" customFormat="1" ht="15" customHeight="1" x14ac:dyDescent="0.25">
      <c r="A99" s="364" t="str">
        <f t="shared" si="3"/>
        <v>03 KICKOFF NOTES</v>
      </c>
      <c r="B99" s="364"/>
      <c r="C99" s="364"/>
      <c r="D99" s="511">
        <v>6</v>
      </c>
      <c r="E99" s="487"/>
      <c r="F99" s="487"/>
      <c r="G99" s="487"/>
      <c r="H99" s="487"/>
      <c r="I99" s="487"/>
      <c r="J99" s="487"/>
      <c r="K99" s="425"/>
      <c r="L99" s="412">
        <v>6</v>
      </c>
      <c r="M99" s="425"/>
      <c r="N99" s="487"/>
      <c r="O99" s="487"/>
      <c r="P99" s="487"/>
      <c r="Q99" s="487"/>
      <c r="R99" s="487"/>
      <c r="S99" s="413"/>
      <c r="T99" s="487"/>
      <c r="U99" s="503"/>
      <c r="W99" s="354"/>
      <c r="X99" s="354"/>
      <c r="Y99" s="354"/>
      <c r="Z99" s="354"/>
      <c r="AA99" s="354"/>
      <c r="AB99" s="354"/>
      <c r="AC99" s="354"/>
      <c r="AD99" s="354"/>
      <c r="AR99" s="505"/>
      <c r="AS99" s="505"/>
      <c r="AT99" s="505"/>
      <c r="AU99" s="505"/>
      <c r="AV99" s="505"/>
      <c r="AW99" s="505"/>
      <c r="AX99" s="505"/>
      <c r="AY99" s="505"/>
      <c r="AZ99" s="505"/>
      <c r="BA99" s="505"/>
    </row>
    <row r="100" spans="1:53" ht="15" customHeight="1" x14ac:dyDescent="0.25">
      <c r="A100" s="364" t="str">
        <f t="shared" si="3"/>
        <v>03 KICKOFF NOTES</v>
      </c>
      <c r="B100" s="364"/>
      <c r="C100" s="364"/>
      <c r="D100" s="511">
        <v>7</v>
      </c>
      <c r="E100" s="487"/>
      <c r="F100" s="487"/>
      <c r="G100" s="487"/>
      <c r="H100" s="487"/>
      <c r="I100" s="487"/>
      <c r="J100" s="487"/>
      <c r="K100" s="425"/>
      <c r="L100" s="412">
        <v>7</v>
      </c>
      <c r="M100" s="425"/>
      <c r="N100" s="487"/>
      <c r="O100" s="487"/>
      <c r="P100" s="487"/>
      <c r="Q100" s="487"/>
      <c r="R100" s="487"/>
      <c r="S100" s="413"/>
      <c r="T100" s="487"/>
      <c r="U100" s="503"/>
      <c r="V100" s="445"/>
      <c r="AR100" s="505"/>
      <c r="AS100" s="505"/>
      <c r="AT100" s="505"/>
      <c r="AU100" s="505"/>
      <c r="AV100" s="505"/>
      <c r="AW100" s="505"/>
      <c r="AX100" s="505"/>
      <c r="AY100" s="505"/>
      <c r="AZ100" s="505"/>
      <c r="BA100" s="505"/>
    </row>
    <row r="101" spans="1:53" ht="15" customHeight="1" thickBot="1" x14ac:dyDescent="0.3">
      <c r="A101" s="364" t="str">
        <f t="shared" si="3"/>
        <v>03 KICKOFF NOTES</v>
      </c>
      <c r="B101" s="364"/>
      <c r="C101" s="364"/>
      <c r="D101" s="407"/>
      <c r="E101" s="404"/>
      <c r="F101" s="404"/>
      <c r="G101" s="404"/>
      <c r="H101" s="404"/>
      <c r="I101" s="404"/>
      <c r="J101" s="404"/>
      <c r="K101" s="408"/>
      <c r="L101" s="404"/>
      <c r="M101" s="404"/>
      <c r="N101" s="404"/>
      <c r="O101" s="514"/>
      <c r="P101" s="514"/>
      <c r="Q101" s="514"/>
      <c r="R101" s="514"/>
      <c r="S101" s="514"/>
      <c r="T101" s="514"/>
      <c r="U101" s="515"/>
      <c r="V101" s="458"/>
      <c r="AR101" s="505"/>
      <c r="AS101" s="505"/>
      <c r="AT101" s="505"/>
      <c r="AU101" s="505"/>
      <c r="AV101" s="505"/>
      <c r="AW101" s="505"/>
      <c r="AX101" s="505"/>
      <c r="AY101" s="505"/>
      <c r="AZ101" s="505"/>
      <c r="BA101" s="505"/>
    </row>
    <row r="102" spans="1:53" s="431" customFormat="1" ht="24" thickBot="1" x14ac:dyDescent="0.3">
      <c r="A102" s="417" t="str">
        <f t="shared" ref="A102:A132" si="4">D$102</f>
        <v>04 QA | QC REQUIREMENTS</v>
      </c>
      <c r="B102" s="417"/>
      <c r="C102" s="417"/>
      <c r="D102" s="646" t="s">
        <v>1279</v>
      </c>
      <c r="E102" s="644"/>
      <c r="F102" s="644"/>
      <c r="G102" s="644"/>
      <c r="H102" s="644"/>
      <c r="I102" s="644"/>
      <c r="J102" s="644"/>
      <c r="K102" s="644"/>
      <c r="L102" s="644"/>
      <c r="M102" s="644"/>
      <c r="N102" s="644"/>
      <c r="O102" s="644"/>
      <c r="P102" s="644"/>
      <c r="Q102" s="644"/>
      <c r="R102" s="644"/>
      <c r="S102" s="644"/>
      <c r="T102" s="644"/>
      <c r="U102" s="647"/>
      <c r="V102" s="499"/>
      <c r="W102" s="354"/>
      <c r="X102" s="354"/>
      <c r="Y102" s="354"/>
      <c r="Z102" s="354"/>
      <c r="AA102" s="354"/>
      <c r="AB102" s="354"/>
      <c r="AC102" s="354"/>
      <c r="AD102" s="354"/>
      <c r="AR102" s="505"/>
      <c r="AS102" s="505"/>
      <c r="AT102" s="505"/>
      <c r="AU102" s="505"/>
      <c r="AV102" s="505"/>
      <c r="AW102" s="505"/>
      <c r="AX102" s="505"/>
      <c r="AY102" s="505"/>
      <c r="AZ102" s="505"/>
      <c r="BA102" s="505"/>
    </row>
    <row r="103" spans="1:53" s="431" customFormat="1" ht="15" customHeight="1" x14ac:dyDescent="0.25">
      <c r="A103" s="417" t="str">
        <f t="shared" si="4"/>
        <v>04 QA | QC REQUIREMENTS</v>
      </c>
      <c r="B103" s="417"/>
      <c r="C103" s="417"/>
      <c r="D103" s="516"/>
      <c r="E103" s="517"/>
      <c r="F103" s="517"/>
      <c r="G103" s="517"/>
      <c r="H103" s="517"/>
      <c r="I103" s="517"/>
      <c r="J103" s="517"/>
      <c r="K103" s="517"/>
      <c r="L103" s="517"/>
      <c r="M103" s="517"/>
      <c r="N103" s="517"/>
      <c r="O103" s="517"/>
      <c r="P103" s="517"/>
      <c r="Q103" s="517"/>
      <c r="R103" s="517"/>
      <c r="S103" s="517"/>
      <c r="T103" s="517"/>
      <c r="U103" s="518"/>
      <c r="V103" s="499"/>
      <c r="W103" s="354"/>
      <c r="X103" s="354"/>
      <c r="Y103" s="354"/>
      <c r="Z103" s="354"/>
      <c r="AA103" s="354"/>
      <c r="AB103" s="354"/>
      <c r="AC103" s="354"/>
      <c r="AD103" s="354"/>
      <c r="AR103" s="505"/>
      <c r="AS103" s="505"/>
      <c r="AT103" s="505"/>
      <c r="AU103" s="505"/>
      <c r="AV103" s="505"/>
      <c r="AW103" s="505"/>
      <c r="AX103" s="505"/>
      <c r="AY103" s="505"/>
      <c r="AZ103" s="505"/>
      <c r="BA103" s="505"/>
    </row>
    <row r="104" spans="1:53" s="431" customFormat="1" ht="15" customHeight="1" x14ac:dyDescent="0.25">
      <c r="A104" s="417" t="str">
        <f t="shared" si="4"/>
        <v>04 QA | QC REQUIREMENTS</v>
      </c>
      <c r="B104" s="417"/>
      <c r="C104" s="417"/>
      <c r="D104" s="379" t="s">
        <v>1280</v>
      </c>
      <c r="E104" s="435"/>
      <c r="F104" s="435"/>
      <c r="G104" s="418" t="s">
        <v>1281</v>
      </c>
      <c r="N104" s="381" t="str">
        <f>D43</f>
        <v>Heather Nicholson</v>
      </c>
      <c r="O104" s="419"/>
      <c r="P104" s="654" t="str">
        <f>D45</f>
        <v>Aravind Kallahally</v>
      </c>
      <c r="Q104" s="654"/>
      <c r="R104" s="420" t="str">
        <f>D46</f>
        <v>Nishant More</v>
      </c>
      <c r="S104" s="381"/>
      <c r="T104" s="420" t="str">
        <f>D47</f>
        <v>Raymond Bodo</v>
      </c>
      <c r="U104" s="432"/>
      <c r="V104" s="499"/>
      <c r="W104" s="354"/>
      <c r="X104" s="354"/>
      <c r="Y104" s="354"/>
      <c r="Z104" s="354"/>
      <c r="AA104" s="354"/>
      <c r="AB104" s="354"/>
      <c r="AC104" s="354"/>
      <c r="AD104" s="354"/>
      <c r="AR104" s="505"/>
      <c r="AS104" s="505"/>
      <c r="AT104" s="505"/>
      <c r="AU104" s="505"/>
      <c r="AV104" s="505"/>
      <c r="AW104" s="505"/>
      <c r="AX104" s="505"/>
      <c r="AY104" s="505"/>
      <c r="AZ104" s="505"/>
      <c r="BA104" s="505"/>
    </row>
    <row r="105" spans="1:53" s="431" customFormat="1" ht="15" customHeight="1" x14ac:dyDescent="0.25">
      <c r="A105" s="417" t="str">
        <f t="shared" si="4"/>
        <v>04 QA | QC REQUIREMENTS</v>
      </c>
      <c r="B105" s="417"/>
      <c r="C105" s="417"/>
      <c r="D105" s="519" t="s">
        <v>1305</v>
      </c>
      <c r="E105" s="431" t="str">
        <f>estimate_detail</f>
        <v>CONSTRUCTION DOCUMENTS ESTIMATE</v>
      </c>
      <c r="G105" s="520"/>
      <c r="H105" s="520"/>
      <c r="I105" s="520"/>
      <c r="J105" s="520"/>
      <c r="K105" s="520"/>
      <c r="L105" s="520"/>
      <c r="M105" s="425"/>
      <c r="N105" s="521" t="b">
        <v>1</v>
      </c>
      <c r="O105" s="522"/>
      <c r="P105" s="654"/>
      <c r="Q105" s="654"/>
      <c r="R105" s="522"/>
      <c r="S105" s="523"/>
      <c r="T105" s="522"/>
      <c r="U105" s="432"/>
      <c r="V105" s="499"/>
      <c r="W105" s="354"/>
      <c r="X105" s="354"/>
      <c r="Y105" s="354"/>
      <c r="Z105" s="354"/>
      <c r="AA105" s="354"/>
      <c r="AB105" s="354"/>
      <c r="AC105" s="354"/>
      <c r="AD105" s="354"/>
      <c r="AR105" s="505"/>
      <c r="AS105" s="505"/>
      <c r="AT105" s="505"/>
      <c r="AU105" s="505"/>
      <c r="AV105" s="505"/>
      <c r="AW105" s="505"/>
      <c r="AX105" s="505"/>
      <c r="AY105" s="505"/>
      <c r="AZ105" s="505"/>
      <c r="BA105" s="505"/>
    </row>
    <row r="106" spans="1:53" s="431" customFormat="1" ht="15" customHeight="1" x14ac:dyDescent="0.25">
      <c r="A106" s="417" t="str">
        <f t="shared" si="4"/>
        <v>04 QA | QC REQUIREMENTS</v>
      </c>
      <c r="B106" s="417"/>
      <c r="C106" s="417"/>
      <c r="D106" s="519" t="s">
        <v>1306</v>
      </c>
      <c r="E106" s="446">
        <f>H20</f>
        <v>45778</v>
      </c>
      <c r="F106" s="524"/>
      <c r="G106" s="520"/>
      <c r="H106" s="520"/>
      <c r="I106" s="520"/>
      <c r="J106" s="520"/>
      <c r="K106" s="520"/>
      <c r="L106" s="520"/>
      <c r="M106" s="425"/>
      <c r="N106" s="521" t="b">
        <v>1</v>
      </c>
      <c r="O106" s="522"/>
      <c r="P106" s="522"/>
      <c r="Q106" s="410"/>
      <c r="R106" s="522"/>
      <c r="S106" s="523"/>
      <c r="T106" s="522"/>
      <c r="U106" s="432"/>
      <c r="V106" s="499"/>
      <c r="W106" s="354"/>
      <c r="X106" s="354"/>
      <c r="Y106" s="354"/>
      <c r="Z106" s="354"/>
      <c r="AA106" s="354"/>
      <c r="AB106" s="354"/>
      <c r="AC106" s="354"/>
      <c r="AD106" s="354"/>
      <c r="AR106" s="505"/>
      <c r="AS106" s="505"/>
      <c r="AT106" s="505"/>
      <c r="AU106" s="505"/>
      <c r="AV106" s="505"/>
      <c r="AW106" s="505"/>
      <c r="AX106" s="505"/>
      <c r="AY106" s="505"/>
      <c r="AZ106" s="505"/>
      <c r="BA106" s="505"/>
    </row>
    <row r="107" spans="1:53" s="431" customFormat="1" ht="15" customHeight="1" x14ac:dyDescent="0.25">
      <c r="A107" s="417" t="str">
        <f t="shared" si="4"/>
        <v>04 QA | QC REQUIREMENTS</v>
      </c>
      <c r="B107" s="417"/>
      <c r="C107" s="417"/>
      <c r="D107" s="519" t="s">
        <v>1252</v>
      </c>
      <c r="E107" s="562" t="str">
        <f>H21</f>
        <v>18 Mos.</v>
      </c>
      <c r="F107" s="524"/>
      <c r="G107" s="520"/>
      <c r="H107" s="520"/>
      <c r="I107" s="520"/>
      <c r="J107" s="520"/>
      <c r="K107" s="520"/>
      <c r="L107" s="520"/>
      <c r="M107" s="425"/>
      <c r="N107" s="521" t="b">
        <v>1</v>
      </c>
      <c r="O107" s="522"/>
      <c r="P107" s="522"/>
      <c r="Q107" s="410"/>
      <c r="R107" s="522"/>
      <c r="S107" s="523"/>
      <c r="T107" s="522"/>
      <c r="U107" s="432"/>
      <c r="V107" s="499"/>
      <c r="W107" s="354"/>
      <c r="X107" s="354"/>
      <c r="Y107" s="354"/>
      <c r="Z107" s="354"/>
      <c r="AA107" s="354"/>
      <c r="AB107" s="354"/>
      <c r="AC107" s="354"/>
      <c r="AD107" s="354"/>
      <c r="AR107" s="505"/>
      <c r="AS107" s="505"/>
      <c r="AT107" s="505"/>
      <c r="AU107" s="505"/>
      <c r="AV107" s="505"/>
      <c r="AW107" s="505"/>
      <c r="AX107" s="505"/>
      <c r="AY107" s="505"/>
      <c r="AZ107" s="505"/>
      <c r="BA107" s="505"/>
    </row>
    <row r="108" spans="1:53" s="431" customFormat="1" ht="15" customHeight="1" x14ac:dyDescent="0.25">
      <c r="A108" s="417" t="str">
        <f t="shared" si="4"/>
        <v>04 QA | QC REQUIREMENTS</v>
      </c>
      <c r="B108" s="417"/>
      <c r="C108" s="417"/>
      <c r="D108" s="519" t="s">
        <v>1282</v>
      </c>
      <c r="G108" s="520"/>
      <c r="H108" s="520"/>
      <c r="I108" s="520"/>
      <c r="J108" s="520"/>
      <c r="K108" s="520"/>
      <c r="L108" s="520"/>
      <c r="M108" s="425"/>
      <c r="N108" s="521" t="b">
        <v>1</v>
      </c>
      <c r="O108" s="522"/>
      <c r="P108" s="522"/>
      <c r="Q108" s="410"/>
      <c r="R108" s="522"/>
      <c r="S108" s="523"/>
      <c r="T108" s="522"/>
      <c r="U108" s="432"/>
      <c r="V108" s="499"/>
      <c r="W108" s="354"/>
      <c r="X108" s="354"/>
      <c r="Y108" s="354"/>
      <c r="Z108" s="354"/>
      <c r="AA108" s="354"/>
      <c r="AB108" s="354"/>
      <c r="AC108" s="354"/>
      <c r="AD108" s="354"/>
      <c r="AR108" s="505"/>
      <c r="AS108" s="505"/>
      <c r="AT108" s="505"/>
      <c r="AU108" s="505"/>
      <c r="AV108" s="505"/>
      <c r="AW108" s="505"/>
      <c r="AX108" s="505"/>
      <c r="AY108" s="505"/>
      <c r="AZ108" s="505"/>
      <c r="BA108" s="505"/>
    </row>
    <row r="109" spans="1:53" s="431" customFormat="1" ht="15" customHeight="1" x14ac:dyDescent="0.25">
      <c r="A109" s="417" t="str">
        <f t="shared" si="4"/>
        <v>04 QA | QC REQUIREMENTS</v>
      </c>
      <c r="B109" s="417"/>
      <c r="C109" s="417"/>
      <c r="D109" s="500"/>
      <c r="U109" s="432"/>
      <c r="V109" s="499"/>
      <c r="W109" s="354"/>
      <c r="X109" s="354"/>
      <c r="Y109" s="354"/>
      <c r="Z109" s="354"/>
      <c r="AA109" s="354"/>
      <c r="AB109" s="354"/>
      <c r="AC109" s="354"/>
      <c r="AD109" s="354"/>
      <c r="AR109" s="505"/>
      <c r="AS109" s="505"/>
      <c r="AT109" s="505"/>
      <c r="AU109" s="505"/>
      <c r="AV109" s="505"/>
      <c r="AW109" s="505"/>
      <c r="AX109" s="505"/>
      <c r="AY109" s="505"/>
      <c r="AZ109" s="505"/>
      <c r="BA109" s="505"/>
    </row>
    <row r="110" spans="1:53" s="431" customFormat="1" ht="15" customHeight="1" x14ac:dyDescent="0.25">
      <c r="A110" s="417" t="str">
        <f t="shared" si="4"/>
        <v>04 QA | QC REQUIREMENTS</v>
      </c>
      <c r="B110" s="417"/>
      <c r="C110" s="417"/>
      <c r="D110" s="379" t="s">
        <v>1283</v>
      </c>
      <c r="N110" s="522"/>
      <c r="O110" s="522"/>
      <c r="P110" s="522"/>
      <c r="Q110" s="410"/>
      <c r="R110" s="522"/>
      <c r="S110" s="523"/>
      <c r="T110" s="522"/>
      <c r="U110" s="432"/>
      <c r="V110" s="499"/>
      <c r="W110" s="354"/>
      <c r="X110" s="354"/>
      <c r="Y110" s="354"/>
      <c r="Z110" s="354"/>
      <c r="AA110" s="354"/>
      <c r="AB110" s="354"/>
      <c r="AC110" s="354"/>
      <c r="AD110" s="354"/>
      <c r="AR110" s="505"/>
      <c r="AS110" s="505"/>
      <c r="AT110" s="505"/>
      <c r="AU110" s="505"/>
      <c r="AV110" s="505"/>
      <c r="AW110" s="505"/>
      <c r="AX110" s="505"/>
      <c r="AY110" s="505"/>
      <c r="AZ110" s="505"/>
      <c r="BA110" s="505"/>
    </row>
    <row r="111" spans="1:53" s="431" customFormat="1" ht="15" customHeight="1" x14ac:dyDescent="0.25">
      <c r="A111" s="417" t="str">
        <f t="shared" si="4"/>
        <v>04 QA | QC REQUIREMENTS</v>
      </c>
      <c r="B111" s="417"/>
      <c r="C111" s="417"/>
      <c r="D111" s="519" t="s">
        <v>1284</v>
      </c>
      <c r="E111" s="524"/>
      <c r="F111" s="524"/>
      <c r="G111" s="520"/>
      <c r="H111" s="520"/>
      <c r="I111" s="520"/>
      <c r="J111" s="520"/>
      <c r="K111" s="520"/>
      <c r="L111" s="520"/>
      <c r="M111" s="525"/>
      <c r="N111" s="521" t="b">
        <v>1</v>
      </c>
      <c r="O111" s="522"/>
      <c r="P111" s="521" t="b">
        <v>0</v>
      </c>
      <c r="Q111" s="410"/>
      <c r="R111" s="521" t="b">
        <v>0</v>
      </c>
      <c r="S111" s="523"/>
      <c r="T111" s="521" t="b">
        <v>0</v>
      </c>
      <c r="U111" s="432"/>
      <c r="V111" s="499"/>
      <c r="W111" s="354"/>
      <c r="X111" s="354"/>
      <c r="Y111" s="354"/>
      <c r="Z111" s="354"/>
      <c r="AA111" s="354"/>
      <c r="AB111" s="354"/>
      <c r="AC111" s="354"/>
      <c r="AD111" s="354"/>
      <c r="AR111" s="505"/>
      <c r="AS111" s="505"/>
      <c r="AT111" s="505"/>
      <c r="AU111" s="505"/>
      <c r="AV111" s="505"/>
      <c r="AW111" s="505"/>
      <c r="AX111" s="505"/>
      <c r="AY111" s="505"/>
      <c r="AZ111" s="505"/>
      <c r="BA111" s="505"/>
    </row>
    <row r="112" spans="1:53" s="431" customFormat="1" ht="15" customHeight="1" x14ac:dyDescent="0.25">
      <c r="A112" s="417" t="str">
        <f t="shared" si="4"/>
        <v>04 QA | QC REQUIREMENTS</v>
      </c>
      <c r="B112" s="417"/>
      <c r="C112" s="417"/>
      <c r="D112" s="519" t="s">
        <v>1285</v>
      </c>
      <c r="G112" s="520"/>
      <c r="H112" s="520"/>
      <c r="I112" s="520"/>
      <c r="J112" s="520"/>
      <c r="K112" s="520"/>
      <c r="L112" s="520"/>
      <c r="M112" s="425"/>
      <c r="N112" s="521" t="b">
        <v>1</v>
      </c>
      <c r="O112" s="522"/>
      <c r="P112" s="521" t="b">
        <v>0</v>
      </c>
      <c r="Q112" s="410"/>
      <c r="R112" s="521" t="b">
        <v>0</v>
      </c>
      <c r="S112" s="523"/>
      <c r="T112" s="521" t="b">
        <v>0</v>
      </c>
      <c r="U112" s="432"/>
      <c r="V112" s="499"/>
      <c r="W112" s="354"/>
      <c r="X112" s="354"/>
      <c r="Y112" s="354"/>
      <c r="Z112" s="354"/>
      <c r="AA112" s="354"/>
      <c r="AB112" s="354"/>
      <c r="AC112" s="354"/>
      <c r="AD112" s="354"/>
      <c r="AR112" s="505"/>
      <c r="AS112" s="505"/>
      <c r="AT112" s="505"/>
      <c r="AU112" s="505"/>
      <c r="AV112" s="505"/>
      <c r="AW112" s="505"/>
      <c r="AX112" s="505"/>
      <c r="AY112" s="505"/>
      <c r="AZ112" s="505"/>
      <c r="BA112" s="505"/>
    </row>
    <row r="113" spans="1:53" s="431" customFormat="1" ht="15" customHeight="1" x14ac:dyDescent="0.25">
      <c r="A113" s="417" t="str">
        <f t="shared" si="4"/>
        <v>04 QA | QC REQUIREMENTS</v>
      </c>
      <c r="B113" s="417"/>
      <c r="C113" s="417"/>
      <c r="D113" s="519" t="s">
        <v>1286</v>
      </c>
      <c r="E113" s="524"/>
      <c r="F113" s="526" t="str">
        <f>HYPERLINK(V112,"â")</f>
        <v>â</v>
      </c>
      <c r="G113" s="520"/>
      <c r="H113" s="520"/>
      <c r="I113" s="520"/>
      <c r="J113" s="520"/>
      <c r="K113" s="520"/>
      <c r="L113" s="520"/>
      <c r="M113" s="425"/>
      <c r="N113" s="521" t="b">
        <v>1</v>
      </c>
      <c r="O113" s="522"/>
      <c r="P113" s="521" t="b">
        <v>0</v>
      </c>
      <c r="Q113" s="410"/>
      <c r="R113" s="521" t="b">
        <v>0</v>
      </c>
      <c r="S113" s="523"/>
      <c r="T113" s="521" t="b">
        <v>0</v>
      </c>
      <c r="U113" s="432"/>
      <c r="V113" s="499"/>
      <c r="W113" s="354"/>
      <c r="X113" s="354"/>
      <c r="Y113" s="354"/>
      <c r="Z113" s="354"/>
      <c r="AA113" s="354"/>
      <c r="AB113" s="354"/>
      <c r="AC113" s="354"/>
      <c r="AD113" s="354"/>
      <c r="AR113" s="505"/>
      <c r="AS113" s="505"/>
      <c r="AT113" s="505"/>
      <c r="AU113" s="505"/>
      <c r="AV113" s="505"/>
      <c r="AW113" s="505"/>
      <c r="AX113" s="505"/>
      <c r="AY113" s="505"/>
      <c r="AZ113" s="505"/>
      <c r="BA113" s="505"/>
    </row>
    <row r="114" spans="1:53" s="431" customFormat="1" ht="15" customHeight="1" x14ac:dyDescent="0.25">
      <c r="A114" s="417" t="str">
        <f t="shared" si="4"/>
        <v>04 QA | QC REQUIREMENTS</v>
      </c>
      <c r="B114" s="417"/>
      <c r="C114" s="417"/>
      <c r="D114" s="519" t="s">
        <v>1287</v>
      </c>
      <c r="E114" s="524"/>
      <c r="F114" s="524"/>
      <c r="G114" s="527" t="s">
        <v>1288</v>
      </c>
      <c r="H114" s="520"/>
      <c r="I114" s="520"/>
      <c r="J114" s="520"/>
      <c r="K114" s="520"/>
      <c r="L114" s="520"/>
      <c r="M114" s="425"/>
      <c r="N114" s="521" t="b">
        <v>1</v>
      </c>
      <c r="O114" s="522"/>
      <c r="P114" s="521" t="b">
        <v>0</v>
      </c>
      <c r="Q114" s="410"/>
      <c r="R114" s="521" t="b">
        <v>0</v>
      </c>
      <c r="S114" s="523"/>
      <c r="T114" s="521" t="b">
        <v>0</v>
      </c>
      <c r="U114" s="432"/>
      <c r="V114" s="499"/>
      <c r="W114" s="354"/>
      <c r="X114" s="354"/>
      <c r="Y114" s="354"/>
      <c r="Z114" s="354"/>
      <c r="AA114" s="354"/>
      <c r="AB114" s="354"/>
      <c r="AC114" s="354"/>
      <c r="AD114" s="354"/>
      <c r="AR114" s="505"/>
      <c r="AS114" s="505"/>
      <c r="AT114" s="505"/>
      <c r="AU114" s="505"/>
      <c r="AV114" s="505"/>
      <c r="AW114" s="505"/>
      <c r="AX114" s="505"/>
      <c r="AY114" s="505"/>
      <c r="AZ114" s="505"/>
      <c r="BA114" s="505"/>
    </row>
    <row r="115" spans="1:53" s="431" customFormat="1" ht="15" customHeight="1" x14ac:dyDescent="0.25">
      <c r="A115" s="417" t="str">
        <f t="shared" si="4"/>
        <v>04 QA | QC REQUIREMENTS</v>
      </c>
      <c r="B115" s="417"/>
      <c r="C115" s="417"/>
      <c r="D115" s="519" t="s">
        <v>1289</v>
      </c>
      <c r="E115" s="524"/>
      <c r="F115" s="524"/>
      <c r="G115" s="520"/>
      <c r="H115" s="520"/>
      <c r="I115" s="520"/>
      <c r="J115" s="520"/>
      <c r="K115" s="520"/>
      <c r="L115" s="520"/>
      <c r="M115" s="425"/>
      <c r="N115" s="521" t="b">
        <v>1</v>
      </c>
      <c r="O115" s="522"/>
      <c r="P115" s="521" t="b">
        <v>0</v>
      </c>
      <c r="Q115" s="410"/>
      <c r="R115" s="521" t="b">
        <v>0</v>
      </c>
      <c r="S115" s="523"/>
      <c r="T115" s="521" t="b">
        <v>0</v>
      </c>
      <c r="U115" s="432"/>
      <c r="V115" s="499"/>
      <c r="W115" s="354"/>
      <c r="X115" s="354"/>
      <c r="Y115" s="354"/>
      <c r="Z115" s="354"/>
      <c r="AA115" s="354"/>
      <c r="AB115" s="354"/>
      <c r="AC115" s="354"/>
      <c r="AD115" s="354"/>
      <c r="AR115" s="505"/>
      <c r="AS115" s="505"/>
      <c r="AT115" s="505"/>
      <c r="AU115" s="505"/>
      <c r="AV115" s="505"/>
      <c r="AW115" s="505"/>
      <c r="AX115" s="505"/>
      <c r="AY115" s="505"/>
      <c r="AZ115" s="505"/>
      <c r="BA115" s="505"/>
    </row>
    <row r="116" spans="1:53" s="431" customFormat="1" ht="15" customHeight="1" x14ac:dyDescent="0.25">
      <c r="A116" s="417" t="str">
        <f t="shared" si="4"/>
        <v>04 QA | QC REQUIREMENTS</v>
      </c>
      <c r="B116" s="417"/>
      <c r="C116" s="417"/>
      <c r="D116" s="519" t="s">
        <v>1290</v>
      </c>
      <c r="G116" s="520"/>
      <c r="H116" s="520"/>
      <c r="I116" s="520"/>
      <c r="J116" s="520"/>
      <c r="K116" s="520"/>
      <c r="L116" s="520"/>
      <c r="M116" s="425"/>
      <c r="N116" s="521" t="b">
        <v>1</v>
      </c>
      <c r="O116" s="522"/>
      <c r="P116" s="521" t="b">
        <v>0</v>
      </c>
      <c r="Q116" s="410"/>
      <c r="R116" s="521" t="b">
        <v>0</v>
      </c>
      <c r="S116" s="523"/>
      <c r="T116" s="521" t="b">
        <v>0</v>
      </c>
      <c r="U116" s="432"/>
      <c r="V116" s="499"/>
      <c r="W116" s="354"/>
      <c r="X116" s="354"/>
      <c r="Y116" s="354"/>
      <c r="Z116" s="354"/>
      <c r="AA116" s="354"/>
      <c r="AB116" s="354"/>
      <c r="AC116" s="354"/>
      <c r="AD116" s="354"/>
      <c r="AR116" s="505"/>
      <c r="AS116" s="505"/>
      <c r="AT116" s="505"/>
      <c r="AU116" s="505"/>
      <c r="AV116" s="505"/>
      <c r="AW116" s="505"/>
      <c r="AX116" s="505"/>
      <c r="AY116" s="505"/>
      <c r="AZ116" s="505"/>
      <c r="BA116" s="505"/>
    </row>
    <row r="117" spans="1:53" s="431" customFormat="1" ht="15" customHeight="1" x14ac:dyDescent="0.25">
      <c r="A117" s="417" t="str">
        <f t="shared" si="4"/>
        <v>04 QA | QC REQUIREMENTS</v>
      </c>
      <c r="B117" s="417"/>
      <c r="C117" s="417"/>
      <c r="D117" s="519" t="s">
        <v>1291</v>
      </c>
      <c r="E117" s="524"/>
      <c r="F117" s="524"/>
      <c r="G117" s="520"/>
      <c r="H117" s="520"/>
      <c r="I117" s="520"/>
      <c r="J117" s="520"/>
      <c r="K117" s="520"/>
      <c r="L117" s="520"/>
      <c r="M117" s="425"/>
      <c r="N117" s="521" t="b">
        <v>1</v>
      </c>
      <c r="O117" s="522"/>
      <c r="P117" s="521" t="b">
        <v>0</v>
      </c>
      <c r="Q117" s="410"/>
      <c r="R117" s="521" t="b">
        <v>0</v>
      </c>
      <c r="S117" s="523"/>
      <c r="T117" s="521" t="b">
        <v>0</v>
      </c>
      <c r="U117" s="432"/>
      <c r="V117" s="499"/>
      <c r="W117" s="354"/>
      <c r="X117" s="354"/>
      <c r="Y117" s="354"/>
      <c r="Z117" s="354"/>
      <c r="AA117" s="354"/>
      <c r="AB117" s="354"/>
      <c r="AC117" s="354"/>
      <c r="AD117" s="354"/>
      <c r="AR117" s="505"/>
      <c r="AS117" s="505"/>
      <c r="AT117" s="505"/>
      <c r="AU117" s="505"/>
      <c r="AV117" s="505"/>
      <c r="AW117" s="505"/>
      <c r="AX117" s="505"/>
      <c r="AY117" s="505"/>
      <c r="AZ117" s="505"/>
      <c r="BA117" s="505"/>
    </row>
    <row r="118" spans="1:53" s="431" customFormat="1" ht="15" customHeight="1" x14ac:dyDescent="0.25">
      <c r="A118" s="417" t="str">
        <f t="shared" si="4"/>
        <v>04 QA | QC REQUIREMENTS</v>
      </c>
      <c r="B118" s="417"/>
      <c r="C118" s="417"/>
      <c r="D118" s="519" t="s">
        <v>1310</v>
      </c>
      <c r="E118" s="524"/>
      <c r="F118" s="524"/>
      <c r="G118" s="520"/>
      <c r="H118" s="520"/>
      <c r="I118" s="520"/>
      <c r="J118" s="520"/>
      <c r="K118" s="520"/>
      <c r="L118" s="520"/>
      <c r="M118" s="425"/>
      <c r="N118" s="521" t="b">
        <v>1</v>
      </c>
      <c r="O118" s="522"/>
      <c r="P118" s="521" t="b">
        <v>0</v>
      </c>
      <c r="Q118" s="410"/>
      <c r="R118" s="521" t="b">
        <v>0</v>
      </c>
      <c r="S118" s="523"/>
      <c r="T118" s="521" t="b">
        <v>0</v>
      </c>
      <c r="U118" s="432"/>
      <c r="V118" s="499"/>
      <c r="W118" s="354"/>
      <c r="X118" s="354"/>
      <c r="Y118" s="354"/>
      <c r="Z118" s="354"/>
      <c r="AA118" s="354"/>
      <c r="AB118" s="354"/>
      <c r="AC118" s="354"/>
      <c r="AD118" s="354"/>
      <c r="AR118" s="505"/>
      <c r="AS118" s="505"/>
      <c r="AT118" s="505"/>
      <c r="AU118" s="505"/>
      <c r="AV118" s="505"/>
      <c r="AW118" s="505"/>
      <c r="AX118" s="505"/>
      <c r="AY118" s="505"/>
      <c r="AZ118" s="505"/>
      <c r="BA118" s="505"/>
    </row>
    <row r="119" spans="1:53" s="431" customFormat="1" ht="15" customHeight="1" x14ac:dyDescent="0.25">
      <c r="A119" s="417" t="str">
        <f t="shared" si="4"/>
        <v>04 QA | QC REQUIREMENTS</v>
      </c>
      <c r="B119" s="417"/>
      <c r="C119" s="417"/>
      <c r="D119" s="519"/>
      <c r="E119" s="524"/>
      <c r="F119" s="524"/>
      <c r="G119" s="520"/>
      <c r="H119" s="520"/>
      <c r="I119" s="520"/>
      <c r="J119" s="520"/>
      <c r="K119" s="520"/>
      <c r="L119" s="520"/>
      <c r="M119" s="425"/>
      <c r="N119" s="521" t="b">
        <v>1</v>
      </c>
      <c r="O119" s="522"/>
      <c r="P119" s="521" t="b">
        <v>0</v>
      </c>
      <c r="Q119" s="410"/>
      <c r="R119" s="521" t="b">
        <v>0</v>
      </c>
      <c r="S119" s="523"/>
      <c r="T119" s="521" t="b">
        <v>0</v>
      </c>
      <c r="U119" s="432"/>
      <c r="V119" s="499"/>
      <c r="W119" s="354"/>
      <c r="X119" s="354"/>
      <c r="Y119" s="354"/>
      <c r="Z119" s="354"/>
      <c r="AA119" s="354"/>
      <c r="AB119" s="354"/>
      <c r="AC119" s="354"/>
      <c r="AD119" s="354"/>
      <c r="AR119" s="505"/>
      <c r="AS119" s="505"/>
      <c r="AT119" s="505"/>
      <c r="AU119" s="505"/>
      <c r="AV119" s="505"/>
      <c r="AW119" s="505"/>
      <c r="AX119" s="505"/>
      <c r="AY119" s="505"/>
      <c r="AZ119" s="505"/>
      <c r="BA119" s="505"/>
    </row>
    <row r="120" spans="1:53" s="431" customFormat="1" ht="15" customHeight="1" x14ac:dyDescent="0.25">
      <c r="A120" s="417" t="str">
        <f t="shared" si="4"/>
        <v>04 QA | QC REQUIREMENTS</v>
      </c>
      <c r="B120" s="417"/>
      <c r="C120" s="417"/>
      <c r="D120" s="519"/>
      <c r="E120" s="524"/>
      <c r="F120" s="524"/>
      <c r="G120" s="520"/>
      <c r="H120" s="520"/>
      <c r="I120" s="520"/>
      <c r="J120" s="520"/>
      <c r="K120" s="520"/>
      <c r="L120" s="520"/>
      <c r="M120" s="425"/>
      <c r="N120" s="521" t="b">
        <v>0</v>
      </c>
      <c r="O120" s="522"/>
      <c r="P120" s="521" t="b">
        <v>0</v>
      </c>
      <c r="Q120" s="410"/>
      <c r="R120" s="521" t="b">
        <v>0</v>
      </c>
      <c r="S120" s="523"/>
      <c r="T120" s="521" t="b">
        <v>0</v>
      </c>
      <c r="U120" s="432"/>
      <c r="V120" s="499"/>
      <c r="W120" s="354"/>
      <c r="X120" s="354"/>
      <c r="Y120" s="354"/>
      <c r="Z120" s="354"/>
      <c r="AA120" s="354"/>
      <c r="AB120" s="354"/>
      <c r="AC120" s="354"/>
      <c r="AD120" s="354"/>
      <c r="AR120" s="505"/>
      <c r="AS120" s="505"/>
      <c r="AT120" s="505"/>
      <c r="AU120" s="505"/>
      <c r="AV120" s="505"/>
      <c r="AW120" s="505"/>
      <c r="AX120" s="505"/>
      <c r="AY120" s="505"/>
      <c r="AZ120" s="505"/>
      <c r="BA120" s="505"/>
    </row>
    <row r="121" spans="1:53" s="431" customFormat="1" ht="15" customHeight="1" x14ac:dyDescent="0.25">
      <c r="A121" s="417" t="str">
        <f t="shared" si="4"/>
        <v>04 QA | QC REQUIREMENTS</v>
      </c>
      <c r="B121" s="417"/>
      <c r="C121" s="417"/>
      <c r="D121" s="519"/>
      <c r="E121" s="524"/>
      <c r="F121" s="524"/>
      <c r="G121" s="520"/>
      <c r="H121" s="520"/>
      <c r="I121" s="520"/>
      <c r="J121" s="520"/>
      <c r="K121" s="520"/>
      <c r="L121" s="520"/>
      <c r="M121" s="425"/>
      <c r="N121" s="521" t="b">
        <v>0</v>
      </c>
      <c r="O121" s="522"/>
      <c r="P121" s="521" t="b">
        <v>0</v>
      </c>
      <c r="Q121" s="410"/>
      <c r="R121" s="521" t="b">
        <v>0</v>
      </c>
      <c r="S121" s="523"/>
      <c r="T121" s="521" t="b">
        <v>0</v>
      </c>
      <c r="U121" s="432"/>
      <c r="V121" s="499"/>
      <c r="W121" s="354"/>
      <c r="X121" s="354"/>
      <c r="Y121" s="354"/>
      <c r="Z121" s="354"/>
      <c r="AA121" s="354"/>
      <c r="AB121" s="354"/>
      <c r="AC121" s="354"/>
      <c r="AD121" s="354"/>
      <c r="AR121" s="505"/>
      <c r="AS121" s="505"/>
      <c r="AT121" s="505"/>
      <c r="AU121" s="505"/>
      <c r="AV121" s="505"/>
      <c r="AW121" s="505"/>
      <c r="AX121" s="505"/>
      <c r="AY121" s="505"/>
      <c r="AZ121" s="505"/>
      <c r="BA121" s="505"/>
    </row>
    <row r="122" spans="1:53" s="431" customFormat="1" ht="15" customHeight="1" x14ac:dyDescent="0.25">
      <c r="A122" s="417" t="str">
        <f t="shared" si="4"/>
        <v>04 QA | QC REQUIREMENTS</v>
      </c>
      <c r="B122" s="417"/>
      <c r="C122" s="417"/>
      <c r="D122" s="519"/>
      <c r="E122" s="524"/>
      <c r="F122" s="524"/>
      <c r="G122" s="520"/>
      <c r="H122" s="520"/>
      <c r="I122" s="520"/>
      <c r="J122" s="520"/>
      <c r="K122" s="520"/>
      <c r="L122" s="520"/>
      <c r="M122" s="425"/>
      <c r="N122" s="521" t="b">
        <v>0</v>
      </c>
      <c r="O122" s="522"/>
      <c r="P122" s="521" t="b">
        <v>0</v>
      </c>
      <c r="Q122" s="410"/>
      <c r="R122" s="521" t="b">
        <v>0</v>
      </c>
      <c r="S122" s="523"/>
      <c r="T122" s="521" t="b">
        <v>0</v>
      </c>
      <c r="U122" s="432"/>
      <c r="V122" s="499"/>
      <c r="W122" s="354"/>
      <c r="X122" s="354"/>
      <c r="Y122" s="354"/>
      <c r="Z122" s="354"/>
      <c r="AA122" s="354"/>
      <c r="AB122" s="354"/>
      <c r="AC122" s="354"/>
      <c r="AD122" s="354"/>
      <c r="AR122" s="505"/>
      <c r="AS122" s="505"/>
      <c r="AT122" s="505"/>
      <c r="AU122" s="505"/>
      <c r="AV122" s="505"/>
      <c r="AW122" s="505"/>
      <c r="AX122" s="505"/>
      <c r="AY122" s="505"/>
      <c r="AZ122" s="505"/>
      <c r="BA122" s="505"/>
    </row>
    <row r="123" spans="1:53" s="431" customFormat="1" ht="15" customHeight="1" x14ac:dyDescent="0.25">
      <c r="A123" s="417" t="str">
        <f t="shared" si="4"/>
        <v>04 QA | QC REQUIREMENTS</v>
      </c>
      <c r="B123" s="417"/>
      <c r="C123" s="417"/>
      <c r="D123" s="379" t="s">
        <v>1292</v>
      </c>
      <c r="E123" s="524"/>
      <c r="F123" s="524"/>
      <c r="G123" s="520"/>
      <c r="H123" s="520"/>
      <c r="I123" s="520"/>
      <c r="J123" s="520"/>
      <c r="K123" s="520"/>
      <c r="L123" s="520"/>
      <c r="M123" s="425"/>
      <c r="N123" s="521" t="b">
        <v>0</v>
      </c>
      <c r="O123" s="522"/>
      <c r="P123" s="521" t="b">
        <v>0</v>
      </c>
      <c r="Q123" s="410"/>
      <c r="R123" s="521" t="b">
        <v>0</v>
      </c>
      <c r="S123" s="523"/>
      <c r="T123" s="521" t="b">
        <v>0</v>
      </c>
      <c r="U123" s="432"/>
      <c r="V123" s="499"/>
      <c r="W123" s="354"/>
      <c r="X123" s="354"/>
      <c r="Y123" s="354"/>
      <c r="Z123" s="354"/>
      <c r="AA123" s="354"/>
      <c r="AB123" s="354"/>
      <c r="AC123" s="354"/>
      <c r="AD123" s="354"/>
      <c r="AR123" s="505"/>
      <c r="AS123" s="505"/>
      <c r="AT123" s="505"/>
      <c r="AU123" s="505"/>
      <c r="AV123" s="505"/>
      <c r="AW123" s="505"/>
      <c r="AX123" s="505"/>
      <c r="AY123" s="505"/>
      <c r="AZ123" s="505"/>
      <c r="BA123" s="505"/>
    </row>
    <row r="124" spans="1:53" s="431" customFormat="1" ht="15" customHeight="1" x14ac:dyDescent="0.25">
      <c r="A124" s="417" t="str">
        <f t="shared" si="4"/>
        <v>04 QA | QC REQUIREMENTS</v>
      </c>
      <c r="B124" s="417"/>
      <c r="C124" s="417"/>
      <c r="D124" s="519" t="s">
        <v>1293</v>
      </c>
      <c r="E124" s="524"/>
      <c r="F124" s="524"/>
      <c r="G124" s="520"/>
      <c r="H124" s="520"/>
      <c r="I124" s="520"/>
      <c r="J124" s="520"/>
      <c r="K124" s="520"/>
      <c r="L124" s="520"/>
      <c r="M124" s="425"/>
      <c r="N124" s="521" t="b">
        <v>1</v>
      </c>
      <c r="O124" s="522"/>
      <c r="P124" s="521" t="b">
        <v>0</v>
      </c>
      <c r="Q124" s="410"/>
      <c r="R124" s="521" t="b">
        <v>0</v>
      </c>
      <c r="S124" s="523"/>
      <c r="T124" s="521" t="b">
        <v>0</v>
      </c>
      <c r="U124" s="432"/>
      <c r="V124" s="499"/>
      <c r="W124" s="354"/>
      <c r="X124" s="354"/>
      <c r="Y124" s="354"/>
      <c r="Z124" s="354"/>
      <c r="AA124" s="354"/>
      <c r="AB124" s="354"/>
      <c r="AC124" s="354"/>
      <c r="AD124" s="354"/>
      <c r="AR124" s="505"/>
      <c r="AS124" s="505"/>
      <c r="AT124" s="505"/>
      <c r="AU124" s="505"/>
      <c r="AV124" s="505"/>
      <c r="AW124" s="505"/>
      <c r="AX124" s="505"/>
      <c r="AY124" s="505"/>
      <c r="AZ124" s="505"/>
      <c r="BA124" s="505"/>
    </row>
    <row r="125" spans="1:53" s="431" customFormat="1" ht="15" customHeight="1" x14ac:dyDescent="0.25">
      <c r="A125" s="417" t="str">
        <f t="shared" si="4"/>
        <v>04 QA | QC REQUIREMENTS</v>
      </c>
      <c r="B125" s="417"/>
      <c r="C125" s="417"/>
      <c r="D125" s="519" t="s">
        <v>1294</v>
      </c>
      <c r="E125" s="524"/>
      <c r="F125" s="524"/>
      <c r="G125" s="520"/>
      <c r="H125" s="520"/>
      <c r="I125" s="520"/>
      <c r="J125" s="520"/>
      <c r="K125" s="520"/>
      <c r="L125" s="520"/>
      <c r="M125" s="425"/>
      <c r="N125" s="521" t="b">
        <v>1</v>
      </c>
      <c r="O125" s="522"/>
      <c r="P125" s="521" t="b">
        <v>0</v>
      </c>
      <c r="Q125" s="410"/>
      <c r="R125" s="521" t="b">
        <v>0</v>
      </c>
      <c r="S125" s="523"/>
      <c r="T125" s="521" t="b">
        <v>0</v>
      </c>
      <c r="U125" s="432"/>
      <c r="V125" s="499"/>
      <c r="W125" s="354"/>
      <c r="X125" s="354"/>
      <c r="Y125" s="354"/>
      <c r="Z125" s="354"/>
      <c r="AA125" s="354"/>
      <c r="AB125" s="354"/>
      <c r="AC125" s="354"/>
      <c r="AD125" s="354"/>
      <c r="AR125" s="505"/>
      <c r="AS125" s="505"/>
      <c r="AT125" s="505"/>
      <c r="AU125" s="505"/>
      <c r="AV125" s="505"/>
      <c r="AW125" s="505"/>
      <c r="AX125" s="505"/>
      <c r="AY125" s="505"/>
      <c r="AZ125" s="505"/>
      <c r="BA125" s="505"/>
    </row>
    <row r="126" spans="1:53" s="431" customFormat="1" ht="15" customHeight="1" x14ac:dyDescent="0.25">
      <c r="A126" s="417" t="str">
        <f t="shared" si="4"/>
        <v>04 QA | QC REQUIREMENTS</v>
      </c>
      <c r="B126" s="417"/>
      <c r="C126" s="417"/>
      <c r="D126" s="519"/>
      <c r="E126" s="524"/>
      <c r="F126" s="524"/>
      <c r="G126" s="520"/>
      <c r="H126" s="520"/>
      <c r="I126" s="520"/>
      <c r="J126" s="520"/>
      <c r="K126" s="520"/>
      <c r="L126" s="520"/>
      <c r="M126" s="425"/>
      <c r="N126" s="521" t="b">
        <v>0</v>
      </c>
      <c r="O126" s="522"/>
      <c r="P126" s="521" t="b">
        <v>0</v>
      </c>
      <c r="Q126" s="410"/>
      <c r="R126" s="521" t="b">
        <v>0</v>
      </c>
      <c r="S126" s="523"/>
      <c r="T126" s="521" t="b">
        <v>0</v>
      </c>
      <c r="U126" s="432"/>
      <c r="V126" s="499"/>
      <c r="W126" s="354"/>
      <c r="X126" s="354"/>
      <c r="Y126" s="354"/>
      <c r="Z126" s="354"/>
      <c r="AA126" s="354"/>
      <c r="AB126" s="354"/>
      <c r="AC126" s="354"/>
      <c r="AD126" s="354"/>
      <c r="AR126" s="505"/>
      <c r="AS126" s="505"/>
      <c r="AT126" s="505"/>
      <c r="AU126" s="505"/>
      <c r="AV126" s="505"/>
      <c r="AW126" s="505"/>
      <c r="AX126" s="505"/>
      <c r="AY126" s="505"/>
      <c r="AZ126" s="505"/>
      <c r="BA126" s="505"/>
    </row>
    <row r="127" spans="1:53" ht="15" customHeight="1" x14ac:dyDescent="0.25">
      <c r="A127" s="417" t="str">
        <f t="shared" si="4"/>
        <v>04 QA | QC REQUIREMENTS</v>
      </c>
      <c r="B127" s="417"/>
      <c r="C127" s="417"/>
      <c r="D127" s="519"/>
      <c r="E127" s="524"/>
      <c r="F127" s="524"/>
      <c r="G127" s="520"/>
      <c r="H127" s="520"/>
      <c r="I127" s="520"/>
      <c r="J127" s="520"/>
      <c r="K127" s="520"/>
      <c r="L127" s="520"/>
      <c r="M127" s="425"/>
      <c r="N127" s="521" t="b">
        <v>0</v>
      </c>
      <c r="O127" s="522"/>
      <c r="P127" s="521" t="b">
        <v>0</v>
      </c>
      <c r="Q127" s="410"/>
      <c r="R127" s="521" t="b">
        <v>0</v>
      </c>
      <c r="S127" s="523"/>
      <c r="T127" s="521" t="b">
        <v>0</v>
      </c>
      <c r="U127" s="436"/>
      <c r="AR127" s="505"/>
      <c r="AS127" s="505"/>
      <c r="AT127" s="505"/>
      <c r="AU127" s="505"/>
      <c r="AV127" s="505"/>
      <c r="AW127" s="505"/>
      <c r="AX127" s="505"/>
      <c r="AY127" s="505"/>
      <c r="AZ127" s="505"/>
      <c r="BA127" s="505"/>
    </row>
    <row r="128" spans="1:53" ht="15" customHeight="1" x14ac:dyDescent="0.25">
      <c r="A128" s="417" t="str">
        <f t="shared" si="4"/>
        <v>04 QA | QC REQUIREMENTS</v>
      </c>
      <c r="B128" s="417"/>
      <c r="C128" s="417"/>
      <c r="D128" s="519"/>
      <c r="E128" s="524"/>
      <c r="F128" s="524"/>
      <c r="G128" s="520"/>
      <c r="H128" s="520"/>
      <c r="I128" s="520"/>
      <c r="J128" s="520"/>
      <c r="K128" s="520"/>
      <c r="L128" s="520"/>
      <c r="M128" s="425"/>
      <c r="N128" s="521" t="b">
        <v>0</v>
      </c>
      <c r="O128" s="522"/>
      <c r="P128" s="521" t="b">
        <v>0</v>
      </c>
      <c r="Q128" s="410"/>
      <c r="R128" s="521" t="b">
        <v>0</v>
      </c>
      <c r="S128" s="523"/>
      <c r="T128" s="521" t="b">
        <v>0</v>
      </c>
      <c r="U128" s="436"/>
      <c r="AR128" s="505"/>
      <c r="AS128" s="505"/>
      <c r="AT128" s="505"/>
      <c r="AU128" s="505"/>
      <c r="AV128" s="505"/>
      <c r="AW128" s="505"/>
      <c r="AX128" s="505"/>
      <c r="AY128" s="505"/>
      <c r="AZ128" s="505"/>
      <c r="BA128" s="505"/>
    </row>
    <row r="129" spans="1:53" ht="15" customHeight="1" x14ac:dyDescent="0.25">
      <c r="A129" s="417" t="str">
        <f t="shared" si="4"/>
        <v>04 QA | QC REQUIREMENTS</v>
      </c>
      <c r="B129" s="417"/>
      <c r="C129" s="417"/>
      <c r="D129" s="519"/>
      <c r="E129" s="524"/>
      <c r="F129" s="524"/>
      <c r="G129" s="520"/>
      <c r="H129" s="520"/>
      <c r="I129" s="520"/>
      <c r="J129" s="520"/>
      <c r="K129" s="520"/>
      <c r="L129" s="520"/>
      <c r="M129" s="425"/>
      <c r="N129" s="521" t="b">
        <v>0</v>
      </c>
      <c r="O129" s="522"/>
      <c r="P129" s="521" t="b">
        <v>0</v>
      </c>
      <c r="Q129" s="410"/>
      <c r="R129" s="521" t="b">
        <v>0</v>
      </c>
      <c r="S129" s="523"/>
      <c r="T129" s="521" t="b">
        <v>0</v>
      </c>
      <c r="U129" s="436"/>
      <c r="AR129" s="505"/>
      <c r="AS129" s="505"/>
      <c r="AT129" s="505"/>
      <c r="AU129" s="505"/>
      <c r="AV129" s="505"/>
      <c r="AW129" s="505"/>
      <c r="AX129" s="505"/>
      <c r="AY129" s="505"/>
      <c r="AZ129" s="505"/>
      <c r="BA129" s="505"/>
    </row>
    <row r="130" spans="1:53" ht="15" customHeight="1" x14ac:dyDescent="0.25">
      <c r="A130" s="417" t="str">
        <f t="shared" si="4"/>
        <v>04 QA | QC REQUIREMENTS</v>
      </c>
      <c r="B130" s="417"/>
      <c r="C130" s="417"/>
      <c r="D130" s="519"/>
      <c r="E130" s="524"/>
      <c r="F130" s="524"/>
      <c r="G130" s="524"/>
      <c r="H130" s="528"/>
      <c r="I130" s="528"/>
      <c r="J130" s="495"/>
      <c r="K130" s="522"/>
      <c r="L130" s="522"/>
      <c r="M130" s="522"/>
      <c r="N130" s="410"/>
      <c r="O130" s="522"/>
      <c r="P130" s="523"/>
      <c r="Q130" s="522"/>
      <c r="R130" s="529"/>
      <c r="S130" s="522"/>
      <c r="T130" s="528"/>
      <c r="U130" s="530"/>
      <c r="AR130" s="505"/>
      <c r="AS130" s="505"/>
      <c r="AT130" s="505"/>
      <c r="AU130" s="505"/>
      <c r="AV130" s="505"/>
      <c r="AW130" s="505"/>
      <c r="AX130" s="505"/>
      <c r="AY130" s="505"/>
      <c r="AZ130" s="505"/>
      <c r="BA130" s="505"/>
    </row>
    <row r="131" spans="1:53" ht="15" customHeight="1" x14ac:dyDescent="0.25">
      <c r="A131" s="417" t="str">
        <f t="shared" si="4"/>
        <v>04 QA | QC REQUIREMENTS</v>
      </c>
      <c r="B131" s="417"/>
      <c r="C131" s="417"/>
      <c r="D131" s="479"/>
      <c r="E131" s="524"/>
      <c r="F131" s="524"/>
      <c r="G131" s="524"/>
      <c r="H131" s="528"/>
      <c r="I131" s="528"/>
      <c r="J131" s="495"/>
      <c r="K131" s="522"/>
      <c r="L131" s="522"/>
      <c r="M131" s="522"/>
      <c r="N131" s="410"/>
      <c r="O131" s="522"/>
      <c r="P131" s="523"/>
      <c r="Q131" s="522"/>
      <c r="R131" s="529"/>
      <c r="S131" s="522"/>
      <c r="T131" s="528"/>
      <c r="U131" s="530"/>
      <c r="AR131" s="505"/>
      <c r="AS131" s="505"/>
      <c r="AT131" s="505"/>
      <c r="AU131" s="505"/>
      <c r="AV131" s="505"/>
      <c r="AW131" s="505"/>
      <c r="AX131" s="505"/>
      <c r="AY131" s="505"/>
      <c r="AZ131" s="505"/>
      <c r="BA131" s="505"/>
    </row>
    <row r="132" spans="1:53" ht="15" customHeight="1" x14ac:dyDescent="0.25">
      <c r="A132" s="417" t="str">
        <f t="shared" si="4"/>
        <v>04 QA | QC REQUIREMENTS</v>
      </c>
      <c r="B132" s="417"/>
      <c r="C132" s="417"/>
      <c r="D132" s="531"/>
      <c r="E132" s="532"/>
      <c r="F132" s="532"/>
      <c r="G132" s="532"/>
      <c r="H132" s="533"/>
      <c r="I132" s="533"/>
      <c r="J132" s="534"/>
      <c r="K132" s="535"/>
      <c r="L132" s="535"/>
      <c r="M132" s="535"/>
      <c r="N132" s="421"/>
      <c r="O132" s="535"/>
      <c r="P132" s="536"/>
      <c r="Q132" s="535"/>
      <c r="R132" s="537"/>
      <c r="S132" s="535"/>
      <c r="T132" s="533"/>
      <c r="U132" s="515"/>
      <c r="AR132" s="505"/>
      <c r="AS132" s="505"/>
      <c r="AT132" s="505"/>
      <c r="AU132" s="505"/>
      <c r="AV132" s="505"/>
      <c r="AW132" s="505"/>
      <c r="AX132" s="505"/>
      <c r="AY132" s="505"/>
      <c r="AZ132" s="505"/>
      <c r="BA132" s="505"/>
    </row>
    <row r="133" spans="1:53" x14ac:dyDescent="0.25">
      <c r="A133" s="538"/>
      <c r="B133" s="417"/>
      <c r="C133" s="417"/>
      <c r="D133" s="655"/>
      <c r="E133" s="655"/>
      <c r="F133" s="655"/>
      <c r="G133" s="655"/>
      <c r="H133" s="539"/>
      <c r="I133" s="539"/>
      <c r="J133" s="539"/>
      <c r="K133" s="540"/>
      <c r="L133" s="539"/>
      <c r="M133" s="540"/>
      <c r="N133" s="539"/>
      <c r="O133" s="540"/>
      <c r="P133" s="539"/>
      <c r="Q133" s="540"/>
      <c r="R133" s="539"/>
      <c r="S133" s="540"/>
      <c r="T133" s="539"/>
      <c r="U133" s="541"/>
      <c r="AR133" s="505"/>
      <c r="AS133" s="505"/>
      <c r="AT133" s="505"/>
      <c r="AU133" s="505"/>
      <c r="AV133" s="505"/>
      <c r="AW133" s="505"/>
      <c r="AX133" s="505"/>
      <c r="AY133" s="505"/>
      <c r="AZ133" s="505"/>
      <c r="BA133" s="505"/>
    </row>
    <row r="134" spans="1:53" x14ac:dyDescent="0.25">
      <c r="A134" s="538"/>
      <c r="B134" s="417"/>
      <c r="C134" s="417"/>
      <c r="D134" s="653"/>
      <c r="E134" s="653"/>
      <c r="F134" s="653"/>
      <c r="G134" s="653"/>
      <c r="H134" s="528"/>
      <c r="I134" s="528"/>
      <c r="J134" s="528"/>
      <c r="K134" s="542"/>
      <c r="L134" s="528"/>
      <c r="M134" s="542"/>
      <c r="N134" s="528"/>
      <c r="O134" s="542"/>
      <c r="P134" s="528"/>
      <c r="Q134" s="542"/>
      <c r="R134" s="528"/>
      <c r="S134" s="542"/>
      <c r="T134" s="528"/>
      <c r="U134" s="543"/>
      <c r="AR134" s="505"/>
      <c r="AS134" s="505"/>
      <c r="AT134" s="505"/>
      <c r="AU134" s="505"/>
      <c r="AV134" s="505"/>
      <c r="AW134" s="505"/>
      <c r="AX134" s="505"/>
      <c r="AY134" s="505"/>
      <c r="AZ134" s="505"/>
      <c r="BA134" s="505"/>
    </row>
    <row r="135" spans="1:53" x14ac:dyDescent="0.25">
      <c r="A135" s="538"/>
      <c r="B135" s="417"/>
      <c r="C135" s="417"/>
      <c r="D135" s="653"/>
      <c r="E135" s="653"/>
      <c r="F135" s="653"/>
      <c r="G135" s="653"/>
      <c r="H135" s="528"/>
      <c r="I135" s="528"/>
      <c r="J135" s="528"/>
      <c r="K135" s="522"/>
      <c r="L135" s="528"/>
      <c r="M135" s="522"/>
      <c r="N135" s="528"/>
      <c r="O135" s="522"/>
      <c r="P135" s="528"/>
      <c r="Q135" s="522"/>
      <c r="R135" s="528"/>
      <c r="S135" s="522"/>
      <c r="T135" s="528"/>
      <c r="U135" s="543"/>
    </row>
    <row r="136" spans="1:53" x14ac:dyDescent="0.25">
      <c r="A136" s="538"/>
      <c r="B136" s="417"/>
      <c r="C136" s="417"/>
      <c r="D136" s="653"/>
      <c r="E136" s="653"/>
      <c r="F136" s="653"/>
      <c r="G136" s="653"/>
      <c r="H136" s="528"/>
      <c r="I136" s="528"/>
      <c r="J136" s="528"/>
      <c r="K136" s="542"/>
      <c r="L136" s="528"/>
      <c r="M136" s="542"/>
      <c r="N136" s="528"/>
      <c r="O136" s="542"/>
      <c r="P136" s="528"/>
      <c r="Q136" s="542"/>
      <c r="R136" s="528"/>
      <c r="S136" s="528"/>
      <c r="T136" s="528"/>
      <c r="U136" s="543"/>
    </row>
    <row r="137" spans="1:53" x14ac:dyDescent="0.25">
      <c r="B137" s="417"/>
      <c r="C137" s="417"/>
      <c r="D137" s="528"/>
      <c r="E137" s="528"/>
      <c r="F137" s="528"/>
      <c r="G137" s="528"/>
      <c r="H137" s="528"/>
      <c r="I137" s="528"/>
      <c r="J137" s="528"/>
      <c r="K137" s="528"/>
      <c r="L137" s="528"/>
      <c r="M137" s="528"/>
      <c r="N137" s="528"/>
      <c r="O137" s="528"/>
      <c r="P137" s="528"/>
      <c r="Q137" s="528"/>
      <c r="R137" s="528"/>
      <c r="S137" s="528"/>
      <c r="T137" s="528"/>
      <c r="U137" s="543"/>
    </row>
    <row r="138" spans="1:53" x14ac:dyDescent="0.25">
      <c r="B138" s="417"/>
      <c r="C138" s="417"/>
    </row>
  </sheetData>
  <mergeCells count="20">
    <mergeCell ref="D135:G135"/>
    <mergeCell ref="D136:G136"/>
    <mergeCell ref="L77:M77"/>
    <mergeCell ref="L78:M78"/>
    <mergeCell ref="D102:U102"/>
    <mergeCell ref="P104:Q105"/>
    <mergeCell ref="D133:G133"/>
    <mergeCell ref="D134:G134"/>
    <mergeCell ref="L76:M76"/>
    <mergeCell ref="D9:U9"/>
    <mergeCell ref="H11:J11"/>
    <mergeCell ref="H12:I12"/>
    <mergeCell ref="H14:J14"/>
    <mergeCell ref="H15:J15"/>
    <mergeCell ref="H16:J16"/>
    <mergeCell ref="H20:J20"/>
    <mergeCell ref="D40:U40"/>
    <mergeCell ref="D71:U71"/>
    <mergeCell ref="L74:M74"/>
    <mergeCell ref="L75:M75"/>
  </mergeCells>
  <conditionalFormatting sqref="S93:S100">
    <cfRule type="expression" dxfId="7" priority="2">
      <formula>ISTEXT(#REF!)</formula>
    </cfRule>
  </conditionalFormatting>
  <conditionalFormatting sqref="T87:T90">
    <cfRule type="expression" dxfId="6" priority="1">
      <formula>ISTEXT(N87)</formula>
    </cfRule>
  </conditionalFormatting>
  <dataValidations count="6">
    <dataValidation type="list" allowBlank="1" showErrorMessage="1" sqref="D87:D91" xr:uid="{ABCC636A-F9B2-4D41-915A-37959C2A5EA3}">
      <formula1>$AA$10:$AA$15</formula1>
    </dataValidation>
    <dataValidation type="list" allowBlank="1" showErrorMessage="1" sqref="L81:L84" xr:uid="{77E97E01-AD1D-4171-B2EC-EB2539195019}">
      <formula1>$Y$10:$Y$15</formula1>
    </dataValidation>
    <dataValidation type="list" allowBlank="1" showInputMessage="1" sqref="L74:M78" xr:uid="{ACEF225C-6BC4-4C4C-8223-6AAADFFA7D1F}">
      <formula1>$Z$10:$Z$19</formula1>
    </dataValidation>
    <dataValidation type="list" allowBlank="1" showInputMessage="1" sqref="D74:D84" xr:uid="{9F17A10A-9957-4A4A-8B3C-87B709A6E8A2}">
      <formula1>$X$10:$X$21</formula1>
    </dataValidation>
    <dataValidation type="list" allowBlank="1" showErrorMessage="1" sqref="E12" xr:uid="{45331E37-BFCF-4B28-B0C5-D88B07B3FF48}">
      <formula1>$AB$10:$AB$18</formula1>
    </dataValidation>
    <dataValidation type="list" allowBlank="1" showInputMessage="1" showErrorMessage="1" sqref="E11 E18 E13" xr:uid="{2B755A5E-1DE2-404A-99A9-32F3CE65C666}">
      <formula1>#REF!</formula1>
    </dataValidation>
  </dataValidations>
  <hyperlinks>
    <hyperlink ref="H19" r:id="rId1" display="https://earth.google.com/web/search/1227+Park+St,+Greenville,+TX+75401/@33.12813588,-96.08128944,155.97315751a,396.51727078d,35y,-0h,0t,0r/data=CiwiJgokCeUSzbkkjTVAEeISzbkkjTXAGWl1DX5p6klAIWd1DX5p6knAQgIIAToDCgEwSg0I____________ARAA" xr:uid="{48493271-FD7A-41F6-85CE-4CEC2C31C4ED}"/>
  </hyperlinks>
  <pageMargins left="0.7" right="0.7" top="0.75" bottom="0.75" header="0.3" footer="0.3"/>
  <pageSetup scale="52" orientation="portrait" r:id="rId2"/>
  <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indexed="11"/>
  </sheetPr>
  <dimension ref="A1:AA101"/>
  <sheetViews>
    <sheetView showGridLines="0" zoomScaleNormal="100" workbookViewId="0">
      <selection activeCell="I54" sqref="I54"/>
    </sheetView>
  </sheetViews>
  <sheetFormatPr defaultColWidth="9" defaultRowHeight="12.75" x14ac:dyDescent="0.2"/>
  <cols>
    <col min="1" max="1" width="14" style="1" bestFit="1" customWidth="1"/>
    <col min="2" max="2" width="14.5703125" style="1" bestFit="1" customWidth="1"/>
    <col min="3" max="3" width="24.28515625" style="1" customWidth="1"/>
    <col min="4" max="5" width="9" style="1"/>
    <col min="6" max="7" width="9" style="1" hidden="1" customWidth="1"/>
    <col min="8" max="8" width="11.85546875" style="1" bestFit="1" customWidth="1"/>
    <col min="9" max="9" width="15.85546875" style="1" customWidth="1"/>
    <col min="10" max="10" width="9" style="1"/>
    <col min="11" max="11" width="9" style="26"/>
    <col min="12" max="12" width="9" style="7"/>
    <col min="13" max="13" width="9" style="7" customWidth="1"/>
    <col min="14" max="14" width="9" style="1" hidden="1" customWidth="1"/>
    <col min="15" max="16" width="14.5703125" style="107" hidden="1" customWidth="1"/>
    <col min="17" max="20" width="9" style="1" hidden="1" customWidth="1"/>
    <col min="21" max="21" width="12.140625" style="1" customWidth="1"/>
    <col min="22" max="23" width="12.85546875" style="1" customWidth="1"/>
    <col min="24" max="25" width="14.28515625" style="1" customWidth="1"/>
    <col min="26" max="16384" width="9" style="1"/>
  </cols>
  <sheetData>
    <row r="1" spans="1:25" x14ac:dyDescent="0.2">
      <c r="A1" s="663" t="s">
        <v>6</v>
      </c>
      <c r="B1" s="664"/>
      <c r="C1" s="664"/>
      <c r="D1" s="664"/>
      <c r="E1" s="664"/>
      <c r="F1" s="80"/>
      <c r="G1" s="80"/>
      <c r="I1" s="3" t="s">
        <v>43</v>
      </c>
      <c r="J1" s="4"/>
      <c r="K1" s="5"/>
      <c r="L1" s="6"/>
      <c r="N1" s="80" t="s">
        <v>41</v>
      </c>
      <c r="O1" s="107" t="s">
        <v>188</v>
      </c>
      <c r="P1" s="107" t="s">
        <v>187</v>
      </c>
      <c r="Q1" s="1" t="s">
        <v>7</v>
      </c>
      <c r="R1" s="1" t="s">
        <v>18</v>
      </c>
      <c r="S1" s="1" t="s">
        <v>32</v>
      </c>
      <c r="U1" s="129" t="s">
        <v>233</v>
      </c>
      <c r="V1" s="693" t="str">
        <f>"Base: " &amp;region</f>
        <v>Base: Dallas, TX</v>
      </c>
      <c r="W1" s="693"/>
      <c r="X1" s="693" t="str">
        <f>"Target: "&amp;project_location</f>
        <v>Target: Greenville, TX</v>
      </c>
      <c r="Y1" s="693"/>
    </row>
    <row r="2" spans="1:25" ht="12.75" customHeight="1" x14ac:dyDescent="0.2">
      <c r="B2" s="8" t="s">
        <v>17</v>
      </c>
      <c r="C2" s="659" t="s">
        <v>962</v>
      </c>
      <c r="D2" s="659"/>
      <c r="E2" s="659"/>
      <c r="F2" s="83"/>
      <c r="G2" s="83" t="s">
        <v>158</v>
      </c>
      <c r="J2" s="9" t="s">
        <v>44</v>
      </c>
      <c r="K2" s="10" t="s">
        <v>45</v>
      </c>
      <c r="L2" s="10" t="s">
        <v>46</v>
      </c>
      <c r="O2" s="107" t="s">
        <v>36</v>
      </c>
      <c r="P2" s="107">
        <v>1.095</v>
      </c>
      <c r="Q2" s="1" t="s">
        <v>8</v>
      </c>
      <c r="R2" s="1" t="s">
        <v>20</v>
      </c>
      <c r="S2" s="1" t="s">
        <v>31</v>
      </c>
      <c r="T2" s="107"/>
      <c r="U2" s="11" t="s">
        <v>44</v>
      </c>
      <c r="V2" s="12" t="s">
        <v>76</v>
      </c>
      <c r="W2" s="12" t="s">
        <v>77</v>
      </c>
      <c r="X2" s="12" t="s">
        <v>76</v>
      </c>
      <c r="Y2" s="12" t="s">
        <v>77</v>
      </c>
    </row>
    <row r="3" spans="1:25" x14ac:dyDescent="0.2">
      <c r="B3" s="8" t="s">
        <v>2</v>
      </c>
      <c r="C3" s="658" t="s">
        <v>1177</v>
      </c>
      <c r="D3" s="659"/>
      <c r="E3" s="659"/>
      <c r="F3" s="83"/>
      <c r="G3" s="83" t="s">
        <v>237</v>
      </c>
      <c r="J3" s="9" t="s">
        <v>232</v>
      </c>
      <c r="K3" s="131">
        <f>1+((X3-V3)/V3)</f>
        <v>1</v>
      </c>
      <c r="L3" s="131">
        <f>1+((Y3-W3)/W3)</f>
        <v>1</v>
      </c>
      <c r="O3" s="107" t="s">
        <v>37</v>
      </c>
      <c r="P3" s="107">
        <v>1.0774999999999999</v>
      </c>
      <c r="Q3" s="1" t="s">
        <v>9</v>
      </c>
      <c r="R3" s="1" t="s">
        <v>21</v>
      </c>
      <c r="S3" s="1" t="s">
        <v>30</v>
      </c>
      <c r="T3" s="107"/>
      <c r="U3" s="9" t="s">
        <v>232</v>
      </c>
      <c r="V3" s="130">
        <v>100</v>
      </c>
      <c r="W3" s="130">
        <v>100</v>
      </c>
      <c r="X3" s="130">
        <v>100</v>
      </c>
      <c r="Y3" s="130">
        <v>100</v>
      </c>
    </row>
    <row r="4" spans="1:25" x14ac:dyDescent="0.2">
      <c r="B4" s="8" t="s">
        <v>3</v>
      </c>
      <c r="C4" s="659" t="s">
        <v>963</v>
      </c>
      <c r="D4" s="659"/>
      <c r="E4" s="659"/>
      <c r="F4" s="83"/>
      <c r="G4" s="83"/>
      <c r="J4" s="9" t="s">
        <v>47</v>
      </c>
      <c r="K4" s="13">
        <f>1+((X4-V4)/V4)</f>
        <v>1</v>
      </c>
      <c r="L4" s="13">
        <f>1+((Y4-W4)/W4)</f>
        <v>1</v>
      </c>
      <c r="O4" s="107" t="s">
        <v>189</v>
      </c>
      <c r="P4" s="107">
        <v>1.0874999999999999</v>
      </c>
      <c r="Q4" s="1" t="s">
        <v>10</v>
      </c>
      <c r="S4" s="1" t="s">
        <v>33</v>
      </c>
      <c r="T4" s="107"/>
      <c r="U4" s="9" t="s">
        <v>47</v>
      </c>
      <c r="V4" s="14">
        <v>100</v>
      </c>
      <c r="W4" s="14">
        <v>100</v>
      </c>
      <c r="X4" s="14">
        <v>100</v>
      </c>
      <c r="Y4" s="14">
        <v>100</v>
      </c>
    </row>
    <row r="5" spans="1:25" x14ac:dyDescent="0.2">
      <c r="B5" s="8" t="s">
        <v>4</v>
      </c>
      <c r="C5" s="658" t="s">
        <v>1587</v>
      </c>
      <c r="D5" s="659"/>
      <c r="E5" s="659"/>
      <c r="F5" s="83"/>
      <c r="G5" s="83" t="s">
        <v>170</v>
      </c>
      <c r="J5" s="9" t="s">
        <v>48</v>
      </c>
      <c r="K5" s="13">
        <f t="shared" ref="K5:K29" si="0">1+((X5-V5)/V5)</f>
        <v>1</v>
      </c>
      <c r="L5" s="13">
        <f t="shared" ref="L5:L29" si="1">1+((Y5-W5)/W5)</f>
        <v>1</v>
      </c>
      <c r="O5" s="107" t="s">
        <v>38</v>
      </c>
      <c r="P5" s="107">
        <v>1.0863</v>
      </c>
      <c r="Q5" s="1" t="s">
        <v>159</v>
      </c>
      <c r="T5" s="107"/>
      <c r="U5" s="9" t="s">
        <v>48</v>
      </c>
      <c r="V5" s="14">
        <v>100</v>
      </c>
      <c r="W5" s="14">
        <v>100</v>
      </c>
      <c r="X5" s="14">
        <v>100</v>
      </c>
      <c r="Y5" s="14">
        <v>100</v>
      </c>
    </row>
    <row r="6" spans="1:25" x14ac:dyDescent="0.2">
      <c r="B6" s="8" t="s">
        <v>5</v>
      </c>
      <c r="C6" s="659" t="s">
        <v>1846</v>
      </c>
      <c r="D6" s="659"/>
      <c r="E6" s="659"/>
      <c r="F6" s="83"/>
      <c r="G6" s="110" t="s">
        <v>239</v>
      </c>
      <c r="J6" s="9" t="s">
        <v>49</v>
      </c>
      <c r="K6" s="13">
        <f t="shared" si="0"/>
        <v>1</v>
      </c>
      <c r="L6" s="13">
        <f t="shared" si="1"/>
        <v>1</v>
      </c>
      <c r="O6" s="107" t="s">
        <v>39</v>
      </c>
      <c r="P6" s="107">
        <v>1.06</v>
      </c>
      <c r="Q6" s="1" t="s">
        <v>169</v>
      </c>
      <c r="T6" s="107"/>
      <c r="U6" s="9" t="s">
        <v>49</v>
      </c>
      <c r="V6" s="14">
        <v>100</v>
      </c>
      <c r="W6" s="14">
        <v>100</v>
      </c>
      <c r="X6" s="14">
        <v>100</v>
      </c>
      <c r="Y6" s="14">
        <v>100</v>
      </c>
    </row>
    <row r="7" spans="1:25" x14ac:dyDescent="0.2">
      <c r="J7" s="9" t="s">
        <v>50</v>
      </c>
      <c r="K7" s="13">
        <f t="shared" si="0"/>
        <v>1</v>
      </c>
      <c r="L7" s="13">
        <f t="shared" si="1"/>
        <v>1</v>
      </c>
      <c r="O7" s="107" t="s">
        <v>172</v>
      </c>
      <c r="P7" s="107">
        <v>1.0725</v>
      </c>
      <c r="Q7" s="1" t="s">
        <v>84</v>
      </c>
      <c r="T7" s="107"/>
      <c r="U7" s="9" t="s">
        <v>50</v>
      </c>
      <c r="V7" s="14">
        <v>100</v>
      </c>
      <c r="W7" s="14">
        <v>100</v>
      </c>
      <c r="X7" s="14">
        <v>100</v>
      </c>
      <c r="Y7" s="14">
        <v>100</v>
      </c>
    </row>
    <row r="8" spans="1:25" x14ac:dyDescent="0.2">
      <c r="A8" s="663" t="s">
        <v>24</v>
      </c>
      <c r="B8" s="664"/>
      <c r="C8" s="664"/>
      <c r="D8" s="664"/>
      <c r="E8" s="664"/>
      <c r="F8" s="80"/>
      <c r="G8" s="80"/>
      <c r="J8" s="9" t="s">
        <v>51</v>
      </c>
      <c r="K8" s="13">
        <f t="shared" si="0"/>
        <v>1</v>
      </c>
      <c r="L8" s="13">
        <f t="shared" si="1"/>
        <v>1</v>
      </c>
      <c r="N8" s="63" t="b">
        <v>0</v>
      </c>
      <c r="O8" s="107" t="s">
        <v>35</v>
      </c>
      <c r="P8" s="107">
        <v>1.0838000000000001</v>
      </c>
      <c r="Q8" s="1" t="s">
        <v>157</v>
      </c>
      <c r="T8" s="107"/>
      <c r="U8" s="9" t="s">
        <v>51</v>
      </c>
      <c r="V8" s="14">
        <v>100</v>
      </c>
      <c r="W8" s="14">
        <v>100</v>
      </c>
      <c r="X8" s="14">
        <v>100</v>
      </c>
      <c r="Y8" s="14">
        <v>100</v>
      </c>
    </row>
    <row r="9" spans="1:25" x14ac:dyDescent="0.2">
      <c r="A9" s="15"/>
      <c r="B9" s="8" t="s">
        <v>23</v>
      </c>
      <c r="C9" s="16" t="s">
        <v>10</v>
      </c>
      <c r="J9" s="9" t="s">
        <v>52</v>
      </c>
      <c r="K9" s="13">
        <f t="shared" si="0"/>
        <v>1</v>
      </c>
      <c r="L9" s="13">
        <f t="shared" si="1"/>
        <v>1</v>
      </c>
      <c r="O9" s="107" t="s">
        <v>173</v>
      </c>
      <c r="P9" s="107">
        <v>1.0825</v>
      </c>
      <c r="Q9" s="1" t="s">
        <v>160</v>
      </c>
      <c r="T9" s="107"/>
      <c r="U9" s="9" t="s">
        <v>52</v>
      </c>
      <c r="V9" s="14">
        <v>100</v>
      </c>
      <c r="W9" s="14">
        <v>100</v>
      </c>
      <c r="X9" s="14">
        <v>100</v>
      </c>
      <c r="Y9" s="14">
        <v>100</v>
      </c>
    </row>
    <row r="10" spans="1:25" x14ac:dyDescent="0.2">
      <c r="B10" s="8" t="s">
        <v>18</v>
      </c>
      <c r="C10" s="16" t="s">
        <v>20</v>
      </c>
      <c r="J10" s="9" t="s">
        <v>53</v>
      </c>
      <c r="K10" s="13">
        <f t="shared" si="0"/>
        <v>1</v>
      </c>
      <c r="L10" s="13">
        <f t="shared" si="1"/>
        <v>1</v>
      </c>
      <c r="O10" s="107" t="s">
        <v>174</v>
      </c>
      <c r="P10" s="107">
        <v>1.1034999999999999</v>
      </c>
      <c r="Q10" s="1" t="s">
        <v>25</v>
      </c>
      <c r="T10" s="107"/>
      <c r="U10" s="9" t="s">
        <v>53</v>
      </c>
      <c r="V10" s="14">
        <v>100</v>
      </c>
      <c r="W10" s="14">
        <v>100</v>
      </c>
      <c r="X10" s="14">
        <v>100</v>
      </c>
      <c r="Y10" s="14">
        <v>100</v>
      </c>
    </row>
    <row r="11" spans="1:25" x14ac:dyDescent="0.2">
      <c r="B11" s="8" t="s">
        <v>32</v>
      </c>
      <c r="C11" s="16" t="s">
        <v>30</v>
      </c>
      <c r="J11" s="9" t="s">
        <v>54</v>
      </c>
      <c r="K11" s="13">
        <f t="shared" si="0"/>
        <v>1</v>
      </c>
      <c r="L11" s="13">
        <f t="shared" si="1"/>
        <v>1</v>
      </c>
      <c r="O11" s="107" t="s">
        <v>205</v>
      </c>
      <c r="P11" s="107">
        <v>1</v>
      </c>
      <c r="Q11" s="1" t="s">
        <v>26</v>
      </c>
      <c r="T11" s="107"/>
      <c r="U11" s="9" t="s">
        <v>54</v>
      </c>
      <c r="V11" s="14">
        <v>100</v>
      </c>
      <c r="W11" s="14">
        <v>100</v>
      </c>
      <c r="X11" s="14">
        <v>100</v>
      </c>
      <c r="Y11" s="14">
        <v>100</v>
      </c>
    </row>
    <row r="12" spans="1:25" x14ac:dyDescent="0.2">
      <c r="B12" s="8" t="s">
        <v>34</v>
      </c>
      <c r="C12" s="16" t="s">
        <v>173</v>
      </c>
      <c r="J12" s="9" t="s">
        <v>55</v>
      </c>
      <c r="K12" s="13">
        <f t="shared" si="0"/>
        <v>1</v>
      </c>
      <c r="L12" s="13">
        <f t="shared" si="1"/>
        <v>1</v>
      </c>
      <c r="O12" s="107" t="s">
        <v>194</v>
      </c>
      <c r="P12" s="107">
        <v>1.0860000000000001</v>
      </c>
      <c r="Q12" s="1" t="s">
        <v>161</v>
      </c>
      <c r="T12" s="107"/>
      <c r="U12" s="9" t="s">
        <v>55</v>
      </c>
      <c r="V12" s="14">
        <v>100</v>
      </c>
      <c r="W12" s="14">
        <v>100</v>
      </c>
      <c r="X12" s="14">
        <v>100</v>
      </c>
      <c r="Y12" s="14">
        <v>100</v>
      </c>
    </row>
    <row r="13" spans="1:25" x14ac:dyDescent="0.2">
      <c r="J13" s="9" t="s">
        <v>56</v>
      </c>
      <c r="K13" s="13">
        <f t="shared" si="0"/>
        <v>1</v>
      </c>
      <c r="L13" s="13">
        <f t="shared" si="1"/>
        <v>1</v>
      </c>
      <c r="O13" s="107" t="s">
        <v>195</v>
      </c>
      <c r="P13" s="107">
        <v>1.087</v>
      </c>
      <c r="Q13" s="1" t="s">
        <v>11</v>
      </c>
      <c r="T13" s="107"/>
      <c r="U13" s="9" t="s">
        <v>56</v>
      </c>
      <c r="V13" s="14">
        <v>100</v>
      </c>
      <c r="W13" s="14">
        <v>100</v>
      </c>
      <c r="X13" s="14">
        <v>100</v>
      </c>
      <c r="Y13" s="14">
        <v>100</v>
      </c>
    </row>
    <row r="14" spans="1:25" x14ac:dyDescent="0.2">
      <c r="A14" s="665" t="s">
        <v>28</v>
      </c>
      <c r="B14" s="666"/>
      <c r="C14" s="666"/>
      <c r="D14" s="666"/>
      <c r="E14" s="666"/>
      <c r="F14" s="81"/>
      <c r="G14" s="81"/>
      <c r="H14" s="61" t="s">
        <v>105</v>
      </c>
      <c r="J14" s="9" t="s">
        <v>57</v>
      </c>
      <c r="K14" s="13">
        <f t="shared" si="0"/>
        <v>1</v>
      </c>
      <c r="L14" s="13">
        <f t="shared" si="1"/>
        <v>1</v>
      </c>
      <c r="O14" s="107" t="s">
        <v>196</v>
      </c>
      <c r="P14" s="107">
        <v>1.1025</v>
      </c>
      <c r="Q14" s="1" t="s">
        <v>193</v>
      </c>
      <c r="U14" s="9" t="s">
        <v>57</v>
      </c>
      <c r="V14" s="14">
        <v>100</v>
      </c>
      <c r="W14" s="14">
        <v>100</v>
      </c>
      <c r="X14" s="14">
        <v>100</v>
      </c>
      <c r="Y14" s="14">
        <v>100</v>
      </c>
    </row>
    <row r="15" spans="1:25" x14ac:dyDescent="0.2">
      <c r="A15" s="667"/>
      <c r="B15" s="668"/>
      <c r="C15" s="668"/>
      <c r="D15" s="668"/>
      <c r="E15" s="668"/>
      <c r="F15" s="82"/>
      <c r="G15" s="82"/>
      <c r="H15" s="62" t="b">
        <v>1</v>
      </c>
      <c r="J15" s="9" t="s">
        <v>58</v>
      </c>
      <c r="K15" s="13">
        <f t="shared" si="0"/>
        <v>1</v>
      </c>
      <c r="L15" s="13">
        <f t="shared" si="1"/>
        <v>1</v>
      </c>
      <c r="O15" s="107" t="s">
        <v>197</v>
      </c>
      <c r="P15" s="107">
        <v>1.1025</v>
      </c>
      <c r="Q15" s="1" t="s">
        <v>213</v>
      </c>
      <c r="T15" s="107" t="s">
        <v>173</v>
      </c>
      <c r="U15" s="9" t="s">
        <v>58</v>
      </c>
      <c r="V15" s="14">
        <v>100</v>
      </c>
      <c r="W15" s="14">
        <v>100</v>
      </c>
      <c r="X15" s="14">
        <v>100</v>
      </c>
      <c r="Y15" s="14">
        <v>100</v>
      </c>
    </row>
    <row r="16" spans="1:25" x14ac:dyDescent="0.2">
      <c r="B16" s="660" t="s">
        <v>12</v>
      </c>
      <c r="C16" s="661"/>
      <c r="D16" s="662"/>
      <c r="E16" s="17" t="s">
        <v>27</v>
      </c>
      <c r="F16" s="17"/>
      <c r="G16" s="17"/>
      <c r="H16" s="17" t="s">
        <v>81</v>
      </c>
      <c r="J16" s="9" t="s">
        <v>59</v>
      </c>
      <c r="K16" s="13">
        <f t="shared" si="0"/>
        <v>1</v>
      </c>
      <c r="L16" s="13">
        <f t="shared" si="1"/>
        <v>1</v>
      </c>
      <c r="O16" s="107" t="s">
        <v>198</v>
      </c>
      <c r="P16" s="107">
        <v>1.0925</v>
      </c>
      <c r="Q16" s="1" t="s">
        <v>130</v>
      </c>
      <c r="R16" s="1" t="s">
        <v>131</v>
      </c>
      <c r="S16" s="108" t="s">
        <v>1589</v>
      </c>
      <c r="T16" s="108" t="s">
        <v>1590</v>
      </c>
      <c r="U16" s="9" t="s">
        <v>59</v>
      </c>
      <c r="V16" s="14">
        <v>100</v>
      </c>
      <c r="W16" s="14">
        <v>100</v>
      </c>
      <c r="X16" s="14">
        <v>100</v>
      </c>
      <c r="Y16" s="14">
        <v>100</v>
      </c>
    </row>
    <row r="17" spans="1:25" x14ac:dyDescent="0.2">
      <c r="A17" s="53" t="s">
        <v>101</v>
      </c>
      <c r="B17" s="54" t="s">
        <v>91</v>
      </c>
      <c r="C17" s="55"/>
      <c r="D17" s="98"/>
      <c r="E17" s="56"/>
      <c r="F17" s="56" t="b">
        <f>+H17</f>
        <v>0</v>
      </c>
      <c r="G17" s="95">
        <f>IF(H17,0,IF(E17&gt;0,1,0))</f>
        <v>0</v>
      </c>
      <c r="H17" s="19" t="b">
        <v>0</v>
      </c>
      <c r="I17" s="2"/>
      <c r="J17" s="9" t="s">
        <v>60</v>
      </c>
      <c r="K17" s="13">
        <f t="shared" si="0"/>
        <v>1</v>
      </c>
      <c r="L17" s="13">
        <f t="shared" si="1"/>
        <v>1</v>
      </c>
      <c r="O17" s="107" t="s">
        <v>199</v>
      </c>
      <c r="P17" s="107">
        <v>1.0874999999999999</v>
      </c>
      <c r="Q17" s="1" t="s">
        <v>135</v>
      </c>
      <c r="R17" s="1" t="s">
        <v>141</v>
      </c>
      <c r="S17" s="108" t="s">
        <v>238</v>
      </c>
      <c r="T17" s="109">
        <v>44927</v>
      </c>
      <c r="U17" s="9" t="s">
        <v>60</v>
      </c>
      <c r="V17" s="14">
        <v>100</v>
      </c>
      <c r="W17" s="14">
        <v>100</v>
      </c>
      <c r="X17" s="14">
        <v>100</v>
      </c>
      <c r="Y17" s="14">
        <v>100</v>
      </c>
    </row>
    <row r="18" spans="1:25" x14ac:dyDescent="0.2">
      <c r="A18" s="57" t="s">
        <v>102</v>
      </c>
      <c r="B18" s="54" t="str">
        <f>CONCATENATE("Escalation to Midpoint ",TEXT($D$53,"mm/yyyy"))</f>
        <v>Escalation to Midpoint 02/2026</v>
      </c>
      <c r="C18" s="55"/>
      <c r="D18" s="98"/>
      <c r="E18" s="56">
        <v>0</v>
      </c>
      <c r="F18" s="56" t="b">
        <f t="shared" ref="F18:F29" si="2">+H18</f>
        <v>0</v>
      </c>
      <c r="G18" s="95">
        <f t="shared" ref="G18:G29" si="3">IF(H18,0,IF(E18&gt;0,1,0))</f>
        <v>0</v>
      </c>
      <c r="H18" s="19" t="b">
        <v>0</v>
      </c>
      <c r="J18" s="9" t="s">
        <v>61</v>
      </c>
      <c r="K18" s="13">
        <f t="shared" si="0"/>
        <v>1</v>
      </c>
      <c r="L18" s="13">
        <f t="shared" si="1"/>
        <v>1</v>
      </c>
      <c r="O18" s="107" t="s">
        <v>200</v>
      </c>
      <c r="P18" s="107">
        <v>1.0938000000000001</v>
      </c>
      <c r="Q18" s="1" t="s">
        <v>136</v>
      </c>
      <c r="R18" s="1" t="s">
        <v>142</v>
      </c>
      <c r="S18" s="107" t="b">
        <v>1</v>
      </c>
      <c r="T18" s="107" t="s">
        <v>131</v>
      </c>
      <c r="U18" s="9" t="s">
        <v>61</v>
      </c>
      <c r="V18" s="14">
        <v>100</v>
      </c>
      <c r="W18" s="14">
        <v>100</v>
      </c>
      <c r="X18" s="14">
        <v>100</v>
      </c>
      <c r="Y18" s="14">
        <v>100</v>
      </c>
    </row>
    <row r="19" spans="1:25" x14ac:dyDescent="0.2">
      <c r="B19" s="54" t="s">
        <v>107</v>
      </c>
      <c r="C19" s="55"/>
      <c r="D19" s="98"/>
      <c r="E19" s="56">
        <v>0</v>
      </c>
      <c r="F19" s="56" t="b">
        <f t="shared" si="2"/>
        <v>0</v>
      </c>
      <c r="G19" s="95">
        <f t="shared" si="3"/>
        <v>0</v>
      </c>
      <c r="H19" s="19" t="b">
        <v>0</v>
      </c>
      <c r="J19" s="9" t="s">
        <v>62</v>
      </c>
      <c r="K19" s="13">
        <f t="shared" si="0"/>
        <v>1</v>
      </c>
      <c r="L19" s="13">
        <f t="shared" si="1"/>
        <v>1</v>
      </c>
      <c r="O19" s="107" t="s">
        <v>175</v>
      </c>
      <c r="P19" s="107">
        <v>1.0881000000000001</v>
      </c>
      <c r="Q19" s="1" t="s">
        <v>137</v>
      </c>
      <c r="R19" s="1" t="s">
        <v>143</v>
      </c>
      <c r="U19" s="9" t="s">
        <v>62</v>
      </c>
      <c r="V19" s="14">
        <v>100</v>
      </c>
      <c r="W19" s="14">
        <v>100</v>
      </c>
      <c r="X19" s="14">
        <v>100</v>
      </c>
      <c r="Y19" s="14">
        <v>100</v>
      </c>
    </row>
    <row r="20" spans="1:25" x14ac:dyDescent="0.2">
      <c r="B20" s="54" t="s">
        <v>103</v>
      </c>
      <c r="C20" s="55"/>
      <c r="D20" s="98"/>
      <c r="E20" s="56">
        <v>0</v>
      </c>
      <c r="F20" s="56" t="b">
        <f t="shared" si="2"/>
        <v>0</v>
      </c>
      <c r="G20" s="95">
        <f t="shared" si="3"/>
        <v>0</v>
      </c>
      <c r="H20" s="19" t="b">
        <v>0</v>
      </c>
      <c r="J20" s="9" t="s">
        <v>63</v>
      </c>
      <c r="K20" s="13">
        <f t="shared" si="0"/>
        <v>1</v>
      </c>
      <c r="L20" s="13">
        <f t="shared" si="1"/>
        <v>1</v>
      </c>
      <c r="O20" s="107" t="s">
        <v>207</v>
      </c>
      <c r="P20" s="107">
        <v>1.0634999999999999</v>
      </c>
      <c r="Q20" s="1" t="s">
        <v>138</v>
      </c>
      <c r="U20" s="9" t="s">
        <v>63</v>
      </c>
      <c r="V20" s="14">
        <v>100</v>
      </c>
      <c r="W20" s="14">
        <v>100</v>
      </c>
      <c r="X20" s="14">
        <v>100</v>
      </c>
      <c r="Y20" s="14">
        <v>100</v>
      </c>
    </row>
    <row r="21" spans="1:25" x14ac:dyDescent="0.2">
      <c r="A21" s="58" t="s">
        <v>104</v>
      </c>
      <c r="B21" s="104" t="s">
        <v>91</v>
      </c>
      <c r="C21" s="52"/>
      <c r="D21" s="99"/>
      <c r="E21" s="46">
        <v>0.03</v>
      </c>
      <c r="F21" s="46" t="b">
        <f t="shared" si="2"/>
        <v>0</v>
      </c>
      <c r="G21" s="96">
        <f t="shared" si="3"/>
        <v>1</v>
      </c>
      <c r="H21" s="19" t="b">
        <v>0</v>
      </c>
      <c r="J21" s="9" t="s">
        <v>64</v>
      </c>
      <c r="K21" s="13">
        <f t="shared" si="0"/>
        <v>1</v>
      </c>
      <c r="L21" s="13">
        <f t="shared" si="1"/>
        <v>1</v>
      </c>
      <c r="O21" s="107" t="s">
        <v>176</v>
      </c>
      <c r="P21" s="107">
        <v>1.07</v>
      </c>
      <c r="Q21" s="1" t="s">
        <v>139</v>
      </c>
      <c r="U21" s="9" t="s">
        <v>64</v>
      </c>
      <c r="V21" s="14">
        <v>100</v>
      </c>
      <c r="W21" s="14">
        <v>100</v>
      </c>
      <c r="X21" s="14">
        <v>100</v>
      </c>
      <c r="Y21" s="14">
        <v>100</v>
      </c>
    </row>
    <row r="22" spans="1:25" x14ac:dyDescent="0.2">
      <c r="A22" s="59" t="s">
        <v>102</v>
      </c>
      <c r="B22" s="104" t="str">
        <f>CONCATENATE("Escalation to Midpoint ",TEXT($D$53,"mm/yyyy"))</f>
        <v>Escalation to Midpoint 02/2026</v>
      </c>
      <c r="C22" s="52"/>
      <c r="D22" s="99"/>
      <c r="E22" s="599">
        <f>W52</f>
        <v>4.4336448261620198E-2</v>
      </c>
      <c r="F22" s="599" t="b">
        <f t="shared" si="2"/>
        <v>0</v>
      </c>
      <c r="G22" s="600">
        <f t="shared" si="3"/>
        <v>1</v>
      </c>
      <c r="H22" s="635" t="b">
        <v>0</v>
      </c>
      <c r="I22" s="601" t="s">
        <v>1853</v>
      </c>
      <c r="J22" s="9" t="s">
        <v>65</v>
      </c>
      <c r="K22" s="13">
        <f t="shared" si="0"/>
        <v>1</v>
      </c>
      <c r="L22" s="13">
        <f t="shared" si="1"/>
        <v>1</v>
      </c>
      <c r="O22" s="107" t="s">
        <v>181</v>
      </c>
      <c r="P22" s="107">
        <v>1.075</v>
      </c>
      <c r="Q22" s="1" t="s">
        <v>140</v>
      </c>
      <c r="U22" s="9" t="s">
        <v>65</v>
      </c>
      <c r="V22" s="14">
        <v>100</v>
      </c>
      <c r="W22" s="14">
        <v>100</v>
      </c>
      <c r="X22" s="14">
        <v>100</v>
      </c>
      <c r="Y22" s="14">
        <v>100</v>
      </c>
    </row>
    <row r="23" spans="1:25" x14ac:dyDescent="0.2">
      <c r="B23" s="104" t="s">
        <v>154</v>
      </c>
      <c r="C23" s="52"/>
      <c r="D23" s="99"/>
      <c r="E23" s="46">
        <v>0</v>
      </c>
      <c r="F23" s="46" t="b">
        <f t="shared" si="2"/>
        <v>0</v>
      </c>
      <c r="G23" s="96">
        <f t="shared" si="3"/>
        <v>0</v>
      </c>
      <c r="H23" s="19" t="b">
        <v>0</v>
      </c>
      <c r="J23" s="9" t="s">
        <v>66</v>
      </c>
      <c r="K23" s="13">
        <f t="shared" si="0"/>
        <v>1</v>
      </c>
      <c r="L23" s="13">
        <f t="shared" si="1"/>
        <v>1</v>
      </c>
      <c r="O23" s="107" t="s">
        <v>182</v>
      </c>
      <c r="P23" s="107">
        <v>1.089</v>
      </c>
      <c r="U23" s="9" t="s">
        <v>66</v>
      </c>
      <c r="V23" s="14">
        <v>100</v>
      </c>
      <c r="W23" s="14">
        <v>100</v>
      </c>
      <c r="X23" s="14">
        <v>100</v>
      </c>
      <c r="Y23" s="14">
        <v>100</v>
      </c>
    </row>
    <row r="24" spans="1:25" x14ac:dyDescent="0.2">
      <c r="B24" s="104" t="s">
        <v>155</v>
      </c>
      <c r="C24" s="52"/>
      <c r="D24" s="99"/>
      <c r="E24" s="46">
        <v>0.12</v>
      </c>
      <c r="F24" s="46" t="b">
        <f t="shared" si="2"/>
        <v>0</v>
      </c>
      <c r="G24" s="96">
        <f t="shared" si="3"/>
        <v>1</v>
      </c>
      <c r="H24" s="19" t="b">
        <v>0</v>
      </c>
      <c r="J24" s="9" t="s">
        <v>67</v>
      </c>
      <c r="K24" s="13">
        <f t="shared" si="0"/>
        <v>1</v>
      </c>
      <c r="L24" s="13">
        <f t="shared" si="1"/>
        <v>1</v>
      </c>
      <c r="O24" s="107" t="s">
        <v>177</v>
      </c>
      <c r="P24" s="107">
        <v>1.1025</v>
      </c>
      <c r="U24" s="9" t="s">
        <v>67</v>
      </c>
      <c r="V24" s="14">
        <v>100</v>
      </c>
      <c r="W24" s="14">
        <v>100</v>
      </c>
      <c r="X24" s="14">
        <v>100</v>
      </c>
      <c r="Y24" s="14">
        <v>100</v>
      </c>
    </row>
    <row r="25" spans="1:25" x14ac:dyDescent="0.2">
      <c r="B25" s="104" t="s">
        <v>156</v>
      </c>
      <c r="C25" s="52"/>
      <c r="D25" s="99"/>
      <c r="E25" s="46">
        <v>0.08</v>
      </c>
      <c r="F25" s="46" t="b">
        <f t="shared" si="2"/>
        <v>0</v>
      </c>
      <c r="G25" s="96">
        <f t="shared" si="3"/>
        <v>1</v>
      </c>
      <c r="H25" s="19" t="b">
        <v>0</v>
      </c>
      <c r="J25" s="9" t="s">
        <v>68</v>
      </c>
      <c r="K25" s="131">
        <f t="shared" si="0"/>
        <v>1</v>
      </c>
      <c r="L25" s="131">
        <f t="shared" si="1"/>
        <v>1</v>
      </c>
      <c r="O25" s="107" t="s">
        <v>183</v>
      </c>
      <c r="P25" s="107">
        <v>1.07</v>
      </c>
      <c r="U25" s="9" t="s">
        <v>68</v>
      </c>
      <c r="V25" s="130">
        <v>100</v>
      </c>
      <c r="W25" s="130">
        <v>100</v>
      </c>
      <c r="X25" s="130">
        <v>100</v>
      </c>
      <c r="Y25" s="130">
        <v>100</v>
      </c>
    </row>
    <row r="26" spans="1:25" x14ac:dyDescent="0.2">
      <c r="A26" s="18" t="s">
        <v>78</v>
      </c>
      <c r="B26" s="142" t="s">
        <v>240</v>
      </c>
      <c r="C26" s="52"/>
      <c r="D26" s="99"/>
      <c r="E26" s="79">
        <v>2.5000000000000001E-2</v>
      </c>
      <c r="F26" s="79" t="b">
        <f t="shared" si="2"/>
        <v>0</v>
      </c>
      <c r="G26" s="97">
        <f t="shared" si="3"/>
        <v>1</v>
      </c>
      <c r="H26" s="19" t="b">
        <v>0</v>
      </c>
      <c r="J26" s="9" t="s">
        <v>69</v>
      </c>
      <c r="K26" s="131">
        <f t="shared" si="0"/>
        <v>1</v>
      </c>
      <c r="L26" s="131">
        <f t="shared" si="1"/>
        <v>1</v>
      </c>
      <c r="O26" s="107" t="s">
        <v>184</v>
      </c>
      <c r="P26" s="107">
        <v>1.0945</v>
      </c>
      <c r="U26" s="9" t="s">
        <v>69</v>
      </c>
      <c r="V26" s="130">
        <v>100</v>
      </c>
      <c r="W26" s="130">
        <v>100</v>
      </c>
      <c r="X26" s="130">
        <v>100</v>
      </c>
      <c r="Y26" s="130">
        <v>100</v>
      </c>
    </row>
    <row r="27" spans="1:25" x14ac:dyDescent="0.2">
      <c r="A27" s="20" t="s">
        <v>79</v>
      </c>
      <c r="B27" s="104" t="s">
        <v>92</v>
      </c>
      <c r="C27" s="52"/>
      <c r="D27" s="99"/>
      <c r="E27" s="46">
        <v>0</v>
      </c>
      <c r="F27" s="46" t="b">
        <f t="shared" si="2"/>
        <v>0</v>
      </c>
      <c r="G27" s="96">
        <f t="shared" si="3"/>
        <v>0</v>
      </c>
      <c r="H27" s="19" t="b">
        <v>0</v>
      </c>
      <c r="J27" s="9" t="s">
        <v>70</v>
      </c>
      <c r="K27" s="131">
        <f t="shared" si="0"/>
        <v>1</v>
      </c>
      <c r="L27" s="131">
        <f t="shared" si="1"/>
        <v>1</v>
      </c>
      <c r="O27" s="107" t="s">
        <v>178</v>
      </c>
      <c r="P27" s="107">
        <v>1.0625</v>
      </c>
      <c r="U27" s="9" t="s">
        <v>70</v>
      </c>
      <c r="V27" s="130">
        <v>100</v>
      </c>
      <c r="W27" s="130">
        <v>100</v>
      </c>
      <c r="X27" s="130">
        <v>100</v>
      </c>
      <c r="Y27" s="130">
        <v>100</v>
      </c>
    </row>
    <row r="28" spans="1:25" x14ac:dyDescent="0.2">
      <c r="A28" s="20" t="s">
        <v>80</v>
      </c>
      <c r="B28" s="104" t="s">
        <v>93</v>
      </c>
      <c r="C28" s="52"/>
      <c r="D28" s="99"/>
      <c r="E28" s="46">
        <v>0</v>
      </c>
      <c r="F28" s="46" t="b">
        <f t="shared" si="2"/>
        <v>0</v>
      </c>
      <c r="G28" s="96">
        <f t="shared" si="3"/>
        <v>0</v>
      </c>
      <c r="H28" s="19" t="b">
        <v>0</v>
      </c>
      <c r="J28" s="9" t="s">
        <v>71</v>
      </c>
      <c r="K28" s="131">
        <f t="shared" si="0"/>
        <v>1</v>
      </c>
      <c r="L28" s="131">
        <f t="shared" si="1"/>
        <v>1</v>
      </c>
      <c r="O28" s="107" t="s">
        <v>179</v>
      </c>
      <c r="P28" s="107">
        <v>1.06</v>
      </c>
      <c r="U28" s="9" t="s">
        <v>71</v>
      </c>
      <c r="V28" s="130">
        <v>100</v>
      </c>
      <c r="W28" s="130">
        <v>100</v>
      </c>
      <c r="X28" s="130">
        <v>100</v>
      </c>
      <c r="Y28" s="130">
        <v>100</v>
      </c>
    </row>
    <row r="29" spans="1:25" x14ac:dyDescent="0.2">
      <c r="A29" s="60">
        <f>IF(H15,PRODUCT(1+H17*E17,1+H18*E18,1+H19*E19,1+H20*E20,1+H21*E21,1+H22*E22,1+H23*E23,1+H24*E24,1+H25*E25,1+H26*E26,1+H27*E27,1+H28*E28,1+H29*E29),PRODUCT(1+H17*E17+H18*E18+H19*E19+H20*E20,1+H21*E21+H22*E22+H23*E23+H24*E24+H25*E25+H26*E26+H27*E27+H28*E28+H29*E29))</f>
        <v>1</v>
      </c>
      <c r="B29" s="104" t="s">
        <v>171</v>
      </c>
      <c r="C29" s="52"/>
      <c r="D29" s="99"/>
      <c r="E29" s="46">
        <v>0</v>
      </c>
      <c r="F29" s="46" t="b">
        <f t="shared" si="2"/>
        <v>1</v>
      </c>
      <c r="G29" s="96">
        <f t="shared" si="3"/>
        <v>0</v>
      </c>
      <c r="H29" s="19" t="b">
        <v>1</v>
      </c>
      <c r="J29" s="9" t="s">
        <v>72</v>
      </c>
      <c r="K29" s="21">
        <f t="shared" si="0"/>
        <v>1</v>
      </c>
      <c r="L29" s="21">
        <f t="shared" si="1"/>
        <v>1</v>
      </c>
      <c r="O29" s="107" t="s">
        <v>230</v>
      </c>
      <c r="P29" s="107">
        <v>1.0880000000000001</v>
      </c>
      <c r="U29" s="9" t="s">
        <v>72</v>
      </c>
      <c r="V29" s="22">
        <v>100</v>
      </c>
      <c r="W29" s="22">
        <v>100</v>
      </c>
      <c r="X29" s="22">
        <v>100</v>
      </c>
      <c r="Y29" s="22">
        <v>100</v>
      </c>
    </row>
    <row r="30" spans="1:25" ht="12.75" hidden="1" customHeight="1" x14ac:dyDescent="0.2">
      <c r="A30" s="69" t="s">
        <v>110</v>
      </c>
      <c r="B30" s="70" t="s">
        <v>108</v>
      </c>
      <c r="C30" s="76"/>
      <c r="D30" s="71"/>
      <c r="E30" s="72">
        <v>0.1</v>
      </c>
      <c r="F30" s="84"/>
      <c r="G30" s="105">
        <f>IF(E30&lt;&gt;0,1,0)</f>
        <v>1</v>
      </c>
      <c r="H30" s="101" t="s">
        <v>134</v>
      </c>
      <c r="O30" s="107" t="s">
        <v>235</v>
      </c>
      <c r="P30" s="107">
        <v>1.0899000000000001</v>
      </c>
    </row>
    <row r="31" spans="1:25" hidden="1" x14ac:dyDescent="0.2">
      <c r="A31" s="73" t="s">
        <v>111</v>
      </c>
      <c r="B31" s="70" t="s">
        <v>109</v>
      </c>
      <c r="C31" s="76"/>
      <c r="D31" s="71"/>
      <c r="E31" s="72">
        <v>5.0000000000000001E-3</v>
      </c>
      <c r="F31" s="84"/>
      <c r="G31" s="105">
        <f>IF(E31&lt;&gt;0,1,0)</f>
        <v>1</v>
      </c>
      <c r="H31" s="101" t="s">
        <v>133</v>
      </c>
      <c r="O31" s="107" t="s">
        <v>236</v>
      </c>
      <c r="P31" s="107">
        <v>1.0899000000000001</v>
      </c>
    </row>
    <row r="32" spans="1:25" hidden="1" x14ac:dyDescent="0.2">
      <c r="A32" s="69"/>
      <c r="B32" s="70" t="s">
        <v>147</v>
      </c>
      <c r="C32" s="76"/>
      <c r="D32" s="71"/>
      <c r="E32" s="72">
        <v>1.2500000000000001E-2</v>
      </c>
      <c r="F32" s="84"/>
      <c r="G32" s="84"/>
      <c r="H32" s="101"/>
      <c r="O32" s="107" t="s">
        <v>231</v>
      </c>
      <c r="P32" s="107">
        <v>1.07</v>
      </c>
    </row>
    <row r="33" spans="1:25" hidden="1" x14ac:dyDescent="0.2">
      <c r="A33" s="102"/>
      <c r="B33" s="70" t="s">
        <v>148</v>
      </c>
      <c r="C33" s="76"/>
      <c r="D33" s="71"/>
      <c r="E33" s="72">
        <v>0</v>
      </c>
      <c r="F33" s="84"/>
      <c r="G33" s="84"/>
      <c r="H33" s="101"/>
      <c r="O33" s="107" t="s">
        <v>201</v>
      </c>
      <c r="P33" s="107">
        <v>1.0725</v>
      </c>
    </row>
    <row r="34" spans="1:25" hidden="1" x14ac:dyDescent="0.2">
      <c r="A34" s="102" t="s">
        <v>110</v>
      </c>
      <c r="B34" s="70" t="s">
        <v>91</v>
      </c>
      <c r="C34" s="76"/>
      <c r="D34" s="71"/>
      <c r="E34" s="72">
        <v>0.01</v>
      </c>
      <c r="F34" s="84"/>
      <c r="G34" s="84"/>
      <c r="H34" s="101"/>
      <c r="O34" s="107" t="s">
        <v>206</v>
      </c>
      <c r="P34" s="107">
        <v>1.07</v>
      </c>
    </row>
    <row r="35" spans="1:25" hidden="1" x14ac:dyDescent="0.2">
      <c r="A35" s="102" t="s">
        <v>145</v>
      </c>
      <c r="B35" s="70" t="s">
        <v>108</v>
      </c>
      <c r="C35" s="76"/>
      <c r="D35" s="71"/>
      <c r="E35" s="72">
        <v>0.03</v>
      </c>
      <c r="F35" s="84"/>
      <c r="G35" s="84"/>
      <c r="H35" s="101"/>
      <c r="O35" s="107" t="s">
        <v>208</v>
      </c>
      <c r="P35" s="107">
        <v>1.0662499999999999</v>
      </c>
    </row>
    <row r="36" spans="1:25" hidden="1" x14ac:dyDescent="0.2">
      <c r="A36" s="102" t="s">
        <v>146</v>
      </c>
      <c r="B36" s="70" t="s">
        <v>149</v>
      </c>
      <c r="C36" s="76"/>
      <c r="D36" s="71"/>
      <c r="E36" s="72">
        <v>5.0000000000000001E-3</v>
      </c>
      <c r="F36" s="84"/>
      <c r="G36" s="84"/>
      <c r="H36" s="101"/>
      <c r="O36" s="107" t="s">
        <v>202</v>
      </c>
      <c r="P36" s="107">
        <v>1.0763</v>
      </c>
    </row>
    <row r="37" spans="1:25" hidden="1" x14ac:dyDescent="0.2">
      <c r="A37" s="102"/>
      <c r="B37" s="70" t="s">
        <v>150</v>
      </c>
      <c r="C37" s="76"/>
      <c r="D37" s="71"/>
      <c r="E37" s="72">
        <v>1.2999999999999999E-2</v>
      </c>
      <c r="F37" s="84"/>
      <c r="G37" s="84"/>
      <c r="H37" s="101"/>
      <c r="O37" s="107" t="s">
        <v>203</v>
      </c>
      <c r="P37" s="107">
        <v>1.0760000000000001</v>
      </c>
    </row>
    <row r="38" spans="1:25" hidden="1" x14ac:dyDescent="0.2">
      <c r="A38" s="73"/>
      <c r="B38" s="70" t="s">
        <v>151</v>
      </c>
      <c r="C38" s="76"/>
      <c r="D38" s="71"/>
      <c r="E38" s="72">
        <v>2.5000000000000001E-2</v>
      </c>
      <c r="F38" s="84"/>
      <c r="G38" s="84"/>
      <c r="H38" s="101"/>
      <c r="O38" s="107" t="s">
        <v>190</v>
      </c>
      <c r="P38" s="107">
        <v>1.0827</v>
      </c>
    </row>
    <row r="39" spans="1:25" ht="12.75" customHeight="1" x14ac:dyDescent="0.2">
      <c r="O39" s="107" t="s">
        <v>180</v>
      </c>
      <c r="P39" s="107">
        <v>1.0887500000000001</v>
      </c>
    </row>
    <row r="40" spans="1:25" x14ac:dyDescent="0.2">
      <c r="A40" s="663" t="s">
        <v>29</v>
      </c>
      <c r="B40" s="664"/>
      <c r="C40" s="664"/>
      <c r="D40" s="664"/>
      <c r="E40" s="664"/>
      <c r="F40" s="80"/>
      <c r="G40" s="80"/>
      <c r="O40" s="107" t="s">
        <v>209</v>
      </c>
      <c r="P40" s="107">
        <v>1.0901000000000001</v>
      </c>
      <c r="U40" s="684" t="str">
        <f>"In order to use the area calculator: go to I:\Estimating Resources\City Index Values, and navigate to the latest City-to-City calculator.  Enter the base city " &amp; region &amp; ", then the target city " &amp; project_location &amp; ", then copy results into columns K and L.  Or use columns V-Y to put in base and target index values by division."</f>
        <v>In order to use the area calculator: go to I:\Estimating Resources\City Index Values, and navigate to the latest City-to-City calculator.  Enter the base city Dallas, TX, then the target city Greenville, TX, then copy results into columns K and L.  Or use columns V-Y to put in base and target index values by division.</v>
      </c>
      <c r="V40" s="685"/>
      <c r="W40" s="685"/>
      <c r="X40" s="685"/>
      <c r="Y40" s="686"/>
    </row>
    <row r="41" spans="1:25" x14ac:dyDescent="0.2">
      <c r="B41" s="660" t="s">
        <v>12</v>
      </c>
      <c r="C41" s="661"/>
      <c r="D41" s="662"/>
      <c r="E41" s="17" t="s">
        <v>98</v>
      </c>
      <c r="F41" s="85"/>
      <c r="G41" s="85"/>
      <c r="O41" s="107" t="s">
        <v>210</v>
      </c>
      <c r="P41" s="107">
        <v>1.0515000000000001</v>
      </c>
      <c r="U41" s="687"/>
      <c r="V41" s="688"/>
      <c r="W41" s="688"/>
      <c r="X41" s="688"/>
      <c r="Y41" s="689"/>
    </row>
    <row r="42" spans="1:25" x14ac:dyDescent="0.2">
      <c r="B42" s="669" t="s">
        <v>42</v>
      </c>
      <c r="C42" s="670"/>
      <c r="D42" s="671"/>
      <c r="E42" s="23">
        <v>1</v>
      </c>
      <c r="F42" s="86"/>
      <c r="G42" s="86"/>
      <c r="O42" s="107" t="s">
        <v>211</v>
      </c>
      <c r="P42" s="107">
        <v>1.04125</v>
      </c>
      <c r="U42" s="687"/>
      <c r="V42" s="688"/>
      <c r="W42" s="688"/>
      <c r="X42" s="688"/>
      <c r="Y42" s="689"/>
    </row>
    <row r="43" spans="1:25" x14ac:dyDescent="0.2">
      <c r="B43" s="669" t="s">
        <v>74</v>
      </c>
      <c r="C43" s="670"/>
      <c r="D43" s="671"/>
      <c r="E43" s="24">
        <v>1.0825</v>
      </c>
      <c r="F43" s="87"/>
      <c r="G43" s="87"/>
      <c r="O43" s="107" t="s">
        <v>212</v>
      </c>
      <c r="P43" s="107">
        <v>1.08517</v>
      </c>
      <c r="U43" s="690"/>
      <c r="V43" s="691"/>
      <c r="W43" s="691"/>
      <c r="X43" s="691"/>
      <c r="Y43" s="692"/>
    </row>
    <row r="44" spans="1:25" ht="12.75" customHeight="1" x14ac:dyDescent="0.2">
      <c r="B44" s="672" t="s">
        <v>40</v>
      </c>
      <c r="C44" s="673"/>
      <c r="D44" s="674"/>
      <c r="E44" s="25">
        <v>1.2450000000000001</v>
      </c>
      <c r="F44" s="86"/>
      <c r="G44" s="86"/>
      <c r="O44" s="107" t="s">
        <v>191</v>
      </c>
      <c r="P44" s="107">
        <v>1</v>
      </c>
    </row>
    <row r="45" spans="1:25" x14ac:dyDescent="0.2">
      <c r="B45" s="672" t="s">
        <v>19</v>
      </c>
      <c r="C45" s="673"/>
      <c r="D45" s="674"/>
      <c r="E45" s="25">
        <v>1</v>
      </c>
      <c r="F45" s="86"/>
      <c r="G45" s="86"/>
      <c r="O45" s="107" t="s">
        <v>185</v>
      </c>
      <c r="P45" s="107">
        <v>1.08</v>
      </c>
    </row>
    <row r="46" spans="1:25" x14ac:dyDescent="0.2">
      <c r="B46" s="669" t="s">
        <v>73</v>
      </c>
      <c r="C46" s="670"/>
      <c r="D46" s="671"/>
      <c r="E46" s="27">
        <f>E44*E45</f>
        <v>1.2450000000000001</v>
      </c>
      <c r="F46" s="88"/>
      <c r="G46" s="88"/>
      <c r="O46" s="107" t="s">
        <v>1304</v>
      </c>
      <c r="P46" s="107">
        <v>1.07</v>
      </c>
      <c r="U46" s="1" t="s">
        <v>1847</v>
      </c>
    </row>
    <row r="47" spans="1:25" x14ac:dyDescent="0.2">
      <c r="O47" s="107" t="s">
        <v>204</v>
      </c>
      <c r="P47" s="107">
        <v>1.08</v>
      </c>
      <c r="V47" s="28" t="s">
        <v>1848</v>
      </c>
      <c r="W47" s="633">
        <f>DATEVALUE(date)</f>
        <v>45650</v>
      </c>
    </row>
    <row r="48" spans="1:25" ht="12.75" customHeight="1" x14ac:dyDescent="0.2">
      <c r="A48" s="663" t="s">
        <v>85</v>
      </c>
      <c r="B48" s="664"/>
      <c r="C48" s="664"/>
      <c r="D48" s="664"/>
      <c r="E48" s="664"/>
      <c r="F48" s="80"/>
      <c r="G48" s="80"/>
      <c r="O48" s="107" t="s">
        <v>186</v>
      </c>
      <c r="P48" s="107">
        <v>1.0925</v>
      </c>
      <c r="V48" s="28" t="s">
        <v>1849</v>
      </c>
      <c r="W48" s="633">
        <f>D53</f>
        <v>46054</v>
      </c>
    </row>
    <row r="49" spans="2:23" x14ac:dyDescent="0.2">
      <c r="B49" s="660" t="s">
        <v>12</v>
      </c>
      <c r="C49" s="662"/>
      <c r="D49" s="675" t="s">
        <v>88</v>
      </c>
      <c r="E49" s="676"/>
      <c r="F49" s="85"/>
      <c r="G49" s="85"/>
      <c r="O49" s="107" t="s">
        <v>214</v>
      </c>
      <c r="P49" s="107">
        <v>1.0825</v>
      </c>
      <c r="V49" s="28"/>
    </row>
    <row r="50" spans="2:23" x14ac:dyDescent="0.2">
      <c r="B50" s="657" t="s">
        <v>86</v>
      </c>
      <c r="C50" s="657"/>
      <c r="D50" s="656" t="str">
        <f>date</f>
        <v>24 December 2024</v>
      </c>
      <c r="E50" s="656"/>
      <c r="F50" s="89"/>
      <c r="G50" s="89"/>
      <c r="O50" s="107" t="s">
        <v>215</v>
      </c>
      <c r="P50" s="107">
        <v>1.0825</v>
      </c>
      <c r="V50" s="28" t="s">
        <v>1850</v>
      </c>
      <c r="W50" s="634">
        <f>(W48-W47)/365.25</f>
        <v>1.106091718001369</v>
      </c>
    </row>
    <row r="51" spans="2:23" x14ac:dyDescent="0.2">
      <c r="B51" s="657" t="s">
        <v>95</v>
      </c>
      <c r="C51" s="657"/>
      <c r="D51" s="680">
        <v>45778</v>
      </c>
      <c r="E51" s="680"/>
      <c r="F51" s="90"/>
      <c r="G51" s="90"/>
      <c r="O51" s="107" t="s">
        <v>216</v>
      </c>
      <c r="P51" s="107">
        <v>1.0825</v>
      </c>
      <c r="V51" s="28" t="s">
        <v>1851</v>
      </c>
      <c r="W51" s="75">
        <f>D54</f>
        <v>0.04</v>
      </c>
    </row>
    <row r="52" spans="2:23" x14ac:dyDescent="0.2">
      <c r="B52" s="657" t="s">
        <v>94</v>
      </c>
      <c r="C52" s="657"/>
      <c r="D52" s="681">
        <v>18</v>
      </c>
      <c r="E52" s="681"/>
      <c r="F52" s="91"/>
      <c r="G52" s="91"/>
      <c r="O52" s="107" t="s">
        <v>217</v>
      </c>
      <c r="P52" s="107">
        <v>1.0825</v>
      </c>
      <c r="V52" s="28" t="s">
        <v>1852</v>
      </c>
      <c r="W52" s="636">
        <f>(1+W51)^W50-1</f>
        <v>4.4336448261620198E-2</v>
      </c>
    </row>
    <row r="53" spans="2:23" x14ac:dyDescent="0.2">
      <c r="B53" s="669" t="s">
        <v>87</v>
      </c>
      <c r="C53" s="670"/>
      <c r="D53" s="683">
        <f>IF(D51&lt;&gt;""&amp;D52&lt;&gt;"", DATE(YEAR(D51), MONTH(D51) +0.5*(D52), DAY(D51)),0)</f>
        <v>46054</v>
      </c>
      <c r="E53" s="683"/>
      <c r="F53" s="92"/>
      <c r="G53" s="92"/>
      <c r="O53" s="107" t="s">
        <v>218</v>
      </c>
      <c r="P53" s="107">
        <v>1.0825</v>
      </c>
    </row>
    <row r="54" spans="2:23" x14ac:dyDescent="0.2">
      <c r="B54" s="657" t="s">
        <v>97</v>
      </c>
      <c r="C54" s="657"/>
      <c r="D54" s="682">
        <v>0.04</v>
      </c>
      <c r="E54" s="682"/>
      <c r="F54" s="93"/>
      <c r="G54" s="93"/>
      <c r="O54" s="107" t="s">
        <v>219</v>
      </c>
      <c r="P54" s="107">
        <v>1.0825</v>
      </c>
    </row>
    <row r="55" spans="2:23" x14ac:dyDescent="0.2">
      <c r="B55" s="677" t="s">
        <v>96</v>
      </c>
      <c r="C55" s="678"/>
      <c r="D55" s="679">
        <f>((YEAR(D53)-YEAR(D50))*12+MONTH(D53)-MONTH(D50))*(D54/12)</f>
        <v>4.6666666666666669E-2</v>
      </c>
      <c r="E55" s="679"/>
      <c r="F55" s="94"/>
      <c r="G55" s="94"/>
      <c r="O55" s="107" t="s">
        <v>220</v>
      </c>
      <c r="P55" s="107">
        <v>1.06</v>
      </c>
    </row>
    <row r="56" spans="2:23" x14ac:dyDescent="0.2">
      <c r="O56" s="107" t="s">
        <v>221</v>
      </c>
      <c r="P56" s="107">
        <v>1.0900000000000001</v>
      </c>
    </row>
    <row r="57" spans="2:23" x14ac:dyDescent="0.2">
      <c r="O57" s="107" t="s">
        <v>222</v>
      </c>
      <c r="P57" s="107">
        <v>1.099</v>
      </c>
    </row>
    <row r="58" spans="2:23" x14ac:dyDescent="0.2">
      <c r="O58" s="107" t="s">
        <v>223</v>
      </c>
      <c r="P58" s="107">
        <v>1.0980000000000001</v>
      </c>
    </row>
    <row r="59" spans="2:23" x14ac:dyDescent="0.2">
      <c r="O59" s="107" t="s">
        <v>224</v>
      </c>
      <c r="P59" s="107">
        <v>1.087</v>
      </c>
    </row>
    <row r="60" spans="2:23" x14ac:dyDescent="0.2">
      <c r="O60" s="107" t="s">
        <v>225</v>
      </c>
      <c r="P60" s="107">
        <v>1.0900000000000001</v>
      </c>
    </row>
    <row r="61" spans="2:23" x14ac:dyDescent="0.2">
      <c r="O61" s="107" t="s">
        <v>226</v>
      </c>
      <c r="P61" s="107">
        <v>1.103</v>
      </c>
    </row>
    <row r="62" spans="2:23" x14ac:dyDescent="0.2">
      <c r="O62" s="107" t="s">
        <v>227</v>
      </c>
      <c r="P62" s="107">
        <v>1.087</v>
      </c>
    </row>
    <row r="63" spans="2:23" x14ac:dyDescent="0.2">
      <c r="O63" s="107" t="s">
        <v>228</v>
      </c>
      <c r="P63" s="107">
        <v>1.083</v>
      </c>
    </row>
    <row r="64" spans="2:23" x14ac:dyDescent="0.2">
      <c r="B64" s="106" t="s">
        <v>162</v>
      </c>
      <c r="O64" s="107" t="s">
        <v>229</v>
      </c>
      <c r="P64" s="107">
        <v>1.05</v>
      </c>
    </row>
    <row r="65" spans="2:5" x14ac:dyDescent="0.2">
      <c r="B65" s="694" t="s">
        <v>163</v>
      </c>
      <c r="C65" s="694"/>
      <c r="D65" s="696">
        <v>45594</v>
      </c>
      <c r="E65" s="696"/>
    </row>
    <row r="66" spans="2:5" x14ac:dyDescent="0.2">
      <c r="B66" s="694" t="s">
        <v>164</v>
      </c>
      <c r="C66" s="694"/>
      <c r="D66" s="697">
        <v>0.04</v>
      </c>
      <c r="E66" s="697"/>
    </row>
    <row r="67" spans="2:5" x14ac:dyDescent="0.2">
      <c r="B67" s="694" t="s">
        <v>165</v>
      </c>
      <c r="C67" s="694"/>
      <c r="D67" s="698">
        <f xml:space="preserve"> date - D65</f>
        <v>56</v>
      </c>
      <c r="E67" s="698"/>
    </row>
    <row r="68" spans="2:5" x14ac:dyDescent="0.2">
      <c r="B68" s="694" t="s">
        <v>166</v>
      </c>
      <c r="C68" s="694"/>
      <c r="D68" s="699">
        <f xml:space="preserve"> D67 * 12 / 365</f>
        <v>1.8410958904109589</v>
      </c>
      <c r="E68" s="699"/>
    </row>
    <row r="69" spans="2:5" x14ac:dyDescent="0.2">
      <c r="B69" s="695" t="s">
        <v>167</v>
      </c>
      <c r="C69" s="694"/>
      <c r="D69" s="700">
        <f xml:space="preserve"> D68 * D66 / 12</f>
        <v>6.1369863013698636E-3</v>
      </c>
      <c r="E69" s="700"/>
    </row>
    <row r="101" spans="27:27" x14ac:dyDescent="0.2">
      <c r="AA101" s="1" t="s">
        <v>22</v>
      </c>
    </row>
  </sheetData>
  <sheetProtection formatCells="0" formatColumns="0" formatRows="0" insertColumns="0" insertRows="0" insertHyperlinks="0" deleteColumns="0" deleteRows="0" sort="0" autoFilter="0" pivotTables="0"/>
  <mergeCells count="44">
    <mergeCell ref="D65:E65"/>
    <mergeCell ref="D66:E66"/>
    <mergeCell ref="D67:E67"/>
    <mergeCell ref="D68:E68"/>
    <mergeCell ref="D69:E69"/>
    <mergeCell ref="B65:C65"/>
    <mergeCell ref="B66:C66"/>
    <mergeCell ref="B67:C67"/>
    <mergeCell ref="B68:C68"/>
    <mergeCell ref="B69:C69"/>
    <mergeCell ref="U40:Y43"/>
    <mergeCell ref="B46:D46"/>
    <mergeCell ref="B44:D44"/>
    <mergeCell ref="X1:Y1"/>
    <mergeCell ref="A1:E1"/>
    <mergeCell ref="C2:E2"/>
    <mergeCell ref="C3:E3"/>
    <mergeCell ref="V1:W1"/>
    <mergeCell ref="C4:E4"/>
    <mergeCell ref="B55:C55"/>
    <mergeCell ref="D55:E55"/>
    <mergeCell ref="B51:C51"/>
    <mergeCell ref="D51:E51"/>
    <mergeCell ref="B52:C52"/>
    <mergeCell ref="D52:E52"/>
    <mergeCell ref="B54:C54"/>
    <mergeCell ref="D54:E54"/>
    <mergeCell ref="B53:C53"/>
    <mergeCell ref="D53:E53"/>
    <mergeCell ref="D50:E50"/>
    <mergeCell ref="B50:C50"/>
    <mergeCell ref="C5:E5"/>
    <mergeCell ref="C6:E6"/>
    <mergeCell ref="B16:D16"/>
    <mergeCell ref="A8:E8"/>
    <mergeCell ref="A14:E15"/>
    <mergeCell ref="B42:D42"/>
    <mergeCell ref="B45:D45"/>
    <mergeCell ref="A40:E40"/>
    <mergeCell ref="A48:E48"/>
    <mergeCell ref="B41:D41"/>
    <mergeCell ref="B43:D43"/>
    <mergeCell ref="D49:E49"/>
    <mergeCell ref="B49:C49"/>
  </mergeCells>
  <phoneticPr fontId="8" type="noConversion"/>
  <dataValidations disablePrompts="1" count="6">
    <dataValidation type="list" allowBlank="1" showInputMessage="1" showErrorMessage="1" sqref="C10" xr:uid="{00000000-0002-0000-0000-000000000000}">
      <formula1>"Imperial,Metric"</formula1>
    </dataValidation>
    <dataValidation type="list" allowBlank="1" showInputMessage="1" showErrorMessage="1" sqref="C11" xr:uid="{00000000-0002-0000-0000-000001000000}">
      <formula1>"Detailed,Summarized,Blank"</formula1>
    </dataValidation>
    <dataValidation type="date" operator="greaterThan" allowBlank="1" showInputMessage="1" showErrorMessage="1" sqref="D51:G51" xr:uid="{00000000-0002-0000-0000-000003000000}">
      <formula1>36526</formula1>
    </dataValidation>
    <dataValidation type="list" allowBlank="1" showInputMessage="1" showErrorMessage="1" sqref="H17:H29 H15" xr:uid="{8DD096F4-F1E7-4881-94CA-F7DF0F86ED03}">
      <formula1>"TRUE,FALSE"</formula1>
    </dataValidation>
    <dataValidation type="list" allowBlank="1" showInputMessage="1" showErrorMessage="1" sqref="C9" xr:uid="{25E4E4B6-086F-4A07-9606-14F899095F6A}">
      <formula1>$Q$2:$Q$15</formula1>
    </dataValidation>
    <dataValidation type="list" allowBlank="1" showInputMessage="1" showErrorMessage="1" sqref="C12" xr:uid="{C9DD9483-D1BC-4AE5-BCD6-F36BB37BC678}">
      <formula1>$O$2:$O$64</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122" r:id="rId4" name="markupClick1">
          <controlPr locked="0" autoFill="0" autoLine="0" linkedCell="H17" r:id="rId5">
            <anchor moveWithCells="1">
              <from>
                <xdr:col>7</xdr:col>
                <xdr:colOff>342900</xdr:colOff>
                <xdr:row>16</xdr:row>
                <xdr:rowOff>19050</xdr:rowOff>
              </from>
              <to>
                <xdr:col>7</xdr:col>
                <xdr:colOff>485775</xdr:colOff>
                <xdr:row>16</xdr:row>
                <xdr:rowOff>133350</xdr:rowOff>
              </to>
            </anchor>
          </controlPr>
        </control>
      </mc:Choice>
      <mc:Fallback>
        <control shapeId="2122" r:id="rId4" name="markupClick1"/>
      </mc:Fallback>
    </mc:AlternateContent>
    <mc:AlternateContent xmlns:mc="http://schemas.openxmlformats.org/markup-compatibility/2006">
      <mc:Choice Requires="x14">
        <control shapeId="2123" r:id="rId6" name="markupClick6">
          <controlPr locked="0" autoFill="0" autoLine="0" linkedCell="H22" r:id="rId5">
            <anchor moveWithCells="1">
              <from>
                <xdr:col>7</xdr:col>
                <xdr:colOff>342900</xdr:colOff>
                <xdr:row>21</xdr:row>
                <xdr:rowOff>19050</xdr:rowOff>
              </from>
              <to>
                <xdr:col>7</xdr:col>
                <xdr:colOff>485775</xdr:colOff>
                <xdr:row>21</xdr:row>
                <xdr:rowOff>133350</xdr:rowOff>
              </to>
            </anchor>
          </controlPr>
        </control>
      </mc:Choice>
      <mc:Fallback>
        <control shapeId="2123" r:id="rId6" name="markupClick6"/>
      </mc:Fallback>
    </mc:AlternateContent>
    <mc:AlternateContent xmlns:mc="http://schemas.openxmlformats.org/markup-compatibility/2006">
      <mc:Choice Requires="x14">
        <control shapeId="2124" r:id="rId7" name="markupClick7">
          <controlPr locked="0" autoFill="0" autoLine="0" linkedCell="H23" r:id="rId5">
            <anchor moveWithCells="1">
              <from>
                <xdr:col>7</xdr:col>
                <xdr:colOff>342900</xdr:colOff>
                <xdr:row>22</xdr:row>
                <xdr:rowOff>19050</xdr:rowOff>
              </from>
              <to>
                <xdr:col>7</xdr:col>
                <xdr:colOff>485775</xdr:colOff>
                <xdr:row>22</xdr:row>
                <xdr:rowOff>133350</xdr:rowOff>
              </to>
            </anchor>
          </controlPr>
        </control>
      </mc:Choice>
      <mc:Fallback>
        <control shapeId="2124" r:id="rId7" name="markupClick7"/>
      </mc:Fallback>
    </mc:AlternateContent>
    <mc:AlternateContent xmlns:mc="http://schemas.openxmlformats.org/markup-compatibility/2006">
      <mc:Choice Requires="x14">
        <control shapeId="2125" r:id="rId8" name="markupClick8">
          <controlPr locked="0" autoFill="0" autoLine="0" linkedCell="H24" r:id="rId5">
            <anchor moveWithCells="1">
              <from>
                <xdr:col>7</xdr:col>
                <xdr:colOff>342900</xdr:colOff>
                <xdr:row>23</xdr:row>
                <xdr:rowOff>19050</xdr:rowOff>
              </from>
              <to>
                <xdr:col>7</xdr:col>
                <xdr:colOff>485775</xdr:colOff>
                <xdr:row>23</xdr:row>
                <xdr:rowOff>133350</xdr:rowOff>
              </to>
            </anchor>
          </controlPr>
        </control>
      </mc:Choice>
      <mc:Fallback>
        <control shapeId="2125" r:id="rId8" name="markupClick8"/>
      </mc:Fallback>
    </mc:AlternateContent>
    <mc:AlternateContent xmlns:mc="http://schemas.openxmlformats.org/markup-compatibility/2006">
      <mc:Choice Requires="x14">
        <control shapeId="2126" r:id="rId9" name="markupClick9">
          <controlPr locked="0" autoFill="0" autoLine="0" linkedCell="H25" r:id="rId5">
            <anchor moveWithCells="1">
              <from>
                <xdr:col>7</xdr:col>
                <xdr:colOff>342900</xdr:colOff>
                <xdr:row>24</xdr:row>
                <xdr:rowOff>19050</xdr:rowOff>
              </from>
              <to>
                <xdr:col>7</xdr:col>
                <xdr:colOff>485775</xdr:colOff>
                <xdr:row>24</xdr:row>
                <xdr:rowOff>133350</xdr:rowOff>
              </to>
            </anchor>
          </controlPr>
        </control>
      </mc:Choice>
      <mc:Fallback>
        <control shapeId="2126" r:id="rId9" name="markupClick9"/>
      </mc:Fallback>
    </mc:AlternateContent>
    <mc:AlternateContent xmlns:mc="http://schemas.openxmlformats.org/markup-compatibility/2006">
      <mc:Choice Requires="x14">
        <control shapeId="2127" r:id="rId10" name="markupClick10">
          <controlPr locked="0" autoFill="0" autoLine="0" linkedCell="H26" r:id="rId5">
            <anchor moveWithCells="1">
              <from>
                <xdr:col>7</xdr:col>
                <xdr:colOff>342900</xdr:colOff>
                <xdr:row>25</xdr:row>
                <xdr:rowOff>19050</xdr:rowOff>
              </from>
              <to>
                <xdr:col>7</xdr:col>
                <xdr:colOff>485775</xdr:colOff>
                <xdr:row>25</xdr:row>
                <xdr:rowOff>133350</xdr:rowOff>
              </to>
            </anchor>
          </controlPr>
        </control>
      </mc:Choice>
      <mc:Fallback>
        <control shapeId="2127" r:id="rId10" name="markupClick10"/>
      </mc:Fallback>
    </mc:AlternateContent>
    <mc:AlternateContent xmlns:mc="http://schemas.openxmlformats.org/markup-compatibility/2006">
      <mc:Choice Requires="x14">
        <control shapeId="2128" r:id="rId11" name="markupClick11">
          <controlPr locked="0" autoFill="0" autoLine="0" linkedCell="H27" r:id="rId5">
            <anchor moveWithCells="1">
              <from>
                <xdr:col>7</xdr:col>
                <xdr:colOff>342900</xdr:colOff>
                <xdr:row>26</xdr:row>
                <xdr:rowOff>19050</xdr:rowOff>
              </from>
              <to>
                <xdr:col>7</xdr:col>
                <xdr:colOff>485775</xdr:colOff>
                <xdr:row>26</xdr:row>
                <xdr:rowOff>133350</xdr:rowOff>
              </to>
            </anchor>
          </controlPr>
        </control>
      </mc:Choice>
      <mc:Fallback>
        <control shapeId="2128" r:id="rId11" name="markupClick11"/>
      </mc:Fallback>
    </mc:AlternateContent>
    <mc:AlternateContent xmlns:mc="http://schemas.openxmlformats.org/markup-compatibility/2006">
      <mc:Choice Requires="x14">
        <control shapeId="2140" r:id="rId12" name="markupClick12">
          <controlPr locked="0" autoFill="0" autoLine="0" linkedCell="H28" r:id="rId5">
            <anchor moveWithCells="1">
              <from>
                <xdr:col>7</xdr:col>
                <xdr:colOff>342900</xdr:colOff>
                <xdr:row>27</xdr:row>
                <xdr:rowOff>19050</xdr:rowOff>
              </from>
              <to>
                <xdr:col>7</xdr:col>
                <xdr:colOff>485775</xdr:colOff>
                <xdr:row>27</xdr:row>
                <xdr:rowOff>133350</xdr:rowOff>
              </to>
            </anchor>
          </controlPr>
        </control>
      </mc:Choice>
      <mc:Fallback>
        <control shapeId="2140" r:id="rId12" name="markupClick12"/>
      </mc:Fallback>
    </mc:AlternateContent>
    <mc:AlternateContent xmlns:mc="http://schemas.openxmlformats.org/markup-compatibility/2006">
      <mc:Choice Requires="x14">
        <control shapeId="2141" r:id="rId13" name="markupClick13">
          <controlPr locked="0" autoFill="0" autoLine="0" linkedCell="H29" r:id="rId14">
            <anchor moveWithCells="1">
              <from>
                <xdr:col>7</xdr:col>
                <xdr:colOff>342900</xdr:colOff>
                <xdr:row>28</xdr:row>
                <xdr:rowOff>19050</xdr:rowOff>
              </from>
              <to>
                <xdr:col>7</xdr:col>
                <xdr:colOff>485775</xdr:colOff>
                <xdr:row>28</xdr:row>
                <xdr:rowOff>133350</xdr:rowOff>
              </to>
            </anchor>
          </controlPr>
        </control>
      </mc:Choice>
      <mc:Fallback>
        <control shapeId="2141" r:id="rId13" name="markupClick13"/>
      </mc:Fallback>
    </mc:AlternateContent>
    <mc:AlternateContent xmlns:mc="http://schemas.openxmlformats.org/markup-compatibility/2006">
      <mc:Choice Requires="x14">
        <control shapeId="2160" r:id="rId15" name="markupClick2">
          <controlPr locked="0" autoFill="0" autoLine="0" linkedCell="H18" r:id="rId16">
            <anchor moveWithCells="1">
              <from>
                <xdr:col>7</xdr:col>
                <xdr:colOff>342900</xdr:colOff>
                <xdr:row>17</xdr:row>
                <xdr:rowOff>28575</xdr:rowOff>
              </from>
              <to>
                <xdr:col>7</xdr:col>
                <xdr:colOff>485775</xdr:colOff>
                <xdr:row>17</xdr:row>
                <xdr:rowOff>133350</xdr:rowOff>
              </to>
            </anchor>
          </controlPr>
        </control>
      </mc:Choice>
      <mc:Fallback>
        <control shapeId="2160" r:id="rId15" name="markupClick2"/>
      </mc:Fallback>
    </mc:AlternateContent>
    <mc:AlternateContent xmlns:mc="http://schemas.openxmlformats.org/markup-compatibility/2006">
      <mc:Choice Requires="x14">
        <control shapeId="2161" r:id="rId17" name="markupClick3">
          <controlPr locked="0" autoFill="0" autoLine="0" linkedCell="H19" r:id="rId16">
            <anchor moveWithCells="1">
              <from>
                <xdr:col>7</xdr:col>
                <xdr:colOff>342900</xdr:colOff>
                <xdr:row>18</xdr:row>
                <xdr:rowOff>28575</xdr:rowOff>
              </from>
              <to>
                <xdr:col>7</xdr:col>
                <xdr:colOff>485775</xdr:colOff>
                <xdr:row>18</xdr:row>
                <xdr:rowOff>133350</xdr:rowOff>
              </to>
            </anchor>
          </controlPr>
        </control>
      </mc:Choice>
      <mc:Fallback>
        <control shapeId="2161" r:id="rId17" name="markupClick3"/>
      </mc:Fallback>
    </mc:AlternateContent>
    <mc:AlternateContent xmlns:mc="http://schemas.openxmlformats.org/markup-compatibility/2006">
      <mc:Choice Requires="x14">
        <control shapeId="2162" r:id="rId18" name="markupClick4">
          <controlPr locked="0" autoFill="0" autoLine="0" linkedCell="H20" r:id="rId16">
            <anchor moveWithCells="1">
              <from>
                <xdr:col>7</xdr:col>
                <xdr:colOff>342900</xdr:colOff>
                <xdr:row>19</xdr:row>
                <xdr:rowOff>28575</xdr:rowOff>
              </from>
              <to>
                <xdr:col>7</xdr:col>
                <xdr:colOff>485775</xdr:colOff>
                <xdr:row>19</xdr:row>
                <xdr:rowOff>133350</xdr:rowOff>
              </to>
            </anchor>
          </controlPr>
        </control>
      </mc:Choice>
      <mc:Fallback>
        <control shapeId="2162" r:id="rId18" name="markupClick4"/>
      </mc:Fallback>
    </mc:AlternateContent>
    <mc:AlternateContent xmlns:mc="http://schemas.openxmlformats.org/markup-compatibility/2006">
      <mc:Choice Requires="x14">
        <control shapeId="2163" r:id="rId19" name="markupClick5">
          <controlPr locked="0" autoFill="0" autoLine="0" linkedCell="H21" r:id="rId16">
            <anchor moveWithCells="1">
              <from>
                <xdr:col>7</xdr:col>
                <xdr:colOff>342900</xdr:colOff>
                <xdr:row>20</xdr:row>
                <xdr:rowOff>28575</xdr:rowOff>
              </from>
              <to>
                <xdr:col>7</xdr:col>
                <xdr:colOff>485775</xdr:colOff>
                <xdr:row>20</xdr:row>
                <xdr:rowOff>133350</xdr:rowOff>
              </to>
            </anchor>
          </controlPr>
        </control>
      </mc:Choice>
      <mc:Fallback>
        <control shapeId="2163" r:id="rId19" name="markupClick5"/>
      </mc:Fallback>
    </mc:AlternateContent>
    <mc:AlternateContent xmlns:mc="http://schemas.openxmlformats.org/markup-compatibility/2006">
      <mc:Choice Requires="x14">
        <control shapeId="2164" r:id="rId20" name="CompoundingCheck">
          <controlPr locked="0" autoFill="0" autoLine="0" linkedCell="H15" r:id="rId14">
            <anchor moveWithCells="1">
              <from>
                <xdr:col>7</xdr:col>
                <xdr:colOff>342900</xdr:colOff>
                <xdr:row>14</xdr:row>
                <xdr:rowOff>19050</xdr:rowOff>
              </from>
              <to>
                <xdr:col>7</xdr:col>
                <xdr:colOff>485775</xdr:colOff>
                <xdr:row>14</xdr:row>
                <xdr:rowOff>133350</xdr:rowOff>
              </to>
            </anchor>
          </controlPr>
        </control>
      </mc:Choice>
      <mc:Fallback>
        <control shapeId="2164" r:id="rId20" name="CompoundingCheck"/>
      </mc:Fallback>
    </mc:AlternateContent>
    <mc:AlternateContent xmlns:mc="http://schemas.openxmlformats.org/markup-compatibility/2006">
      <mc:Choice Requires="x14">
        <control shapeId="2169" r:id="rId21" name="Button 121">
          <controlPr defaultSize="0" print="0" autoFill="0" autoPict="0" macro="[0]!AddNewSheet2">
            <anchor>
              <from>
                <xdr:col>3</xdr:col>
                <xdr:colOff>133350</xdr:colOff>
                <xdr:row>8</xdr:row>
                <xdr:rowOff>104775</xdr:rowOff>
              </from>
              <to>
                <xdr:col>4</xdr:col>
                <xdr:colOff>609600</xdr:colOff>
                <xdr:row>10</xdr:row>
                <xdr:rowOff>19050</xdr:rowOff>
              </to>
            </anchor>
          </controlPr>
        </control>
      </mc:Choice>
    </mc:AlternateContent>
    <mc:AlternateContent xmlns:mc="http://schemas.openxmlformats.org/markup-compatibility/2006">
      <mc:Choice Requires="x14">
        <control shapeId="2171" r:id="rId22" name="ResetButton">
          <controlPr defaultSize="0" print="0" autoFill="0" autoPict="0" macro="[0]!Reset">
            <anchor>
              <from>
                <xdr:col>7</xdr:col>
                <xdr:colOff>57150</xdr:colOff>
                <xdr:row>10</xdr:row>
                <xdr:rowOff>95250</xdr:rowOff>
              </from>
              <to>
                <xdr:col>8</xdr:col>
                <xdr:colOff>333375</xdr:colOff>
                <xdr:row>12</xdr:row>
                <xdr:rowOff>9525</xdr:rowOff>
              </to>
            </anchor>
          </controlPr>
        </control>
      </mc:Choice>
    </mc:AlternateContent>
    <mc:AlternateContent xmlns:mc="http://schemas.openxmlformats.org/markup-compatibility/2006">
      <mc:Choice Requires="x14">
        <control shapeId="2195" r:id="rId23" name="Button 147">
          <controlPr defaultSize="0" print="0" autoFill="0" autoPict="0" macro="[0]!UpdateDatabase_Click">
            <anchor>
              <from>
                <xdr:col>7</xdr:col>
                <xdr:colOff>57150</xdr:colOff>
                <xdr:row>8</xdr:row>
                <xdr:rowOff>95250</xdr:rowOff>
              </from>
              <to>
                <xdr:col>8</xdr:col>
                <xdr:colOff>323850</xdr:colOff>
                <xdr:row>10</xdr:row>
                <xdr:rowOff>9525</xdr:rowOff>
              </to>
            </anchor>
          </controlPr>
        </control>
      </mc:Choice>
    </mc:AlternateContent>
    <mc:AlternateContent xmlns:mc="http://schemas.openxmlformats.org/markup-compatibility/2006">
      <mc:Choice Requires="x14">
        <control shapeId="2201" r:id="rId24" name="copyExisting">
          <controlPr defaultSize="0" print="0" autoFill="0" autoPict="0" macro="[0]!runLineShading" altText="Line Shading">
            <anchor>
              <from>
                <xdr:col>3</xdr:col>
                <xdr:colOff>133350</xdr:colOff>
                <xdr:row>10</xdr:row>
                <xdr:rowOff>95250</xdr:rowOff>
              </from>
              <to>
                <xdr:col>4</xdr:col>
                <xdr:colOff>600075</xdr:colOff>
                <xdr:row>12</xdr:row>
                <xdr:rowOff>9525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6CC26-E38C-4AA9-852E-637A10BA9C0E}">
  <sheetPr codeName="Sheet2"/>
  <dimension ref="A1:Q104"/>
  <sheetViews>
    <sheetView view="pageBreakPreview" topLeftCell="B1" zoomScaleNormal="100" zoomScaleSheetLayoutView="100" workbookViewId="0">
      <pane ySplit="1" topLeftCell="A26" activePane="bottomLeft" state="frozen"/>
      <selection activeCell="D98" sqref="D98"/>
      <selection pane="bottomLeft" activeCell="D98" sqref="D98"/>
    </sheetView>
  </sheetViews>
  <sheetFormatPr defaultColWidth="8.85546875" defaultRowHeight="15" x14ac:dyDescent="0.25"/>
  <cols>
    <col min="1" max="1" width="8.85546875" style="113" hidden="1" customWidth="1"/>
    <col min="2" max="3" width="4.7109375" style="113" customWidth="1"/>
    <col min="4" max="4" width="6.42578125" style="113" customWidth="1"/>
    <col min="5" max="7" width="2.7109375" style="113" customWidth="1"/>
    <col min="8" max="8" width="32" style="113" customWidth="1"/>
    <col min="9" max="9" width="48.140625" style="113" customWidth="1"/>
    <col min="10" max="10" width="2.7109375" style="113" customWidth="1"/>
    <col min="11" max="11" width="6.42578125" style="113" customWidth="1"/>
    <col min="12" max="12" width="5.28515625" style="113" customWidth="1"/>
    <col min="13" max="13" width="8" style="113" customWidth="1"/>
    <col min="14" max="14" width="95.28515625" style="113" customWidth="1"/>
    <col min="15" max="15" width="41" style="113" hidden="1" customWidth="1"/>
    <col min="16" max="16384" width="8.85546875" style="113"/>
  </cols>
  <sheetData>
    <row r="1" spans="1:17" s="112" customFormat="1" ht="50.45" customHeight="1" thickBot="1" x14ac:dyDescent="0.3">
      <c r="A1" s="111" t="s">
        <v>192</v>
      </c>
    </row>
    <row r="4" spans="1:17" ht="151.9" customHeight="1" x14ac:dyDescent="0.25"/>
    <row r="5" spans="1:17" ht="31.5" x14ac:dyDescent="0.25">
      <c r="N5" s="114" t="s">
        <v>1572</v>
      </c>
      <c r="P5" s="343"/>
      <c r="Q5" s="343"/>
    </row>
    <row r="6" spans="1:17" ht="31.5" x14ac:dyDescent="0.25">
      <c r="N6" s="114" t="str">
        <f>project_name</f>
        <v>Hunt County Government Building</v>
      </c>
    </row>
    <row r="7" spans="1:17" ht="10.15" customHeight="1" x14ac:dyDescent="0.25">
      <c r="N7" s="115"/>
    </row>
    <row r="8" spans="1:17" ht="18.75" x14ac:dyDescent="0.25">
      <c r="N8" s="116" t="str">
        <f>project_location</f>
        <v>Greenville, TX</v>
      </c>
    </row>
    <row r="9" spans="1:17" ht="28.9" customHeight="1" x14ac:dyDescent="0.25">
      <c r="N9" s="115"/>
    </row>
    <row r="10" spans="1:17" x14ac:dyDescent="0.25">
      <c r="N10" s="115" t="s">
        <v>964</v>
      </c>
    </row>
    <row r="11" spans="1:17" x14ac:dyDescent="0.25">
      <c r="N11" s="117" t="str">
        <f>estimate_detail</f>
        <v>CONSTRUCTION DOCUMENTS ESTIMATE</v>
      </c>
    </row>
    <row r="12" spans="1:17" x14ac:dyDescent="0.25">
      <c r="N12" s="115" t="str">
        <f>"OCMI JOB #: "&amp; job_number</f>
        <v>OCMI JOB #: 240540.000</v>
      </c>
    </row>
    <row r="13" spans="1:17" x14ac:dyDescent="0.25">
      <c r="N13" s="117" t="str">
        <f>date</f>
        <v>24 December 2024</v>
      </c>
    </row>
    <row r="14" spans="1:17" x14ac:dyDescent="0.25">
      <c r="N14" s="115"/>
    </row>
    <row r="15" spans="1:17" x14ac:dyDescent="0.25">
      <c r="N15" s="115"/>
    </row>
    <row r="16" spans="1:17" x14ac:dyDescent="0.25">
      <c r="N16" s="115"/>
    </row>
    <row r="17" spans="5:14" x14ac:dyDescent="0.25">
      <c r="N17" s="115"/>
    </row>
    <row r="18" spans="5:14" x14ac:dyDescent="0.25">
      <c r="N18" s="115"/>
    </row>
    <row r="19" spans="5:14" x14ac:dyDescent="0.25">
      <c r="N19" s="115"/>
    </row>
    <row r="20" spans="5:14" ht="66.2" customHeight="1" x14ac:dyDescent="0.25">
      <c r="N20" s="115"/>
    </row>
    <row r="21" spans="5:14" ht="66.2" customHeight="1" x14ac:dyDescent="0.25">
      <c r="N21" s="115"/>
    </row>
    <row r="22" spans="5:14" ht="66.2" customHeight="1" x14ac:dyDescent="0.25">
      <c r="N22" s="115"/>
    </row>
    <row r="23" spans="5:14" ht="66.2" customHeight="1" x14ac:dyDescent="0.25">
      <c r="N23" s="115"/>
    </row>
    <row r="24" spans="5:14" ht="105.95" customHeight="1" x14ac:dyDescent="0.25">
      <c r="N24" s="115"/>
    </row>
    <row r="25" spans="5:14" ht="20.25" customHeight="1" x14ac:dyDescent="0.25"/>
    <row r="26" spans="5:14" ht="53.1" customHeight="1" x14ac:dyDescent="0.25">
      <c r="J26" s="35" t="str">
        <f>project_name</f>
        <v>Hunt County Government Building</v>
      </c>
    </row>
    <row r="27" spans="5:14" ht="15.2" customHeight="1" x14ac:dyDescent="0.25">
      <c r="J27" s="36"/>
    </row>
    <row r="28" spans="5:14" ht="13.7" customHeight="1" x14ac:dyDescent="0.25">
      <c r="J28" s="37" t="str">
        <f>project_location</f>
        <v>Greenville, TX</v>
      </c>
    </row>
    <row r="29" spans="5:14" ht="8.1" customHeight="1" x14ac:dyDescent="0.25">
      <c r="J29" s="77"/>
    </row>
    <row r="30" spans="5:14" ht="18.75" customHeight="1" x14ac:dyDescent="0.25">
      <c r="E30" s="39" t="str">
        <f>estimate_detail</f>
        <v>CONSTRUCTION DOCUMENTS ESTIMATE</v>
      </c>
      <c r="J30" s="38" t="str">
        <f>"OCMI JOB #: "&amp; job_number &amp; " | " &amp; date</f>
        <v>OCMI JOB #: 240540.000 | 24 December 2024</v>
      </c>
    </row>
    <row r="31" spans="5:14" ht="13.7" customHeight="1" thickBot="1" x14ac:dyDescent="0.3"/>
    <row r="32" spans="5:14" ht="27.6" customHeight="1" thickBot="1" x14ac:dyDescent="0.3">
      <c r="E32" s="707" t="s">
        <v>125</v>
      </c>
      <c r="F32" s="708"/>
      <c r="G32" s="708"/>
      <c r="H32" s="708"/>
      <c r="I32" s="708"/>
      <c r="J32" s="708"/>
    </row>
    <row r="33" spans="4:14" ht="14.1" customHeight="1" x14ac:dyDescent="0.25"/>
    <row r="34" spans="4:14" ht="15" customHeight="1" x14ac:dyDescent="0.25">
      <c r="D34" s="123"/>
      <c r="E34" s="709" t="s">
        <v>113</v>
      </c>
      <c r="F34" s="704"/>
      <c r="G34" s="704"/>
      <c r="H34" s="704"/>
      <c r="I34" s="704"/>
      <c r="J34" s="704"/>
      <c r="K34" s="123"/>
    </row>
    <row r="35" spans="4:14" x14ac:dyDescent="0.25">
      <c r="D35" s="123"/>
      <c r="E35" s="118"/>
      <c r="F35" s="118"/>
      <c r="G35" s="118"/>
      <c r="H35" s="118"/>
      <c r="I35" s="118"/>
      <c r="J35" s="119"/>
      <c r="K35" s="123"/>
      <c r="N35" s="127" t="s">
        <v>127</v>
      </c>
    </row>
    <row r="36" spans="4:14" ht="30" customHeight="1" x14ac:dyDescent="0.25">
      <c r="D36" s="123"/>
      <c r="E36" s="703" t="str">
        <f>IF(ISBLANK(N36),"This estimate is based on verbal direction from the client and the following items, received DD Month YYYY:",CONCATENATE("This estimate is based on verbal direction from the client and the following items, received ",TEXT(N36,"dd mmmm yyyy"),":"))</f>
        <v>This estimate is based on verbal direction from the client and the following items, received 06 December 2024:</v>
      </c>
      <c r="F36" s="704"/>
      <c r="G36" s="704"/>
      <c r="H36" s="704"/>
      <c r="I36" s="704"/>
      <c r="J36" s="704"/>
      <c r="K36" s="123"/>
      <c r="L36" s="343"/>
      <c r="N36" s="126">
        <v>45632</v>
      </c>
    </row>
    <row r="37" spans="4:14" ht="4.5" customHeight="1" x14ac:dyDescent="0.25">
      <c r="D37" s="123"/>
      <c r="E37" s="118"/>
      <c r="F37" s="118"/>
      <c r="G37" s="118"/>
      <c r="H37" s="118"/>
      <c r="I37" s="118"/>
      <c r="J37" s="119"/>
      <c r="K37" s="123"/>
      <c r="N37" s="120"/>
    </row>
    <row r="38" spans="4:14" ht="15" customHeight="1" x14ac:dyDescent="0.25">
      <c r="D38" s="123"/>
      <c r="E38" s="118"/>
      <c r="F38" s="118"/>
      <c r="G38" s="706" t="s">
        <v>6</v>
      </c>
      <c r="H38" s="704"/>
      <c r="I38" s="118" t="s">
        <v>1551</v>
      </c>
      <c r="J38" s="119"/>
      <c r="K38" s="123"/>
      <c r="N38" s="125"/>
    </row>
    <row r="39" spans="4:14" ht="15" customHeight="1" x14ac:dyDescent="0.25">
      <c r="D39" s="123"/>
      <c r="E39" s="118"/>
      <c r="F39" s="118"/>
      <c r="G39" s="706" t="s">
        <v>1544</v>
      </c>
      <c r="H39" s="704"/>
      <c r="I39" s="118" t="s">
        <v>1552</v>
      </c>
      <c r="J39" s="119"/>
      <c r="K39" s="123"/>
      <c r="N39" s="125"/>
    </row>
    <row r="40" spans="4:14" ht="15" customHeight="1" x14ac:dyDescent="0.25">
      <c r="D40" s="123"/>
      <c r="E40" s="118"/>
      <c r="F40" s="118"/>
      <c r="G40" s="706" t="s">
        <v>1545</v>
      </c>
      <c r="H40" s="704"/>
      <c r="I40" s="118" t="s">
        <v>1553</v>
      </c>
      <c r="J40" s="119"/>
      <c r="K40" s="123"/>
      <c r="N40" s="125"/>
    </row>
    <row r="41" spans="4:14" ht="15" customHeight="1" x14ac:dyDescent="0.25">
      <c r="D41" s="123"/>
      <c r="E41" s="118"/>
      <c r="F41" s="118"/>
      <c r="G41" s="706" t="s">
        <v>1546</v>
      </c>
      <c r="H41" s="704"/>
      <c r="I41" s="118" t="s">
        <v>1554</v>
      </c>
      <c r="J41" s="119"/>
      <c r="K41" s="123"/>
      <c r="N41" s="125"/>
    </row>
    <row r="42" spans="4:14" ht="15" customHeight="1" x14ac:dyDescent="0.25">
      <c r="D42" s="123"/>
      <c r="E42" s="118"/>
      <c r="F42" s="118"/>
      <c r="G42" s="706" t="s">
        <v>1547</v>
      </c>
      <c r="H42" s="704"/>
      <c r="I42" s="118" t="s">
        <v>1555</v>
      </c>
      <c r="J42" s="119"/>
      <c r="K42" s="123"/>
      <c r="N42" s="125"/>
    </row>
    <row r="43" spans="4:14" ht="15" customHeight="1" x14ac:dyDescent="0.25">
      <c r="D43" s="123"/>
      <c r="E43" s="118"/>
      <c r="F43" s="118"/>
      <c r="G43" s="706" t="s">
        <v>1025</v>
      </c>
      <c r="H43" s="704"/>
      <c r="I43" s="118" t="s">
        <v>1556</v>
      </c>
      <c r="J43" s="119"/>
      <c r="K43" s="123"/>
      <c r="N43" s="125"/>
    </row>
    <row r="44" spans="4:14" ht="15" customHeight="1" x14ac:dyDescent="0.25">
      <c r="D44" s="123"/>
      <c r="E44" s="118"/>
      <c r="F44" s="118"/>
      <c r="G44" s="706" t="s">
        <v>1548</v>
      </c>
      <c r="H44" s="704"/>
      <c r="I44" s="118" t="s">
        <v>1557</v>
      </c>
      <c r="J44" s="119"/>
      <c r="K44" s="123"/>
      <c r="N44" s="125"/>
    </row>
    <row r="45" spans="4:14" ht="15" customHeight="1" x14ac:dyDescent="0.25">
      <c r="D45" s="123"/>
      <c r="E45" s="118"/>
      <c r="F45" s="118"/>
      <c r="G45" s="706" t="s">
        <v>1549</v>
      </c>
      <c r="H45" s="704"/>
      <c r="I45" s="118" t="s">
        <v>1558</v>
      </c>
      <c r="J45" s="119"/>
      <c r="K45" s="123"/>
      <c r="N45" s="125"/>
    </row>
    <row r="46" spans="4:14" ht="15" customHeight="1" x14ac:dyDescent="0.25">
      <c r="D46" s="123"/>
      <c r="E46" s="118"/>
      <c r="F46" s="118"/>
      <c r="G46" s="706" t="s">
        <v>1550</v>
      </c>
      <c r="H46" s="704"/>
      <c r="I46" s="118" t="s">
        <v>1559</v>
      </c>
      <c r="J46" s="119"/>
      <c r="K46" s="123"/>
      <c r="N46" s="125"/>
    </row>
    <row r="47" spans="4:14" ht="4.5" customHeight="1" x14ac:dyDescent="0.25">
      <c r="D47" s="123"/>
      <c r="E47" s="118"/>
      <c r="F47" s="118"/>
      <c r="G47" s="118"/>
      <c r="H47" s="118"/>
      <c r="I47" s="118"/>
      <c r="J47" s="119"/>
      <c r="K47" s="123"/>
    </row>
    <row r="48" spans="4:14" ht="15" customHeight="1" x14ac:dyDescent="0.25">
      <c r="D48" s="123"/>
      <c r="E48" s="703" t="s">
        <v>114</v>
      </c>
      <c r="F48" s="704"/>
      <c r="G48" s="704"/>
      <c r="H48" s="704"/>
      <c r="I48" s="704"/>
      <c r="J48" s="704"/>
      <c r="K48" s="123"/>
    </row>
    <row r="49" spans="4:14" ht="4.5" customHeight="1" x14ac:dyDescent="0.25">
      <c r="D49" s="123"/>
      <c r="E49" s="118"/>
      <c r="F49" s="118"/>
      <c r="G49" s="118"/>
      <c r="H49" s="118"/>
      <c r="I49" s="118"/>
      <c r="J49" s="119"/>
      <c r="K49" s="123"/>
    </row>
    <row r="50" spans="4:14" ht="15" customHeight="1" x14ac:dyDescent="0.25">
      <c r="D50" s="123"/>
      <c r="E50" s="118"/>
      <c r="F50" s="118"/>
      <c r="G50" s="124" t="s">
        <v>116</v>
      </c>
      <c r="H50" s="701" t="s">
        <v>115</v>
      </c>
      <c r="I50" s="702"/>
      <c r="J50" s="702"/>
      <c r="K50" s="123"/>
    </row>
    <row r="51" spans="4:14" ht="15" customHeight="1" x14ac:dyDescent="0.25">
      <c r="D51" s="123"/>
      <c r="E51" s="118"/>
      <c r="F51" s="118"/>
      <c r="G51" s="124" t="s">
        <v>116</v>
      </c>
      <c r="H51" s="701" t="s">
        <v>118</v>
      </c>
      <c r="I51" s="702"/>
      <c r="J51" s="702"/>
      <c r="K51" s="123"/>
    </row>
    <row r="52" spans="4:14" ht="15" customHeight="1" x14ac:dyDescent="0.25">
      <c r="D52" s="123"/>
      <c r="E52" s="118"/>
      <c r="F52" s="118"/>
      <c r="G52" s="124" t="s">
        <v>116</v>
      </c>
      <c r="H52" s="701" t="s">
        <v>122</v>
      </c>
      <c r="I52" s="702"/>
      <c r="J52" s="702"/>
      <c r="K52" s="123"/>
    </row>
    <row r="53" spans="4:14" ht="15" customHeight="1" x14ac:dyDescent="0.25">
      <c r="D53" s="123"/>
      <c r="E53" s="118"/>
      <c r="F53" s="118"/>
      <c r="G53" s="124" t="s">
        <v>116</v>
      </c>
      <c r="H53" s="701" t="s">
        <v>168</v>
      </c>
      <c r="I53" s="702"/>
      <c r="J53" s="702"/>
      <c r="K53" s="123"/>
    </row>
    <row r="54" spans="4:14" ht="15" customHeight="1" x14ac:dyDescent="0.25">
      <c r="D54" s="123"/>
      <c r="E54" s="118"/>
      <c r="F54" s="118"/>
      <c r="G54" s="124" t="s">
        <v>116</v>
      </c>
      <c r="H54" s="701" t="s">
        <v>117</v>
      </c>
      <c r="I54" s="702"/>
      <c r="J54" s="702"/>
      <c r="K54" s="123"/>
    </row>
    <row r="55" spans="4:14" ht="15" customHeight="1" x14ac:dyDescent="0.25">
      <c r="D55" s="123"/>
      <c r="E55" s="118"/>
      <c r="F55" s="118"/>
      <c r="G55" s="124" t="s">
        <v>116</v>
      </c>
      <c r="H55" s="701" t="s">
        <v>126</v>
      </c>
      <c r="I55" s="702"/>
      <c r="J55" s="702"/>
      <c r="K55" s="123"/>
    </row>
    <row r="56" spans="4:14" ht="15" customHeight="1" x14ac:dyDescent="0.25">
      <c r="D56" s="123"/>
      <c r="E56" s="118"/>
      <c r="F56" s="118"/>
      <c r="G56" s="124" t="s">
        <v>116</v>
      </c>
      <c r="H56" s="701" t="s">
        <v>119</v>
      </c>
      <c r="I56" s="702"/>
      <c r="J56" s="702"/>
      <c r="K56" s="123"/>
    </row>
    <row r="57" spans="4:14" ht="15" customHeight="1" x14ac:dyDescent="0.25">
      <c r="D57" s="123"/>
      <c r="E57" s="118"/>
      <c r="F57" s="118"/>
      <c r="G57" s="124" t="s">
        <v>116</v>
      </c>
      <c r="H57" s="701" t="s">
        <v>120</v>
      </c>
      <c r="I57" s="702"/>
      <c r="J57" s="702"/>
      <c r="K57" s="123"/>
      <c r="N57" s="341"/>
    </row>
    <row r="58" spans="4:14" ht="15" customHeight="1" x14ac:dyDescent="0.25">
      <c r="D58" s="123"/>
      <c r="E58" s="118"/>
      <c r="F58" s="118"/>
      <c r="G58" s="124" t="s">
        <v>116</v>
      </c>
      <c r="H58" s="701" t="s">
        <v>121</v>
      </c>
      <c r="I58" s="702"/>
      <c r="J58" s="702"/>
      <c r="K58" s="123"/>
    </row>
    <row r="59" spans="4:14" ht="14.45" customHeight="1" x14ac:dyDescent="0.25">
      <c r="D59" s="123"/>
      <c r="E59" s="118"/>
      <c r="F59" s="118"/>
      <c r="G59" s="124" t="s">
        <v>116</v>
      </c>
      <c r="H59" s="118" t="s">
        <v>1122</v>
      </c>
      <c r="I59" s="118"/>
      <c r="J59" s="119"/>
      <c r="K59" s="123"/>
      <c r="L59" s="705" t="s">
        <v>1123</v>
      </c>
    </row>
    <row r="60" spans="4:14" ht="14.45" customHeight="1" x14ac:dyDescent="0.25">
      <c r="D60" s="123"/>
      <c r="E60" s="118"/>
      <c r="F60" s="118"/>
      <c r="G60" s="124" t="s">
        <v>116</v>
      </c>
      <c r="H60" s="118" t="s">
        <v>1175</v>
      </c>
      <c r="I60" s="118"/>
      <c r="J60" s="119"/>
      <c r="K60" s="123"/>
      <c r="L60" s="705"/>
    </row>
    <row r="61" spans="4:14" ht="4.5" customHeight="1" x14ac:dyDescent="0.25">
      <c r="D61" s="123"/>
      <c r="E61" s="118"/>
      <c r="F61" s="118"/>
      <c r="G61" s="118"/>
      <c r="H61" s="118"/>
      <c r="I61" s="118"/>
      <c r="J61" s="119"/>
      <c r="K61" s="123"/>
      <c r="L61" s="705"/>
      <c r="M61" s="343"/>
    </row>
    <row r="62" spans="4:14" ht="15" customHeight="1" x14ac:dyDescent="0.25">
      <c r="D62" s="123"/>
      <c r="E62" s="703" t="str">
        <f>CONCATENATE("The midpoint of construction of ",TEXT(Initial!D53,"Mmmm YYYY")," is based on:")</f>
        <v>The midpoint of construction of February 2026 is based on:</v>
      </c>
      <c r="F62" s="704"/>
      <c r="G62" s="704"/>
      <c r="H62" s="704"/>
      <c r="I62" s="704"/>
      <c r="J62" s="704"/>
      <c r="K62" s="123"/>
    </row>
    <row r="63" spans="4:14" ht="4.5" customHeight="1" x14ac:dyDescent="0.25">
      <c r="D63" s="123"/>
      <c r="E63" s="118"/>
      <c r="F63" s="118"/>
      <c r="G63" s="118"/>
      <c r="H63" s="118"/>
      <c r="I63" s="118"/>
      <c r="J63" s="119"/>
      <c r="K63" s="123"/>
    </row>
    <row r="64" spans="4:14" ht="15" customHeight="1" x14ac:dyDescent="0.25">
      <c r="D64" s="123"/>
      <c r="E64" s="118"/>
      <c r="F64" s="118"/>
      <c r="G64" s="124" t="s">
        <v>116</v>
      </c>
      <c r="H64" s="701" t="str">
        <f>CONCATENATE("Construction start date of ",TEXT(Initial!D51,"Mmmm YYYY"))</f>
        <v>Construction start date of May 2025</v>
      </c>
      <c r="I64" s="702"/>
      <c r="J64" s="702"/>
      <c r="K64" s="123"/>
    </row>
    <row r="65" spans="4:14" ht="15" customHeight="1" x14ac:dyDescent="0.25">
      <c r="D65" s="123"/>
      <c r="E65" s="118"/>
      <c r="F65" s="118"/>
      <c r="G65" s="124" t="s">
        <v>116</v>
      </c>
      <c r="H65" s="701" t="str">
        <f>CONCATENATE("Estimated construction duration of ",TEXT(durationMonths,"00")," months")</f>
        <v>Estimated construction duration of 18 months</v>
      </c>
      <c r="I65" s="702"/>
      <c r="J65" s="702"/>
      <c r="K65" s="123"/>
    </row>
    <row r="66" spans="4:14" ht="4.5" customHeight="1" x14ac:dyDescent="0.25">
      <c r="D66" s="123"/>
      <c r="E66" s="118"/>
      <c r="F66" s="118"/>
      <c r="G66" s="118"/>
      <c r="H66" s="118"/>
      <c r="I66" s="118"/>
      <c r="J66" s="119"/>
      <c r="K66" s="123"/>
    </row>
    <row r="67" spans="4:14" ht="15" customHeight="1" x14ac:dyDescent="0.25">
      <c r="D67" s="123"/>
      <c r="E67" s="124" t="s">
        <v>116</v>
      </c>
      <c r="F67" s="701" t="str">
        <f>IF(ISBLANK(#REF!),"This estimate is based on a Choose an item delivery method.",CONCATENATE("This estimate is based on a ",N68," delivery method."))</f>
        <v>This estimate is based on a Design-Bid-Build delivery method.</v>
      </c>
      <c r="G67" s="702"/>
      <c r="H67" s="702"/>
      <c r="I67" s="702"/>
      <c r="J67" s="702"/>
      <c r="K67" s="123"/>
      <c r="N67" s="128" t="s">
        <v>129</v>
      </c>
    </row>
    <row r="68" spans="4:14" ht="15" customHeight="1" x14ac:dyDescent="0.25">
      <c r="D68" s="123"/>
      <c r="E68" s="124" t="s">
        <v>116</v>
      </c>
      <c r="F68" s="701" t="str">
        <f>+IF(ISBLANK(#REF!),"This estimate is based on Choose an item labor rates.", CONCATENATE("This estimate is based on ",N70," labor rates."))</f>
        <v>This estimate is based on prevailing wage labor rates.</v>
      </c>
      <c r="G68" s="702"/>
      <c r="H68" s="702"/>
      <c r="I68" s="702"/>
      <c r="J68" s="702"/>
      <c r="K68" s="123"/>
      <c r="N68" s="126" t="s">
        <v>130</v>
      </c>
    </row>
    <row r="69" spans="4:14" ht="30" customHeight="1" x14ac:dyDescent="0.25">
      <c r="D69" s="123"/>
      <c r="E69" s="124" t="s">
        <v>116</v>
      </c>
      <c r="F69" s="701" t="s">
        <v>123</v>
      </c>
      <c r="G69" s="702"/>
      <c r="H69" s="702"/>
      <c r="I69" s="702"/>
      <c r="J69" s="702"/>
      <c r="K69" s="123"/>
      <c r="N69" s="128" t="s">
        <v>128</v>
      </c>
    </row>
    <row r="70" spans="4:14" ht="15" customHeight="1" x14ac:dyDescent="0.25">
      <c r="D70" s="123"/>
      <c r="E70" s="124" t="s">
        <v>116</v>
      </c>
      <c r="F70" s="701" t="s">
        <v>124</v>
      </c>
      <c r="G70" s="702"/>
      <c r="H70" s="702"/>
      <c r="I70" s="702"/>
      <c r="J70" s="702"/>
      <c r="K70" s="123"/>
      <c r="N70" s="126" t="s">
        <v>131</v>
      </c>
    </row>
    <row r="71" spans="4:14" ht="30" customHeight="1" x14ac:dyDescent="0.25">
      <c r="D71" s="123"/>
      <c r="E71" s="124" t="s">
        <v>116</v>
      </c>
      <c r="F71" s="701" t="s">
        <v>153</v>
      </c>
      <c r="G71" s="702"/>
      <c r="H71" s="702"/>
      <c r="I71" s="702"/>
      <c r="J71" s="702"/>
      <c r="K71" s="123"/>
    </row>
    <row r="72" spans="4:14" ht="45" customHeight="1" x14ac:dyDescent="0.25">
      <c r="D72" s="123"/>
      <c r="E72" s="124" t="s">
        <v>116</v>
      </c>
      <c r="F72" s="701" t="s">
        <v>234</v>
      </c>
      <c r="G72" s="702"/>
      <c r="H72" s="702"/>
      <c r="I72" s="702"/>
      <c r="J72" s="702"/>
      <c r="K72" s="123"/>
    </row>
    <row r="73" spans="4:14" ht="15" customHeight="1" x14ac:dyDescent="0.25"/>
    <row r="74" spans="4:14" ht="15" customHeight="1" x14ac:dyDescent="0.25"/>
    <row r="75" spans="4:14" ht="15" customHeight="1" x14ac:dyDescent="0.25"/>
    <row r="76" spans="4:14" ht="15" customHeight="1" x14ac:dyDescent="0.25"/>
    <row r="77" spans="4:14" ht="15" customHeight="1" x14ac:dyDescent="0.25"/>
    <row r="78" spans="4:14" ht="15" customHeight="1" x14ac:dyDescent="0.25"/>
    <row r="79" spans="4:14" ht="15" customHeight="1" x14ac:dyDescent="0.25"/>
    <row r="80" spans="4:14" ht="15" customHeight="1" x14ac:dyDescent="0.25"/>
    <row r="81" ht="15" customHeight="1" x14ac:dyDescent="0.25"/>
    <row r="82" ht="15" customHeight="1" x14ac:dyDescent="0.25"/>
    <row r="83" ht="14.4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4.45" customHeight="1" x14ac:dyDescent="0.25"/>
    <row r="94" ht="15" customHeight="1" x14ac:dyDescent="0.25"/>
    <row r="95" ht="14.45" customHeight="1" x14ac:dyDescent="0.25"/>
    <row r="96" ht="15" customHeight="1" x14ac:dyDescent="0.25"/>
    <row r="97" ht="15" customHeight="1" x14ac:dyDescent="0.25"/>
    <row r="98" ht="14.45" customHeight="1" x14ac:dyDescent="0.25"/>
    <row r="99" ht="15" customHeight="1" x14ac:dyDescent="0.25"/>
    <row r="100" ht="15" customHeight="1" x14ac:dyDescent="0.25"/>
    <row r="101" ht="30" customHeight="1" x14ac:dyDescent="0.25"/>
    <row r="102" ht="15" customHeight="1" x14ac:dyDescent="0.25"/>
    <row r="103" ht="30" customHeight="1" x14ac:dyDescent="0.25"/>
    <row r="104" ht="45" customHeight="1" x14ac:dyDescent="0.25"/>
  </sheetData>
  <dataConsolidate link="1"/>
  <mergeCells count="32">
    <mergeCell ref="L59:L61"/>
    <mergeCell ref="G46:H46"/>
    <mergeCell ref="E32:J32"/>
    <mergeCell ref="E34:J34"/>
    <mergeCell ref="E36:J36"/>
    <mergeCell ref="G38:H38"/>
    <mergeCell ref="G39:H39"/>
    <mergeCell ref="G40:H40"/>
    <mergeCell ref="G41:H41"/>
    <mergeCell ref="G42:H42"/>
    <mergeCell ref="G43:H43"/>
    <mergeCell ref="G44:H44"/>
    <mergeCell ref="G45:H45"/>
    <mergeCell ref="H64:J64"/>
    <mergeCell ref="E48:J48"/>
    <mergeCell ref="H50:J50"/>
    <mergeCell ref="H51:J51"/>
    <mergeCell ref="H52:J52"/>
    <mergeCell ref="H53:J53"/>
    <mergeCell ref="H54:J54"/>
    <mergeCell ref="H55:J55"/>
    <mergeCell ref="H56:J56"/>
    <mergeCell ref="H57:J57"/>
    <mergeCell ref="H58:J58"/>
    <mergeCell ref="E62:J62"/>
    <mergeCell ref="F72:J72"/>
    <mergeCell ref="H65:J65"/>
    <mergeCell ref="F67:J67"/>
    <mergeCell ref="F68:J68"/>
    <mergeCell ref="F69:J69"/>
    <mergeCell ref="F70:J70"/>
    <mergeCell ref="F71:J71"/>
  </mergeCells>
  <dataValidations count="2">
    <dataValidation type="list" allowBlank="1" showInputMessage="1" showErrorMessage="1" sqref="N70" xr:uid="{CC1205B4-700B-4E9D-99CC-B6136C8B5AA8}">
      <formula1>"prevailing wage,non-prevailing wage,open shop,Davis Bacon Act"</formula1>
    </dataValidation>
    <dataValidation type="list" allowBlank="1" showInputMessage="1" showErrorMessage="1" sqref="N68" xr:uid="{CB75F565-1F46-47A1-A56B-00C67AC52D5B}">
      <formula1>"Design-Bid-Build,Design-Build,Construction Manager at Risk,Construction Manager Multi-Prime,Construction Manager Agency,Lease-Leaseback,Job Order Contract"</formula1>
    </dataValidation>
  </dataValidations>
  <printOptions horizontalCentered="1"/>
  <pageMargins left="0" right="0" top="0" bottom="0" header="0" footer="0"/>
  <pageSetup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6705" r:id="rId4" name="Button 1">
              <controlPr defaultSize="0" print="0" autoFill="0" autoPict="0" macro="[0]!funnnnnest">
                <anchor>
                  <from>
                    <xdr:col>3</xdr:col>
                    <xdr:colOff>28575</xdr:colOff>
                    <xdr:row>0</xdr:row>
                    <xdr:rowOff>95250</xdr:rowOff>
                  </from>
                  <to>
                    <xdr:col>7</xdr:col>
                    <xdr:colOff>561975</xdr:colOff>
                    <xdr:row>0</xdr:row>
                    <xdr:rowOff>495300</xdr:rowOff>
                  </to>
                </anchor>
              </controlPr>
            </control>
          </mc:Choice>
        </mc:AlternateContent>
        <mc:AlternateContent xmlns:mc="http://schemas.openxmlformats.org/markup-compatibility/2006">
          <mc:Choice Requires="x14">
            <control shapeId="1096706" r:id="rId5" name="LogoOptions">
              <controlPr locked="0" defaultSize="0" autoLine="0" autoPict="0" macro="[0]!LogoOptions_Change" altText="Use this box to select which services are included.">
                <anchor moveWithCells="1">
                  <from>
                    <xdr:col>8</xdr:col>
                    <xdr:colOff>2447925</xdr:colOff>
                    <xdr:row>23</xdr:row>
                    <xdr:rowOff>142875</xdr:rowOff>
                  </from>
                  <to>
                    <xdr:col>11</xdr:col>
                    <xdr:colOff>95250</xdr:colOff>
                    <xdr:row>23</xdr:row>
                    <xdr:rowOff>1304925</xdr:rowOff>
                  </to>
                </anchor>
              </controlPr>
            </control>
          </mc:Choice>
        </mc:AlternateContent>
        <mc:AlternateContent xmlns:mc="http://schemas.openxmlformats.org/markup-compatibility/2006">
          <mc:Choice Requires="x14">
            <control shapeId="1096710" r:id="rId6" name="Button 6">
              <controlPr defaultSize="0" print="0" autoFill="0" autoPict="0" macro="[0]!spellcheckCurrentPage">
                <anchor>
                  <from>
                    <xdr:col>7</xdr:col>
                    <xdr:colOff>676275</xdr:colOff>
                    <xdr:row>0</xdr:row>
                    <xdr:rowOff>95250</xdr:rowOff>
                  </from>
                  <to>
                    <xdr:col>7</xdr:col>
                    <xdr:colOff>2000250</xdr:colOff>
                    <xdr:row>0</xdr:row>
                    <xdr:rowOff>514350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85"/>
  <sheetViews>
    <sheetView showZeros="0" view="pageBreakPreview" topLeftCell="B1" zoomScaleNormal="75" zoomScaleSheetLayoutView="100" workbookViewId="0">
      <pane ySplit="5" topLeftCell="A6" activePane="bottomLeft" state="frozen"/>
      <selection activeCell="D98" sqref="D98"/>
      <selection pane="bottomLeft" activeCell="D98" sqref="D98"/>
    </sheetView>
  </sheetViews>
  <sheetFormatPr defaultColWidth="9" defaultRowHeight="12.75" x14ac:dyDescent="0.2"/>
  <cols>
    <col min="1" max="1" width="1.85546875" style="1" hidden="1" customWidth="1"/>
    <col min="2" max="2" width="4.28515625" style="1" customWidth="1"/>
    <col min="3" max="3" width="43.140625" style="1" customWidth="1"/>
    <col min="4" max="4" width="13.28515625" style="1" customWidth="1"/>
    <col min="5" max="5" width="13.28515625" style="134" customWidth="1"/>
    <col min="6" max="6" width="1.28515625" style="1" customWidth="1"/>
    <col min="7" max="8" width="13.28515625" style="1" customWidth="1"/>
    <col min="9" max="9" width="10.140625" style="1" customWidth="1"/>
    <col min="10" max="10" width="1.7109375" style="1" customWidth="1"/>
    <col min="11" max="14" width="13.28515625" style="1" customWidth="1"/>
    <col min="15" max="15" width="24" style="1" customWidth="1"/>
    <col min="16" max="16" width="4.42578125" style="1" customWidth="1"/>
    <col min="17" max="16384" width="9" style="1"/>
  </cols>
  <sheetData>
    <row r="1" spans="1:13" ht="15.75" x14ac:dyDescent="0.25">
      <c r="A1" s="1" t="s">
        <v>13</v>
      </c>
      <c r="D1" s="132" t="str">
        <f>IF(ROUND(E23,2)=ROUND(E81,2),"","TOTAL COST DOES NOT MATCH!!!")</f>
        <v/>
      </c>
    </row>
    <row r="2" spans="1:13" x14ac:dyDescent="0.2">
      <c r="C2" s="28" t="s">
        <v>14</v>
      </c>
      <c r="D2" s="1" t="str">
        <f>project_name</f>
        <v>Hunt County Government Building</v>
      </c>
    </row>
    <row r="3" spans="1:13" x14ac:dyDescent="0.2">
      <c r="C3" s="28" t="s">
        <v>16</v>
      </c>
      <c r="D3" s="1" t="str">
        <f>project_location</f>
        <v>Greenville, TX</v>
      </c>
    </row>
    <row r="4" spans="1:13" x14ac:dyDescent="0.2">
      <c r="C4" s="28" t="s">
        <v>15</v>
      </c>
      <c r="D4" s="1" t="str">
        <f>estimate_detail</f>
        <v>CONSTRUCTION DOCUMENTS ESTIMATE</v>
      </c>
      <c r="E4" s="135"/>
    </row>
    <row r="5" spans="1:13" s="121" customFormat="1" ht="13.5" thickBot="1" x14ac:dyDescent="0.25">
      <c r="D5" s="122"/>
      <c r="E5" s="136"/>
    </row>
    <row r="6" spans="1:13" ht="15.75" customHeight="1" x14ac:dyDescent="0.25">
      <c r="C6" s="78"/>
      <c r="G6" s="51"/>
      <c r="H6" s="35" t="str">
        <f>project_name</f>
        <v>Hunt County Government Building</v>
      </c>
    </row>
    <row r="7" spans="1:13" ht="15.75" customHeight="1" x14ac:dyDescent="0.25">
      <c r="C7" s="78"/>
      <c r="D7" s="29"/>
      <c r="E7" s="137"/>
      <c r="F7" s="29"/>
      <c r="G7" s="29"/>
      <c r="H7" s="36"/>
    </row>
    <row r="8" spans="1:13" ht="12.75" customHeight="1" x14ac:dyDescent="0.2">
      <c r="C8" s="78"/>
      <c r="D8" s="15"/>
      <c r="E8" s="138"/>
      <c r="F8" s="34"/>
      <c r="G8" s="34"/>
      <c r="H8" s="37" t="str">
        <f>project_location</f>
        <v>Greenville, TX</v>
      </c>
    </row>
    <row r="9" spans="1:13" ht="9" customHeight="1" x14ac:dyDescent="0.2">
      <c r="C9" s="78"/>
      <c r="D9" s="15"/>
      <c r="E9" s="138"/>
      <c r="F9" s="34"/>
      <c r="G9" s="34"/>
      <c r="H9" s="77"/>
    </row>
    <row r="10" spans="1:13" ht="18.75" customHeight="1" x14ac:dyDescent="0.25">
      <c r="C10" s="39" t="str">
        <f>estimate_detail</f>
        <v>CONSTRUCTION DOCUMENTS ESTIMATE</v>
      </c>
      <c r="D10" s="29"/>
      <c r="E10" s="137"/>
      <c r="F10" s="33"/>
      <c r="G10" s="33"/>
      <c r="H10" s="38" t="str">
        <f>"OCMI JOB #: "&amp; job_number &amp; " | " &amp; date</f>
        <v>OCMI JOB #: 240540.000 | 24 December 2024</v>
      </c>
    </row>
    <row r="11" spans="1:13" ht="12.75" customHeight="1" thickBot="1" x14ac:dyDescent="0.3">
      <c r="C11" s="44"/>
      <c r="H11" s="2"/>
    </row>
    <row r="12" spans="1:13" ht="28.5" customHeight="1" thickBot="1" x14ac:dyDescent="0.25">
      <c r="C12" s="710" t="s">
        <v>82</v>
      </c>
      <c r="D12" s="710"/>
      <c r="E12" s="710"/>
      <c r="F12" s="710"/>
      <c r="G12" s="710"/>
      <c r="H12" s="710"/>
    </row>
    <row r="13" spans="1:13" x14ac:dyDescent="0.2">
      <c r="E13" s="139"/>
      <c r="H13" s="30"/>
      <c r="K13" s="2"/>
      <c r="L13" s="45"/>
      <c r="M13" s="45"/>
    </row>
    <row r="14" spans="1:13" x14ac:dyDescent="0.2">
      <c r="C14" s="40" t="s">
        <v>0</v>
      </c>
      <c r="D14" s="41"/>
      <c r="E14" s="140" t="s">
        <v>1</v>
      </c>
      <c r="F14" s="42"/>
      <c r="G14" s="50" t="s">
        <v>83</v>
      </c>
      <c r="H14" s="43" t="str">
        <f>IF(uom="Imperial", "$/SF AREA", "$/M2 AREA")</f>
        <v>$/SF AREA</v>
      </c>
    </row>
    <row r="15" spans="1:13" x14ac:dyDescent="0.2">
      <c r="C15" s="31"/>
      <c r="D15" s="74"/>
      <c r="E15" s="141"/>
      <c r="G15" s="67"/>
      <c r="H15" s="2"/>
      <c r="I15" s="45"/>
    </row>
    <row r="16" spans="1:13" x14ac:dyDescent="0.2">
      <c r="C16" s="242" t="str">
        <f>CONCATENATE("01. ", UPPER(BUILDING!SUB_NAME))</f>
        <v>01. BUILDING</v>
      </c>
      <c r="D16" s="74"/>
      <c r="E16" s="141">
        <f>BUILDING!TotalCost</f>
        <v>9673999.6417619791</v>
      </c>
      <c r="G16" s="67">
        <f>BUILDING!GFA</f>
        <v>31474</v>
      </c>
      <c r="H16" s="2">
        <f>IF(G16 = 0,0,E16/G16)</f>
        <v>307.36479766670834</v>
      </c>
      <c r="I16" s="45"/>
      <c r="K16" s="30"/>
    </row>
    <row r="17" spans="3:13" x14ac:dyDescent="0.2">
      <c r="C17" s="31"/>
      <c r="D17" s="74"/>
      <c r="E17" s="141"/>
      <c r="G17" s="67"/>
      <c r="H17" s="2"/>
      <c r="I17" s="45"/>
    </row>
    <row r="18" spans="3:13" x14ac:dyDescent="0.2">
      <c r="C18" s="242" t="str">
        <f>CONCATENATE("02. ", UPPER(SITE!SUB_NAME))</f>
        <v>02. SITE</v>
      </c>
      <c r="D18" s="74"/>
      <c r="E18" s="141">
        <f>SITE!TotalCost</f>
        <v>3327497.0810542153</v>
      </c>
      <c r="G18" s="67">
        <f>SITE!GFA</f>
        <v>135541</v>
      </c>
      <c r="H18" s="2">
        <f>IF(G18 = 0,0,E18/G18)</f>
        <v>24.549745693585081</v>
      </c>
      <c r="I18" s="45"/>
      <c r="K18" s="30"/>
    </row>
    <row r="19" spans="3:13" x14ac:dyDescent="0.2">
      <c r="C19" s="31"/>
      <c r="D19" s="74"/>
      <c r="E19" s="141"/>
      <c r="G19" s="67"/>
      <c r="H19" s="2"/>
      <c r="I19" s="45"/>
    </row>
    <row r="20" spans="3:13" x14ac:dyDescent="0.2">
      <c r="C20" s="31"/>
      <c r="D20" s="74"/>
      <c r="E20" s="141"/>
      <c r="G20" s="67"/>
      <c r="H20" s="2"/>
      <c r="I20" s="45"/>
    </row>
    <row r="21" spans="3:13" x14ac:dyDescent="0.2">
      <c r="C21" s="31"/>
      <c r="D21" s="74"/>
      <c r="E21" s="141"/>
      <c r="G21" s="67"/>
      <c r="H21" s="2"/>
      <c r="I21" s="45"/>
    </row>
    <row r="22" spans="3:13" x14ac:dyDescent="0.2">
      <c r="C22" s="31"/>
      <c r="D22" s="74"/>
      <c r="E22" s="141"/>
      <c r="G22" s="67"/>
      <c r="H22" s="2"/>
      <c r="I22" s="45"/>
    </row>
    <row r="23" spans="3:13" ht="24.75" customHeight="1" x14ac:dyDescent="0.2">
      <c r="C23" s="47" t="s">
        <v>106</v>
      </c>
      <c r="D23" s="48"/>
      <c r="E23" s="133">
        <f>SUM(E13:E22)</f>
        <v>13001496.722816195</v>
      </c>
      <c r="F23" s="48"/>
      <c r="G23" s="48"/>
      <c r="H23" s="49"/>
      <c r="K23" s="596"/>
    </row>
    <row r="24" spans="3:13" hidden="1" x14ac:dyDescent="0.2">
      <c r="E24" s="139"/>
      <c r="H24" s="30"/>
      <c r="K24" s="2"/>
      <c r="L24" s="45"/>
      <c r="M24" s="45"/>
    </row>
    <row r="25" spans="3:13" hidden="1" x14ac:dyDescent="0.2">
      <c r="C25" s="40" t="s">
        <v>144</v>
      </c>
      <c r="D25" s="41"/>
      <c r="E25" s="140" t="s">
        <v>1</v>
      </c>
      <c r="F25" s="42"/>
      <c r="G25" s="50" t="s">
        <v>83</v>
      </c>
      <c r="H25" s="43" t="str">
        <f>IF(uom="Imperial", "$/SF AREA", "$/M2 AREA")</f>
        <v>$/SF AREA</v>
      </c>
    </row>
    <row r="26" spans="3:13" x14ac:dyDescent="0.2">
      <c r="C26" s="31"/>
      <c r="D26" s="74"/>
      <c r="E26" s="141"/>
      <c r="G26" s="67"/>
      <c r="H26" s="2"/>
      <c r="I26" s="45"/>
    </row>
    <row r="27" spans="3:13" ht="13.9" customHeight="1" x14ac:dyDescent="0.2">
      <c r="C27" s="31"/>
      <c r="D27" s="68"/>
      <c r="E27" s="141"/>
      <c r="G27" s="67"/>
      <c r="H27" s="2"/>
    </row>
    <row r="28" spans="3:13" ht="52.5" customHeight="1" x14ac:dyDescent="0.2">
      <c r="C28" s="31"/>
      <c r="D28" s="68"/>
      <c r="E28" s="141"/>
      <c r="G28" s="67"/>
      <c r="H28" s="2"/>
    </row>
    <row r="29" spans="3:13" ht="16.350000000000001" customHeight="1" x14ac:dyDescent="0.2">
      <c r="E29" s="141"/>
      <c r="H29" s="2"/>
    </row>
    <row r="30" spans="3:13" ht="15.75" customHeight="1" x14ac:dyDescent="0.25">
      <c r="C30" s="78"/>
      <c r="G30" s="51"/>
      <c r="H30" s="35" t="str">
        <f>project_name</f>
        <v>Hunt County Government Building</v>
      </c>
    </row>
    <row r="31" spans="3:13" ht="15.75" customHeight="1" x14ac:dyDescent="0.25">
      <c r="C31" s="78"/>
      <c r="D31" s="29"/>
      <c r="E31" s="137"/>
      <c r="F31" s="29"/>
      <c r="G31" s="29"/>
      <c r="H31" s="36"/>
    </row>
    <row r="32" spans="3:13" ht="12.75" customHeight="1" x14ac:dyDescent="0.2">
      <c r="C32" s="78"/>
      <c r="D32" s="15"/>
      <c r="E32" s="138"/>
      <c r="F32" s="34"/>
      <c r="G32" s="34"/>
      <c r="H32" s="37" t="str">
        <f>project_location</f>
        <v>Greenville, TX</v>
      </c>
    </row>
    <row r="33" spans="3:13" ht="9" customHeight="1" x14ac:dyDescent="0.2">
      <c r="C33" s="78"/>
      <c r="D33" s="15"/>
      <c r="E33" s="138"/>
      <c r="F33" s="34"/>
      <c r="G33" s="34"/>
      <c r="H33" s="77"/>
    </row>
    <row r="34" spans="3:13" ht="18.75" customHeight="1" x14ac:dyDescent="0.25">
      <c r="C34" s="39" t="str">
        <f>estimate_detail</f>
        <v>CONSTRUCTION DOCUMENTS ESTIMATE</v>
      </c>
      <c r="D34" s="29"/>
      <c r="E34" s="137"/>
      <c r="F34" s="33"/>
      <c r="G34" s="33"/>
      <c r="H34" s="38" t="str">
        <f>"OCMI JOB #: "&amp; job_number &amp; " | " &amp; date</f>
        <v>OCMI JOB #: 240540.000 | 24 December 2024</v>
      </c>
    </row>
    <row r="35" spans="3:13" ht="12.75" customHeight="1" thickBot="1" x14ac:dyDescent="0.3">
      <c r="C35" s="44"/>
      <c r="H35" s="2"/>
    </row>
    <row r="36" spans="3:13" ht="28.5" customHeight="1" thickBot="1" x14ac:dyDescent="0.25">
      <c r="C36" s="710" t="s">
        <v>112</v>
      </c>
      <c r="D36" s="710"/>
      <c r="E36" s="710"/>
      <c r="F36" s="710"/>
      <c r="G36" s="710"/>
      <c r="H36" s="710"/>
    </row>
    <row r="37" spans="3:13" x14ac:dyDescent="0.2">
      <c r="E37" s="139"/>
      <c r="H37" s="30"/>
      <c r="K37" s="2"/>
      <c r="L37" s="45"/>
      <c r="M37" s="45"/>
    </row>
    <row r="38" spans="3:13" x14ac:dyDescent="0.2">
      <c r="C38" s="40" t="s">
        <v>0</v>
      </c>
      <c r="D38" s="41"/>
      <c r="E38" s="140" t="s">
        <v>1</v>
      </c>
      <c r="F38" s="42"/>
      <c r="G38" s="50" t="s">
        <v>83</v>
      </c>
      <c r="H38" s="43" t="str">
        <f>IF(uom="Imperial", "$/SF AREA", "$/M2 AREA")</f>
        <v>$/SF AREA</v>
      </c>
      <c r="I38" s="45"/>
    </row>
    <row r="39" spans="3:13" ht="12.75" customHeight="1" x14ac:dyDescent="0.2">
      <c r="C39" s="31"/>
      <c r="D39" s="74"/>
      <c r="E39" s="141"/>
      <c r="G39" s="67"/>
      <c r="H39" s="2"/>
      <c r="I39" s="45"/>
    </row>
    <row r="40" spans="3:13" ht="12.75" customHeight="1" x14ac:dyDescent="0.2">
      <c r="C40" s="242" t="str">
        <f>CONCATENATE("01. ", UPPER(BUILDING!SUB_NAME))</f>
        <v>01. BUILDING</v>
      </c>
      <c r="D40" s="74"/>
      <c r="E40" s="141">
        <f>BUILDING!NetDirectCost</f>
        <v>7253753</v>
      </c>
      <c r="G40" s="67">
        <f>BUILDING!GFA</f>
        <v>31474</v>
      </c>
      <c r="H40" s="2">
        <f>IF(G40 = 0,0,E40/G40)</f>
        <v>230.46810065450848</v>
      </c>
      <c r="I40" s="45"/>
    </row>
    <row r="41" spans="3:13" ht="12.75" customHeight="1" x14ac:dyDescent="0.2">
      <c r="C41" s="31"/>
      <c r="D41" s="74"/>
      <c r="E41" s="141"/>
      <c r="G41" s="67"/>
      <c r="H41" s="2"/>
      <c r="I41" s="45"/>
    </row>
    <row r="42" spans="3:13" ht="12.75" customHeight="1" x14ac:dyDescent="0.2">
      <c r="C42" s="242" t="str">
        <f>CONCATENATE("02. ", UPPER(SITE!SUB_NAME))</f>
        <v>02. SITE</v>
      </c>
      <c r="D42" s="74"/>
      <c r="E42" s="141">
        <f>SITE!NetDirectCost</f>
        <v>2495022</v>
      </c>
      <c r="G42" s="67">
        <f>SITE!GFA</f>
        <v>135541</v>
      </c>
      <c r="H42" s="2">
        <f>IF(G42 = 0,0,E42/G42)</f>
        <v>18.407876583469207</v>
      </c>
      <c r="I42" s="45"/>
    </row>
    <row r="43" spans="3:13" ht="12.75" customHeight="1" x14ac:dyDescent="0.2">
      <c r="C43" s="31"/>
      <c r="D43" s="74"/>
      <c r="E43" s="141"/>
      <c r="G43" s="67"/>
      <c r="H43" s="2"/>
      <c r="I43" s="45"/>
    </row>
    <row r="44" spans="3:13" ht="12.75" customHeight="1" x14ac:dyDescent="0.2">
      <c r="C44" s="31"/>
      <c r="D44" s="74"/>
      <c r="E44" s="141"/>
      <c r="G44" s="67"/>
      <c r="H44" s="2"/>
      <c r="I44" s="45"/>
    </row>
    <row r="45" spans="3:13" ht="12.75" customHeight="1" x14ac:dyDescent="0.2">
      <c r="C45" s="31"/>
      <c r="D45" s="74"/>
      <c r="E45" s="141"/>
      <c r="G45" s="67"/>
      <c r="H45" s="2"/>
      <c r="I45" s="45"/>
    </row>
    <row r="46" spans="3:13" ht="12.75" hidden="1" customHeight="1" x14ac:dyDescent="0.2">
      <c r="C46" s="31" t="s">
        <v>132</v>
      </c>
      <c r="D46" s="68"/>
      <c r="E46" s="141">
        <f>SUM(E37:E45)</f>
        <v>9748775</v>
      </c>
      <c r="G46" s="67"/>
      <c r="H46" s="2"/>
      <c r="I46" s="45"/>
    </row>
    <row r="47" spans="3:13" ht="9" hidden="1" customHeight="1" x14ac:dyDescent="0.2">
      <c r="C47" s="31"/>
      <c r="E47" s="141"/>
      <c r="G47" s="67"/>
      <c r="H47" s="2"/>
      <c r="I47" s="45"/>
    </row>
    <row r="48" spans="3:13" ht="12.75" hidden="1" customHeight="1" x14ac:dyDescent="0.2">
      <c r="C48" s="31" t="str">
        <f>UPPER(INDEX(Markups,1,1))</f>
        <v>DESIGN CONTINGENCY</v>
      </c>
      <c r="D48" s="100">
        <f>IF(INDEX(Markups,1,5), 0,INDEX(Markups,1,4))</f>
        <v>0</v>
      </c>
      <c r="E48" s="141">
        <f>+IF(compounding,SUM(E$46:E47)*D48,E$46*D48)</f>
        <v>0</v>
      </c>
      <c r="G48" s="67"/>
      <c r="H48" s="2"/>
      <c r="I48" s="45"/>
      <c r="J48" s="40" t="str">
        <f>IF(LEFT(C48,18) = "GENERAL CONDITIONS",TEXT(E48/durationMonths, "$#,##0") &amp; " GC/month",IF(LEFT(C48,12)="CONTRACTOR O",TEXT(E48/durationMonths, "$#,##0") &amp; " O&amp;P/month",""))</f>
        <v/>
      </c>
    </row>
    <row r="49" spans="3:11" ht="12.75" hidden="1" customHeight="1" x14ac:dyDescent="0.2">
      <c r="C49" s="31" t="str">
        <f>UPPER(INDEX(Markups,2,1))</f>
        <v>ESCALATION TO MIDPOINT 02/2026</v>
      </c>
      <c r="D49" s="100">
        <f>IF(INDEX(Markups,2,5), 0,INDEX(Markups,2,4))</f>
        <v>0</v>
      </c>
      <c r="E49" s="141">
        <f>+IF(compounding,SUM(E$46:E48)*D49,E$46*D49)</f>
        <v>0</v>
      </c>
      <c r="G49" s="67"/>
      <c r="H49" s="2"/>
      <c r="I49" s="45"/>
      <c r="J49" s="40" t="str">
        <f>IF(LEFT(C49,18) = "GENERAL CONDITIONS",TEXT(E49/durationMonths, "$#,##0") &amp; " GC/month",IF(LEFT(C49,12)="CONTRACTOR O",TEXT(E49/durationMonths, "$#,##0") &amp; " O&amp;P/month",""))</f>
        <v/>
      </c>
    </row>
    <row r="50" spans="3:11" ht="12.75" hidden="1" customHeight="1" x14ac:dyDescent="0.2">
      <c r="C50" s="31" t="str">
        <f>UPPER(INDEX(Markups,3,1))</f>
        <v>MARKUP 3</v>
      </c>
      <c r="D50" s="100">
        <f>IF(INDEX(Markups,3,5), 0,INDEX(Markups,3,4))</f>
        <v>0</v>
      </c>
      <c r="E50" s="141">
        <f>+IF(compounding,SUM(E$46:E49)*D50,E$46*D50)</f>
        <v>0</v>
      </c>
      <c r="G50" s="67"/>
      <c r="H50" s="2"/>
      <c r="I50" s="45"/>
      <c r="J50" s="40" t="str">
        <f>IF(LEFT(C50,18) = "GENERAL CONDITIONS",TEXT(E50/durationMonths, "$#,##0") &amp; " GC/month",IF(LEFT(C50,12)="CONTRACTOR O",TEXT(E50/durationMonths, "$#,##0") &amp; " O&amp;P/month",""))</f>
        <v/>
      </c>
    </row>
    <row r="51" spans="3:11" hidden="1" x14ac:dyDescent="0.2">
      <c r="C51" s="31" t="str">
        <f>UPPER(INDEX(Markups,4,1))</f>
        <v>MARKUP 4</v>
      </c>
      <c r="D51" s="100">
        <f>IF(INDEX(Markups,4,5), 0,INDEX(Markups,4,4))</f>
        <v>0</v>
      </c>
      <c r="E51" s="141">
        <f>+IF(compounding,SUM(E$46:E50)*D51,E$46*D51)</f>
        <v>0</v>
      </c>
      <c r="G51" s="67"/>
      <c r="H51" s="2"/>
      <c r="J51" s="40"/>
    </row>
    <row r="52" spans="3:11" ht="12.75" hidden="1" customHeight="1" x14ac:dyDescent="0.2">
      <c r="C52" s="31"/>
      <c r="D52" s="68"/>
      <c r="E52" s="141"/>
      <c r="G52" s="67"/>
      <c r="H52" s="2"/>
      <c r="I52" s="45"/>
      <c r="J52" s="1">
        <f>IF(LEFT(C52,18) = "GENERAL CONDITIONS",E52,0)</f>
        <v>0</v>
      </c>
    </row>
    <row r="53" spans="3:11" ht="12.75" customHeight="1" x14ac:dyDescent="0.2">
      <c r="C53" s="31"/>
      <c r="E53" s="141"/>
      <c r="G53" s="64"/>
      <c r="H53" s="2"/>
      <c r="I53" s="45"/>
    </row>
    <row r="54" spans="3:11" ht="24.75" customHeight="1" x14ac:dyDescent="0.2">
      <c r="C54" s="47" t="s">
        <v>100</v>
      </c>
      <c r="D54" s="48"/>
      <c r="E54" s="133">
        <f>SUM(E46:E53)</f>
        <v>9748775</v>
      </c>
      <c r="F54" s="48"/>
      <c r="G54" s="65"/>
      <c r="H54" s="66"/>
      <c r="I54" s="45"/>
    </row>
    <row r="55" spans="3:11" ht="12.75" customHeight="1" x14ac:dyDescent="0.2">
      <c r="C55" s="31"/>
      <c r="E55" s="141"/>
      <c r="G55" s="67"/>
      <c r="H55" s="2"/>
      <c r="I55" s="45"/>
    </row>
    <row r="56" spans="3:11" ht="12.75" customHeight="1" x14ac:dyDescent="0.2">
      <c r="C56" s="40" t="s">
        <v>99</v>
      </c>
      <c r="E56" s="141"/>
      <c r="G56" s="67"/>
      <c r="H56" s="32"/>
    </row>
    <row r="57" spans="3:11" ht="12.75" customHeight="1" x14ac:dyDescent="0.2">
      <c r="C57" s="31"/>
      <c r="E57" s="141"/>
      <c r="G57" s="67"/>
      <c r="H57" s="2"/>
      <c r="J57" s="1">
        <f>IF(LEFT(C57,18) = "GENERAL CONDITIONS",E57,0)</f>
        <v>0</v>
      </c>
      <c r="K57" s="593" t="s">
        <v>1778</v>
      </c>
    </row>
    <row r="58" spans="3:11" ht="12.75" customHeight="1" x14ac:dyDescent="0.2">
      <c r="C58" s="31" t="str">
        <f>UPPER(INDEX(Markups,5,1))</f>
        <v>DESIGN CONTINGENCY</v>
      </c>
      <c r="D58" s="595">
        <f>IF(INDEX(Markups,5,5), 0,INDEX(Markups,5,4))</f>
        <v>0.03</v>
      </c>
      <c r="E58" s="141">
        <f>+IF(compounding,SUM(E$54:E57)*D58,E$54*D58)</f>
        <v>292463.25</v>
      </c>
      <c r="G58" s="67"/>
      <c r="H58" s="2"/>
      <c r="J58" s="40" t="str">
        <f t="shared" ref="J58:J66" si="0">IF(LEFT(C58,18) = "GENERAL CONDITIONS",TEXT(E58/durationMonths, "$#,##0") &amp; " GC/month",IF(LEFT(C58,12)="CONTRACTOR O",TEXT(E58/durationMonths, "$#,##0") &amp; " O&amp;P/month",""))</f>
        <v/>
      </c>
      <c r="K58" s="593" t="s">
        <v>1577</v>
      </c>
    </row>
    <row r="59" spans="3:11" ht="12.75" customHeight="1" x14ac:dyDescent="0.2">
      <c r="C59" s="31" t="str">
        <f>UPPER(INDEX(Markups,6,1))</f>
        <v>ESCALATION TO MIDPOINT 02/2026</v>
      </c>
      <c r="D59" s="595">
        <f>IF(INDEX(Markups,6,5), 0,INDEX(Markups,6,4))</f>
        <v>4.4336448261620198E-2</v>
      </c>
      <c r="E59" s="141">
        <f>+IF(compounding,SUM(E$54:E58)*D59,E$54*D59)</f>
        <v>445192.84015372675</v>
      </c>
      <c r="G59" s="67"/>
      <c r="H59" s="2"/>
      <c r="J59" s="40" t="str">
        <f t="shared" si="0"/>
        <v/>
      </c>
      <c r="K59" s="593" t="s">
        <v>1777</v>
      </c>
    </row>
    <row r="60" spans="3:11" ht="12.75" hidden="1" customHeight="1" x14ac:dyDescent="0.2">
      <c r="C60" s="31" t="str">
        <f>UPPER(INDEX(Markups,7,1))</f>
        <v>CONTRACTOR CONTINGENCY</v>
      </c>
      <c r="D60" s="100">
        <f>IF(INDEX(Markups,7,5), 0,INDEX(Markups,7,4))</f>
        <v>0</v>
      </c>
      <c r="E60" s="141">
        <f>+IF(compounding,SUM(E$54:E59)*D60,E$54*D60)</f>
        <v>0</v>
      </c>
      <c r="G60" s="67"/>
      <c r="H60" s="2"/>
      <c r="J60" s="40" t="str">
        <f t="shared" si="0"/>
        <v/>
      </c>
    </row>
    <row r="61" spans="3:11" ht="12.75" customHeight="1" x14ac:dyDescent="0.2">
      <c r="C61" s="31" t="str">
        <f>UPPER(INDEX(Markups,8,1))</f>
        <v>GENERAL CONDITIONS/REQUIREMENTS</v>
      </c>
      <c r="D61" s="100">
        <f>IF(INDEX(Markups,8,5), 0,INDEX(Markups,8,4))</f>
        <v>0.12</v>
      </c>
      <c r="E61" s="141">
        <f>+IF(compounding,SUM(E$54:E60)*D61,E$54*D61)</f>
        <v>1258371.7308184472</v>
      </c>
      <c r="G61" s="67"/>
      <c r="H61" s="2"/>
      <c r="J61" s="40" t="str">
        <f t="shared" si="0"/>
        <v>$69,910 GC/month</v>
      </c>
    </row>
    <row r="62" spans="3:11" ht="12.75" customHeight="1" x14ac:dyDescent="0.2">
      <c r="C62" s="31" t="str">
        <f>UPPER(INDEX(Markups,9,1))</f>
        <v>CONTRACTOR OVERHEAD AND PROFIT</v>
      </c>
      <c r="D62" s="100">
        <f>IF(INDEX(Markups,9,5), 0,INDEX(Markups,9,4))</f>
        <v>0.08</v>
      </c>
      <c r="E62" s="141">
        <f>+IF(compounding,SUM(E$54:E61)*D62,E$54*D62)</f>
        <v>939584.22567777394</v>
      </c>
      <c r="G62" s="67"/>
      <c r="H62" s="2"/>
      <c r="J62" s="40" t="str">
        <f t="shared" si="0"/>
        <v>$52,199 O&amp;P/month</v>
      </c>
    </row>
    <row r="63" spans="3:11" ht="12.75" customHeight="1" x14ac:dyDescent="0.2">
      <c r="C63" s="31" t="str">
        <f>UPPER(INDEX(Markups,10,1))</f>
        <v>INSURANCE AND BONDS</v>
      </c>
      <c r="D63" s="100">
        <f>IF(INDEX(Markups,10,5), 0,INDEX(Markups,10,4))</f>
        <v>2.5000000000000001E-2</v>
      </c>
      <c r="E63" s="141">
        <f>+IF(compounding,SUM(E$54:E62)*D63,E$54*D63)</f>
        <v>317109.67616624874</v>
      </c>
      <c r="G63" s="67"/>
      <c r="H63" s="2"/>
      <c r="J63" s="40" t="str">
        <f t="shared" si="0"/>
        <v/>
      </c>
    </row>
    <row r="64" spans="3:11" ht="12.75" hidden="1" customHeight="1" x14ac:dyDescent="0.2">
      <c r="C64" s="31" t="str">
        <f>UPPER(INDEX(Markups,11,1))</f>
        <v>BONDS: CONTRACTOR</v>
      </c>
      <c r="D64" s="100">
        <f>IF(INDEX(Markups,11,5), 0,INDEX(Markups,11,4))</f>
        <v>0</v>
      </c>
      <c r="E64" s="141">
        <f>+IF(compounding,SUM(E$54:E63)*D64,E$54*D64)</f>
        <v>0</v>
      </c>
      <c r="G64" s="67"/>
      <c r="H64" s="2"/>
      <c r="J64" s="40" t="str">
        <f t="shared" si="0"/>
        <v/>
      </c>
    </row>
    <row r="65" spans="3:10" ht="12.75" hidden="1" customHeight="1" x14ac:dyDescent="0.2">
      <c r="C65" s="31" t="str">
        <f>UPPER(INDEX(Markups,12,1))</f>
        <v>BONDS: SUBCONTRACTOR</v>
      </c>
      <c r="D65" s="100">
        <f>IF(INDEX(Markups,12,5), 0,INDEX(Markups,12,4))</f>
        <v>0</v>
      </c>
      <c r="E65" s="141">
        <f>+IF(compounding,SUM(E$54:E64)*D65,E$54*D65)</f>
        <v>0</v>
      </c>
      <c r="G65" s="67"/>
      <c r="H65" s="2"/>
      <c r="J65" s="40" t="str">
        <f t="shared" si="0"/>
        <v/>
      </c>
    </row>
    <row r="66" spans="3:10" ht="12.75" hidden="1" customHeight="1" x14ac:dyDescent="0.2">
      <c r="C66" s="31" t="str">
        <f>UPPER(INDEX(Markups,13,1))</f>
        <v>LOSS DUE TO ESCALATION</v>
      </c>
      <c r="D66" s="100">
        <f>IF(INDEX(Markups,13,5), 0,INDEX(Markups,13,4))</f>
        <v>0</v>
      </c>
      <c r="E66" s="141">
        <f>+IF(compounding,SUM(E$54:E65)*D66,E$54*D66)</f>
        <v>0</v>
      </c>
      <c r="G66" s="67"/>
      <c r="H66" s="2"/>
      <c r="J66" s="40" t="str">
        <f t="shared" si="0"/>
        <v/>
      </c>
    </row>
    <row r="67" spans="3:10" ht="12.75" hidden="1" customHeight="1" x14ac:dyDescent="0.2">
      <c r="C67" s="31" t="str">
        <f>UPPER(INDEX(Markups,16,1))</f>
        <v>INSURANCE BURDEN</v>
      </c>
      <c r="D67" s="100"/>
      <c r="E67" s="141">
        <f t="shared" ref="E67:E72" si="1">+E$54*D67</f>
        <v>0</v>
      </c>
      <c r="G67" s="67"/>
      <c r="H67" s="2"/>
      <c r="J67" s="40"/>
    </row>
    <row r="68" spans="3:10" ht="12.75" hidden="1" customHeight="1" x14ac:dyDescent="0.2">
      <c r="C68" s="31" t="str">
        <f>UPPER(INDEX(Markups,17,1))</f>
        <v>BUILDERS RISK INSURANCE</v>
      </c>
      <c r="D68" s="100"/>
      <c r="E68" s="141">
        <f t="shared" si="1"/>
        <v>0</v>
      </c>
      <c r="G68" s="67"/>
      <c r="H68" s="2"/>
      <c r="J68" s="103"/>
    </row>
    <row r="69" spans="3:10" ht="12.75" hidden="1" customHeight="1" x14ac:dyDescent="0.2">
      <c r="C69" s="31" t="str">
        <f>UPPER(INDEX(Markups,18,1))</f>
        <v>DESIGN CONTINGENCY</v>
      </c>
      <c r="D69" s="100"/>
      <c r="E69" s="141">
        <f t="shared" si="1"/>
        <v>0</v>
      </c>
      <c r="G69" s="67"/>
      <c r="H69" s="2"/>
      <c r="J69" s="103"/>
    </row>
    <row r="70" spans="3:10" ht="12.75" hidden="1" customHeight="1" x14ac:dyDescent="0.2">
      <c r="C70" s="31" t="str">
        <f>UPPER(INDEX(Markups,19,1))</f>
        <v>CONSTRUCTION CONTINGENCY</v>
      </c>
      <c r="D70" s="100"/>
      <c r="E70" s="141">
        <f t="shared" si="1"/>
        <v>0</v>
      </c>
      <c r="G70" s="67"/>
      <c r="H70" s="2"/>
      <c r="J70" s="103"/>
    </row>
    <row r="71" spans="3:10" ht="12.75" hidden="1" customHeight="1" x14ac:dyDescent="0.2">
      <c r="C71" s="31" t="str">
        <f>UPPER(INDEX(Markups,20,1))</f>
        <v>PUBLIC ART ALLOWANCE</v>
      </c>
      <c r="D71" s="100"/>
      <c r="E71" s="141">
        <f t="shared" si="1"/>
        <v>0</v>
      </c>
      <c r="G71" s="67"/>
      <c r="H71" s="2"/>
      <c r="J71" s="103"/>
    </row>
    <row r="72" spans="3:10" ht="12.75" hidden="1" customHeight="1" x14ac:dyDescent="0.2">
      <c r="C72" s="31" t="str">
        <f>UPPER(INDEX(Markups,21,1))</f>
        <v>PERFORMANCE &amp; PAYMENT BOND</v>
      </c>
      <c r="D72" s="100"/>
      <c r="E72" s="141">
        <f t="shared" si="1"/>
        <v>0</v>
      </c>
      <c r="G72" s="67"/>
      <c r="H72" s="2"/>
      <c r="J72" s="103"/>
    </row>
    <row r="73" spans="3:10" ht="6.6" hidden="1" customHeight="1" x14ac:dyDescent="0.2">
      <c r="C73" s="31"/>
      <c r="D73" s="68"/>
      <c r="E73" s="141"/>
      <c r="G73" s="67"/>
      <c r="H73" s="2"/>
      <c r="J73" s="1">
        <f>IF(LEFT(C73,18) = "GENERAL CONDITIONS",E73,0)</f>
        <v>0</v>
      </c>
    </row>
    <row r="74" spans="3:10" ht="24.75" hidden="1" customHeight="1" x14ac:dyDescent="0.2">
      <c r="C74" s="47" t="s">
        <v>152</v>
      </c>
      <c r="D74" s="48"/>
      <c r="E74" s="133"/>
      <c r="F74" s="48"/>
      <c r="G74" s="65"/>
      <c r="H74" s="66"/>
      <c r="J74" s="40"/>
    </row>
    <row r="75" spans="3:10" ht="12.75" hidden="1" customHeight="1" x14ac:dyDescent="0.2">
      <c r="C75" s="31"/>
      <c r="D75" s="100"/>
      <c r="E75" s="141"/>
      <c r="G75" s="67"/>
      <c r="H75" s="2"/>
      <c r="J75" s="40"/>
    </row>
    <row r="76" spans="3:10" ht="12.75" hidden="1" customHeight="1" x14ac:dyDescent="0.2">
      <c r="C76" s="31" t="str">
        <f>UPPER(INDEX(Markups,22,1))</f>
        <v>CONSTRUCTION MANAGEMENT FEE</v>
      </c>
      <c r="D76" s="100"/>
      <c r="E76" s="141">
        <f>+E$54*D76</f>
        <v>0</v>
      </c>
      <c r="G76" s="67"/>
      <c r="H76" s="2"/>
      <c r="J76" s="40"/>
    </row>
    <row r="77" spans="3:10" ht="6.6" hidden="1" customHeight="1" x14ac:dyDescent="0.2">
      <c r="C77" s="31"/>
      <c r="D77" s="68"/>
      <c r="E77" s="141"/>
      <c r="G77" s="67"/>
      <c r="H77" s="2"/>
      <c r="J77" s="1">
        <f>IF(LEFT(C77,18) = "GENERAL CONDITIONS",E77,0)</f>
        <v>0</v>
      </c>
    </row>
    <row r="78" spans="3:10" ht="12.75" hidden="1" customHeight="1" x14ac:dyDescent="0.2">
      <c r="C78" s="31" t="str">
        <f>UPPER(INDEX(Markups,14,1))</f>
        <v>CONSTRUCTION CONTINGENCY</v>
      </c>
      <c r="D78" s="100"/>
      <c r="E78" s="141">
        <f>SUM(E$54:E77)*D78</f>
        <v>0</v>
      </c>
      <c r="G78" s="67"/>
      <c r="H78" s="2"/>
      <c r="J78" s="75"/>
    </row>
    <row r="79" spans="3:10" ht="12.75" hidden="1" customHeight="1" x14ac:dyDescent="0.2">
      <c r="C79" s="31" t="str">
        <f>UPPER(INDEX(Markups,15,1))</f>
        <v>ART IN ARCHITECTURE</v>
      </c>
      <c r="D79" s="100"/>
      <c r="E79" s="141">
        <f>SUM(E$54:E78)*D79</f>
        <v>0</v>
      </c>
      <c r="G79" s="67"/>
      <c r="H79" s="2"/>
    </row>
    <row r="80" spans="3:10" ht="12.75" customHeight="1" x14ac:dyDescent="0.2">
      <c r="C80" s="31"/>
      <c r="D80" s="68"/>
      <c r="E80" s="141"/>
      <c r="G80" s="67"/>
      <c r="H80" s="2"/>
    </row>
    <row r="81" spans="3:8" ht="24.75" customHeight="1" x14ac:dyDescent="0.2">
      <c r="C81" s="47" t="s">
        <v>75</v>
      </c>
      <c r="D81" s="48"/>
      <c r="E81" s="133">
        <f>SUM(E54:E80)</f>
        <v>13001496.722816197</v>
      </c>
      <c r="F81" s="48"/>
      <c r="G81" s="65"/>
      <c r="H81" s="66"/>
    </row>
    <row r="82" spans="3:8" ht="12.75" hidden="1" customHeight="1" x14ac:dyDescent="0.2"/>
    <row r="83" spans="3:8" ht="12.75" hidden="1" customHeight="1" x14ac:dyDescent="0.2">
      <c r="C83" s="1" t="s">
        <v>89</v>
      </c>
    </row>
    <row r="84" spans="3:8" ht="12.75" customHeight="1" x14ac:dyDescent="0.2">
      <c r="C84" s="1" t="s">
        <v>90</v>
      </c>
    </row>
    <row r="85" spans="3:8" ht="12.75" customHeight="1" x14ac:dyDescent="0.2"/>
  </sheetData>
  <mergeCells count="2">
    <mergeCell ref="C12:H12"/>
    <mergeCell ref="C36:H36"/>
  </mergeCells>
  <phoneticPr fontId="0" type="noConversion"/>
  <pageMargins left="0.5" right="0.5" top="0.5" bottom="0.75" header="0" footer="0.5"/>
  <pageSetup orientation="portrait" useFirstPageNumber="1" r:id="rId1"/>
  <headerFooter alignWithMargins="0">
    <oddFooter>&amp;L&amp;"Calibri,Regular"&amp;10 Prepared by:  OCMI&amp;R&amp;"Calibri,Regular"&amp;10 Sheet &amp;P of 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804" r:id="rId4" name="Button 12">
              <controlPr locked="0" defaultSize="0" autoFill="0" autoPict="0" macro="[0]!orientPortraitSummary">
                <anchor moveWithCells="1">
                  <from>
                    <xdr:col>2</xdr:col>
                    <xdr:colOff>238125</xdr:colOff>
                    <xdr:row>0</xdr:row>
                    <xdr:rowOff>38100</xdr:rowOff>
                  </from>
                  <to>
                    <xdr:col>2</xdr:col>
                    <xdr:colOff>1590675</xdr:colOff>
                    <xdr:row>1</xdr:row>
                    <xdr:rowOff>142875</xdr:rowOff>
                  </to>
                </anchor>
              </controlPr>
            </control>
          </mc:Choice>
        </mc:AlternateContent>
        <mc:AlternateContent xmlns:mc="http://schemas.openxmlformats.org/markup-compatibility/2006">
          <mc:Choice Requires="x14">
            <control shapeId="33805" r:id="rId5" name="Button 13">
              <controlPr locked="0" defaultSize="0" autoFill="0" autoPict="0" macro="[0]!orientLandscapeSummary">
                <anchor moveWithCells="1">
                  <from>
                    <xdr:col>2</xdr:col>
                    <xdr:colOff>238125</xdr:colOff>
                    <xdr:row>2</xdr:row>
                    <xdr:rowOff>95250</xdr:rowOff>
                  </from>
                  <to>
                    <xdr:col>2</xdr:col>
                    <xdr:colOff>1590675</xdr:colOff>
                    <xdr:row>4</xdr:row>
                    <xdr:rowOff>66675</xdr:rowOff>
                  </to>
                </anchor>
              </controlPr>
            </control>
          </mc:Choice>
        </mc:AlternateContent>
        <mc:AlternateContent xmlns:mc="http://schemas.openxmlformats.org/markup-compatibility/2006">
          <mc:Choice Requires="x14">
            <control shapeId="33806" r:id="rId6" name="Button 14">
              <controlPr defaultSize="0" print="0" autoFill="0" autoPict="0" macro="[0]!cleanSummaryStart">
                <anchor moveWithCells="1">
                  <from>
                    <xdr:col>6</xdr:col>
                    <xdr:colOff>561975</xdr:colOff>
                    <xdr:row>0</xdr:row>
                    <xdr:rowOff>57150</xdr:rowOff>
                  </from>
                  <to>
                    <xdr:col>8</xdr:col>
                    <xdr:colOff>0</xdr:colOff>
                    <xdr:row>2</xdr:row>
                    <xdr:rowOff>19050</xdr:rowOff>
                  </to>
                </anchor>
              </controlPr>
            </control>
          </mc:Choice>
        </mc:AlternateContent>
        <mc:AlternateContent xmlns:mc="http://schemas.openxmlformats.org/markup-compatibility/2006">
          <mc:Choice Requires="x14">
            <control shapeId="33808" r:id="rId7" name="Button 16">
              <controlPr defaultSize="0" print="0" autoFill="0" autoPict="0" macro="[0]!hideShowSF2">
                <anchor moveWithCells="1">
                  <from>
                    <xdr:col>6</xdr:col>
                    <xdr:colOff>552450</xdr:colOff>
                    <xdr:row>2</xdr:row>
                    <xdr:rowOff>104775</xdr:rowOff>
                  </from>
                  <to>
                    <xdr:col>8</xdr:col>
                    <xdr:colOff>0</xdr:colOff>
                    <xdr:row>4</xdr:row>
                    <xdr:rowOff>57150</xdr:rowOff>
                  </to>
                </anchor>
              </controlPr>
            </control>
          </mc:Choice>
        </mc:AlternateContent>
        <mc:AlternateContent xmlns:mc="http://schemas.openxmlformats.org/markup-compatibility/2006">
          <mc:Choice Requires="x14">
            <control shapeId="33809" r:id="rId8" name="Button 17">
              <controlPr defaultSize="0" print="0" autoFill="0" autoPict="0" macro="[0]!spellcheckCurrentPage">
                <anchor moveWithCells="1">
                  <from>
                    <xdr:col>9</xdr:col>
                    <xdr:colOff>57150</xdr:colOff>
                    <xdr:row>0</xdr:row>
                    <xdr:rowOff>76200</xdr:rowOff>
                  </from>
                  <to>
                    <xdr:col>11</xdr:col>
                    <xdr:colOff>257175</xdr:colOff>
                    <xdr:row>2</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C8167-DAF8-4848-85D4-F02D34F0BC08}">
  <sheetPr codeName="Sheet8"/>
  <dimension ref="A1:AU827"/>
  <sheetViews>
    <sheetView showZeros="0" tabSelected="1" view="pageBreakPreview" topLeftCell="B1" zoomScale="115" zoomScaleNormal="75" zoomScaleSheetLayoutView="115" workbookViewId="0">
      <pane ySplit="10" topLeftCell="A460" activePane="bottomLeft" state="frozen"/>
      <selection activeCell="D98" sqref="D98"/>
      <selection pane="bottomLeft" activeCell="Q564" sqref="Q564"/>
    </sheetView>
  </sheetViews>
  <sheetFormatPr defaultColWidth="9" defaultRowHeight="12.75" x14ac:dyDescent="0.2"/>
  <cols>
    <col min="1" max="1" width="17.42578125" style="143" hidden="1" customWidth="1"/>
    <col min="2" max="2" width="4.28515625" style="144" customWidth="1"/>
    <col min="3" max="3" width="4.28515625" style="145" customWidth="1"/>
    <col min="4" max="7" width="2.7109375" style="143" customWidth="1"/>
    <col min="8" max="8" width="42" style="143" customWidth="1"/>
    <col min="9" max="9" width="10" style="146" customWidth="1"/>
    <col min="10" max="10" width="6.140625" style="147" customWidth="1"/>
    <col min="11" max="13" width="10.85546875" style="148" hidden="1" customWidth="1"/>
    <col min="14" max="14" width="14.28515625" style="148" hidden="1" customWidth="1"/>
    <col min="15" max="15" width="12.42578125" style="149" customWidth="1"/>
    <col min="16" max="16" width="16.140625" style="146" customWidth="1"/>
    <col min="17" max="17" width="8" style="291" bestFit="1" customWidth="1"/>
    <col min="18" max="25" width="9" style="143" hidden="1" customWidth="1"/>
    <col min="26" max="26" width="10.42578125" style="311" bestFit="1" customWidth="1"/>
    <col min="27" max="27" width="10.5703125" style="311" customWidth="1"/>
    <col min="28" max="28" width="10" style="311" customWidth="1"/>
    <col min="29" max="29" width="9.5703125" style="311" customWidth="1"/>
    <col min="30" max="30" width="15.42578125" style="602" customWidth="1"/>
    <col min="31" max="31" width="10" style="143" customWidth="1"/>
    <col min="32" max="32" width="17.7109375" style="143" customWidth="1"/>
    <col min="33" max="33" width="43.140625" style="143" customWidth="1"/>
    <col min="34" max="35" width="13.28515625" style="143" customWidth="1"/>
    <col min="36" max="36" width="1.28515625" style="143" customWidth="1"/>
    <col min="37" max="38" width="13.28515625" style="143" customWidth="1"/>
    <col min="39" max="41" width="9" style="143" customWidth="1"/>
    <col min="42" max="256" width="9" style="143"/>
    <col min="257" max="257" width="0" style="143" hidden="1" customWidth="1"/>
    <col min="258" max="259" width="4.28515625" style="143" customWidth="1"/>
    <col min="260" max="263" width="2.7109375" style="143" customWidth="1"/>
    <col min="264" max="264" width="41.28515625" style="143" customWidth="1"/>
    <col min="265" max="265" width="10.140625" style="143" customWidth="1"/>
    <col min="266" max="266" width="6.28515625" style="143" customWidth="1"/>
    <col min="267" max="270" width="0" style="143" hidden="1" customWidth="1"/>
    <col min="271" max="271" width="12.28515625" style="143" customWidth="1"/>
    <col min="272" max="272" width="16.28515625" style="143" customWidth="1"/>
    <col min="273" max="273" width="9" style="143"/>
    <col min="274" max="281" width="0" style="143" hidden="1" customWidth="1"/>
    <col min="282" max="282" width="10.5703125" style="143" bestFit="1" customWidth="1"/>
    <col min="283" max="283" width="3.5703125" style="143" bestFit="1" customWidth="1"/>
    <col min="284" max="288" width="0" style="143" hidden="1" customWidth="1"/>
    <col min="289" max="289" width="41.85546875" style="143" customWidth="1"/>
    <col min="290" max="291" width="13.28515625" style="143" customWidth="1"/>
    <col min="292" max="292" width="1.42578125" style="143" customWidth="1"/>
    <col min="293" max="294" width="13.28515625" style="143" customWidth="1"/>
    <col min="295" max="512" width="9" style="143"/>
    <col min="513" max="513" width="0" style="143" hidden="1" customWidth="1"/>
    <col min="514" max="515" width="4.28515625" style="143" customWidth="1"/>
    <col min="516" max="519" width="2.7109375" style="143" customWidth="1"/>
    <col min="520" max="520" width="41.28515625" style="143" customWidth="1"/>
    <col min="521" max="521" width="10.140625" style="143" customWidth="1"/>
    <col min="522" max="522" width="6.28515625" style="143" customWidth="1"/>
    <col min="523" max="526" width="0" style="143" hidden="1" customWidth="1"/>
    <col min="527" max="527" width="12.28515625" style="143" customWidth="1"/>
    <col min="528" max="528" width="16.28515625" style="143" customWidth="1"/>
    <col min="529" max="529" width="9" style="143"/>
    <col min="530" max="537" width="0" style="143" hidden="1" customWidth="1"/>
    <col min="538" max="538" width="10.5703125" style="143" bestFit="1" customWidth="1"/>
    <col min="539" max="539" width="3.5703125" style="143" bestFit="1" customWidth="1"/>
    <col min="540" max="544" width="0" style="143" hidden="1" customWidth="1"/>
    <col min="545" max="545" width="41.85546875" style="143" customWidth="1"/>
    <col min="546" max="547" width="13.28515625" style="143" customWidth="1"/>
    <col min="548" max="548" width="1.42578125" style="143" customWidth="1"/>
    <col min="549" max="550" width="13.28515625" style="143" customWidth="1"/>
    <col min="551" max="768" width="9" style="143"/>
    <col min="769" max="769" width="0" style="143" hidden="1" customWidth="1"/>
    <col min="770" max="771" width="4.28515625" style="143" customWidth="1"/>
    <col min="772" max="775" width="2.7109375" style="143" customWidth="1"/>
    <col min="776" max="776" width="41.28515625" style="143" customWidth="1"/>
    <col min="777" max="777" width="10.140625" style="143" customWidth="1"/>
    <col min="778" max="778" width="6.28515625" style="143" customWidth="1"/>
    <col min="779" max="782" width="0" style="143" hidden="1" customWidth="1"/>
    <col min="783" max="783" width="12.28515625" style="143" customWidth="1"/>
    <col min="784" max="784" width="16.28515625" style="143" customWidth="1"/>
    <col min="785" max="785" width="9" style="143"/>
    <col min="786" max="793" width="0" style="143" hidden="1" customWidth="1"/>
    <col min="794" max="794" width="10.5703125" style="143" bestFit="1" customWidth="1"/>
    <col min="795" max="795" width="3.5703125" style="143" bestFit="1" customWidth="1"/>
    <col min="796" max="800" width="0" style="143" hidden="1" customWidth="1"/>
    <col min="801" max="801" width="41.85546875" style="143" customWidth="1"/>
    <col min="802" max="803" width="13.28515625" style="143" customWidth="1"/>
    <col min="804" max="804" width="1.42578125" style="143" customWidth="1"/>
    <col min="805" max="806" width="13.28515625" style="143" customWidth="1"/>
    <col min="807" max="1024" width="9" style="143"/>
    <col min="1025" max="1025" width="0" style="143" hidden="1" customWidth="1"/>
    <col min="1026" max="1027" width="4.28515625" style="143" customWidth="1"/>
    <col min="1028" max="1031" width="2.7109375" style="143" customWidth="1"/>
    <col min="1032" max="1032" width="41.28515625" style="143" customWidth="1"/>
    <col min="1033" max="1033" width="10.140625" style="143" customWidth="1"/>
    <col min="1034" max="1034" width="6.28515625" style="143" customWidth="1"/>
    <col min="1035" max="1038" width="0" style="143" hidden="1" customWidth="1"/>
    <col min="1039" max="1039" width="12.28515625" style="143" customWidth="1"/>
    <col min="1040" max="1040" width="16.28515625" style="143" customWidth="1"/>
    <col min="1041" max="1041" width="9" style="143"/>
    <col min="1042" max="1049" width="0" style="143" hidden="1" customWidth="1"/>
    <col min="1050" max="1050" width="10.5703125" style="143" bestFit="1" customWidth="1"/>
    <col min="1051" max="1051" width="3.5703125" style="143" bestFit="1" customWidth="1"/>
    <col min="1052" max="1056" width="0" style="143" hidden="1" customWidth="1"/>
    <col min="1057" max="1057" width="41.85546875" style="143" customWidth="1"/>
    <col min="1058" max="1059" width="13.28515625" style="143" customWidth="1"/>
    <col min="1060" max="1060" width="1.42578125" style="143" customWidth="1"/>
    <col min="1061" max="1062" width="13.28515625" style="143" customWidth="1"/>
    <col min="1063" max="1280" width="9" style="143"/>
    <col min="1281" max="1281" width="0" style="143" hidden="1" customWidth="1"/>
    <col min="1282" max="1283" width="4.28515625" style="143" customWidth="1"/>
    <col min="1284" max="1287" width="2.7109375" style="143" customWidth="1"/>
    <col min="1288" max="1288" width="41.28515625" style="143" customWidth="1"/>
    <col min="1289" max="1289" width="10.140625" style="143" customWidth="1"/>
    <col min="1290" max="1290" width="6.28515625" style="143" customWidth="1"/>
    <col min="1291" max="1294" width="0" style="143" hidden="1" customWidth="1"/>
    <col min="1295" max="1295" width="12.28515625" style="143" customWidth="1"/>
    <col min="1296" max="1296" width="16.28515625" style="143" customWidth="1"/>
    <col min="1297" max="1297" width="9" style="143"/>
    <col min="1298" max="1305" width="0" style="143" hidden="1" customWidth="1"/>
    <col min="1306" max="1306" width="10.5703125" style="143" bestFit="1" customWidth="1"/>
    <col min="1307" max="1307" width="3.5703125" style="143" bestFit="1" customWidth="1"/>
    <col min="1308" max="1312" width="0" style="143" hidden="1" customWidth="1"/>
    <col min="1313" max="1313" width="41.85546875" style="143" customWidth="1"/>
    <col min="1314" max="1315" width="13.28515625" style="143" customWidth="1"/>
    <col min="1316" max="1316" width="1.42578125" style="143" customWidth="1"/>
    <col min="1317" max="1318" width="13.28515625" style="143" customWidth="1"/>
    <col min="1319" max="1536" width="9" style="143"/>
    <col min="1537" max="1537" width="0" style="143" hidden="1" customWidth="1"/>
    <col min="1538" max="1539" width="4.28515625" style="143" customWidth="1"/>
    <col min="1540" max="1543" width="2.7109375" style="143" customWidth="1"/>
    <col min="1544" max="1544" width="41.28515625" style="143" customWidth="1"/>
    <col min="1545" max="1545" width="10.140625" style="143" customWidth="1"/>
    <col min="1546" max="1546" width="6.28515625" style="143" customWidth="1"/>
    <col min="1547" max="1550" width="0" style="143" hidden="1" customWidth="1"/>
    <col min="1551" max="1551" width="12.28515625" style="143" customWidth="1"/>
    <col min="1552" max="1552" width="16.28515625" style="143" customWidth="1"/>
    <col min="1553" max="1553" width="9" style="143"/>
    <col min="1554" max="1561" width="0" style="143" hidden="1" customWidth="1"/>
    <col min="1562" max="1562" width="10.5703125" style="143" bestFit="1" customWidth="1"/>
    <col min="1563" max="1563" width="3.5703125" style="143" bestFit="1" customWidth="1"/>
    <col min="1564" max="1568" width="0" style="143" hidden="1" customWidth="1"/>
    <col min="1569" max="1569" width="41.85546875" style="143" customWidth="1"/>
    <col min="1570" max="1571" width="13.28515625" style="143" customWidth="1"/>
    <col min="1572" max="1572" width="1.42578125" style="143" customWidth="1"/>
    <col min="1573" max="1574" width="13.28515625" style="143" customWidth="1"/>
    <col min="1575" max="1792" width="9" style="143"/>
    <col min="1793" max="1793" width="0" style="143" hidden="1" customWidth="1"/>
    <col min="1794" max="1795" width="4.28515625" style="143" customWidth="1"/>
    <col min="1796" max="1799" width="2.7109375" style="143" customWidth="1"/>
    <col min="1800" max="1800" width="41.28515625" style="143" customWidth="1"/>
    <col min="1801" max="1801" width="10.140625" style="143" customWidth="1"/>
    <col min="1802" max="1802" width="6.28515625" style="143" customWidth="1"/>
    <col min="1803" max="1806" width="0" style="143" hidden="1" customWidth="1"/>
    <col min="1807" max="1807" width="12.28515625" style="143" customWidth="1"/>
    <col min="1808" max="1808" width="16.28515625" style="143" customWidth="1"/>
    <col min="1809" max="1809" width="9" style="143"/>
    <col min="1810" max="1817" width="0" style="143" hidden="1" customWidth="1"/>
    <col min="1818" max="1818" width="10.5703125" style="143" bestFit="1" customWidth="1"/>
    <col min="1819" max="1819" width="3.5703125" style="143" bestFit="1" customWidth="1"/>
    <col min="1820" max="1824" width="0" style="143" hidden="1" customWidth="1"/>
    <col min="1825" max="1825" width="41.85546875" style="143" customWidth="1"/>
    <col min="1826" max="1827" width="13.28515625" style="143" customWidth="1"/>
    <col min="1828" max="1828" width="1.42578125" style="143" customWidth="1"/>
    <col min="1829" max="1830" width="13.28515625" style="143" customWidth="1"/>
    <col min="1831" max="2048" width="9" style="143"/>
    <col min="2049" max="2049" width="0" style="143" hidden="1" customWidth="1"/>
    <col min="2050" max="2051" width="4.28515625" style="143" customWidth="1"/>
    <col min="2052" max="2055" width="2.7109375" style="143" customWidth="1"/>
    <col min="2056" max="2056" width="41.28515625" style="143" customWidth="1"/>
    <col min="2057" max="2057" width="10.140625" style="143" customWidth="1"/>
    <col min="2058" max="2058" width="6.28515625" style="143" customWidth="1"/>
    <col min="2059" max="2062" width="0" style="143" hidden="1" customWidth="1"/>
    <col min="2063" max="2063" width="12.28515625" style="143" customWidth="1"/>
    <col min="2064" max="2064" width="16.28515625" style="143" customWidth="1"/>
    <col min="2065" max="2065" width="9" style="143"/>
    <col min="2066" max="2073" width="0" style="143" hidden="1" customWidth="1"/>
    <col min="2074" max="2074" width="10.5703125" style="143" bestFit="1" customWidth="1"/>
    <col min="2075" max="2075" width="3.5703125" style="143" bestFit="1" customWidth="1"/>
    <col min="2076" max="2080" width="0" style="143" hidden="1" customWidth="1"/>
    <col min="2081" max="2081" width="41.85546875" style="143" customWidth="1"/>
    <col min="2082" max="2083" width="13.28515625" style="143" customWidth="1"/>
    <col min="2084" max="2084" width="1.42578125" style="143" customWidth="1"/>
    <col min="2085" max="2086" width="13.28515625" style="143" customWidth="1"/>
    <col min="2087" max="2304" width="9" style="143"/>
    <col min="2305" max="2305" width="0" style="143" hidden="1" customWidth="1"/>
    <col min="2306" max="2307" width="4.28515625" style="143" customWidth="1"/>
    <col min="2308" max="2311" width="2.7109375" style="143" customWidth="1"/>
    <col min="2312" max="2312" width="41.28515625" style="143" customWidth="1"/>
    <col min="2313" max="2313" width="10.140625" style="143" customWidth="1"/>
    <col min="2314" max="2314" width="6.28515625" style="143" customWidth="1"/>
    <col min="2315" max="2318" width="0" style="143" hidden="1" customWidth="1"/>
    <col min="2319" max="2319" width="12.28515625" style="143" customWidth="1"/>
    <col min="2320" max="2320" width="16.28515625" style="143" customWidth="1"/>
    <col min="2321" max="2321" width="9" style="143"/>
    <col min="2322" max="2329" width="0" style="143" hidden="1" customWidth="1"/>
    <col min="2330" max="2330" width="10.5703125" style="143" bestFit="1" customWidth="1"/>
    <col min="2331" max="2331" width="3.5703125" style="143" bestFit="1" customWidth="1"/>
    <col min="2332" max="2336" width="0" style="143" hidden="1" customWidth="1"/>
    <col min="2337" max="2337" width="41.85546875" style="143" customWidth="1"/>
    <col min="2338" max="2339" width="13.28515625" style="143" customWidth="1"/>
    <col min="2340" max="2340" width="1.42578125" style="143" customWidth="1"/>
    <col min="2341" max="2342" width="13.28515625" style="143" customWidth="1"/>
    <col min="2343" max="2560" width="9" style="143"/>
    <col min="2561" max="2561" width="0" style="143" hidden="1" customWidth="1"/>
    <col min="2562" max="2563" width="4.28515625" style="143" customWidth="1"/>
    <col min="2564" max="2567" width="2.7109375" style="143" customWidth="1"/>
    <col min="2568" max="2568" width="41.28515625" style="143" customWidth="1"/>
    <col min="2569" max="2569" width="10.140625" style="143" customWidth="1"/>
    <col min="2570" max="2570" width="6.28515625" style="143" customWidth="1"/>
    <col min="2571" max="2574" width="0" style="143" hidden="1" customWidth="1"/>
    <col min="2575" max="2575" width="12.28515625" style="143" customWidth="1"/>
    <col min="2576" max="2576" width="16.28515625" style="143" customWidth="1"/>
    <col min="2577" max="2577" width="9" style="143"/>
    <col min="2578" max="2585" width="0" style="143" hidden="1" customWidth="1"/>
    <col min="2586" max="2586" width="10.5703125" style="143" bestFit="1" customWidth="1"/>
    <col min="2587" max="2587" width="3.5703125" style="143" bestFit="1" customWidth="1"/>
    <col min="2588" max="2592" width="0" style="143" hidden="1" customWidth="1"/>
    <col min="2593" max="2593" width="41.85546875" style="143" customWidth="1"/>
    <col min="2594" max="2595" width="13.28515625" style="143" customWidth="1"/>
    <col min="2596" max="2596" width="1.42578125" style="143" customWidth="1"/>
    <col min="2597" max="2598" width="13.28515625" style="143" customWidth="1"/>
    <col min="2599" max="2816" width="9" style="143"/>
    <col min="2817" max="2817" width="0" style="143" hidden="1" customWidth="1"/>
    <col min="2818" max="2819" width="4.28515625" style="143" customWidth="1"/>
    <col min="2820" max="2823" width="2.7109375" style="143" customWidth="1"/>
    <col min="2824" max="2824" width="41.28515625" style="143" customWidth="1"/>
    <col min="2825" max="2825" width="10.140625" style="143" customWidth="1"/>
    <col min="2826" max="2826" width="6.28515625" style="143" customWidth="1"/>
    <col min="2827" max="2830" width="0" style="143" hidden="1" customWidth="1"/>
    <col min="2831" max="2831" width="12.28515625" style="143" customWidth="1"/>
    <col min="2832" max="2832" width="16.28515625" style="143" customWidth="1"/>
    <col min="2833" max="2833" width="9" style="143"/>
    <col min="2834" max="2841" width="0" style="143" hidden="1" customWidth="1"/>
    <col min="2842" max="2842" width="10.5703125" style="143" bestFit="1" customWidth="1"/>
    <col min="2843" max="2843" width="3.5703125" style="143" bestFit="1" customWidth="1"/>
    <col min="2844" max="2848" width="0" style="143" hidden="1" customWidth="1"/>
    <col min="2849" max="2849" width="41.85546875" style="143" customWidth="1"/>
    <col min="2850" max="2851" width="13.28515625" style="143" customWidth="1"/>
    <col min="2852" max="2852" width="1.42578125" style="143" customWidth="1"/>
    <col min="2853" max="2854" width="13.28515625" style="143" customWidth="1"/>
    <col min="2855" max="3072" width="9" style="143"/>
    <col min="3073" max="3073" width="0" style="143" hidden="1" customWidth="1"/>
    <col min="3074" max="3075" width="4.28515625" style="143" customWidth="1"/>
    <col min="3076" max="3079" width="2.7109375" style="143" customWidth="1"/>
    <col min="3080" max="3080" width="41.28515625" style="143" customWidth="1"/>
    <col min="3081" max="3081" width="10.140625" style="143" customWidth="1"/>
    <col min="3082" max="3082" width="6.28515625" style="143" customWidth="1"/>
    <col min="3083" max="3086" width="0" style="143" hidden="1" customWidth="1"/>
    <col min="3087" max="3087" width="12.28515625" style="143" customWidth="1"/>
    <col min="3088" max="3088" width="16.28515625" style="143" customWidth="1"/>
    <col min="3089" max="3089" width="9" style="143"/>
    <col min="3090" max="3097" width="0" style="143" hidden="1" customWidth="1"/>
    <col min="3098" max="3098" width="10.5703125" style="143" bestFit="1" customWidth="1"/>
    <col min="3099" max="3099" width="3.5703125" style="143" bestFit="1" customWidth="1"/>
    <col min="3100" max="3104" width="0" style="143" hidden="1" customWidth="1"/>
    <col min="3105" max="3105" width="41.85546875" style="143" customWidth="1"/>
    <col min="3106" max="3107" width="13.28515625" style="143" customWidth="1"/>
    <col min="3108" max="3108" width="1.42578125" style="143" customWidth="1"/>
    <col min="3109" max="3110" width="13.28515625" style="143" customWidth="1"/>
    <col min="3111" max="3328" width="9" style="143"/>
    <col min="3329" max="3329" width="0" style="143" hidden="1" customWidth="1"/>
    <col min="3330" max="3331" width="4.28515625" style="143" customWidth="1"/>
    <col min="3332" max="3335" width="2.7109375" style="143" customWidth="1"/>
    <col min="3336" max="3336" width="41.28515625" style="143" customWidth="1"/>
    <col min="3337" max="3337" width="10.140625" style="143" customWidth="1"/>
    <col min="3338" max="3338" width="6.28515625" style="143" customWidth="1"/>
    <col min="3339" max="3342" width="0" style="143" hidden="1" customWidth="1"/>
    <col min="3343" max="3343" width="12.28515625" style="143" customWidth="1"/>
    <col min="3344" max="3344" width="16.28515625" style="143" customWidth="1"/>
    <col min="3345" max="3345" width="9" style="143"/>
    <col min="3346" max="3353" width="0" style="143" hidden="1" customWidth="1"/>
    <col min="3354" max="3354" width="10.5703125" style="143" bestFit="1" customWidth="1"/>
    <col min="3355" max="3355" width="3.5703125" style="143" bestFit="1" customWidth="1"/>
    <col min="3356" max="3360" width="0" style="143" hidden="1" customWidth="1"/>
    <col min="3361" max="3361" width="41.85546875" style="143" customWidth="1"/>
    <col min="3362" max="3363" width="13.28515625" style="143" customWidth="1"/>
    <col min="3364" max="3364" width="1.42578125" style="143" customWidth="1"/>
    <col min="3365" max="3366" width="13.28515625" style="143" customWidth="1"/>
    <col min="3367" max="3584" width="9" style="143"/>
    <col min="3585" max="3585" width="0" style="143" hidden="1" customWidth="1"/>
    <col min="3586" max="3587" width="4.28515625" style="143" customWidth="1"/>
    <col min="3588" max="3591" width="2.7109375" style="143" customWidth="1"/>
    <col min="3592" max="3592" width="41.28515625" style="143" customWidth="1"/>
    <col min="3593" max="3593" width="10.140625" style="143" customWidth="1"/>
    <col min="3594" max="3594" width="6.28515625" style="143" customWidth="1"/>
    <col min="3595" max="3598" width="0" style="143" hidden="1" customWidth="1"/>
    <col min="3599" max="3599" width="12.28515625" style="143" customWidth="1"/>
    <col min="3600" max="3600" width="16.28515625" style="143" customWidth="1"/>
    <col min="3601" max="3601" width="9" style="143"/>
    <col min="3602" max="3609" width="0" style="143" hidden="1" customWidth="1"/>
    <col min="3610" max="3610" width="10.5703125" style="143" bestFit="1" customWidth="1"/>
    <col min="3611" max="3611" width="3.5703125" style="143" bestFit="1" customWidth="1"/>
    <col min="3612" max="3616" width="0" style="143" hidden="1" customWidth="1"/>
    <col min="3617" max="3617" width="41.85546875" style="143" customWidth="1"/>
    <col min="3618" max="3619" width="13.28515625" style="143" customWidth="1"/>
    <col min="3620" max="3620" width="1.42578125" style="143" customWidth="1"/>
    <col min="3621" max="3622" width="13.28515625" style="143" customWidth="1"/>
    <col min="3623" max="3840" width="9" style="143"/>
    <col min="3841" max="3841" width="0" style="143" hidden="1" customWidth="1"/>
    <col min="3842" max="3843" width="4.28515625" style="143" customWidth="1"/>
    <col min="3844" max="3847" width="2.7109375" style="143" customWidth="1"/>
    <col min="3848" max="3848" width="41.28515625" style="143" customWidth="1"/>
    <col min="3849" max="3849" width="10.140625" style="143" customWidth="1"/>
    <col min="3850" max="3850" width="6.28515625" style="143" customWidth="1"/>
    <col min="3851" max="3854" width="0" style="143" hidden="1" customWidth="1"/>
    <col min="3855" max="3855" width="12.28515625" style="143" customWidth="1"/>
    <col min="3856" max="3856" width="16.28515625" style="143" customWidth="1"/>
    <col min="3857" max="3857" width="9" style="143"/>
    <col min="3858" max="3865" width="0" style="143" hidden="1" customWidth="1"/>
    <col min="3866" max="3866" width="10.5703125" style="143" bestFit="1" customWidth="1"/>
    <col min="3867" max="3867" width="3.5703125" style="143" bestFit="1" customWidth="1"/>
    <col min="3868" max="3872" width="0" style="143" hidden="1" customWidth="1"/>
    <col min="3873" max="3873" width="41.85546875" style="143" customWidth="1"/>
    <col min="3874" max="3875" width="13.28515625" style="143" customWidth="1"/>
    <col min="3876" max="3876" width="1.42578125" style="143" customWidth="1"/>
    <col min="3877" max="3878" width="13.28515625" style="143" customWidth="1"/>
    <col min="3879" max="4096" width="9" style="143"/>
    <col min="4097" max="4097" width="0" style="143" hidden="1" customWidth="1"/>
    <col min="4098" max="4099" width="4.28515625" style="143" customWidth="1"/>
    <col min="4100" max="4103" width="2.7109375" style="143" customWidth="1"/>
    <col min="4104" max="4104" width="41.28515625" style="143" customWidth="1"/>
    <col min="4105" max="4105" width="10.140625" style="143" customWidth="1"/>
    <col min="4106" max="4106" width="6.28515625" style="143" customWidth="1"/>
    <col min="4107" max="4110" width="0" style="143" hidden="1" customWidth="1"/>
    <col min="4111" max="4111" width="12.28515625" style="143" customWidth="1"/>
    <col min="4112" max="4112" width="16.28515625" style="143" customWidth="1"/>
    <col min="4113" max="4113" width="9" style="143"/>
    <col min="4114" max="4121" width="0" style="143" hidden="1" customWidth="1"/>
    <col min="4122" max="4122" width="10.5703125" style="143" bestFit="1" customWidth="1"/>
    <col min="4123" max="4123" width="3.5703125" style="143" bestFit="1" customWidth="1"/>
    <col min="4124" max="4128" width="0" style="143" hidden="1" customWidth="1"/>
    <col min="4129" max="4129" width="41.85546875" style="143" customWidth="1"/>
    <col min="4130" max="4131" width="13.28515625" style="143" customWidth="1"/>
    <col min="4132" max="4132" width="1.42578125" style="143" customWidth="1"/>
    <col min="4133" max="4134" width="13.28515625" style="143" customWidth="1"/>
    <col min="4135" max="4352" width="9" style="143"/>
    <col min="4353" max="4353" width="0" style="143" hidden="1" customWidth="1"/>
    <col min="4354" max="4355" width="4.28515625" style="143" customWidth="1"/>
    <col min="4356" max="4359" width="2.7109375" style="143" customWidth="1"/>
    <col min="4360" max="4360" width="41.28515625" style="143" customWidth="1"/>
    <col min="4361" max="4361" width="10.140625" style="143" customWidth="1"/>
    <col min="4362" max="4362" width="6.28515625" style="143" customWidth="1"/>
    <col min="4363" max="4366" width="0" style="143" hidden="1" customWidth="1"/>
    <col min="4367" max="4367" width="12.28515625" style="143" customWidth="1"/>
    <col min="4368" max="4368" width="16.28515625" style="143" customWidth="1"/>
    <col min="4369" max="4369" width="9" style="143"/>
    <col min="4370" max="4377" width="0" style="143" hidden="1" customWidth="1"/>
    <col min="4378" max="4378" width="10.5703125" style="143" bestFit="1" customWidth="1"/>
    <col min="4379" max="4379" width="3.5703125" style="143" bestFit="1" customWidth="1"/>
    <col min="4380" max="4384" width="0" style="143" hidden="1" customWidth="1"/>
    <col min="4385" max="4385" width="41.85546875" style="143" customWidth="1"/>
    <col min="4386" max="4387" width="13.28515625" style="143" customWidth="1"/>
    <col min="4388" max="4388" width="1.42578125" style="143" customWidth="1"/>
    <col min="4389" max="4390" width="13.28515625" style="143" customWidth="1"/>
    <col min="4391" max="4608" width="9" style="143"/>
    <col min="4609" max="4609" width="0" style="143" hidden="1" customWidth="1"/>
    <col min="4610" max="4611" width="4.28515625" style="143" customWidth="1"/>
    <col min="4612" max="4615" width="2.7109375" style="143" customWidth="1"/>
    <col min="4616" max="4616" width="41.28515625" style="143" customWidth="1"/>
    <col min="4617" max="4617" width="10.140625" style="143" customWidth="1"/>
    <col min="4618" max="4618" width="6.28515625" style="143" customWidth="1"/>
    <col min="4619" max="4622" width="0" style="143" hidden="1" customWidth="1"/>
    <col min="4623" max="4623" width="12.28515625" style="143" customWidth="1"/>
    <col min="4624" max="4624" width="16.28515625" style="143" customWidth="1"/>
    <col min="4625" max="4625" width="9" style="143"/>
    <col min="4626" max="4633" width="0" style="143" hidden="1" customWidth="1"/>
    <col min="4634" max="4634" width="10.5703125" style="143" bestFit="1" customWidth="1"/>
    <col min="4635" max="4635" width="3.5703125" style="143" bestFit="1" customWidth="1"/>
    <col min="4636" max="4640" width="0" style="143" hidden="1" customWidth="1"/>
    <col min="4641" max="4641" width="41.85546875" style="143" customWidth="1"/>
    <col min="4642" max="4643" width="13.28515625" style="143" customWidth="1"/>
    <col min="4644" max="4644" width="1.42578125" style="143" customWidth="1"/>
    <col min="4645" max="4646" width="13.28515625" style="143" customWidth="1"/>
    <col min="4647" max="4864" width="9" style="143"/>
    <col min="4865" max="4865" width="0" style="143" hidden="1" customWidth="1"/>
    <col min="4866" max="4867" width="4.28515625" style="143" customWidth="1"/>
    <col min="4868" max="4871" width="2.7109375" style="143" customWidth="1"/>
    <col min="4872" max="4872" width="41.28515625" style="143" customWidth="1"/>
    <col min="4873" max="4873" width="10.140625" style="143" customWidth="1"/>
    <col min="4874" max="4874" width="6.28515625" style="143" customWidth="1"/>
    <col min="4875" max="4878" width="0" style="143" hidden="1" customWidth="1"/>
    <col min="4879" max="4879" width="12.28515625" style="143" customWidth="1"/>
    <col min="4880" max="4880" width="16.28515625" style="143" customWidth="1"/>
    <col min="4881" max="4881" width="9" style="143"/>
    <col min="4882" max="4889" width="0" style="143" hidden="1" customWidth="1"/>
    <col min="4890" max="4890" width="10.5703125" style="143" bestFit="1" customWidth="1"/>
    <col min="4891" max="4891" width="3.5703125" style="143" bestFit="1" customWidth="1"/>
    <col min="4892" max="4896" width="0" style="143" hidden="1" customWidth="1"/>
    <col min="4897" max="4897" width="41.85546875" style="143" customWidth="1"/>
    <col min="4898" max="4899" width="13.28515625" style="143" customWidth="1"/>
    <col min="4900" max="4900" width="1.42578125" style="143" customWidth="1"/>
    <col min="4901" max="4902" width="13.28515625" style="143" customWidth="1"/>
    <col min="4903" max="5120" width="9" style="143"/>
    <col min="5121" max="5121" width="0" style="143" hidden="1" customWidth="1"/>
    <col min="5122" max="5123" width="4.28515625" style="143" customWidth="1"/>
    <col min="5124" max="5127" width="2.7109375" style="143" customWidth="1"/>
    <col min="5128" max="5128" width="41.28515625" style="143" customWidth="1"/>
    <col min="5129" max="5129" width="10.140625" style="143" customWidth="1"/>
    <col min="5130" max="5130" width="6.28515625" style="143" customWidth="1"/>
    <col min="5131" max="5134" width="0" style="143" hidden="1" customWidth="1"/>
    <col min="5135" max="5135" width="12.28515625" style="143" customWidth="1"/>
    <col min="5136" max="5136" width="16.28515625" style="143" customWidth="1"/>
    <col min="5137" max="5137" width="9" style="143"/>
    <col min="5138" max="5145" width="0" style="143" hidden="1" customWidth="1"/>
    <col min="5146" max="5146" width="10.5703125" style="143" bestFit="1" customWidth="1"/>
    <col min="5147" max="5147" width="3.5703125" style="143" bestFit="1" customWidth="1"/>
    <col min="5148" max="5152" width="0" style="143" hidden="1" customWidth="1"/>
    <col min="5153" max="5153" width="41.85546875" style="143" customWidth="1"/>
    <col min="5154" max="5155" width="13.28515625" style="143" customWidth="1"/>
    <col min="5156" max="5156" width="1.42578125" style="143" customWidth="1"/>
    <col min="5157" max="5158" width="13.28515625" style="143" customWidth="1"/>
    <col min="5159" max="5376" width="9" style="143"/>
    <col min="5377" max="5377" width="0" style="143" hidden="1" customWidth="1"/>
    <col min="5378" max="5379" width="4.28515625" style="143" customWidth="1"/>
    <col min="5380" max="5383" width="2.7109375" style="143" customWidth="1"/>
    <col min="5384" max="5384" width="41.28515625" style="143" customWidth="1"/>
    <col min="5385" max="5385" width="10.140625" style="143" customWidth="1"/>
    <col min="5386" max="5386" width="6.28515625" style="143" customWidth="1"/>
    <col min="5387" max="5390" width="0" style="143" hidden="1" customWidth="1"/>
    <col min="5391" max="5391" width="12.28515625" style="143" customWidth="1"/>
    <col min="5392" max="5392" width="16.28515625" style="143" customWidth="1"/>
    <col min="5393" max="5393" width="9" style="143"/>
    <col min="5394" max="5401" width="0" style="143" hidden="1" customWidth="1"/>
    <col min="5402" max="5402" width="10.5703125" style="143" bestFit="1" customWidth="1"/>
    <col min="5403" max="5403" width="3.5703125" style="143" bestFit="1" customWidth="1"/>
    <col min="5404" max="5408" width="0" style="143" hidden="1" customWidth="1"/>
    <col min="5409" max="5409" width="41.85546875" style="143" customWidth="1"/>
    <col min="5410" max="5411" width="13.28515625" style="143" customWidth="1"/>
    <col min="5412" max="5412" width="1.42578125" style="143" customWidth="1"/>
    <col min="5413" max="5414" width="13.28515625" style="143" customWidth="1"/>
    <col min="5415" max="5632" width="9" style="143"/>
    <col min="5633" max="5633" width="0" style="143" hidden="1" customWidth="1"/>
    <col min="5634" max="5635" width="4.28515625" style="143" customWidth="1"/>
    <col min="5636" max="5639" width="2.7109375" style="143" customWidth="1"/>
    <col min="5640" max="5640" width="41.28515625" style="143" customWidth="1"/>
    <col min="5641" max="5641" width="10.140625" style="143" customWidth="1"/>
    <col min="5642" max="5642" width="6.28515625" style="143" customWidth="1"/>
    <col min="5643" max="5646" width="0" style="143" hidden="1" customWidth="1"/>
    <col min="5647" max="5647" width="12.28515625" style="143" customWidth="1"/>
    <col min="5648" max="5648" width="16.28515625" style="143" customWidth="1"/>
    <col min="5649" max="5649" width="9" style="143"/>
    <col min="5650" max="5657" width="0" style="143" hidden="1" customWidth="1"/>
    <col min="5658" max="5658" width="10.5703125" style="143" bestFit="1" customWidth="1"/>
    <col min="5659" max="5659" width="3.5703125" style="143" bestFit="1" customWidth="1"/>
    <col min="5660" max="5664" width="0" style="143" hidden="1" customWidth="1"/>
    <col min="5665" max="5665" width="41.85546875" style="143" customWidth="1"/>
    <col min="5666" max="5667" width="13.28515625" style="143" customWidth="1"/>
    <col min="5668" max="5668" width="1.42578125" style="143" customWidth="1"/>
    <col min="5669" max="5670" width="13.28515625" style="143" customWidth="1"/>
    <col min="5671" max="5888" width="9" style="143"/>
    <col min="5889" max="5889" width="0" style="143" hidden="1" customWidth="1"/>
    <col min="5890" max="5891" width="4.28515625" style="143" customWidth="1"/>
    <col min="5892" max="5895" width="2.7109375" style="143" customWidth="1"/>
    <col min="5896" max="5896" width="41.28515625" style="143" customWidth="1"/>
    <col min="5897" max="5897" width="10.140625" style="143" customWidth="1"/>
    <col min="5898" max="5898" width="6.28515625" style="143" customWidth="1"/>
    <col min="5899" max="5902" width="0" style="143" hidden="1" customWidth="1"/>
    <col min="5903" max="5903" width="12.28515625" style="143" customWidth="1"/>
    <col min="5904" max="5904" width="16.28515625" style="143" customWidth="1"/>
    <col min="5905" max="5905" width="9" style="143"/>
    <col min="5906" max="5913" width="0" style="143" hidden="1" customWidth="1"/>
    <col min="5914" max="5914" width="10.5703125" style="143" bestFit="1" customWidth="1"/>
    <col min="5915" max="5915" width="3.5703125" style="143" bestFit="1" customWidth="1"/>
    <col min="5916" max="5920" width="0" style="143" hidden="1" customWidth="1"/>
    <col min="5921" max="5921" width="41.85546875" style="143" customWidth="1"/>
    <col min="5922" max="5923" width="13.28515625" style="143" customWidth="1"/>
    <col min="5924" max="5924" width="1.42578125" style="143" customWidth="1"/>
    <col min="5925" max="5926" width="13.28515625" style="143" customWidth="1"/>
    <col min="5927" max="6144" width="9" style="143"/>
    <col min="6145" max="6145" width="0" style="143" hidden="1" customWidth="1"/>
    <col min="6146" max="6147" width="4.28515625" style="143" customWidth="1"/>
    <col min="6148" max="6151" width="2.7109375" style="143" customWidth="1"/>
    <col min="6152" max="6152" width="41.28515625" style="143" customWidth="1"/>
    <col min="6153" max="6153" width="10.140625" style="143" customWidth="1"/>
    <col min="6154" max="6154" width="6.28515625" style="143" customWidth="1"/>
    <col min="6155" max="6158" width="0" style="143" hidden="1" customWidth="1"/>
    <col min="6159" max="6159" width="12.28515625" style="143" customWidth="1"/>
    <col min="6160" max="6160" width="16.28515625" style="143" customWidth="1"/>
    <col min="6161" max="6161" width="9" style="143"/>
    <col min="6162" max="6169" width="0" style="143" hidden="1" customWidth="1"/>
    <col min="6170" max="6170" width="10.5703125" style="143" bestFit="1" customWidth="1"/>
    <col min="6171" max="6171" width="3.5703125" style="143" bestFit="1" customWidth="1"/>
    <col min="6172" max="6176" width="0" style="143" hidden="1" customWidth="1"/>
    <col min="6177" max="6177" width="41.85546875" style="143" customWidth="1"/>
    <col min="6178" max="6179" width="13.28515625" style="143" customWidth="1"/>
    <col min="6180" max="6180" width="1.42578125" style="143" customWidth="1"/>
    <col min="6181" max="6182" width="13.28515625" style="143" customWidth="1"/>
    <col min="6183" max="6400" width="9" style="143"/>
    <col min="6401" max="6401" width="0" style="143" hidden="1" customWidth="1"/>
    <col min="6402" max="6403" width="4.28515625" style="143" customWidth="1"/>
    <col min="6404" max="6407" width="2.7109375" style="143" customWidth="1"/>
    <col min="6408" max="6408" width="41.28515625" style="143" customWidth="1"/>
    <col min="6409" max="6409" width="10.140625" style="143" customWidth="1"/>
    <col min="6410" max="6410" width="6.28515625" style="143" customWidth="1"/>
    <col min="6411" max="6414" width="0" style="143" hidden="1" customWidth="1"/>
    <col min="6415" max="6415" width="12.28515625" style="143" customWidth="1"/>
    <col min="6416" max="6416" width="16.28515625" style="143" customWidth="1"/>
    <col min="6417" max="6417" width="9" style="143"/>
    <col min="6418" max="6425" width="0" style="143" hidden="1" customWidth="1"/>
    <col min="6426" max="6426" width="10.5703125" style="143" bestFit="1" customWidth="1"/>
    <col min="6427" max="6427" width="3.5703125" style="143" bestFit="1" customWidth="1"/>
    <col min="6428" max="6432" width="0" style="143" hidden="1" customWidth="1"/>
    <col min="6433" max="6433" width="41.85546875" style="143" customWidth="1"/>
    <col min="6434" max="6435" width="13.28515625" style="143" customWidth="1"/>
    <col min="6436" max="6436" width="1.42578125" style="143" customWidth="1"/>
    <col min="6437" max="6438" width="13.28515625" style="143" customWidth="1"/>
    <col min="6439" max="6656" width="9" style="143"/>
    <col min="6657" max="6657" width="0" style="143" hidden="1" customWidth="1"/>
    <col min="6658" max="6659" width="4.28515625" style="143" customWidth="1"/>
    <col min="6660" max="6663" width="2.7109375" style="143" customWidth="1"/>
    <col min="6664" max="6664" width="41.28515625" style="143" customWidth="1"/>
    <col min="6665" max="6665" width="10.140625" style="143" customWidth="1"/>
    <col min="6666" max="6666" width="6.28515625" style="143" customWidth="1"/>
    <col min="6667" max="6670" width="0" style="143" hidden="1" customWidth="1"/>
    <col min="6671" max="6671" width="12.28515625" style="143" customWidth="1"/>
    <col min="6672" max="6672" width="16.28515625" style="143" customWidth="1"/>
    <col min="6673" max="6673" width="9" style="143"/>
    <col min="6674" max="6681" width="0" style="143" hidden="1" customWidth="1"/>
    <col min="6682" max="6682" width="10.5703125" style="143" bestFit="1" customWidth="1"/>
    <col min="6683" max="6683" width="3.5703125" style="143" bestFit="1" customWidth="1"/>
    <col min="6684" max="6688" width="0" style="143" hidden="1" customWidth="1"/>
    <col min="6689" max="6689" width="41.85546875" style="143" customWidth="1"/>
    <col min="6690" max="6691" width="13.28515625" style="143" customWidth="1"/>
    <col min="6692" max="6692" width="1.42578125" style="143" customWidth="1"/>
    <col min="6693" max="6694" width="13.28515625" style="143" customWidth="1"/>
    <col min="6695" max="6912" width="9" style="143"/>
    <col min="6913" max="6913" width="0" style="143" hidden="1" customWidth="1"/>
    <col min="6914" max="6915" width="4.28515625" style="143" customWidth="1"/>
    <col min="6916" max="6919" width="2.7109375" style="143" customWidth="1"/>
    <col min="6920" max="6920" width="41.28515625" style="143" customWidth="1"/>
    <col min="6921" max="6921" width="10.140625" style="143" customWidth="1"/>
    <col min="6922" max="6922" width="6.28515625" style="143" customWidth="1"/>
    <col min="6923" max="6926" width="0" style="143" hidden="1" customWidth="1"/>
    <col min="6927" max="6927" width="12.28515625" style="143" customWidth="1"/>
    <col min="6928" max="6928" width="16.28515625" style="143" customWidth="1"/>
    <col min="6929" max="6929" width="9" style="143"/>
    <col min="6930" max="6937" width="0" style="143" hidden="1" customWidth="1"/>
    <col min="6938" max="6938" width="10.5703125" style="143" bestFit="1" customWidth="1"/>
    <col min="6939" max="6939" width="3.5703125" style="143" bestFit="1" customWidth="1"/>
    <col min="6940" max="6944" width="0" style="143" hidden="1" customWidth="1"/>
    <col min="6945" max="6945" width="41.85546875" style="143" customWidth="1"/>
    <col min="6946" max="6947" width="13.28515625" style="143" customWidth="1"/>
    <col min="6948" max="6948" width="1.42578125" style="143" customWidth="1"/>
    <col min="6949" max="6950" width="13.28515625" style="143" customWidth="1"/>
    <col min="6951" max="7168" width="9" style="143"/>
    <col min="7169" max="7169" width="0" style="143" hidden="1" customWidth="1"/>
    <col min="7170" max="7171" width="4.28515625" style="143" customWidth="1"/>
    <col min="7172" max="7175" width="2.7109375" style="143" customWidth="1"/>
    <col min="7176" max="7176" width="41.28515625" style="143" customWidth="1"/>
    <col min="7177" max="7177" width="10.140625" style="143" customWidth="1"/>
    <col min="7178" max="7178" width="6.28515625" style="143" customWidth="1"/>
    <col min="7179" max="7182" width="0" style="143" hidden="1" customWidth="1"/>
    <col min="7183" max="7183" width="12.28515625" style="143" customWidth="1"/>
    <col min="7184" max="7184" width="16.28515625" style="143" customWidth="1"/>
    <col min="7185" max="7185" width="9" style="143"/>
    <col min="7186" max="7193" width="0" style="143" hidden="1" customWidth="1"/>
    <col min="7194" max="7194" width="10.5703125" style="143" bestFit="1" customWidth="1"/>
    <col min="7195" max="7195" width="3.5703125" style="143" bestFit="1" customWidth="1"/>
    <col min="7196" max="7200" width="0" style="143" hidden="1" customWidth="1"/>
    <col min="7201" max="7201" width="41.85546875" style="143" customWidth="1"/>
    <col min="7202" max="7203" width="13.28515625" style="143" customWidth="1"/>
    <col min="7204" max="7204" width="1.42578125" style="143" customWidth="1"/>
    <col min="7205" max="7206" width="13.28515625" style="143" customWidth="1"/>
    <col min="7207" max="7424" width="9" style="143"/>
    <col min="7425" max="7425" width="0" style="143" hidden="1" customWidth="1"/>
    <col min="7426" max="7427" width="4.28515625" style="143" customWidth="1"/>
    <col min="7428" max="7431" width="2.7109375" style="143" customWidth="1"/>
    <col min="7432" max="7432" width="41.28515625" style="143" customWidth="1"/>
    <col min="7433" max="7433" width="10.140625" style="143" customWidth="1"/>
    <col min="7434" max="7434" width="6.28515625" style="143" customWidth="1"/>
    <col min="7435" max="7438" width="0" style="143" hidden="1" customWidth="1"/>
    <col min="7439" max="7439" width="12.28515625" style="143" customWidth="1"/>
    <col min="7440" max="7440" width="16.28515625" style="143" customWidth="1"/>
    <col min="7441" max="7441" width="9" style="143"/>
    <col min="7442" max="7449" width="0" style="143" hidden="1" customWidth="1"/>
    <col min="7450" max="7450" width="10.5703125" style="143" bestFit="1" customWidth="1"/>
    <col min="7451" max="7451" width="3.5703125" style="143" bestFit="1" customWidth="1"/>
    <col min="7452" max="7456" width="0" style="143" hidden="1" customWidth="1"/>
    <col min="7457" max="7457" width="41.85546875" style="143" customWidth="1"/>
    <col min="7458" max="7459" width="13.28515625" style="143" customWidth="1"/>
    <col min="7460" max="7460" width="1.42578125" style="143" customWidth="1"/>
    <col min="7461" max="7462" width="13.28515625" style="143" customWidth="1"/>
    <col min="7463" max="7680" width="9" style="143"/>
    <col min="7681" max="7681" width="0" style="143" hidden="1" customWidth="1"/>
    <col min="7682" max="7683" width="4.28515625" style="143" customWidth="1"/>
    <col min="7684" max="7687" width="2.7109375" style="143" customWidth="1"/>
    <col min="7688" max="7688" width="41.28515625" style="143" customWidth="1"/>
    <col min="7689" max="7689" width="10.140625" style="143" customWidth="1"/>
    <col min="7690" max="7690" width="6.28515625" style="143" customWidth="1"/>
    <col min="7691" max="7694" width="0" style="143" hidden="1" customWidth="1"/>
    <col min="7695" max="7695" width="12.28515625" style="143" customWidth="1"/>
    <col min="7696" max="7696" width="16.28515625" style="143" customWidth="1"/>
    <col min="7697" max="7697" width="9" style="143"/>
    <col min="7698" max="7705" width="0" style="143" hidden="1" customWidth="1"/>
    <col min="7706" max="7706" width="10.5703125" style="143" bestFit="1" customWidth="1"/>
    <col min="7707" max="7707" width="3.5703125" style="143" bestFit="1" customWidth="1"/>
    <col min="7708" max="7712" width="0" style="143" hidden="1" customWidth="1"/>
    <col min="7713" max="7713" width="41.85546875" style="143" customWidth="1"/>
    <col min="7714" max="7715" width="13.28515625" style="143" customWidth="1"/>
    <col min="7716" max="7716" width="1.42578125" style="143" customWidth="1"/>
    <col min="7717" max="7718" width="13.28515625" style="143" customWidth="1"/>
    <col min="7719" max="7936" width="9" style="143"/>
    <col min="7937" max="7937" width="0" style="143" hidden="1" customWidth="1"/>
    <col min="7938" max="7939" width="4.28515625" style="143" customWidth="1"/>
    <col min="7940" max="7943" width="2.7109375" style="143" customWidth="1"/>
    <col min="7944" max="7944" width="41.28515625" style="143" customWidth="1"/>
    <col min="7945" max="7945" width="10.140625" style="143" customWidth="1"/>
    <col min="7946" max="7946" width="6.28515625" style="143" customWidth="1"/>
    <col min="7947" max="7950" width="0" style="143" hidden="1" customWidth="1"/>
    <col min="7951" max="7951" width="12.28515625" style="143" customWidth="1"/>
    <col min="7952" max="7952" width="16.28515625" style="143" customWidth="1"/>
    <col min="7953" max="7953" width="9" style="143"/>
    <col min="7954" max="7961" width="0" style="143" hidden="1" customWidth="1"/>
    <col min="7962" max="7962" width="10.5703125" style="143" bestFit="1" customWidth="1"/>
    <col min="7963" max="7963" width="3.5703125" style="143" bestFit="1" customWidth="1"/>
    <col min="7964" max="7968" width="0" style="143" hidden="1" customWidth="1"/>
    <col min="7969" max="7969" width="41.85546875" style="143" customWidth="1"/>
    <col min="7970" max="7971" width="13.28515625" style="143" customWidth="1"/>
    <col min="7972" max="7972" width="1.42578125" style="143" customWidth="1"/>
    <col min="7973" max="7974" width="13.28515625" style="143" customWidth="1"/>
    <col min="7975" max="8192" width="9" style="143"/>
    <col min="8193" max="8193" width="0" style="143" hidden="1" customWidth="1"/>
    <col min="8194" max="8195" width="4.28515625" style="143" customWidth="1"/>
    <col min="8196" max="8199" width="2.7109375" style="143" customWidth="1"/>
    <col min="8200" max="8200" width="41.28515625" style="143" customWidth="1"/>
    <col min="8201" max="8201" width="10.140625" style="143" customWidth="1"/>
    <col min="8202" max="8202" width="6.28515625" style="143" customWidth="1"/>
    <col min="8203" max="8206" width="0" style="143" hidden="1" customWidth="1"/>
    <col min="8207" max="8207" width="12.28515625" style="143" customWidth="1"/>
    <col min="8208" max="8208" width="16.28515625" style="143" customWidth="1"/>
    <col min="8209" max="8209" width="9" style="143"/>
    <col min="8210" max="8217" width="0" style="143" hidden="1" customWidth="1"/>
    <col min="8218" max="8218" width="10.5703125" style="143" bestFit="1" customWidth="1"/>
    <col min="8219" max="8219" width="3.5703125" style="143" bestFit="1" customWidth="1"/>
    <col min="8220" max="8224" width="0" style="143" hidden="1" customWidth="1"/>
    <col min="8225" max="8225" width="41.85546875" style="143" customWidth="1"/>
    <col min="8226" max="8227" width="13.28515625" style="143" customWidth="1"/>
    <col min="8228" max="8228" width="1.42578125" style="143" customWidth="1"/>
    <col min="8229" max="8230" width="13.28515625" style="143" customWidth="1"/>
    <col min="8231" max="8448" width="9" style="143"/>
    <col min="8449" max="8449" width="0" style="143" hidden="1" customWidth="1"/>
    <col min="8450" max="8451" width="4.28515625" style="143" customWidth="1"/>
    <col min="8452" max="8455" width="2.7109375" style="143" customWidth="1"/>
    <col min="8456" max="8456" width="41.28515625" style="143" customWidth="1"/>
    <col min="8457" max="8457" width="10.140625" style="143" customWidth="1"/>
    <col min="8458" max="8458" width="6.28515625" style="143" customWidth="1"/>
    <col min="8459" max="8462" width="0" style="143" hidden="1" customWidth="1"/>
    <col min="8463" max="8463" width="12.28515625" style="143" customWidth="1"/>
    <col min="8464" max="8464" width="16.28515625" style="143" customWidth="1"/>
    <col min="8465" max="8465" width="9" style="143"/>
    <col min="8466" max="8473" width="0" style="143" hidden="1" customWidth="1"/>
    <col min="8474" max="8474" width="10.5703125" style="143" bestFit="1" customWidth="1"/>
    <col min="8475" max="8475" width="3.5703125" style="143" bestFit="1" customWidth="1"/>
    <col min="8476" max="8480" width="0" style="143" hidden="1" customWidth="1"/>
    <col min="8481" max="8481" width="41.85546875" style="143" customWidth="1"/>
    <col min="8482" max="8483" width="13.28515625" style="143" customWidth="1"/>
    <col min="8484" max="8484" width="1.42578125" style="143" customWidth="1"/>
    <col min="8485" max="8486" width="13.28515625" style="143" customWidth="1"/>
    <col min="8487" max="8704" width="9" style="143"/>
    <col min="8705" max="8705" width="0" style="143" hidden="1" customWidth="1"/>
    <col min="8706" max="8707" width="4.28515625" style="143" customWidth="1"/>
    <col min="8708" max="8711" width="2.7109375" style="143" customWidth="1"/>
    <col min="8712" max="8712" width="41.28515625" style="143" customWidth="1"/>
    <col min="8713" max="8713" width="10.140625" style="143" customWidth="1"/>
    <col min="8714" max="8714" width="6.28515625" style="143" customWidth="1"/>
    <col min="8715" max="8718" width="0" style="143" hidden="1" customWidth="1"/>
    <col min="8719" max="8719" width="12.28515625" style="143" customWidth="1"/>
    <col min="8720" max="8720" width="16.28515625" style="143" customWidth="1"/>
    <col min="8721" max="8721" width="9" style="143"/>
    <col min="8722" max="8729" width="0" style="143" hidden="1" customWidth="1"/>
    <col min="8730" max="8730" width="10.5703125" style="143" bestFit="1" customWidth="1"/>
    <col min="8731" max="8731" width="3.5703125" style="143" bestFit="1" customWidth="1"/>
    <col min="8732" max="8736" width="0" style="143" hidden="1" customWidth="1"/>
    <col min="8737" max="8737" width="41.85546875" style="143" customWidth="1"/>
    <col min="8738" max="8739" width="13.28515625" style="143" customWidth="1"/>
    <col min="8740" max="8740" width="1.42578125" style="143" customWidth="1"/>
    <col min="8741" max="8742" width="13.28515625" style="143" customWidth="1"/>
    <col min="8743" max="8960" width="9" style="143"/>
    <col min="8961" max="8961" width="0" style="143" hidden="1" customWidth="1"/>
    <col min="8962" max="8963" width="4.28515625" style="143" customWidth="1"/>
    <col min="8964" max="8967" width="2.7109375" style="143" customWidth="1"/>
    <col min="8968" max="8968" width="41.28515625" style="143" customWidth="1"/>
    <col min="8969" max="8969" width="10.140625" style="143" customWidth="1"/>
    <col min="8970" max="8970" width="6.28515625" style="143" customWidth="1"/>
    <col min="8971" max="8974" width="0" style="143" hidden="1" customWidth="1"/>
    <col min="8975" max="8975" width="12.28515625" style="143" customWidth="1"/>
    <col min="8976" max="8976" width="16.28515625" style="143" customWidth="1"/>
    <col min="8977" max="8977" width="9" style="143"/>
    <col min="8978" max="8985" width="0" style="143" hidden="1" customWidth="1"/>
    <col min="8986" max="8986" width="10.5703125" style="143" bestFit="1" customWidth="1"/>
    <col min="8987" max="8987" width="3.5703125" style="143" bestFit="1" customWidth="1"/>
    <col min="8988" max="8992" width="0" style="143" hidden="1" customWidth="1"/>
    <col min="8993" max="8993" width="41.85546875" style="143" customWidth="1"/>
    <col min="8994" max="8995" width="13.28515625" style="143" customWidth="1"/>
    <col min="8996" max="8996" width="1.42578125" style="143" customWidth="1"/>
    <col min="8997" max="8998" width="13.28515625" style="143" customWidth="1"/>
    <col min="8999" max="9216" width="9" style="143"/>
    <col min="9217" max="9217" width="0" style="143" hidden="1" customWidth="1"/>
    <col min="9218" max="9219" width="4.28515625" style="143" customWidth="1"/>
    <col min="9220" max="9223" width="2.7109375" style="143" customWidth="1"/>
    <col min="9224" max="9224" width="41.28515625" style="143" customWidth="1"/>
    <col min="9225" max="9225" width="10.140625" style="143" customWidth="1"/>
    <col min="9226" max="9226" width="6.28515625" style="143" customWidth="1"/>
    <col min="9227" max="9230" width="0" style="143" hidden="1" customWidth="1"/>
    <col min="9231" max="9231" width="12.28515625" style="143" customWidth="1"/>
    <col min="9232" max="9232" width="16.28515625" style="143" customWidth="1"/>
    <col min="9233" max="9233" width="9" style="143"/>
    <col min="9234" max="9241" width="0" style="143" hidden="1" customWidth="1"/>
    <col min="9242" max="9242" width="10.5703125" style="143" bestFit="1" customWidth="1"/>
    <col min="9243" max="9243" width="3.5703125" style="143" bestFit="1" customWidth="1"/>
    <col min="9244" max="9248" width="0" style="143" hidden="1" customWidth="1"/>
    <col min="9249" max="9249" width="41.85546875" style="143" customWidth="1"/>
    <col min="9250" max="9251" width="13.28515625" style="143" customWidth="1"/>
    <col min="9252" max="9252" width="1.42578125" style="143" customWidth="1"/>
    <col min="9253" max="9254" width="13.28515625" style="143" customWidth="1"/>
    <col min="9255" max="9472" width="9" style="143"/>
    <col min="9473" max="9473" width="0" style="143" hidden="1" customWidth="1"/>
    <col min="9474" max="9475" width="4.28515625" style="143" customWidth="1"/>
    <col min="9476" max="9479" width="2.7109375" style="143" customWidth="1"/>
    <col min="9480" max="9480" width="41.28515625" style="143" customWidth="1"/>
    <col min="9481" max="9481" width="10.140625" style="143" customWidth="1"/>
    <col min="9482" max="9482" width="6.28515625" style="143" customWidth="1"/>
    <col min="9483" max="9486" width="0" style="143" hidden="1" customWidth="1"/>
    <col min="9487" max="9487" width="12.28515625" style="143" customWidth="1"/>
    <col min="9488" max="9488" width="16.28515625" style="143" customWidth="1"/>
    <col min="9489" max="9489" width="9" style="143"/>
    <col min="9490" max="9497" width="0" style="143" hidden="1" customWidth="1"/>
    <col min="9498" max="9498" width="10.5703125" style="143" bestFit="1" customWidth="1"/>
    <col min="9499" max="9499" width="3.5703125" style="143" bestFit="1" customWidth="1"/>
    <col min="9500" max="9504" width="0" style="143" hidden="1" customWidth="1"/>
    <col min="9505" max="9505" width="41.85546875" style="143" customWidth="1"/>
    <col min="9506" max="9507" width="13.28515625" style="143" customWidth="1"/>
    <col min="9508" max="9508" width="1.42578125" style="143" customWidth="1"/>
    <col min="9509" max="9510" width="13.28515625" style="143" customWidth="1"/>
    <col min="9511" max="9728" width="9" style="143"/>
    <col min="9729" max="9729" width="0" style="143" hidden="1" customWidth="1"/>
    <col min="9730" max="9731" width="4.28515625" style="143" customWidth="1"/>
    <col min="9732" max="9735" width="2.7109375" style="143" customWidth="1"/>
    <col min="9736" max="9736" width="41.28515625" style="143" customWidth="1"/>
    <col min="9737" max="9737" width="10.140625" style="143" customWidth="1"/>
    <col min="9738" max="9738" width="6.28515625" style="143" customWidth="1"/>
    <col min="9739" max="9742" width="0" style="143" hidden="1" customWidth="1"/>
    <col min="9743" max="9743" width="12.28515625" style="143" customWidth="1"/>
    <col min="9744" max="9744" width="16.28515625" style="143" customWidth="1"/>
    <col min="9745" max="9745" width="9" style="143"/>
    <col min="9746" max="9753" width="0" style="143" hidden="1" customWidth="1"/>
    <col min="9754" max="9754" width="10.5703125" style="143" bestFit="1" customWidth="1"/>
    <col min="9755" max="9755" width="3.5703125" style="143" bestFit="1" customWidth="1"/>
    <col min="9756" max="9760" width="0" style="143" hidden="1" customWidth="1"/>
    <col min="9761" max="9761" width="41.85546875" style="143" customWidth="1"/>
    <col min="9762" max="9763" width="13.28515625" style="143" customWidth="1"/>
    <col min="9764" max="9764" width="1.42578125" style="143" customWidth="1"/>
    <col min="9765" max="9766" width="13.28515625" style="143" customWidth="1"/>
    <col min="9767" max="9984" width="9" style="143"/>
    <col min="9985" max="9985" width="0" style="143" hidden="1" customWidth="1"/>
    <col min="9986" max="9987" width="4.28515625" style="143" customWidth="1"/>
    <col min="9988" max="9991" width="2.7109375" style="143" customWidth="1"/>
    <col min="9992" max="9992" width="41.28515625" style="143" customWidth="1"/>
    <col min="9993" max="9993" width="10.140625" style="143" customWidth="1"/>
    <col min="9994" max="9994" width="6.28515625" style="143" customWidth="1"/>
    <col min="9995" max="9998" width="0" style="143" hidden="1" customWidth="1"/>
    <col min="9999" max="9999" width="12.28515625" style="143" customWidth="1"/>
    <col min="10000" max="10000" width="16.28515625" style="143" customWidth="1"/>
    <col min="10001" max="10001" width="9" style="143"/>
    <col min="10002" max="10009" width="0" style="143" hidden="1" customWidth="1"/>
    <col min="10010" max="10010" width="10.5703125" style="143" bestFit="1" customWidth="1"/>
    <col min="10011" max="10011" width="3.5703125" style="143" bestFit="1" customWidth="1"/>
    <col min="10012" max="10016" width="0" style="143" hidden="1" customWidth="1"/>
    <col min="10017" max="10017" width="41.85546875" style="143" customWidth="1"/>
    <col min="10018" max="10019" width="13.28515625" style="143" customWidth="1"/>
    <col min="10020" max="10020" width="1.42578125" style="143" customWidth="1"/>
    <col min="10021" max="10022" width="13.28515625" style="143" customWidth="1"/>
    <col min="10023" max="10240" width="9" style="143"/>
    <col min="10241" max="10241" width="0" style="143" hidden="1" customWidth="1"/>
    <col min="10242" max="10243" width="4.28515625" style="143" customWidth="1"/>
    <col min="10244" max="10247" width="2.7109375" style="143" customWidth="1"/>
    <col min="10248" max="10248" width="41.28515625" style="143" customWidth="1"/>
    <col min="10249" max="10249" width="10.140625" style="143" customWidth="1"/>
    <col min="10250" max="10250" width="6.28515625" style="143" customWidth="1"/>
    <col min="10251" max="10254" width="0" style="143" hidden="1" customWidth="1"/>
    <col min="10255" max="10255" width="12.28515625" style="143" customWidth="1"/>
    <col min="10256" max="10256" width="16.28515625" style="143" customWidth="1"/>
    <col min="10257" max="10257" width="9" style="143"/>
    <col min="10258" max="10265" width="0" style="143" hidden="1" customWidth="1"/>
    <col min="10266" max="10266" width="10.5703125" style="143" bestFit="1" customWidth="1"/>
    <col min="10267" max="10267" width="3.5703125" style="143" bestFit="1" customWidth="1"/>
    <col min="10268" max="10272" width="0" style="143" hidden="1" customWidth="1"/>
    <col min="10273" max="10273" width="41.85546875" style="143" customWidth="1"/>
    <col min="10274" max="10275" width="13.28515625" style="143" customWidth="1"/>
    <col min="10276" max="10276" width="1.42578125" style="143" customWidth="1"/>
    <col min="10277" max="10278" width="13.28515625" style="143" customWidth="1"/>
    <col min="10279" max="10496" width="9" style="143"/>
    <col min="10497" max="10497" width="0" style="143" hidden="1" customWidth="1"/>
    <col min="10498" max="10499" width="4.28515625" style="143" customWidth="1"/>
    <col min="10500" max="10503" width="2.7109375" style="143" customWidth="1"/>
    <col min="10504" max="10504" width="41.28515625" style="143" customWidth="1"/>
    <col min="10505" max="10505" width="10.140625" style="143" customWidth="1"/>
    <col min="10506" max="10506" width="6.28515625" style="143" customWidth="1"/>
    <col min="10507" max="10510" width="0" style="143" hidden="1" customWidth="1"/>
    <col min="10511" max="10511" width="12.28515625" style="143" customWidth="1"/>
    <col min="10512" max="10512" width="16.28515625" style="143" customWidth="1"/>
    <col min="10513" max="10513" width="9" style="143"/>
    <col min="10514" max="10521" width="0" style="143" hidden="1" customWidth="1"/>
    <col min="10522" max="10522" width="10.5703125" style="143" bestFit="1" customWidth="1"/>
    <col min="10523" max="10523" width="3.5703125" style="143" bestFit="1" customWidth="1"/>
    <col min="10524" max="10528" width="0" style="143" hidden="1" customWidth="1"/>
    <col min="10529" max="10529" width="41.85546875" style="143" customWidth="1"/>
    <col min="10530" max="10531" width="13.28515625" style="143" customWidth="1"/>
    <col min="10532" max="10532" width="1.42578125" style="143" customWidth="1"/>
    <col min="10533" max="10534" width="13.28515625" style="143" customWidth="1"/>
    <col min="10535" max="10752" width="9" style="143"/>
    <col min="10753" max="10753" width="0" style="143" hidden="1" customWidth="1"/>
    <col min="10754" max="10755" width="4.28515625" style="143" customWidth="1"/>
    <col min="10756" max="10759" width="2.7109375" style="143" customWidth="1"/>
    <col min="10760" max="10760" width="41.28515625" style="143" customWidth="1"/>
    <col min="10761" max="10761" width="10.140625" style="143" customWidth="1"/>
    <col min="10762" max="10762" width="6.28515625" style="143" customWidth="1"/>
    <col min="10763" max="10766" width="0" style="143" hidden="1" customWidth="1"/>
    <col min="10767" max="10767" width="12.28515625" style="143" customWidth="1"/>
    <col min="10768" max="10768" width="16.28515625" style="143" customWidth="1"/>
    <col min="10769" max="10769" width="9" style="143"/>
    <col min="10770" max="10777" width="0" style="143" hidden="1" customWidth="1"/>
    <col min="10778" max="10778" width="10.5703125" style="143" bestFit="1" customWidth="1"/>
    <col min="10779" max="10779" width="3.5703125" style="143" bestFit="1" customWidth="1"/>
    <col min="10780" max="10784" width="0" style="143" hidden="1" customWidth="1"/>
    <col min="10785" max="10785" width="41.85546875" style="143" customWidth="1"/>
    <col min="10786" max="10787" width="13.28515625" style="143" customWidth="1"/>
    <col min="10788" max="10788" width="1.42578125" style="143" customWidth="1"/>
    <col min="10789" max="10790" width="13.28515625" style="143" customWidth="1"/>
    <col min="10791" max="11008" width="9" style="143"/>
    <col min="11009" max="11009" width="0" style="143" hidden="1" customWidth="1"/>
    <col min="11010" max="11011" width="4.28515625" style="143" customWidth="1"/>
    <col min="11012" max="11015" width="2.7109375" style="143" customWidth="1"/>
    <col min="11016" max="11016" width="41.28515625" style="143" customWidth="1"/>
    <col min="11017" max="11017" width="10.140625" style="143" customWidth="1"/>
    <col min="11018" max="11018" width="6.28515625" style="143" customWidth="1"/>
    <col min="11019" max="11022" width="0" style="143" hidden="1" customWidth="1"/>
    <col min="11023" max="11023" width="12.28515625" style="143" customWidth="1"/>
    <col min="11024" max="11024" width="16.28515625" style="143" customWidth="1"/>
    <col min="11025" max="11025" width="9" style="143"/>
    <col min="11026" max="11033" width="0" style="143" hidden="1" customWidth="1"/>
    <col min="11034" max="11034" width="10.5703125" style="143" bestFit="1" customWidth="1"/>
    <col min="11035" max="11035" width="3.5703125" style="143" bestFit="1" customWidth="1"/>
    <col min="11036" max="11040" width="0" style="143" hidden="1" customWidth="1"/>
    <col min="11041" max="11041" width="41.85546875" style="143" customWidth="1"/>
    <col min="11042" max="11043" width="13.28515625" style="143" customWidth="1"/>
    <col min="11044" max="11044" width="1.42578125" style="143" customWidth="1"/>
    <col min="11045" max="11046" width="13.28515625" style="143" customWidth="1"/>
    <col min="11047" max="11264" width="9" style="143"/>
    <col min="11265" max="11265" width="0" style="143" hidden="1" customWidth="1"/>
    <col min="11266" max="11267" width="4.28515625" style="143" customWidth="1"/>
    <col min="11268" max="11271" width="2.7109375" style="143" customWidth="1"/>
    <col min="11272" max="11272" width="41.28515625" style="143" customWidth="1"/>
    <col min="11273" max="11273" width="10.140625" style="143" customWidth="1"/>
    <col min="11274" max="11274" width="6.28515625" style="143" customWidth="1"/>
    <col min="11275" max="11278" width="0" style="143" hidden="1" customWidth="1"/>
    <col min="11279" max="11279" width="12.28515625" style="143" customWidth="1"/>
    <col min="11280" max="11280" width="16.28515625" style="143" customWidth="1"/>
    <col min="11281" max="11281" width="9" style="143"/>
    <col min="11282" max="11289" width="0" style="143" hidden="1" customWidth="1"/>
    <col min="11290" max="11290" width="10.5703125" style="143" bestFit="1" customWidth="1"/>
    <col min="11291" max="11291" width="3.5703125" style="143" bestFit="1" customWidth="1"/>
    <col min="11292" max="11296" width="0" style="143" hidden="1" customWidth="1"/>
    <col min="11297" max="11297" width="41.85546875" style="143" customWidth="1"/>
    <col min="11298" max="11299" width="13.28515625" style="143" customWidth="1"/>
    <col min="11300" max="11300" width="1.42578125" style="143" customWidth="1"/>
    <col min="11301" max="11302" width="13.28515625" style="143" customWidth="1"/>
    <col min="11303" max="11520" width="9" style="143"/>
    <col min="11521" max="11521" width="0" style="143" hidden="1" customWidth="1"/>
    <col min="11522" max="11523" width="4.28515625" style="143" customWidth="1"/>
    <col min="11524" max="11527" width="2.7109375" style="143" customWidth="1"/>
    <col min="11528" max="11528" width="41.28515625" style="143" customWidth="1"/>
    <col min="11529" max="11529" width="10.140625" style="143" customWidth="1"/>
    <col min="11530" max="11530" width="6.28515625" style="143" customWidth="1"/>
    <col min="11531" max="11534" width="0" style="143" hidden="1" customWidth="1"/>
    <col min="11535" max="11535" width="12.28515625" style="143" customWidth="1"/>
    <col min="11536" max="11536" width="16.28515625" style="143" customWidth="1"/>
    <col min="11537" max="11537" width="9" style="143"/>
    <col min="11538" max="11545" width="0" style="143" hidden="1" customWidth="1"/>
    <col min="11546" max="11546" width="10.5703125" style="143" bestFit="1" customWidth="1"/>
    <col min="11547" max="11547" width="3.5703125" style="143" bestFit="1" customWidth="1"/>
    <col min="11548" max="11552" width="0" style="143" hidden="1" customWidth="1"/>
    <col min="11553" max="11553" width="41.85546875" style="143" customWidth="1"/>
    <col min="11554" max="11555" width="13.28515625" style="143" customWidth="1"/>
    <col min="11556" max="11556" width="1.42578125" style="143" customWidth="1"/>
    <col min="11557" max="11558" width="13.28515625" style="143" customWidth="1"/>
    <col min="11559" max="11776" width="9" style="143"/>
    <col min="11777" max="11777" width="0" style="143" hidden="1" customWidth="1"/>
    <col min="11778" max="11779" width="4.28515625" style="143" customWidth="1"/>
    <col min="11780" max="11783" width="2.7109375" style="143" customWidth="1"/>
    <col min="11784" max="11784" width="41.28515625" style="143" customWidth="1"/>
    <col min="11785" max="11785" width="10.140625" style="143" customWidth="1"/>
    <col min="11786" max="11786" width="6.28515625" style="143" customWidth="1"/>
    <col min="11787" max="11790" width="0" style="143" hidden="1" customWidth="1"/>
    <col min="11791" max="11791" width="12.28515625" style="143" customWidth="1"/>
    <col min="11792" max="11792" width="16.28515625" style="143" customWidth="1"/>
    <col min="11793" max="11793" width="9" style="143"/>
    <col min="11794" max="11801" width="0" style="143" hidden="1" customWidth="1"/>
    <col min="11802" max="11802" width="10.5703125" style="143" bestFit="1" customWidth="1"/>
    <col min="11803" max="11803" width="3.5703125" style="143" bestFit="1" customWidth="1"/>
    <col min="11804" max="11808" width="0" style="143" hidden="1" customWidth="1"/>
    <col min="11809" max="11809" width="41.85546875" style="143" customWidth="1"/>
    <col min="11810" max="11811" width="13.28515625" style="143" customWidth="1"/>
    <col min="11812" max="11812" width="1.42578125" style="143" customWidth="1"/>
    <col min="11813" max="11814" width="13.28515625" style="143" customWidth="1"/>
    <col min="11815" max="12032" width="9" style="143"/>
    <col min="12033" max="12033" width="0" style="143" hidden="1" customWidth="1"/>
    <col min="12034" max="12035" width="4.28515625" style="143" customWidth="1"/>
    <col min="12036" max="12039" width="2.7109375" style="143" customWidth="1"/>
    <col min="12040" max="12040" width="41.28515625" style="143" customWidth="1"/>
    <col min="12041" max="12041" width="10.140625" style="143" customWidth="1"/>
    <col min="12042" max="12042" width="6.28515625" style="143" customWidth="1"/>
    <col min="12043" max="12046" width="0" style="143" hidden="1" customWidth="1"/>
    <col min="12047" max="12047" width="12.28515625" style="143" customWidth="1"/>
    <col min="12048" max="12048" width="16.28515625" style="143" customWidth="1"/>
    <col min="12049" max="12049" width="9" style="143"/>
    <col min="12050" max="12057" width="0" style="143" hidden="1" customWidth="1"/>
    <col min="12058" max="12058" width="10.5703125" style="143" bestFit="1" customWidth="1"/>
    <col min="12059" max="12059" width="3.5703125" style="143" bestFit="1" customWidth="1"/>
    <col min="12060" max="12064" width="0" style="143" hidden="1" customWidth="1"/>
    <col min="12065" max="12065" width="41.85546875" style="143" customWidth="1"/>
    <col min="12066" max="12067" width="13.28515625" style="143" customWidth="1"/>
    <col min="12068" max="12068" width="1.42578125" style="143" customWidth="1"/>
    <col min="12069" max="12070" width="13.28515625" style="143" customWidth="1"/>
    <col min="12071" max="12288" width="9" style="143"/>
    <col min="12289" max="12289" width="0" style="143" hidden="1" customWidth="1"/>
    <col min="12290" max="12291" width="4.28515625" style="143" customWidth="1"/>
    <col min="12292" max="12295" width="2.7109375" style="143" customWidth="1"/>
    <col min="12296" max="12296" width="41.28515625" style="143" customWidth="1"/>
    <col min="12297" max="12297" width="10.140625" style="143" customWidth="1"/>
    <col min="12298" max="12298" width="6.28515625" style="143" customWidth="1"/>
    <col min="12299" max="12302" width="0" style="143" hidden="1" customWidth="1"/>
    <col min="12303" max="12303" width="12.28515625" style="143" customWidth="1"/>
    <col min="12304" max="12304" width="16.28515625" style="143" customWidth="1"/>
    <col min="12305" max="12305" width="9" style="143"/>
    <col min="12306" max="12313" width="0" style="143" hidden="1" customWidth="1"/>
    <col min="12314" max="12314" width="10.5703125" style="143" bestFit="1" customWidth="1"/>
    <col min="12315" max="12315" width="3.5703125" style="143" bestFit="1" customWidth="1"/>
    <col min="12316" max="12320" width="0" style="143" hidden="1" customWidth="1"/>
    <col min="12321" max="12321" width="41.85546875" style="143" customWidth="1"/>
    <col min="12322" max="12323" width="13.28515625" style="143" customWidth="1"/>
    <col min="12324" max="12324" width="1.42578125" style="143" customWidth="1"/>
    <col min="12325" max="12326" width="13.28515625" style="143" customWidth="1"/>
    <col min="12327" max="12544" width="9" style="143"/>
    <col min="12545" max="12545" width="0" style="143" hidden="1" customWidth="1"/>
    <col min="12546" max="12547" width="4.28515625" style="143" customWidth="1"/>
    <col min="12548" max="12551" width="2.7109375" style="143" customWidth="1"/>
    <col min="12552" max="12552" width="41.28515625" style="143" customWidth="1"/>
    <col min="12553" max="12553" width="10.140625" style="143" customWidth="1"/>
    <col min="12554" max="12554" width="6.28515625" style="143" customWidth="1"/>
    <col min="12555" max="12558" width="0" style="143" hidden="1" customWidth="1"/>
    <col min="12559" max="12559" width="12.28515625" style="143" customWidth="1"/>
    <col min="12560" max="12560" width="16.28515625" style="143" customWidth="1"/>
    <col min="12561" max="12561" width="9" style="143"/>
    <col min="12562" max="12569" width="0" style="143" hidden="1" customWidth="1"/>
    <col min="12570" max="12570" width="10.5703125" style="143" bestFit="1" customWidth="1"/>
    <col min="12571" max="12571" width="3.5703125" style="143" bestFit="1" customWidth="1"/>
    <col min="12572" max="12576" width="0" style="143" hidden="1" customWidth="1"/>
    <col min="12577" max="12577" width="41.85546875" style="143" customWidth="1"/>
    <col min="12578" max="12579" width="13.28515625" style="143" customWidth="1"/>
    <col min="12580" max="12580" width="1.42578125" style="143" customWidth="1"/>
    <col min="12581" max="12582" width="13.28515625" style="143" customWidth="1"/>
    <col min="12583" max="12800" width="9" style="143"/>
    <col min="12801" max="12801" width="0" style="143" hidden="1" customWidth="1"/>
    <col min="12802" max="12803" width="4.28515625" style="143" customWidth="1"/>
    <col min="12804" max="12807" width="2.7109375" style="143" customWidth="1"/>
    <col min="12808" max="12808" width="41.28515625" style="143" customWidth="1"/>
    <col min="12809" max="12809" width="10.140625" style="143" customWidth="1"/>
    <col min="12810" max="12810" width="6.28515625" style="143" customWidth="1"/>
    <col min="12811" max="12814" width="0" style="143" hidden="1" customWidth="1"/>
    <col min="12815" max="12815" width="12.28515625" style="143" customWidth="1"/>
    <col min="12816" max="12816" width="16.28515625" style="143" customWidth="1"/>
    <col min="12817" max="12817" width="9" style="143"/>
    <col min="12818" max="12825" width="0" style="143" hidden="1" customWidth="1"/>
    <col min="12826" max="12826" width="10.5703125" style="143" bestFit="1" customWidth="1"/>
    <col min="12827" max="12827" width="3.5703125" style="143" bestFit="1" customWidth="1"/>
    <col min="12828" max="12832" width="0" style="143" hidden="1" customWidth="1"/>
    <col min="12833" max="12833" width="41.85546875" style="143" customWidth="1"/>
    <col min="12834" max="12835" width="13.28515625" style="143" customWidth="1"/>
    <col min="12836" max="12836" width="1.42578125" style="143" customWidth="1"/>
    <col min="12837" max="12838" width="13.28515625" style="143" customWidth="1"/>
    <col min="12839" max="13056" width="9" style="143"/>
    <col min="13057" max="13057" width="0" style="143" hidden="1" customWidth="1"/>
    <col min="13058" max="13059" width="4.28515625" style="143" customWidth="1"/>
    <col min="13060" max="13063" width="2.7109375" style="143" customWidth="1"/>
    <col min="13064" max="13064" width="41.28515625" style="143" customWidth="1"/>
    <col min="13065" max="13065" width="10.140625" style="143" customWidth="1"/>
    <col min="13066" max="13066" width="6.28515625" style="143" customWidth="1"/>
    <col min="13067" max="13070" width="0" style="143" hidden="1" customWidth="1"/>
    <col min="13071" max="13071" width="12.28515625" style="143" customWidth="1"/>
    <col min="13072" max="13072" width="16.28515625" style="143" customWidth="1"/>
    <col min="13073" max="13073" width="9" style="143"/>
    <col min="13074" max="13081" width="0" style="143" hidden="1" customWidth="1"/>
    <col min="13082" max="13082" width="10.5703125" style="143" bestFit="1" customWidth="1"/>
    <col min="13083" max="13083" width="3.5703125" style="143" bestFit="1" customWidth="1"/>
    <col min="13084" max="13088" width="0" style="143" hidden="1" customWidth="1"/>
    <col min="13089" max="13089" width="41.85546875" style="143" customWidth="1"/>
    <col min="13090" max="13091" width="13.28515625" style="143" customWidth="1"/>
    <col min="13092" max="13092" width="1.42578125" style="143" customWidth="1"/>
    <col min="13093" max="13094" width="13.28515625" style="143" customWidth="1"/>
    <col min="13095" max="13312" width="9" style="143"/>
    <col min="13313" max="13313" width="0" style="143" hidden="1" customWidth="1"/>
    <col min="13314" max="13315" width="4.28515625" style="143" customWidth="1"/>
    <col min="13316" max="13319" width="2.7109375" style="143" customWidth="1"/>
    <col min="13320" max="13320" width="41.28515625" style="143" customWidth="1"/>
    <col min="13321" max="13321" width="10.140625" style="143" customWidth="1"/>
    <col min="13322" max="13322" width="6.28515625" style="143" customWidth="1"/>
    <col min="13323" max="13326" width="0" style="143" hidden="1" customWidth="1"/>
    <col min="13327" max="13327" width="12.28515625" style="143" customWidth="1"/>
    <col min="13328" max="13328" width="16.28515625" style="143" customWidth="1"/>
    <col min="13329" max="13329" width="9" style="143"/>
    <col min="13330" max="13337" width="0" style="143" hidden="1" customWidth="1"/>
    <col min="13338" max="13338" width="10.5703125" style="143" bestFit="1" customWidth="1"/>
    <col min="13339" max="13339" width="3.5703125" style="143" bestFit="1" customWidth="1"/>
    <col min="13340" max="13344" width="0" style="143" hidden="1" customWidth="1"/>
    <col min="13345" max="13345" width="41.85546875" style="143" customWidth="1"/>
    <col min="13346" max="13347" width="13.28515625" style="143" customWidth="1"/>
    <col min="13348" max="13348" width="1.42578125" style="143" customWidth="1"/>
    <col min="13349" max="13350" width="13.28515625" style="143" customWidth="1"/>
    <col min="13351" max="13568" width="9" style="143"/>
    <col min="13569" max="13569" width="0" style="143" hidden="1" customWidth="1"/>
    <col min="13570" max="13571" width="4.28515625" style="143" customWidth="1"/>
    <col min="13572" max="13575" width="2.7109375" style="143" customWidth="1"/>
    <col min="13576" max="13576" width="41.28515625" style="143" customWidth="1"/>
    <col min="13577" max="13577" width="10.140625" style="143" customWidth="1"/>
    <col min="13578" max="13578" width="6.28515625" style="143" customWidth="1"/>
    <col min="13579" max="13582" width="0" style="143" hidden="1" customWidth="1"/>
    <col min="13583" max="13583" width="12.28515625" style="143" customWidth="1"/>
    <col min="13584" max="13584" width="16.28515625" style="143" customWidth="1"/>
    <col min="13585" max="13585" width="9" style="143"/>
    <col min="13586" max="13593" width="0" style="143" hidden="1" customWidth="1"/>
    <col min="13594" max="13594" width="10.5703125" style="143" bestFit="1" customWidth="1"/>
    <col min="13595" max="13595" width="3.5703125" style="143" bestFit="1" customWidth="1"/>
    <col min="13596" max="13600" width="0" style="143" hidden="1" customWidth="1"/>
    <col min="13601" max="13601" width="41.85546875" style="143" customWidth="1"/>
    <col min="13602" max="13603" width="13.28515625" style="143" customWidth="1"/>
    <col min="13604" max="13604" width="1.42578125" style="143" customWidth="1"/>
    <col min="13605" max="13606" width="13.28515625" style="143" customWidth="1"/>
    <col min="13607" max="13824" width="9" style="143"/>
    <col min="13825" max="13825" width="0" style="143" hidden="1" customWidth="1"/>
    <col min="13826" max="13827" width="4.28515625" style="143" customWidth="1"/>
    <col min="13828" max="13831" width="2.7109375" style="143" customWidth="1"/>
    <col min="13832" max="13832" width="41.28515625" style="143" customWidth="1"/>
    <col min="13833" max="13833" width="10.140625" style="143" customWidth="1"/>
    <col min="13834" max="13834" width="6.28515625" style="143" customWidth="1"/>
    <col min="13835" max="13838" width="0" style="143" hidden="1" customWidth="1"/>
    <col min="13839" max="13839" width="12.28515625" style="143" customWidth="1"/>
    <col min="13840" max="13840" width="16.28515625" style="143" customWidth="1"/>
    <col min="13841" max="13841" width="9" style="143"/>
    <col min="13842" max="13849" width="0" style="143" hidden="1" customWidth="1"/>
    <col min="13850" max="13850" width="10.5703125" style="143" bestFit="1" customWidth="1"/>
    <col min="13851" max="13851" width="3.5703125" style="143" bestFit="1" customWidth="1"/>
    <col min="13852" max="13856" width="0" style="143" hidden="1" customWidth="1"/>
    <col min="13857" max="13857" width="41.85546875" style="143" customWidth="1"/>
    <col min="13858" max="13859" width="13.28515625" style="143" customWidth="1"/>
    <col min="13860" max="13860" width="1.42578125" style="143" customWidth="1"/>
    <col min="13861" max="13862" width="13.28515625" style="143" customWidth="1"/>
    <col min="13863" max="14080" width="9" style="143"/>
    <col min="14081" max="14081" width="0" style="143" hidden="1" customWidth="1"/>
    <col min="14082" max="14083" width="4.28515625" style="143" customWidth="1"/>
    <col min="14084" max="14087" width="2.7109375" style="143" customWidth="1"/>
    <col min="14088" max="14088" width="41.28515625" style="143" customWidth="1"/>
    <col min="14089" max="14089" width="10.140625" style="143" customWidth="1"/>
    <col min="14090" max="14090" width="6.28515625" style="143" customWidth="1"/>
    <col min="14091" max="14094" width="0" style="143" hidden="1" customWidth="1"/>
    <col min="14095" max="14095" width="12.28515625" style="143" customWidth="1"/>
    <col min="14096" max="14096" width="16.28515625" style="143" customWidth="1"/>
    <col min="14097" max="14097" width="9" style="143"/>
    <col min="14098" max="14105" width="0" style="143" hidden="1" customWidth="1"/>
    <col min="14106" max="14106" width="10.5703125" style="143" bestFit="1" customWidth="1"/>
    <col min="14107" max="14107" width="3.5703125" style="143" bestFit="1" customWidth="1"/>
    <col min="14108" max="14112" width="0" style="143" hidden="1" customWidth="1"/>
    <col min="14113" max="14113" width="41.85546875" style="143" customWidth="1"/>
    <col min="14114" max="14115" width="13.28515625" style="143" customWidth="1"/>
    <col min="14116" max="14116" width="1.42578125" style="143" customWidth="1"/>
    <col min="14117" max="14118" width="13.28515625" style="143" customWidth="1"/>
    <col min="14119" max="14336" width="9" style="143"/>
    <col min="14337" max="14337" width="0" style="143" hidden="1" customWidth="1"/>
    <col min="14338" max="14339" width="4.28515625" style="143" customWidth="1"/>
    <col min="14340" max="14343" width="2.7109375" style="143" customWidth="1"/>
    <col min="14344" max="14344" width="41.28515625" style="143" customWidth="1"/>
    <col min="14345" max="14345" width="10.140625" style="143" customWidth="1"/>
    <col min="14346" max="14346" width="6.28515625" style="143" customWidth="1"/>
    <col min="14347" max="14350" width="0" style="143" hidden="1" customWidth="1"/>
    <col min="14351" max="14351" width="12.28515625" style="143" customWidth="1"/>
    <col min="14352" max="14352" width="16.28515625" style="143" customWidth="1"/>
    <col min="14353" max="14353" width="9" style="143"/>
    <col min="14354" max="14361" width="0" style="143" hidden="1" customWidth="1"/>
    <col min="14362" max="14362" width="10.5703125" style="143" bestFit="1" customWidth="1"/>
    <col min="14363" max="14363" width="3.5703125" style="143" bestFit="1" customWidth="1"/>
    <col min="14364" max="14368" width="0" style="143" hidden="1" customWidth="1"/>
    <col min="14369" max="14369" width="41.85546875" style="143" customWidth="1"/>
    <col min="14370" max="14371" width="13.28515625" style="143" customWidth="1"/>
    <col min="14372" max="14372" width="1.42578125" style="143" customWidth="1"/>
    <col min="14373" max="14374" width="13.28515625" style="143" customWidth="1"/>
    <col min="14375" max="14592" width="9" style="143"/>
    <col min="14593" max="14593" width="0" style="143" hidden="1" customWidth="1"/>
    <col min="14594" max="14595" width="4.28515625" style="143" customWidth="1"/>
    <col min="14596" max="14599" width="2.7109375" style="143" customWidth="1"/>
    <col min="14600" max="14600" width="41.28515625" style="143" customWidth="1"/>
    <col min="14601" max="14601" width="10.140625" style="143" customWidth="1"/>
    <col min="14602" max="14602" width="6.28515625" style="143" customWidth="1"/>
    <col min="14603" max="14606" width="0" style="143" hidden="1" customWidth="1"/>
    <col min="14607" max="14607" width="12.28515625" style="143" customWidth="1"/>
    <col min="14608" max="14608" width="16.28515625" style="143" customWidth="1"/>
    <col min="14609" max="14609" width="9" style="143"/>
    <col min="14610" max="14617" width="0" style="143" hidden="1" customWidth="1"/>
    <col min="14618" max="14618" width="10.5703125" style="143" bestFit="1" customWidth="1"/>
    <col min="14619" max="14619" width="3.5703125" style="143" bestFit="1" customWidth="1"/>
    <col min="14620" max="14624" width="0" style="143" hidden="1" customWidth="1"/>
    <col min="14625" max="14625" width="41.85546875" style="143" customWidth="1"/>
    <col min="14626" max="14627" width="13.28515625" style="143" customWidth="1"/>
    <col min="14628" max="14628" width="1.42578125" style="143" customWidth="1"/>
    <col min="14629" max="14630" width="13.28515625" style="143" customWidth="1"/>
    <col min="14631" max="14848" width="9" style="143"/>
    <col min="14849" max="14849" width="0" style="143" hidden="1" customWidth="1"/>
    <col min="14850" max="14851" width="4.28515625" style="143" customWidth="1"/>
    <col min="14852" max="14855" width="2.7109375" style="143" customWidth="1"/>
    <col min="14856" max="14856" width="41.28515625" style="143" customWidth="1"/>
    <col min="14857" max="14857" width="10.140625" style="143" customWidth="1"/>
    <col min="14858" max="14858" width="6.28515625" style="143" customWidth="1"/>
    <col min="14859" max="14862" width="0" style="143" hidden="1" customWidth="1"/>
    <col min="14863" max="14863" width="12.28515625" style="143" customWidth="1"/>
    <col min="14864" max="14864" width="16.28515625" style="143" customWidth="1"/>
    <col min="14865" max="14865" width="9" style="143"/>
    <col min="14866" max="14873" width="0" style="143" hidden="1" customWidth="1"/>
    <col min="14874" max="14874" width="10.5703125" style="143" bestFit="1" customWidth="1"/>
    <col min="14875" max="14875" width="3.5703125" style="143" bestFit="1" customWidth="1"/>
    <col min="14876" max="14880" width="0" style="143" hidden="1" customWidth="1"/>
    <col min="14881" max="14881" width="41.85546875" style="143" customWidth="1"/>
    <col min="14882" max="14883" width="13.28515625" style="143" customWidth="1"/>
    <col min="14884" max="14884" width="1.42578125" style="143" customWidth="1"/>
    <col min="14885" max="14886" width="13.28515625" style="143" customWidth="1"/>
    <col min="14887" max="15104" width="9" style="143"/>
    <col min="15105" max="15105" width="0" style="143" hidden="1" customWidth="1"/>
    <col min="15106" max="15107" width="4.28515625" style="143" customWidth="1"/>
    <col min="15108" max="15111" width="2.7109375" style="143" customWidth="1"/>
    <col min="15112" max="15112" width="41.28515625" style="143" customWidth="1"/>
    <col min="15113" max="15113" width="10.140625" style="143" customWidth="1"/>
    <col min="15114" max="15114" width="6.28515625" style="143" customWidth="1"/>
    <col min="15115" max="15118" width="0" style="143" hidden="1" customWidth="1"/>
    <col min="15119" max="15119" width="12.28515625" style="143" customWidth="1"/>
    <col min="15120" max="15120" width="16.28515625" style="143" customWidth="1"/>
    <col min="15121" max="15121" width="9" style="143"/>
    <col min="15122" max="15129" width="0" style="143" hidden="1" customWidth="1"/>
    <col min="15130" max="15130" width="10.5703125" style="143" bestFit="1" customWidth="1"/>
    <col min="15131" max="15131" width="3.5703125" style="143" bestFit="1" customWidth="1"/>
    <col min="15132" max="15136" width="0" style="143" hidden="1" customWidth="1"/>
    <col min="15137" max="15137" width="41.85546875" style="143" customWidth="1"/>
    <col min="15138" max="15139" width="13.28515625" style="143" customWidth="1"/>
    <col min="15140" max="15140" width="1.42578125" style="143" customWidth="1"/>
    <col min="15141" max="15142" width="13.28515625" style="143" customWidth="1"/>
    <col min="15143" max="15360" width="9" style="143"/>
    <col min="15361" max="15361" width="0" style="143" hidden="1" customWidth="1"/>
    <col min="15362" max="15363" width="4.28515625" style="143" customWidth="1"/>
    <col min="15364" max="15367" width="2.7109375" style="143" customWidth="1"/>
    <col min="15368" max="15368" width="41.28515625" style="143" customWidth="1"/>
    <col min="15369" max="15369" width="10.140625" style="143" customWidth="1"/>
    <col min="15370" max="15370" width="6.28515625" style="143" customWidth="1"/>
    <col min="15371" max="15374" width="0" style="143" hidden="1" customWidth="1"/>
    <col min="15375" max="15375" width="12.28515625" style="143" customWidth="1"/>
    <col min="15376" max="15376" width="16.28515625" style="143" customWidth="1"/>
    <col min="15377" max="15377" width="9" style="143"/>
    <col min="15378" max="15385" width="0" style="143" hidden="1" customWidth="1"/>
    <col min="15386" max="15386" width="10.5703125" style="143" bestFit="1" customWidth="1"/>
    <col min="15387" max="15387" width="3.5703125" style="143" bestFit="1" customWidth="1"/>
    <col min="15388" max="15392" width="0" style="143" hidden="1" customWidth="1"/>
    <col min="15393" max="15393" width="41.85546875" style="143" customWidth="1"/>
    <col min="15394" max="15395" width="13.28515625" style="143" customWidth="1"/>
    <col min="15396" max="15396" width="1.42578125" style="143" customWidth="1"/>
    <col min="15397" max="15398" width="13.28515625" style="143" customWidth="1"/>
    <col min="15399" max="15616" width="9" style="143"/>
    <col min="15617" max="15617" width="0" style="143" hidden="1" customWidth="1"/>
    <col min="15618" max="15619" width="4.28515625" style="143" customWidth="1"/>
    <col min="15620" max="15623" width="2.7109375" style="143" customWidth="1"/>
    <col min="15624" max="15624" width="41.28515625" style="143" customWidth="1"/>
    <col min="15625" max="15625" width="10.140625" style="143" customWidth="1"/>
    <col min="15626" max="15626" width="6.28515625" style="143" customWidth="1"/>
    <col min="15627" max="15630" width="0" style="143" hidden="1" customWidth="1"/>
    <col min="15631" max="15631" width="12.28515625" style="143" customWidth="1"/>
    <col min="15632" max="15632" width="16.28515625" style="143" customWidth="1"/>
    <col min="15633" max="15633" width="9" style="143"/>
    <col min="15634" max="15641" width="0" style="143" hidden="1" customWidth="1"/>
    <col min="15642" max="15642" width="10.5703125" style="143" bestFit="1" customWidth="1"/>
    <col min="15643" max="15643" width="3.5703125" style="143" bestFit="1" customWidth="1"/>
    <col min="15644" max="15648" width="0" style="143" hidden="1" customWidth="1"/>
    <col min="15649" max="15649" width="41.85546875" style="143" customWidth="1"/>
    <col min="15650" max="15651" width="13.28515625" style="143" customWidth="1"/>
    <col min="15652" max="15652" width="1.42578125" style="143" customWidth="1"/>
    <col min="15653" max="15654" width="13.28515625" style="143" customWidth="1"/>
    <col min="15655" max="15872" width="9" style="143"/>
    <col min="15873" max="15873" width="0" style="143" hidden="1" customWidth="1"/>
    <col min="15874" max="15875" width="4.28515625" style="143" customWidth="1"/>
    <col min="15876" max="15879" width="2.7109375" style="143" customWidth="1"/>
    <col min="15880" max="15880" width="41.28515625" style="143" customWidth="1"/>
    <col min="15881" max="15881" width="10.140625" style="143" customWidth="1"/>
    <col min="15882" max="15882" width="6.28515625" style="143" customWidth="1"/>
    <col min="15883" max="15886" width="0" style="143" hidden="1" customWidth="1"/>
    <col min="15887" max="15887" width="12.28515625" style="143" customWidth="1"/>
    <col min="15888" max="15888" width="16.28515625" style="143" customWidth="1"/>
    <col min="15889" max="15889" width="9" style="143"/>
    <col min="15890" max="15897" width="0" style="143" hidden="1" customWidth="1"/>
    <col min="15898" max="15898" width="10.5703125" style="143" bestFit="1" customWidth="1"/>
    <col min="15899" max="15899" width="3.5703125" style="143" bestFit="1" customWidth="1"/>
    <col min="15900" max="15904" width="0" style="143" hidden="1" customWidth="1"/>
    <col min="15905" max="15905" width="41.85546875" style="143" customWidth="1"/>
    <col min="15906" max="15907" width="13.28515625" style="143" customWidth="1"/>
    <col min="15908" max="15908" width="1.42578125" style="143" customWidth="1"/>
    <col min="15909" max="15910" width="13.28515625" style="143" customWidth="1"/>
    <col min="15911" max="16128" width="9" style="143"/>
    <col min="16129" max="16129" width="0" style="143" hidden="1" customWidth="1"/>
    <col min="16130" max="16131" width="4.28515625" style="143" customWidth="1"/>
    <col min="16132" max="16135" width="2.7109375" style="143" customWidth="1"/>
    <col min="16136" max="16136" width="41.28515625" style="143" customWidth="1"/>
    <col min="16137" max="16137" width="10.140625" style="143" customWidth="1"/>
    <col min="16138" max="16138" width="6.28515625" style="143" customWidth="1"/>
    <col min="16139" max="16142" width="0" style="143" hidden="1" customWidth="1"/>
    <col min="16143" max="16143" width="12.28515625" style="143" customWidth="1"/>
    <col min="16144" max="16144" width="16.28515625" style="143" customWidth="1"/>
    <col min="16145" max="16145" width="9" style="143"/>
    <col min="16146" max="16153" width="0" style="143" hidden="1" customWidth="1"/>
    <col min="16154" max="16154" width="10.5703125" style="143" bestFit="1" customWidth="1"/>
    <col min="16155" max="16155" width="3.5703125" style="143" bestFit="1" customWidth="1"/>
    <col min="16156" max="16160" width="0" style="143" hidden="1" customWidth="1"/>
    <col min="16161" max="16161" width="41.85546875" style="143" customWidth="1"/>
    <col min="16162" max="16163" width="13.28515625" style="143" customWidth="1"/>
    <col min="16164" max="16164" width="1.42578125" style="143" customWidth="1"/>
    <col min="16165" max="16166" width="13.28515625" style="143" customWidth="1"/>
    <col min="16167" max="16384" width="9" style="143"/>
  </cols>
  <sheetData>
    <row r="1" spans="1:47" x14ac:dyDescent="0.2">
      <c r="A1" s="143" t="s">
        <v>241</v>
      </c>
      <c r="AP1" s="239" t="s">
        <v>937</v>
      </c>
      <c r="AQ1" s="239" t="s">
        <v>938</v>
      </c>
      <c r="AR1" s="239" t="s">
        <v>939</v>
      </c>
      <c r="AS1" s="239" t="s">
        <v>940</v>
      </c>
      <c r="AT1" s="239" t="s">
        <v>941</v>
      </c>
      <c r="AU1" s="239" t="s">
        <v>679</v>
      </c>
    </row>
    <row r="2" spans="1:47" x14ac:dyDescent="0.2">
      <c r="A2" s="143" t="s">
        <v>20</v>
      </c>
      <c r="D2" s="145"/>
      <c r="G2" s="151" t="s">
        <v>14</v>
      </c>
      <c r="H2" s="143" t="str">
        <f>project_name</f>
        <v>Hunt County Government Building</v>
      </c>
      <c r="AP2" s="240" t="s">
        <v>942</v>
      </c>
      <c r="AQ2" s="240">
        <f>SUM(AQ3:AQ14)</f>
        <v>31474</v>
      </c>
      <c r="AR2" s="240">
        <f>SUM(AR3:AR14)</f>
        <v>0</v>
      </c>
      <c r="AS2" s="240">
        <f>MAX(AS3:AS14)</f>
        <v>1162</v>
      </c>
      <c r="AT2" s="240">
        <f>SUM(AT3:AT14)</f>
        <v>15</v>
      </c>
      <c r="AU2" s="240">
        <f>SUM(AU3:AU14)</f>
        <v>17430</v>
      </c>
    </row>
    <row r="3" spans="1:47" x14ac:dyDescent="0.2">
      <c r="A3" s="143" t="s">
        <v>1174</v>
      </c>
      <c r="D3" s="145"/>
      <c r="G3" s="151" t="s">
        <v>243</v>
      </c>
      <c r="H3" s="230" t="s">
        <v>954</v>
      </c>
      <c r="AP3" s="228" t="s">
        <v>1173</v>
      </c>
      <c r="AQ3" s="228">
        <v>5094</v>
      </c>
      <c r="AR3" s="228"/>
      <c r="AS3" s="228"/>
      <c r="AT3" s="228"/>
      <c r="AU3" s="228">
        <f t="shared" ref="AU3:AU14" si="0">ROUND(AS3 * AT3,1)</f>
        <v>0</v>
      </c>
    </row>
    <row r="4" spans="1:47" x14ac:dyDescent="0.2">
      <c r="A4" s="143" t="s">
        <v>1433</v>
      </c>
      <c r="D4" s="145"/>
      <c r="G4" s="151" t="s">
        <v>16</v>
      </c>
      <c r="H4" s="143" t="str">
        <f>project_location</f>
        <v>Greenville, TX</v>
      </c>
      <c r="AP4" s="228" t="s">
        <v>242</v>
      </c>
      <c r="AQ4" s="228">
        <v>26380</v>
      </c>
      <c r="AR4" s="228"/>
      <c r="AS4" s="228">
        <v>1162</v>
      </c>
      <c r="AT4" s="228">
        <v>15</v>
      </c>
      <c r="AU4" s="228">
        <f t="shared" si="0"/>
        <v>17430</v>
      </c>
    </row>
    <row r="5" spans="1:47" x14ac:dyDescent="0.2">
      <c r="A5" s="143" t="s">
        <v>1172</v>
      </c>
      <c r="D5" s="145"/>
      <c r="G5" s="151" t="s">
        <v>15</v>
      </c>
      <c r="H5" s="143" t="str">
        <f>estimate_detail</f>
        <v>CONSTRUCTION DOCUMENTS ESTIMATE</v>
      </c>
      <c r="AP5" s="228" t="s">
        <v>944</v>
      </c>
      <c r="AQ5" s="228"/>
      <c r="AR5" s="228"/>
      <c r="AS5" s="228"/>
      <c r="AT5" s="228"/>
      <c r="AU5" s="228">
        <f t="shared" si="0"/>
        <v>0</v>
      </c>
    </row>
    <row r="6" spans="1:47" x14ac:dyDescent="0.2">
      <c r="A6" s="143" t="s">
        <v>1367</v>
      </c>
      <c r="D6" s="145"/>
      <c r="G6" s="151" t="s">
        <v>245</v>
      </c>
      <c r="H6" s="152">
        <v>31474</v>
      </c>
      <c r="AP6" s="228" t="s">
        <v>945</v>
      </c>
      <c r="AQ6" s="228"/>
      <c r="AR6" s="228"/>
      <c r="AS6" s="228"/>
      <c r="AT6" s="228"/>
      <c r="AU6" s="228">
        <f t="shared" si="0"/>
        <v>0</v>
      </c>
    </row>
    <row r="7" spans="1:47" x14ac:dyDescent="0.2">
      <c r="A7" s="143" t="s">
        <v>1368</v>
      </c>
      <c r="D7" s="145"/>
      <c r="G7" s="151" t="s">
        <v>246</v>
      </c>
      <c r="H7" s="152">
        <v>31474</v>
      </c>
      <c r="AP7" s="228" t="s">
        <v>946</v>
      </c>
      <c r="AQ7" s="228"/>
      <c r="AR7" s="228"/>
      <c r="AS7" s="228"/>
      <c r="AT7" s="228"/>
      <c r="AU7" s="228">
        <f t="shared" si="0"/>
        <v>0</v>
      </c>
    </row>
    <row r="8" spans="1:47" x14ac:dyDescent="0.2">
      <c r="A8" s="143" t="s">
        <v>247</v>
      </c>
      <c r="D8" s="145"/>
      <c r="G8" s="151" t="s">
        <v>248</v>
      </c>
      <c r="H8" s="153" t="b">
        <v>0</v>
      </c>
      <c r="AP8" s="228" t="s">
        <v>947</v>
      </c>
      <c r="AQ8" s="228"/>
      <c r="AR8" s="228"/>
      <c r="AS8" s="228"/>
      <c r="AT8" s="228"/>
      <c r="AU8" s="228">
        <f t="shared" si="0"/>
        <v>0</v>
      </c>
    </row>
    <row r="9" spans="1:47" ht="13.9" customHeight="1" x14ac:dyDescent="0.2">
      <c r="A9" s="143" t="s">
        <v>173</v>
      </c>
      <c r="F9" s="151"/>
      <c r="G9" s="151"/>
      <c r="H9" s="153"/>
      <c r="AP9" s="228" t="s">
        <v>948</v>
      </c>
      <c r="AQ9" s="228"/>
      <c r="AR9" s="228"/>
      <c r="AS9" s="228"/>
      <c r="AT9" s="228"/>
      <c r="AU9" s="228">
        <f t="shared" si="0"/>
        <v>0</v>
      </c>
    </row>
    <row r="10" spans="1:47" s="154" customFormat="1" ht="13.9" customHeight="1" thickBot="1" x14ac:dyDescent="0.25">
      <c r="B10" s="155"/>
      <c r="C10" s="156"/>
      <c r="D10" s="154" t="s">
        <v>249</v>
      </c>
      <c r="I10" s="157" t="s">
        <v>250</v>
      </c>
      <c r="J10" s="158" t="s">
        <v>251</v>
      </c>
      <c r="K10" s="159" t="s">
        <v>252</v>
      </c>
      <c r="L10" s="159" t="s">
        <v>253</v>
      </c>
      <c r="M10" s="159" t="s">
        <v>254</v>
      </c>
      <c r="N10" s="159" t="s">
        <v>255</v>
      </c>
      <c r="O10" s="160" t="s">
        <v>256</v>
      </c>
      <c r="P10" s="157" t="s">
        <v>257</v>
      </c>
      <c r="Q10" s="292" t="s">
        <v>258</v>
      </c>
      <c r="R10" s="154" t="s">
        <v>259</v>
      </c>
      <c r="S10" s="154" t="s">
        <v>260</v>
      </c>
      <c r="T10" s="154" t="s">
        <v>261</v>
      </c>
      <c r="U10" s="154" t="s">
        <v>262</v>
      </c>
      <c r="V10" s="154" t="s">
        <v>263</v>
      </c>
      <c r="W10" s="154" t="s">
        <v>264</v>
      </c>
      <c r="X10" s="154" t="s">
        <v>265</v>
      </c>
      <c r="Y10" s="154" t="s">
        <v>266</v>
      </c>
      <c r="Z10" s="313"/>
      <c r="AA10" s="313"/>
      <c r="AB10" s="313"/>
      <c r="AC10" s="313"/>
      <c r="AD10" s="603"/>
      <c r="AP10" s="241" t="s">
        <v>949</v>
      </c>
      <c r="AQ10" s="241"/>
      <c r="AR10" s="241"/>
      <c r="AS10" s="241"/>
      <c r="AT10" s="241"/>
      <c r="AU10" s="241">
        <f t="shared" si="0"/>
        <v>0</v>
      </c>
    </row>
    <row r="11" spans="1:47" x14ac:dyDescent="0.2">
      <c r="B11" s="145"/>
      <c r="AP11" s="228" t="s">
        <v>950</v>
      </c>
      <c r="AQ11" s="228"/>
      <c r="AR11" s="228"/>
      <c r="AS11" s="228"/>
      <c r="AT11" s="228"/>
      <c r="AU11" s="228">
        <f t="shared" si="0"/>
        <v>0</v>
      </c>
    </row>
    <row r="12" spans="1:47" x14ac:dyDescent="0.2">
      <c r="B12" s="145"/>
      <c r="AP12" s="228" t="s">
        <v>951</v>
      </c>
      <c r="AQ12" s="228"/>
      <c r="AR12" s="228"/>
      <c r="AS12" s="228"/>
      <c r="AT12" s="228"/>
      <c r="AU12" s="228">
        <f t="shared" si="0"/>
        <v>0</v>
      </c>
    </row>
    <row r="13" spans="1:47" x14ac:dyDescent="0.2">
      <c r="B13" s="145"/>
      <c r="AP13" s="228" t="s">
        <v>952</v>
      </c>
      <c r="AQ13" s="228"/>
      <c r="AR13" s="228"/>
      <c r="AS13" s="228"/>
      <c r="AT13" s="228"/>
      <c r="AU13" s="228">
        <f t="shared" si="0"/>
        <v>0</v>
      </c>
    </row>
    <row r="14" spans="1:47" x14ac:dyDescent="0.2">
      <c r="B14" s="145"/>
      <c r="AP14" s="228" t="s">
        <v>953</v>
      </c>
      <c r="AQ14" s="228"/>
      <c r="AR14" s="228"/>
      <c r="AS14" s="228"/>
      <c r="AT14" s="228"/>
      <c r="AU14" s="228">
        <f t="shared" si="0"/>
        <v>0</v>
      </c>
    </row>
    <row r="15" spans="1:47" ht="15.75" customHeight="1" x14ac:dyDescent="0.25">
      <c r="AG15" s="162"/>
      <c r="AH15" s="163"/>
      <c r="AI15" s="164"/>
      <c r="AJ15" s="163"/>
      <c r="AK15" s="163"/>
      <c r="AL15" s="286" t="s">
        <v>961</v>
      </c>
    </row>
    <row r="16" spans="1:47" ht="15.75" customHeight="1" x14ac:dyDescent="0.25">
      <c r="AG16" s="162"/>
      <c r="AH16" s="163"/>
      <c r="AI16" s="164"/>
      <c r="AJ16" s="163"/>
      <c r="AK16" s="163"/>
      <c r="AL16" s="166" t="str">
        <f>SUB_NAME</f>
        <v>BUILDING</v>
      </c>
    </row>
    <row r="17" spans="8:38" ht="12.75" customHeight="1" x14ac:dyDescent="0.2">
      <c r="AG17" s="167"/>
      <c r="AH17" s="168"/>
      <c r="AI17" s="169"/>
      <c r="AJ17" s="169"/>
      <c r="AK17" s="169"/>
      <c r="AL17" s="170" t="str">
        <f>project_location</f>
        <v>Greenville, TX</v>
      </c>
    </row>
    <row r="18" spans="8:38" ht="9" customHeight="1" x14ac:dyDescent="0.2">
      <c r="AG18" s="167"/>
      <c r="AH18" s="168"/>
      <c r="AI18" s="169"/>
      <c r="AJ18" s="169"/>
      <c r="AK18" s="169"/>
      <c r="AL18" s="171"/>
    </row>
    <row r="19" spans="8:38" ht="18.75" customHeight="1" x14ac:dyDescent="0.25">
      <c r="AG19" s="172" t="str">
        <f>estimate_detail</f>
        <v>CONSTRUCTION DOCUMENTS ESTIMATE</v>
      </c>
      <c r="AH19" s="163"/>
      <c r="AI19" s="173"/>
      <c r="AJ19" s="173"/>
      <c r="AK19" s="173"/>
      <c r="AL19" s="174" t="str">
        <f>"OCMI JOB #: "&amp; job_number &amp; " | " &amp; date</f>
        <v>OCMI JOB #: 240540.000 | 24 December 2024</v>
      </c>
    </row>
    <row r="20" spans="8:38" ht="12.75" customHeight="1" thickBot="1" x14ac:dyDescent="0.25">
      <c r="H20" s="151"/>
      <c r="I20" s="143"/>
      <c r="AG20" s="175"/>
      <c r="AH20" s="175"/>
      <c r="AI20" s="176"/>
      <c r="AJ20" s="175"/>
      <c r="AK20" s="175"/>
      <c r="AL20" s="177"/>
    </row>
    <row r="21" spans="8:38" ht="28.5" customHeight="1" thickBot="1" x14ac:dyDescent="0.25">
      <c r="H21" s="151"/>
      <c r="AG21" s="644" t="str">
        <f>IF(site,"SITE SUMMARY","BUILDING SUMMARY")</f>
        <v>BUILDING SUMMARY</v>
      </c>
      <c r="AH21" s="644"/>
      <c r="AI21" s="644"/>
      <c r="AJ21" s="644"/>
      <c r="AK21" s="644"/>
      <c r="AL21" s="644"/>
    </row>
    <row r="22" spans="8:38" x14ac:dyDescent="0.2">
      <c r="H22" s="151"/>
      <c r="I22" s="143"/>
      <c r="AG22" s="175"/>
      <c r="AH22" s="175"/>
      <c r="AI22" s="176"/>
      <c r="AJ22" s="175"/>
      <c r="AK22" s="175"/>
      <c r="AL22" s="177"/>
    </row>
    <row r="23" spans="8:38" x14ac:dyDescent="0.2">
      <c r="H23" s="151"/>
      <c r="I23" s="143"/>
      <c r="AG23" s="178" t="s">
        <v>0</v>
      </c>
      <c r="AH23" s="179"/>
      <c r="AI23" s="180" t="s">
        <v>1</v>
      </c>
      <c r="AJ23" s="181"/>
      <c r="AK23" s="181"/>
      <c r="AL23" s="182" t="str">
        <f>IF(PageUom="Imperial", "$/SF AREA", "$/M2 AREA")</f>
        <v>$/SF AREA</v>
      </c>
    </row>
    <row r="24" spans="8:38" x14ac:dyDescent="0.2">
      <c r="H24" s="151"/>
      <c r="I24" s="152"/>
      <c r="AG24" s="183"/>
      <c r="AH24" s="175"/>
      <c r="AI24" s="176"/>
      <c r="AJ24" s="175"/>
      <c r="AK24" s="175"/>
      <c r="AL24" s="177"/>
    </row>
    <row r="25" spans="8:38" ht="12" hidden="1" customHeight="1" x14ac:dyDescent="0.2">
      <c r="H25" s="151"/>
      <c r="I25" s="152"/>
      <c r="AG25" s="183" t="s">
        <v>267</v>
      </c>
      <c r="AH25" s="175"/>
      <c r="AI25" s="176">
        <f>P101</f>
        <v>0</v>
      </c>
      <c r="AJ25" s="175"/>
      <c r="AK25" s="175"/>
      <c r="AL25" s="177">
        <f t="shared" ref="AL25:AL51" si="1">+AI25/$AI$90</f>
        <v>0</v>
      </c>
    </row>
    <row r="26" spans="8:38" ht="12" customHeight="1" x14ac:dyDescent="0.2">
      <c r="H26" s="151"/>
      <c r="I26" s="152"/>
      <c r="AF26" s="216"/>
      <c r="AG26" s="183" t="s">
        <v>268</v>
      </c>
      <c r="AH26" s="175"/>
      <c r="AI26" s="176">
        <f>P136</f>
        <v>213279</v>
      </c>
      <c r="AJ26" s="175"/>
      <c r="AK26" s="175"/>
      <c r="AL26" s="177">
        <f t="shared" si="1"/>
        <v>6.7763550867382598</v>
      </c>
    </row>
    <row r="27" spans="8:38" ht="12" customHeight="1" x14ac:dyDescent="0.2">
      <c r="AF27" s="216"/>
      <c r="AG27" s="183" t="s">
        <v>269</v>
      </c>
      <c r="AH27" s="175"/>
      <c r="AI27" s="176">
        <f>P176</f>
        <v>531632</v>
      </c>
      <c r="AJ27" s="175"/>
      <c r="AK27" s="175"/>
      <c r="AL27" s="177">
        <f t="shared" si="1"/>
        <v>16.891148249348667</v>
      </c>
    </row>
    <row r="28" spans="8:38" ht="12" customHeight="1" x14ac:dyDescent="0.2">
      <c r="H28" s="151"/>
      <c r="AF28" s="216"/>
      <c r="AG28" s="183" t="s">
        <v>270</v>
      </c>
      <c r="AH28" s="175"/>
      <c r="AI28" s="176">
        <f>P193</f>
        <v>238624</v>
      </c>
      <c r="AJ28" s="175"/>
      <c r="AK28" s="175"/>
      <c r="AL28" s="177">
        <f t="shared" si="1"/>
        <v>7.5816229268602653</v>
      </c>
    </row>
    <row r="29" spans="8:38" ht="12" customHeight="1" x14ac:dyDescent="0.2">
      <c r="H29" s="151"/>
      <c r="AF29" s="216"/>
      <c r="AG29" s="183" t="s">
        <v>271</v>
      </c>
      <c r="AH29" s="175"/>
      <c r="AI29" s="176">
        <f>P228</f>
        <v>480334</v>
      </c>
      <c r="AJ29" s="175"/>
      <c r="AK29" s="175"/>
      <c r="AL29" s="177">
        <f t="shared" si="1"/>
        <v>15.261295037173539</v>
      </c>
    </row>
    <row r="30" spans="8:38" ht="12" customHeight="1" x14ac:dyDescent="0.2">
      <c r="H30" s="151"/>
      <c r="AF30" s="216"/>
      <c r="AG30" s="183" t="s">
        <v>272</v>
      </c>
      <c r="AH30" s="175"/>
      <c r="AI30" s="176">
        <f>P233</f>
        <v>11871</v>
      </c>
      <c r="AJ30" s="175"/>
      <c r="AK30" s="175"/>
      <c r="AL30" s="177">
        <f t="shared" si="1"/>
        <v>0.37716845650378089</v>
      </c>
    </row>
    <row r="31" spans="8:38" ht="12" customHeight="1" x14ac:dyDescent="0.2">
      <c r="H31" s="151"/>
      <c r="AF31" s="216"/>
      <c r="AG31" s="183" t="s">
        <v>273</v>
      </c>
      <c r="AH31" s="175"/>
      <c r="AI31" s="176">
        <f>P262</f>
        <v>1075835</v>
      </c>
      <c r="AJ31" s="175"/>
      <c r="AK31" s="175"/>
      <c r="AL31" s="177">
        <f t="shared" si="1"/>
        <v>34.18170553472708</v>
      </c>
    </row>
    <row r="32" spans="8:38" ht="12" customHeight="1" x14ac:dyDescent="0.2">
      <c r="H32" s="151"/>
      <c r="AF32" s="216"/>
      <c r="AG32" s="183" t="s">
        <v>274</v>
      </c>
      <c r="AH32" s="175"/>
      <c r="AI32" s="176">
        <f>P291</f>
        <v>392874</v>
      </c>
      <c r="AJ32" s="175"/>
      <c r="AK32" s="175"/>
      <c r="AL32" s="177">
        <f t="shared" si="1"/>
        <v>12.482493486687424</v>
      </c>
    </row>
    <row r="33" spans="8:38" ht="12" customHeight="1" x14ac:dyDescent="0.2">
      <c r="H33" s="151"/>
      <c r="AF33" s="216"/>
      <c r="AG33" s="183" t="s">
        <v>275</v>
      </c>
      <c r="AH33" s="175"/>
      <c r="AI33" s="176">
        <f>P402</f>
        <v>1272458</v>
      </c>
      <c r="AJ33" s="175"/>
      <c r="AK33" s="175"/>
      <c r="AL33" s="177">
        <f t="shared" si="1"/>
        <v>40.428861917773403</v>
      </c>
    </row>
    <row r="34" spans="8:38" ht="12" customHeight="1" x14ac:dyDescent="0.2">
      <c r="H34" s="151"/>
      <c r="AF34" s="216"/>
      <c r="AG34" s="183" t="s">
        <v>276</v>
      </c>
      <c r="AH34" s="175"/>
      <c r="AI34" s="176">
        <f>P427</f>
        <v>100680</v>
      </c>
      <c r="AJ34" s="175"/>
      <c r="AK34" s="175"/>
      <c r="AL34" s="177">
        <f t="shared" si="1"/>
        <v>3.198830780962064</v>
      </c>
    </row>
    <row r="35" spans="8:38" ht="12" hidden="1" customHeight="1" x14ac:dyDescent="0.2">
      <c r="H35" s="151"/>
      <c r="AF35" s="216"/>
      <c r="AG35" s="183" t="s">
        <v>277</v>
      </c>
      <c r="AH35" s="175"/>
      <c r="AI35" s="176">
        <f>P432</f>
        <v>0</v>
      </c>
      <c r="AJ35" s="175"/>
      <c r="AK35" s="175"/>
      <c r="AL35" s="177">
        <f t="shared" si="1"/>
        <v>0</v>
      </c>
    </row>
    <row r="36" spans="8:38" ht="12" customHeight="1" x14ac:dyDescent="0.2">
      <c r="H36" s="151"/>
      <c r="AF36" s="216"/>
      <c r="AG36" s="183" t="s">
        <v>278</v>
      </c>
      <c r="AH36" s="175"/>
      <c r="AI36" s="176">
        <f>P448</f>
        <v>139925</v>
      </c>
      <c r="AJ36" s="175"/>
      <c r="AK36" s="175"/>
      <c r="AL36" s="177">
        <f t="shared" si="1"/>
        <v>4.4457329859566626</v>
      </c>
    </row>
    <row r="37" spans="8:38" ht="12" hidden="1" customHeight="1" x14ac:dyDescent="0.2">
      <c r="H37" s="151"/>
      <c r="AF37" s="216"/>
      <c r="AG37" s="183" t="s">
        <v>279</v>
      </c>
      <c r="AH37" s="175"/>
      <c r="AI37" s="176">
        <f>P453</f>
        <v>0</v>
      </c>
      <c r="AJ37" s="175"/>
      <c r="AK37" s="175"/>
      <c r="AL37" s="177">
        <f t="shared" si="1"/>
        <v>0</v>
      </c>
    </row>
    <row r="38" spans="8:38" ht="12" hidden="1" customHeight="1" x14ac:dyDescent="0.2">
      <c r="H38" s="151"/>
      <c r="AF38" s="216"/>
      <c r="AG38" s="183" t="s">
        <v>280</v>
      </c>
      <c r="AH38" s="175"/>
      <c r="AI38" s="176">
        <f>P458</f>
        <v>0</v>
      </c>
      <c r="AJ38" s="175"/>
      <c r="AK38" s="175"/>
      <c r="AL38" s="177">
        <f t="shared" si="1"/>
        <v>0</v>
      </c>
    </row>
    <row r="39" spans="8:38" ht="12" customHeight="1" x14ac:dyDescent="0.2">
      <c r="H39" s="151"/>
      <c r="AF39" s="216"/>
      <c r="AG39" s="183" t="s">
        <v>281</v>
      </c>
      <c r="AH39" s="175"/>
      <c r="AI39" s="176">
        <f>P468</f>
        <v>229166</v>
      </c>
      <c r="AJ39" s="175"/>
      <c r="AK39" s="175"/>
      <c r="AL39" s="177">
        <f t="shared" si="1"/>
        <v>7.2811209252081079</v>
      </c>
    </row>
    <row r="40" spans="8:38" ht="12" customHeight="1" x14ac:dyDescent="0.2">
      <c r="AF40" s="216"/>
      <c r="AG40" s="183" t="s">
        <v>282</v>
      </c>
      <c r="AH40" s="175"/>
      <c r="AI40" s="176">
        <f>P572</f>
        <v>289742</v>
      </c>
      <c r="AJ40" s="175"/>
      <c r="AK40" s="175"/>
      <c r="AL40" s="177">
        <f t="shared" si="1"/>
        <v>9.205757132871577</v>
      </c>
    </row>
    <row r="41" spans="8:38" ht="12" customHeight="1" x14ac:dyDescent="0.2">
      <c r="AF41" s="216"/>
      <c r="AG41" s="183" t="s">
        <v>283</v>
      </c>
      <c r="AH41" s="175"/>
      <c r="AI41" s="176">
        <f>P631</f>
        <v>1192454</v>
      </c>
      <c r="AJ41" s="175"/>
      <c r="AK41" s="175"/>
      <c r="AL41" s="177">
        <f t="shared" si="1"/>
        <v>37.886954311495202</v>
      </c>
    </row>
    <row r="42" spans="8:38" ht="12" customHeight="1" x14ac:dyDescent="0.2">
      <c r="AF42" s="216"/>
      <c r="AG42" s="183" t="s">
        <v>284</v>
      </c>
      <c r="AH42" s="175"/>
      <c r="AI42" s="176">
        <f>P724</f>
        <v>969588</v>
      </c>
      <c r="AJ42" s="175"/>
      <c r="AK42" s="175"/>
      <c r="AL42" s="177">
        <f t="shared" si="1"/>
        <v>30.805998602020715</v>
      </c>
    </row>
    <row r="43" spans="8:38" ht="12" customHeight="1" x14ac:dyDescent="0.2">
      <c r="AF43" s="216"/>
      <c r="AG43" s="183" t="s">
        <v>285</v>
      </c>
      <c r="AH43" s="175"/>
      <c r="AI43" s="176">
        <f>P734</f>
        <v>56270</v>
      </c>
      <c r="AJ43" s="175"/>
      <c r="AK43" s="175"/>
      <c r="AL43" s="177">
        <f t="shared" si="1"/>
        <v>1.7878248713223612</v>
      </c>
    </row>
    <row r="44" spans="8:38" ht="12" customHeight="1" x14ac:dyDescent="0.2">
      <c r="AF44" s="216"/>
      <c r="AG44" s="183" t="s">
        <v>286</v>
      </c>
      <c r="AH44" s="175"/>
      <c r="AI44" s="176">
        <f>P745</f>
        <v>59021</v>
      </c>
      <c r="AJ44" s="175"/>
      <c r="AK44" s="175"/>
      <c r="AL44" s="177">
        <f t="shared" si="1"/>
        <v>1.875230348859376</v>
      </c>
    </row>
    <row r="45" spans="8:38" ht="12" hidden="1" customHeight="1" x14ac:dyDescent="0.2">
      <c r="AF45" s="216"/>
      <c r="AG45" s="183" t="s">
        <v>287</v>
      </c>
      <c r="AH45" s="175"/>
      <c r="AI45" s="176">
        <f>P752</f>
        <v>0</v>
      </c>
      <c r="AJ45" s="175"/>
      <c r="AK45" s="175"/>
      <c r="AL45" s="177">
        <f t="shared" si="1"/>
        <v>0</v>
      </c>
    </row>
    <row r="46" spans="8:38" ht="12" hidden="1" customHeight="1" x14ac:dyDescent="0.2">
      <c r="AF46" s="216"/>
      <c r="AG46" s="183" t="s">
        <v>288</v>
      </c>
      <c r="AH46" s="175"/>
      <c r="AI46" s="176">
        <f>P757</f>
        <v>0</v>
      </c>
      <c r="AJ46" s="175"/>
      <c r="AK46" s="175"/>
      <c r="AL46" s="177">
        <f t="shared" si="1"/>
        <v>0</v>
      </c>
    </row>
    <row r="47" spans="8:38" ht="12" hidden="1" customHeight="1" x14ac:dyDescent="0.2">
      <c r="AF47" s="216"/>
      <c r="AG47" s="183" t="s">
        <v>289</v>
      </c>
      <c r="AH47" s="175"/>
      <c r="AI47" s="176">
        <f>P767</f>
        <v>0</v>
      </c>
      <c r="AJ47" s="175"/>
      <c r="AK47" s="175"/>
      <c r="AL47" s="177">
        <f t="shared" si="1"/>
        <v>0</v>
      </c>
    </row>
    <row r="48" spans="8:38" ht="13.5" hidden="1" customHeight="1" x14ac:dyDescent="0.2">
      <c r="AF48" s="216"/>
      <c r="AG48" s="183" t="s">
        <v>290</v>
      </c>
      <c r="AH48" s="175"/>
      <c r="AI48" s="176">
        <f>P771</f>
        <v>0</v>
      </c>
      <c r="AJ48" s="175"/>
      <c r="AK48" s="175"/>
      <c r="AL48" s="177">
        <f t="shared" si="1"/>
        <v>0</v>
      </c>
    </row>
    <row r="49" spans="8:38" ht="13.5" hidden="1" customHeight="1" x14ac:dyDescent="0.2">
      <c r="H49" s="151"/>
      <c r="AF49" s="216"/>
      <c r="AG49" s="183" t="s">
        <v>291</v>
      </c>
      <c r="AH49" s="175"/>
      <c r="AI49" s="176">
        <f>P775</f>
        <v>0</v>
      </c>
      <c r="AJ49" s="175"/>
      <c r="AK49" s="175"/>
      <c r="AL49" s="177">
        <f t="shared" si="1"/>
        <v>0</v>
      </c>
    </row>
    <row r="50" spans="8:38" ht="13.5" hidden="1" customHeight="1" x14ac:dyDescent="0.2">
      <c r="H50" s="151"/>
      <c r="AF50" s="216"/>
      <c r="AG50" s="183" t="s">
        <v>292</v>
      </c>
      <c r="AH50" s="175"/>
      <c r="AI50" s="176">
        <f>P779</f>
        <v>0</v>
      </c>
      <c r="AJ50" s="175"/>
      <c r="AK50" s="175"/>
      <c r="AL50" s="177">
        <f t="shared" si="1"/>
        <v>0</v>
      </c>
    </row>
    <row r="51" spans="8:38" ht="13.5" hidden="1" customHeight="1" x14ac:dyDescent="0.2">
      <c r="AF51" s="216"/>
      <c r="AG51" s="183" t="s">
        <v>293</v>
      </c>
      <c r="AH51" s="175"/>
      <c r="AI51" s="176">
        <f>P783</f>
        <v>0</v>
      </c>
      <c r="AJ51" s="175"/>
      <c r="AK51" s="175"/>
      <c r="AL51" s="177">
        <f t="shared" si="1"/>
        <v>0</v>
      </c>
    </row>
    <row r="52" spans="8:38" ht="4.1500000000000004" customHeight="1" x14ac:dyDescent="0.2">
      <c r="AF52" s="216"/>
      <c r="AG52" s="175"/>
      <c r="AH52" s="184"/>
      <c r="AI52" s="185"/>
      <c r="AJ52" s="175"/>
      <c r="AK52" s="175"/>
      <c r="AL52" s="186"/>
    </row>
    <row r="53" spans="8:38" ht="13.9" customHeight="1" x14ac:dyDescent="0.2">
      <c r="AF53" s="216"/>
      <c r="AG53" s="187" t="str">
        <f>IF(SUMSQ(AH55:AH58,AK55:AK58)&gt;0,"SUBTOTAL",IF(site,"NET DIRECT SITE COST","NET DIRECT BUILDING COST"))</f>
        <v>NET DIRECT BUILDING COST</v>
      </c>
      <c r="AH53" s="184"/>
      <c r="AI53" s="176">
        <f>SUM(AI25:AI52)</f>
        <v>7253753</v>
      </c>
      <c r="AJ53" s="175"/>
      <c r="AK53" s="175"/>
      <c r="AL53" s="188">
        <f>+AI53/$AI$90</f>
        <v>230.46810065450848</v>
      </c>
    </row>
    <row r="54" spans="8:38" hidden="1" x14ac:dyDescent="0.2">
      <c r="H54" s="151"/>
      <c r="AF54" s="216"/>
      <c r="AG54" s="175"/>
      <c r="AH54" s="184"/>
      <c r="AI54" s="176"/>
      <c r="AJ54" s="175"/>
      <c r="AK54" s="175"/>
      <c r="AL54" s="188"/>
    </row>
    <row r="55" spans="8:38" hidden="1" x14ac:dyDescent="0.2">
      <c r="AF55" s="216"/>
      <c r="AG55" s="187" t="str">
        <f>UPPER(INDEX(Markups,1,1))</f>
        <v>DESIGN CONTINGENCY</v>
      </c>
      <c r="AH55" s="184">
        <f>IF(INDEX(Markups,1,5), 0,INDEX(Markups,1,4))</f>
        <v>0</v>
      </c>
      <c r="AI55" s="176">
        <f>+IF(compounding,SUM(AI$53:AI54)*AH55,AI$53*AH55)</f>
        <v>0</v>
      </c>
      <c r="AJ55" s="175"/>
      <c r="AK55" s="175">
        <v>0</v>
      </c>
      <c r="AL55" s="177">
        <f>+AI55/$AI$90</f>
        <v>0</v>
      </c>
    </row>
    <row r="56" spans="8:38" hidden="1" x14ac:dyDescent="0.2">
      <c r="AF56" s="216"/>
      <c r="AG56" s="187" t="str">
        <f>UPPER(INDEX(Markups,2,1))</f>
        <v>ESCALATION TO MIDPOINT 02/2026</v>
      </c>
      <c r="AH56" s="184">
        <f>IF(INDEX(Markups,2,5), 0,INDEX(Markups,2,4))</f>
        <v>0</v>
      </c>
      <c r="AI56" s="176">
        <f>+IF(compounding,SUM(AI$53:AI55)*AH56,AI$53*AH56)</f>
        <v>0</v>
      </c>
      <c r="AJ56" s="175"/>
      <c r="AK56" s="175">
        <v>0</v>
      </c>
      <c r="AL56" s="177">
        <f>+AI56/$AI$90</f>
        <v>0</v>
      </c>
    </row>
    <row r="57" spans="8:38" hidden="1" x14ac:dyDescent="0.2">
      <c r="AF57" s="216"/>
      <c r="AG57" s="187" t="str">
        <f>UPPER(INDEX(Markups,3,1))</f>
        <v>MARKUP 3</v>
      </c>
      <c r="AH57" s="184">
        <f>IF(INDEX(Markups,3,5), 0,INDEX(Markups,3,4))</f>
        <v>0</v>
      </c>
      <c r="AI57" s="176">
        <f>+IF(compounding,SUM(AI$53:AI56)*AH57,AI$53*AH57)</f>
        <v>0</v>
      </c>
      <c r="AJ57" s="175"/>
      <c r="AK57" s="175">
        <v>0</v>
      </c>
      <c r="AL57" s="177">
        <f>+AI57/$AI$90</f>
        <v>0</v>
      </c>
    </row>
    <row r="58" spans="8:38" hidden="1" x14ac:dyDescent="0.2">
      <c r="AF58" s="216"/>
      <c r="AG58" s="187" t="str">
        <f>UPPER(INDEX(Markups,4,1))</f>
        <v>MARKUP 4</v>
      </c>
      <c r="AH58" s="184">
        <f>IF(INDEX(Markups,4,5), 0,INDEX(Markups,4,4))</f>
        <v>0</v>
      </c>
      <c r="AI58" s="176">
        <f>+IF(compounding,SUM(AI$53:AI57)*AH58,AI$53*AH58)</f>
        <v>0</v>
      </c>
      <c r="AJ58" s="175"/>
      <c r="AK58" s="175">
        <v>0</v>
      </c>
      <c r="AL58" s="177">
        <f>+AI58/$AI$90</f>
        <v>0</v>
      </c>
    </row>
    <row r="59" spans="8:38" ht="11.25" hidden="1" customHeight="1" x14ac:dyDescent="0.2">
      <c r="AF59" s="216"/>
      <c r="AG59" s="187"/>
      <c r="AH59" s="184"/>
      <c r="AI59" s="185"/>
      <c r="AJ59" s="175"/>
      <c r="AK59" s="175"/>
      <c r="AL59" s="189"/>
    </row>
    <row r="60" spans="8:38" ht="24.75" hidden="1" customHeight="1" x14ac:dyDescent="0.2">
      <c r="AF60" s="597"/>
      <c r="AG60" s="190" t="str">
        <f>IF(site,"NET DIRECT SITE COST","NET DIRECT BUILDING COST")</f>
        <v>NET DIRECT BUILDING COST</v>
      </c>
      <c r="AH60" s="191"/>
      <c r="AI60" s="192">
        <f>SUM(AI53:AI59)</f>
        <v>7253753</v>
      </c>
      <c r="AJ60" s="191"/>
      <c r="AK60" s="191"/>
      <c r="AL60" s="193">
        <f>+AI60/$AI$90</f>
        <v>230.46810065450848</v>
      </c>
    </row>
    <row r="61" spans="8:38" ht="4.1500000000000004" hidden="1" customHeight="1" x14ac:dyDescent="0.2">
      <c r="AF61" s="216"/>
      <c r="AG61" s="187"/>
      <c r="AH61" s="184"/>
      <c r="AI61" s="176"/>
      <c r="AJ61" s="175"/>
      <c r="AK61" s="175"/>
      <c r="AL61" s="188"/>
    </row>
    <row r="62" spans="8:38" x14ac:dyDescent="0.2">
      <c r="AF62" s="216"/>
      <c r="AG62" s="187" t="str">
        <f>UPPER(INDEX(Markups,5,1))</f>
        <v>DESIGN CONTINGENCY</v>
      </c>
      <c r="AH62" s="194">
        <f>IF(INDEX(Markups,5,5), 0,INDEX(Markups,5,4))</f>
        <v>0.03</v>
      </c>
      <c r="AI62" s="195">
        <f>+IF(compounding,AI60*AH62,AI$60*AH62)</f>
        <v>217612.59</v>
      </c>
      <c r="AJ62" s="175"/>
      <c r="AK62" s="175"/>
      <c r="AL62" s="196">
        <f>+AI62/$AI$90</f>
        <v>6.9140430196352547</v>
      </c>
    </row>
    <row r="63" spans="8:38" ht="4.1500000000000004" customHeight="1" x14ac:dyDescent="0.2">
      <c r="AF63" s="216"/>
      <c r="AG63" s="187"/>
      <c r="AH63" s="184"/>
      <c r="AI63" s="176"/>
      <c r="AJ63" s="175"/>
      <c r="AK63" s="175"/>
      <c r="AL63" s="177"/>
    </row>
    <row r="64" spans="8:38" x14ac:dyDescent="0.2">
      <c r="AF64" s="216"/>
      <c r="AG64" s="187" t="s">
        <v>132</v>
      </c>
      <c r="AH64" s="184"/>
      <c r="AI64" s="176">
        <f>SUM(AI60:AI62)</f>
        <v>7471365.5899999999</v>
      </c>
      <c r="AJ64" s="175"/>
      <c r="AK64" s="175"/>
      <c r="AL64" s="177">
        <f>+AI64/$AI$90</f>
        <v>237.38214367414372</v>
      </c>
    </row>
    <row r="65" spans="32:38" x14ac:dyDescent="0.2">
      <c r="AF65" s="216"/>
      <c r="AG65" s="187" t="str">
        <f>UPPER(INDEX(Markups,6,1))</f>
        <v>ESCALATION TO MIDPOINT 02/2026</v>
      </c>
      <c r="AH65" s="194">
        <f>IF(INDEX(Markups,6,5), 0,INDEX(Markups,6,4))</f>
        <v>4.4336448261620198E-2</v>
      </c>
      <c r="AI65" s="195">
        <f>+IF(compounding,AI64*AH65,AI$60*AH65)</f>
        <v>331253.81392468448</v>
      </c>
      <c r="AJ65" s="175"/>
      <c r="AK65" s="175"/>
      <c r="AL65" s="196">
        <f>+AI65/$AI$90</f>
        <v>10.524681131241167</v>
      </c>
    </row>
    <row r="66" spans="32:38" ht="4.1500000000000004" hidden="1" customHeight="1" x14ac:dyDescent="0.2">
      <c r="AF66" s="216"/>
      <c r="AG66" s="187"/>
      <c r="AH66" s="184"/>
      <c r="AI66" s="176"/>
      <c r="AJ66" s="175"/>
      <c r="AK66" s="175"/>
      <c r="AL66" s="177"/>
    </row>
    <row r="67" spans="32:38" hidden="1" x14ac:dyDescent="0.2">
      <c r="AF67" s="216"/>
      <c r="AG67" s="187" t="s">
        <v>132</v>
      </c>
      <c r="AH67" s="184"/>
      <c r="AI67" s="176">
        <f>SUM(AI64:AI65)</f>
        <v>7802619.403924684</v>
      </c>
      <c r="AJ67" s="175"/>
      <c r="AK67" s="175"/>
      <c r="AL67" s="177">
        <f>+AI67/$AI$90</f>
        <v>247.9068248053849</v>
      </c>
    </row>
    <row r="68" spans="32:38" hidden="1" x14ac:dyDescent="0.2">
      <c r="AF68" s="216"/>
      <c r="AG68" s="187" t="str">
        <f>UPPER(INDEX(Markups,7,1))</f>
        <v>CONTRACTOR CONTINGENCY</v>
      </c>
      <c r="AH68" s="194">
        <f>IF(INDEX(Markups,7,5), 0,INDEX(Markups,7,4))</f>
        <v>0</v>
      </c>
      <c r="AI68" s="195">
        <f>+IF(compounding,AI67*AH68,AI$60*AH68)</f>
        <v>0</v>
      </c>
      <c r="AJ68" s="175"/>
      <c r="AK68" s="175"/>
      <c r="AL68" s="196">
        <f>+AI68/$AI$90</f>
        <v>0</v>
      </c>
    </row>
    <row r="69" spans="32:38" ht="4.1500000000000004" customHeight="1" x14ac:dyDescent="0.2">
      <c r="AF69" s="216"/>
      <c r="AG69" s="187"/>
      <c r="AH69" s="184"/>
      <c r="AI69" s="176"/>
      <c r="AJ69" s="175"/>
      <c r="AK69" s="175"/>
      <c r="AL69" s="177"/>
    </row>
    <row r="70" spans="32:38" x14ac:dyDescent="0.2">
      <c r="AF70" s="216"/>
      <c r="AG70" s="187" t="s">
        <v>132</v>
      </c>
      <c r="AH70" s="184"/>
      <c r="AI70" s="176">
        <f>SUM(AI67:AI68)</f>
        <v>7802619.403924684</v>
      </c>
      <c r="AJ70" s="175"/>
      <c r="AK70" s="175"/>
      <c r="AL70" s="177">
        <f>+AI70/$AI$90</f>
        <v>247.9068248053849</v>
      </c>
    </row>
    <row r="71" spans="32:38" x14ac:dyDescent="0.2">
      <c r="AF71" s="216"/>
      <c r="AG71" s="187" t="str">
        <f>UPPER(INDEX(Markups,8,1))</f>
        <v>GENERAL CONDITIONS/REQUIREMENTS</v>
      </c>
      <c r="AH71" s="194">
        <f>IF(INDEX(Markups,8,5), 0,INDEX(Markups,8,4))</f>
        <v>0.12</v>
      </c>
      <c r="AI71" s="195">
        <f>+IF(compounding,AI70*AH71,AI$60*AH71)</f>
        <v>936314.32847096201</v>
      </c>
      <c r="AJ71" s="175"/>
      <c r="AK71" s="175"/>
      <c r="AL71" s="196">
        <f>+AI71/$AI$90</f>
        <v>29.748818976646184</v>
      </c>
    </row>
    <row r="72" spans="32:38" ht="4.1500000000000004" customHeight="1" x14ac:dyDescent="0.2">
      <c r="AF72" s="216"/>
      <c r="AG72" s="187"/>
      <c r="AH72" s="184"/>
      <c r="AI72" s="176"/>
      <c r="AJ72" s="175"/>
      <c r="AK72" s="175"/>
      <c r="AL72" s="177"/>
    </row>
    <row r="73" spans="32:38" x14ac:dyDescent="0.2">
      <c r="AF73" s="216"/>
      <c r="AG73" s="187" t="s">
        <v>132</v>
      </c>
      <c r="AH73" s="184"/>
      <c r="AI73" s="176">
        <f>SUM(AI70:AI71)</f>
        <v>8738933.7323956452</v>
      </c>
      <c r="AJ73" s="175"/>
      <c r="AK73" s="175"/>
      <c r="AL73" s="177">
        <f>+AI73/$AI$90</f>
        <v>277.65564378203106</v>
      </c>
    </row>
    <row r="74" spans="32:38" x14ac:dyDescent="0.2">
      <c r="AF74" s="216"/>
      <c r="AG74" s="187" t="str">
        <f>UPPER(INDEX(Markups,9,1))</f>
        <v>CONTRACTOR OVERHEAD AND PROFIT</v>
      </c>
      <c r="AH74" s="194">
        <f>IF(INDEX(Markups,9,5), 0,INDEX(Markups,9,4))</f>
        <v>0.08</v>
      </c>
      <c r="AI74" s="195">
        <f>+IF(compounding,AI73*AH74,AI$60*AH74)</f>
        <v>699114.69859165163</v>
      </c>
      <c r="AJ74" s="175"/>
      <c r="AK74" s="175"/>
      <c r="AL74" s="196">
        <f>+AI74/$AI$90</f>
        <v>22.212451502562484</v>
      </c>
    </row>
    <row r="75" spans="32:38" ht="4.1500000000000004" customHeight="1" x14ac:dyDescent="0.2">
      <c r="AF75" s="216"/>
      <c r="AG75" s="187"/>
      <c r="AH75" s="184"/>
      <c r="AI75" s="176"/>
      <c r="AJ75" s="175"/>
      <c r="AK75" s="175"/>
      <c r="AL75" s="177"/>
    </row>
    <row r="76" spans="32:38" x14ac:dyDescent="0.2">
      <c r="AF76" s="216"/>
      <c r="AG76" s="187" t="s">
        <v>132</v>
      </c>
      <c r="AH76" s="184"/>
      <c r="AI76" s="176">
        <f>SUM(AI73:AI74)</f>
        <v>9438048.4309872966</v>
      </c>
      <c r="AJ76" s="175"/>
      <c r="AK76" s="175"/>
      <c r="AL76" s="177">
        <f>+AI76/$AI$90</f>
        <v>299.86809528459355</v>
      </c>
    </row>
    <row r="77" spans="32:38" x14ac:dyDescent="0.2">
      <c r="AF77" s="216"/>
      <c r="AG77" s="187" t="str">
        <f>UPPER(INDEX(Markups,10,1))</f>
        <v>INSURANCE AND BONDS</v>
      </c>
      <c r="AH77" s="194">
        <f>IF(INDEX(Markups,10,5), 0,INDEX(Markups,10,4))</f>
        <v>2.5000000000000001E-2</v>
      </c>
      <c r="AI77" s="195">
        <f>+IF(compounding,AI76*AH77,AI$60*AH77)</f>
        <v>235951.21077468243</v>
      </c>
      <c r="AJ77" s="175"/>
      <c r="AK77" s="175"/>
      <c r="AL77" s="196">
        <f>+AI77/$AI$90</f>
        <v>7.4967023821148384</v>
      </c>
    </row>
    <row r="78" spans="32:38" ht="4.1500000000000004" hidden="1" customHeight="1" x14ac:dyDescent="0.2">
      <c r="AF78" s="216"/>
      <c r="AG78" s="187"/>
      <c r="AH78" s="184"/>
      <c r="AI78" s="176"/>
      <c r="AJ78" s="175"/>
      <c r="AK78" s="175"/>
      <c r="AL78" s="177"/>
    </row>
    <row r="79" spans="32:38" hidden="1" x14ac:dyDescent="0.2">
      <c r="AF79" s="216"/>
      <c r="AG79" s="187" t="s">
        <v>132</v>
      </c>
      <c r="AH79" s="184"/>
      <c r="AI79" s="176">
        <f>SUM(AI76:AI77)</f>
        <v>9673999.6417619791</v>
      </c>
      <c r="AJ79" s="175"/>
      <c r="AK79" s="175"/>
      <c r="AL79" s="177">
        <f>+AI79/$AI$90</f>
        <v>307.36479766670834</v>
      </c>
    </row>
    <row r="80" spans="32:38" hidden="1" x14ac:dyDescent="0.2">
      <c r="AF80" s="216"/>
      <c r="AG80" s="187" t="str">
        <f>UPPER(INDEX(Markups,11,1))</f>
        <v>BONDS: CONTRACTOR</v>
      </c>
      <c r="AH80" s="194">
        <f>IF(INDEX(Markups,11,5), 0,INDEX(Markups,11,4))</f>
        <v>0</v>
      </c>
      <c r="AI80" s="195">
        <f>+IF(compounding,AI79*AH80,AI$60*AH80)</f>
        <v>0</v>
      </c>
      <c r="AJ80" s="175"/>
      <c r="AK80" s="175"/>
      <c r="AL80" s="196">
        <f>+AI80/$AI$90</f>
        <v>0</v>
      </c>
    </row>
    <row r="81" spans="4:38" ht="4.1500000000000004" hidden="1" customHeight="1" x14ac:dyDescent="0.2">
      <c r="AF81" s="216"/>
      <c r="AG81" s="187"/>
      <c r="AH81" s="184"/>
      <c r="AI81" s="176"/>
      <c r="AJ81" s="175"/>
      <c r="AK81" s="175"/>
      <c r="AL81" s="177"/>
    </row>
    <row r="82" spans="4:38" hidden="1" x14ac:dyDescent="0.2">
      <c r="AF82" s="216"/>
      <c r="AG82" s="187" t="s">
        <v>132</v>
      </c>
      <c r="AH82" s="184"/>
      <c r="AI82" s="176">
        <f>SUM(AI79:AI80)</f>
        <v>9673999.6417619791</v>
      </c>
      <c r="AJ82" s="175"/>
      <c r="AK82" s="175"/>
      <c r="AL82" s="177">
        <f>+AI82/$AI$90</f>
        <v>307.36479766670834</v>
      </c>
    </row>
    <row r="83" spans="4:38" hidden="1" x14ac:dyDescent="0.2">
      <c r="AF83" s="216"/>
      <c r="AG83" s="187" t="str">
        <f>UPPER(INDEX(Markups,12,1))</f>
        <v>BONDS: SUBCONTRACTOR</v>
      </c>
      <c r="AH83" s="194">
        <f>IF(INDEX(Markups,12,5), 0,INDEX(Markups,12,4))</f>
        <v>0</v>
      </c>
      <c r="AI83" s="195">
        <f>+IF(compounding,AI82*AH83,AI$60*AH83)</f>
        <v>0</v>
      </c>
      <c r="AJ83" s="175"/>
      <c r="AK83" s="175"/>
      <c r="AL83" s="196">
        <f>+AI83/$AI$90</f>
        <v>0</v>
      </c>
    </row>
    <row r="84" spans="4:38" ht="4.1500000000000004" hidden="1" customHeight="1" x14ac:dyDescent="0.2">
      <c r="AF84" s="216"/>
      <c r="AG84" s="187"/>
      <c r="AH84" s="184"/>
      <c r="AI84" s="176"/>
      <c r="AJ84" s="175"/>
      <c r="AK84" s="175"/>
      <c r="AL84" s="177"/>
    </row>
    <row r="85" spans="4:38" hidden="1" x14ac:dyDescent="0.2">
      <c r="AF85" s="216"/>
      <c r="AG85" s="187" t="s">
        <v>132</v>
      </c>
      <c r="AH85" s="184"/>
      <c r="AI85" s="176">
        <f>SUM(AI82:AI83)</f>
        <v>9673999.6417619791</v>
      </c>
      <c r="AJ85" s="175"/>
      <c r="AK85" s="175"/>
      <c r="AL85" s="177">
        <f>+AI85/$AI$90</f>
        <v>307.36479766670834</v>
      </c>
    </row>
    <row r="86" spans="4:38" hidden="1" x14ac:dyDescent="0.2">
      <c r="AF86" s="216"/>
      <c r="AG86" s="187" t="str">
        <f>UPPER(INDEX(Markups,13,1))</f>
        <v>LOSS DUE TO ESCALATION</v>
      </c>
      <c r="AH86" s="194">
        <f>IF(INDEX(Markups,13,5), 0,INDEX(Markups,13,4))</f>
        <v>0</v>
      </c>
      <c r="AI86" s="195">
        <f>+IF(compounding,AI85*AH86,AI$60*AH86)</f>
        <v>0</v>
      </c>
      <c r="AJ86" s="175"/>
      <c r="AK86" s="175"/>
      <c r="AL86" s="196">
        <f>+AI86/$AI$90</f>
        <v>0</v>
      </c>
    </row>
    <row r="87" spans="4:38" ht="4.1500000000000004" customHeight="1" x14ac:dyDescent="0.2">
      <c r="AF87" s="598"/>
      <c r="AG87" s="187"/>
      <c r="AH87" s="184"/>
      <c r="AI87" s="197"/>
      <c r="AJ87" s="175"/>
      <c r="AK87" s="175"/>
      <c r="AL87" s="198"/>
    </row>
    <row r="88" spans="4:38" ht="24.75" customHeight="1" x14ac:dyDescent="0.2">
      <c r="AF88" s="597"/>
      <c r="AG88" s="190" t="str">
        <f>IF(site,"TOTAL SITE COST","TOTAL BUILDING COST")</f>
        <v>TOTAL BUILDING COST</v>
      </c>
      <c r="AH88" s="191"/>
      <c r="AI88" s="192">
        <f>SUM(AI85:AI86)</f>
        <v>9673999.6417619791</v>
      </c>
      <c r="AJ88" s="191"/>
      <c r="AK88" s="191"/>
      <c r="AL88" s="193">
        <f>+AI88/$AI$90</f>
        <v>307.36479766670834</v>
      </c>
    </row>
    <row r="89" spans="4:38" ht="4.1500000000000004" customHeight="1" x14ac:dyDescent="0.2">
      <c r="AG89" s="175"/>
      <c r="AH89" s="175"/>
      <c r="AI89" s="176"/>
      <c r="AJ89" s="175"/>
      <c r="AK89" s="175"/>
      <c r="AL89" s="177"/>
    </row>
    <row r="90" spans="4:38" ht="12" customHeight="1" x14ac:dyDescent="0.2">
      <c r="AH90" s="199" t="str">
        <f>IF(site, "TOTAL SITE AREA:", "GROSS FLOOR AREA:")</f>
        <v>GROSS FLOOR AREA:</v>
      </c>
      <c r="AI90" s="200">
        <f>GFA</f>
        <v>31474</v>
      </c>
      <c r="AJ90" s="175" t="str">
        <f>IF(PageUom="Imperial", "SF", "M2")</f>
        <v>SF</v>
      </c>
    </row>
    <row r="91" spans="4:38" ht="15.75" customHeight="1" x14ac:dyDescent="0.25">
      <c r="D91" s="162"/>
      <c r="E91" s="163"/>
      <c r="F91" s="164"/>
      <c r="G91" s="163"/>
      <c r="H91" s="163"/>
      <c r="I91" s="143"/>
      <c r="J91" s="163"/>
      <c r="K91" s="163"/>
      <c r="L91" s="163"/>
      <c r="M91" s="163"/>
      <c r="N91" s="163"/>
      <c r="O91" s="163"/>
      <c r="P91" s="165" t="str">
        <f>project_name</f>
        <v>Hunt County Government Building</v>
      </c>
    </row>
    <row r="92" spans="4:38" ht="15.75" customHeight="1" x14ac:dyDescent="0.25">
      <c r="D92" s="162"/>
      <c r="E92" s="163"/>
      <c r="F92" s="164"/>
      <c r="G92" s="163"/>
      <c r="H92" s="163"/>
      <c r="I92" s="143"/>
      <c r="J92" s="173"/>
      <c r="K92" s="173"/>
      <c r="L92" s="173"/>
      <c r="M92" s="173"/>
      <c r="N92" s="173"/>
      <c r="O92" s="173"/>
      <c r="P92" s="166" t="str">
        <f>SUB_NAME</f>
        <v>BUILDING</v>
      </c>
    </row>
    <row r="93" spans="4:38" ht="12.75" customHeight="1" x14ac:dyDescent="0.25">
      <c r="D93" s="167"/>
      <c r="E93" s="168"/>
      <c r="F93" s="169"/>
      <c r="G93" s="169"/>
      <c r="H93" s="169"/>
      <c r="I93" s="143"/>
      <c r="J93" s="173"/>
      <c r="K93" s="173"/>
      <c r="L93" s="173"/>
      <c r="M93" s="173"/>
      <c r="N93" s="173"/>
      <c r="O93" s="173"/>
      <c r="P93" s="170" t="str">
        <f>project_location</f>
        <v>Greenville, TX</v>
      </c>
    </row>
    <row r="94" spans="4:38" ht="9" customHeight="1" x14ac:dyDescent="0.25">
      <c r="D94" s="167"/>
      <c r="E94" s="168"/>
      <c r="F94" s="169"/>
      <c r="G94" s="169"/>
      <c r="H94" s="169"/>
      <c r="I94" s="143"/>
      <c r="J94" s="173"/>
      <c r="K94" s="173"/>
      <c r="L94" s="173"/>
      <c r="M94" s="173"/>
      <c r="N94" s="173"/>
      <c r="O94" s="173"/>
      <c r="P94" s="171"/>
    </row>
    <row r="95" spans="4:38" ht="18.75" customHeight="1" x14ac:dyDescent="0.25">
      <c r="D95" s="172" t="str">
        <f>estimate_detail</f>
        <v>CONSTRUCTION DOCUMENTS ESTIMATE</v>
      </c>
      <c r="E95" s="163"/>
      <c r="F95" s="173"/>
      <c r="G95" s="173"/>
      <c r="H95" s="173"/>
      <c r="I95" s="143"/>
      <c r="J95" s="173"/>
      <c r="K95" s="173"/>
      <c r="L95" s="173"/>
      <c r="M95" s="173"/>
      <c r="N95" s="173"/>
      <c r="O95" s="173"/>
      <c r="P95" s="174" t="str">
        <f>"OCMI JOB #: "&amp; job_number &amp; " | " &amp; date</f>
        <v>OCMI JOB #: 240540.000 | 24 December 2024</v>
      </c>
    </row>
    <row r="96" spans="4:38" ht="12.75" customHeight="1" x14ac:dyDescent="0.25">
      <c r="D96" s="175"/>
      <c r="E96" s="175"/>
      <c r="F96" s="176"/>
      <c r="G96" s="175"/>
      <c r="H96" s="175"/>
      <c r="I96" s="177"/>
      <c r="J96" s="173"/>
      <c r="K96" s="173"/>
      <c r="L96" s="173"/>
      <c r="M96" s="173"/>
      <c r="N96" s="173"/>
      <c r="O96" s="173"/>
      <c r="P96" s="201"/>
    </row>
    <row r="97" spans="1:30" ht="12.75" customHeight="1" x14ac:dyDescent="0.2">
      <c r="C97" s="202"/>
      <c r="D97" s="203" t="s">
        <v>249</v>
      </c>
      <c r="E97" s="203"/>
      <c r="F97" s="203"/>
      <c r="G97" s="203"/>
      <c r="H97" s="204"/>
      <c r="I97" s="205" t="s">
        <v>250</v>
      </c>
      <c r="J97" s="206" t="s">
        <v>251</v>
      </c>
      <c r="K97" s="207" t="s">
        <v>252</v>
      </c>
      <c r="L97" s="208" t="s">
        <v>253</v>
      </c>
      <c r="M97" s="209" t="s">
        <v>254</v>
      </c>
      <c r="N97" s="209" t="s">
        <v>255</v>
      </c>
      <c r="O97" s="210" t="s">
        <v>256</v>
      </c>
      <c r="P97" s="211" t="s">
        <v>257</v>
      </c>
      <c r="Q97" s="293" t="s">
        <v>258</v>
      </c>
      <c r="R97" s="213" t="s">
        <v>259</v>
      </c>
      <c r="S97" s="213" t="s">
        <v>260</v>
      </c>
      <c r="T97" s="213" t="s">
        <v>261</v>
      </c>
      <c r="U97" s="213" t="s">
        <v>262</v>
      </c>
      <c r="V97" s="213" t="s">
        <v>263</v>
      </c>
      <c r="W97" s="213" t="s">
        <v>264</v>
      </c>
      <c r="X97" s="213" t="s">
        <v>265</v>
      </c>
      <c r="Y97" s="213" t="s">
        <v>266</v>
      </c>
    </row>
    <row r="99" spans="1:30" hidden="1" x14ac:dyDescent="0.2">
      <c r="A99" s="143" t="s">
        <v>294</v>
      </c>
      <c r="D99" s="214" t="s">
        <v>267</v>
      </c>
      <c r="E99" s="215"/>
      <c r="F99" s="215"/>
      <c r="G99" s="215"/>
      <c r="H99" s="215"/>
      <c r="K99" s="149"/>
      <c r="L99" s="149"/>
      <c r="M99" s="149"/>
      <c r="N99" s="149"/>
      <c r="P99" s="216"/>
      <c r="Q99" s="291">
        <f>IF(O99=0,0,IF(X99=0,"manual",O99/((R99*tax*markup*IF(Y99&lt;&gt;"",VLOOKUP(LEFT(Y99,2),cityindex,2,0),1))+S99*markup*difficulty*IF(Y99&lt;&gt;"",VLOOKUP(LEFT(Y99,2),cityindex,3,0),1)+W99*markup*difficulty*IF(Y99&lt;&gt;"",VLOOKUP(LEFT(Y99,2),cityindex,3,0),1))))</f>
        <v>0</v>
      </c>
      <c r="S99" s="143">
        <f t="shared" ref="S99:S139" si="2">U99*V99</f>
        <v>0</v>
      </c>
      <c r="X99" s="143">
        <f t="shared" ref="X99:X139" si="3">SUM(R99,S99,W99)</f>
        <v>0</v>
      </c>
    </row>
    <row r="100" spans="1:30" ht="12.75" hidden="1" customHeight="1" x14ac:dyDescent="0.2">
      <c r="K100" s="149">
        <f>R100*tax*markup*IF(Y100&lt;&gt;"",VLOOKUP(LEFT(Y100,2),cityindex,2,0),1)</f>
        <v>0</v>
      </c>
      <c r="L100" s="149">
        <f>S100*markup*difficulty*IF(Y100&lt;&gt;"",VLOOKUP(LEFT(Y100,2),cityindex,3,0),1)</f>
        <v>0</v>
      </c>
      <c r="M100" s="149">
        <f>W100*markup*difficulty*IF(Y100&lt;&gt;"",VLOOKUP(LEFT(Y100,2),cityindex,3,0),1)</f>
        <v>0</v>
      </c>
      <c r="N100" s="149"/>
      <c r="O100" s="149">
        <f>SUM(K100:N100)*embed</f>
        <v>0</v>
      </c>
      <c r="P100" s="216">
        <f>ROUND((O100*I100),0)</f>
        <v>0</v>
      </c>
      <c r="Q100" s="291">
        <f>IF(O100=0,0,IF(X100=0,"manual",O100/((R100*tax*markup*IF(Y100&lt;&gt;"",VLOOKUP(LEFT(Y100,2),cityindex,2,0),1))+S100*markup*difficulty*IF(Y100&lt;&gt;"",VLOOKUP(LEFT(Y100,2),cityindex,3,0),1)+W100*markup*difficulty*IF(Y100&lt;&gt;"",VLOOKUP(LEFT(Y100,2),cityindex,3,0),1))))</f>
        <v>0</v>
      </c>
      <c r="S100" s="143">
        <f t="shared" si="2"/>
        <v>0</v>
      </c>
      <c r="X100" s="143">
        <f t="shared" si="3"/>
        <v>0</v>
      </c>
    </row>
    <row r="101" spans="1:30" ht="24.75" hidden="1" customHeight="1" x14ac:dyDescent="0.2">
      <c r="D101" s="217" t="str">
        <f>"TOTAL - " &amp; D99</f>
        <v>TOTAL - 01  GENERAL REQUIREMENTS</v>
      </c>
      <c r="E101" s="217"/>
      <c r="F101" s="217"/>
      <c r="G101" s="217"/>
      <c r="H101" s="217"/>
      <c r="I101" s="218"/>
      <c r="J101" s="219"/>
      <c r="K101" s="220"/>
      <c r="L101" s="220"/>
      <c r="M101" s="220"/>
      <c r="N101" s="220"/>
      <c r="O101" s="221"/>
      <c r="P101" s="222">
        <f>SUM(P99:P100)</f>
        <v>0</v>
      </c>
      <c r="S101" s="143">
        <f t="shared" si="2"/>
        <v>0</v>
      </c>
      <c r="X101" s="143">
        <f t="shared" si="3"/>
        <v>0</v>
      </c>
      <c r="Z101" s="314">
        <f>P101/GFA</f>
        <v>0</v>
      </c>
      <c r="AA101" s="315" t="s">
        <v>295</v>
      </c>
    </row>
    <row r="102" spans="1:30" hidden="1" x14ac:dyDescent="0.2">
      <c r="K102" s="149"/>
      <c r="L102" s="149"/>
      <c r="M102" s="149"/>
      <c r="N102" s="149"/>
      <c r="P102" s="216"/>
      <c r="Q102" s="291">
        <f>IF(O102=0,0,IF(X102=0,"manual",O102/((R102*tax*markup*IF(Y102&lt;&gt;"",VLOOKUP(LEFT(Y102,2),cityindex,2,0),1))+S102*markup*difficulty*IF(Y102&lt;&gt;"",VLOOKUP(LEFT(Y102,2),cityindex,3,0),1)+W102*markup*difficulty*IF(Y102&lt;&gt;"",VLOOKUP(LEFT(Y102,2),cityindex,3,0),1))))</f>
        <v>0</v>
      </c>
      <c r="S102" s="143">
        <f t="shared" si="2"/>
        <v>0</v>
      </c>
      <c r="X102" s="143">
        <f t="shared" si="3"/>
        <v>0</v>
      </c>
    </row>
    <row r="103" spans="1:30" x14ac:dyDescent="0.2">
      <c r="D103" s="214" t="s">
        <v>268</v>
      </c>
      <c r="E103" s="215"/>
      <c r="F103" s="215"/>
      <c r="G103" s="215"/>
      <c r="H103" s="215"/>
      <c r="K103" s="149"/>
      <c r="L103" s="149"/>
      <c r="M103" s="149"/>
      <c r="N103" s="149"/>
      <c r="P103" s="216"/>
      <c r="Q103" s="291">
        <f>IF(O103=0,0,IF(X103=0,"manual",O103/((R103*tax*markup*IF(Y103&lt;&gt;"",VLOOKUP(LEFT(Y103,2),cityindex,2,0),1))+S103*markup*difficulty*IF(Y103&lt;&gt;"",VLOOKUP(LEFT(Y103,2),cityindex,3,0),1)+W103*markup*difficulty*IF(Y103&lt;&gt;"",VLOOKUP(LEFT(Y103,2),cityindex,3,0),1))))</f>
        <v>0</v>
      </c>
      <c r="S103" s="143">
        <f t="shared" si="2"/>
        <v>0</v>
      </c>
      <c r="X103" s="143">
        <f t="shared" si="3"/>
        <v>0</v>
      </c>
      <c r="AC103" s="613"/>
      <c r="AD103" s="604"/>
    </row>
    <row r="104" spans="1:30" x14ac:dyDescent="0.2">
      <c r="D104" s="228"/>
      <c r="E104" s="228" t="s">
        <v>977</v>
      </c>
      <c r="F104" s="228"/>
      <c r="G104" s="228"/>
      <c r="H104" s="228"/>
      <c r="I104" s="230"/>
      <c r="J104" s="231"/>
      <c r="K104" s="232">
        <f t="shared" ref="K104:K135" si="4">R104*tax*markup*IF(Y104&lt;&gt;"",VLOOKUP(LEFT(Y104,2),cityindex,2,0),1)</f>
        <v>0</v>
      </c>
      <c r="L104" s="232">
        <f t="shared" ref="L104:L111" si="5">S104*markup*difficulty*IF(Y104&lt;&gt;"",VLOOKUP(LEFT(Y104,2),cityindex,3,0),1)</f>
        <v>0</v>
      </c>
      <c r="M104" s="232">
        <f t="shared" ref="M104:M135" si="6">W104*markup*difficulty*IF(Y104&lt;&gt;"",VLOOKUP(LEFT(Y104,2),cityindex,3,0),1)</f>
        <v>0</v>
      </c>
      <c r="N104" s="232"/>
      <c r="O104" s="232">
        <f t="shared" ref="O104:O135" si="7">SUM(K104:N104)*embed</f>
        <v>0</v>
      </c>
      <c r="P104" s="233">
        <f t="shared" ref="P104:P135" si="8">ROUND((O104*I104),0)</f>
        <v>0</v>
      </c>
      <c r="Q104" s="291">
        <f t="shared" ref="Q104:Q135" si="9">IF(O104=0,0,IF(X104=0,"manual",(O104/(R104*tax*markup*IF(Y104&lt;&gt;"",VLOOKUP(LEFT(Y104,2),cityindex,2,0),1)+S104*markup*difficulty*IF(Y104&lt;&gt;"",VLOOKUP(LEFT(Y104,2),cityindex,3,0),1)+W104*markup*difficulty*IF(Y104&lt;&gt;"",VLOOKUP(LEFT(Y104,2),cityindex,3,0),1)))-1))</f>
        <v>0</v>
      </c>
      <c r="S104" s="143">
        <f t="shared" si="2"/>
        <v>0</v>
      </c>
      <c r="X104" s="143">
        <f t="shared" si="3"/>
        <v>0</v>
      </c>
      <c r="AC104" s="613"/>
      <c r="AD104" s="604"/>
    </row>
    <row r="105" spans="1:30" x14ac:dyDescent="0.2">
      <c r="D105" s="228"/>
      <c r="E105" s="228"/>
      <c r="F105" s="228" t="s">
        <v>971</v>
      </c>
      <c r="G105" s="228"/>
      <c r="H105" s="228"/>
      <c r="I105" s="230">
        <f>9874+9299-I112-I108-(21*6)-(42*2)</f>
        <v>17533</v>
      </c>
      <c r="J105" s="231" t="s">
        <v>301</v>
      </c>
      <c r="K105" s="232">
        <f t="shared" si="4"/>
        <v>0</v>
      </c>
      <c r="L105" s="232">
        <f t="shared" si="5"/>
        <v>0.44377265330551896</v>
      </c>
      <c r="M105" s="232">
        <f t="shared" si="6"/>
        <v>0</v>
      </c>
      <c r="N105" s="232">
        <v>1</v>
      </c>
      <c r="O105" s="232">
        <f t="shared" si="7"/>
        <v>1.4437726533055191</v>
      </c>
      <c r="P105" s="233">
        <f t="shared" si="8"/>
        <v>25314</v>
      </c>
      <c r="Q105" s="291">
        <f t="shared" si="9"/>
        <v>2.2534060910498281</v>
      </c>
      <c r="R105" s="143">
        <v>0</v>
      </c>
      <c r="S105" s="143">
        <f t="shared" si="2"/>
        <v>0.35644389823736461</v>
      </c>
      <c r="T105" s="143" t="s">
        <v>965</v>
      </c>
      <c r="U105" s="143">
        <v>30.337316807306259</v>
      </c>
      <c r="V105" s="143">
        <v>1.1749354779837377E-2</v>
      </c>
      <c r="W105" s="143">
        <v>0</v>
      </c>
      <c r="X105" s="143">
        <f t="shared" si="3"/>
        <v>0.35644389823736461</v>
      </c>
      <c r="Y105" s="143" t="s">
        <v>966</v>
      </c>
      <c r="AC105" s="613"/>
      <c r="AD105" s="604" t="s">
        <v>1313</v>
      </c>
    </row>
    <row r="106" spans="1:30" x14ac:dyDescent="0.2">
      <c r="D106" s="228"/>
      <c r="E106" s="228"/>
      <c r="F106" s="228" t="s">
        <v>1142</v>
      </c>
      <c r="G106" s="228"/>
      <c r="H106" s="228"/>
      <c r="I106" s="230">
        <f>I105</f>
        <v>17533</v>
      </c>
      <c r="J106" s="231" t="s">
        <v>301</v>
      </c>
      <c r="K106" s="232">
        <f>R106*tax*markup*IF(Y106&lt;&gt;"",VLOOKUP(LEFT(Y106,2),cityindex,2,0),1)</f>
        <v>0</v>
      </c>
      <c r="L106" s="232">
        <f>S106*markup*difficulty*IF(Y106&lt;&gt;"",VLOOKUP(LEFT(Y106,2),cityindex,3,0),1)</f>
        <v>1.0568595020822606</v>
      </c>
      <c r="M106" s="232">
        <f>W106*markup*difficulty*IF(Y106&lt;&gt;"",VLOOKUP(LEFT(Y106,2),cityindex,3,0),1)</f>
        <v>0.46446117630346706</v>
      </c>
      <c r="N106" s="232"/>
      <c r="O106" s="232">
        <f>SUM(K106:N106)*embed</f>
        <v>1.5213206783857278</v>
      </c>
      <c r="P106" s="233">
        <f>ROUND((O106*I106),0)</f>
        <v>26673</v>
      </c>
      <c r="Q106" s="291">
        <f>IF(O106=0,0,IF(X106=0,"manual",(O106/(R106*tax*markup*IF(Y106&lt;&gt;"",VLOOKUP(LEFT(Y106,2),cityindex,2,0),1)+S106*markup*difficulty*IF(Y106&lt;&gt;"",VLOOKUP(LEFT(Y106,2),cityindex,3,0),1)+W106*markup*difficulty*IF(Y106&lt;&gt;"",VLOOKUP(LEFT(Y106,2),cityindex,3,0),1)))-1))</f>
        <v>0</v>
      </c>
      <c r="R106" s="143">
        <v>0</v>
      </c>
      <c r="S106" s="143">
        <f>U106*V106</f>
        <v>0.84888313420261896</v>
      </c>
      <c r="T106" s="143" t="s">
        <v>965</v>
      </c>
      <c r="U106" s="143">
        <v>30.337316807306259</v>
      </c>
      <c r="V106" s="143">
        <v>2.798148364914655E-2</v>
      </c>
      <c r="W106" s="143">
        <v>0.37306118578591729</v>
      </c>
      <c r="X106" s="143">
        <f>SUM(R106,S106,W106)</f>
        <v>1.2219443199885363</v>
      </c>
      <c r="Y106" s="143" t="s">
        <v>1141</v>
      </c>
      <c r="AC106" s="613"/>
      <c r="AD106" s="604" t="s">
        <v>1313</v>
      </c>
    </row>
    <row r="107" spans="1:30" x14ac:dyDescent="0.2">
      <c r="D107" s="228"/>
      <c r="E107" s="228"/>
      <c r="F107" s="228" t="s">
        <v>1679</v>
      </c>
      <c r="G107" s="228"/>
      <c r="H107" s="228"/>
      <c r="I107" s="230">
        <f>40</f>
        <v>40</v>
      </c>
      <c r="J107" s="231" t="s">
        <v>301</v>
      </c>
      <c r="K107" s="232">
        <f>R107*tax*markup*IF(Y107&lt;&gt;"",VLOOKUP(LEFT(Y107,2),cityindex,2,0),1)</f>
        <v>0</v>
      </c>
      <c r="L107" s="232">
        <f>S107*markup*difficulty*IF(Y107&lt;&gt;"",VLOOKUP(LEFT(Y107,2),cityindex,3,0),1)</f>
        <v>3.424590020919704</v>
      </c>
      <c r="M107" s="232">
        <f>W107*markup*difficulty*IF(Y107&lt;&gt;"",VLOOKUP(LEFT(Y107,2),cityindex,3,0),1)</f>
        <v>0</v>
      </c>
      <c r="N107" s="232"/>
      <c r="O107" s="232">
        <f>SUM(K107:N107)*embed</f>
        <v>3.424590020919704</v>
      </c>
      <c r="P107" s="233">
        <f>ROUND((O107*I107),0)</f>
        <v>137</v>
      </c>
      <c r="Q107" s="291">
        <f>IF(O107=0,0,IF(X107=0,"manual",(O107/(R107*tax*markup*IF(Y107&lt;&gt;"",VLOOKUP(LEFT(Y107,2),cityindex,2,0),1)+S107*markup*difficulty*IF(Y107&lt;&gt;"",VLOOKUP(LEFT(Y107,2),cityindex,3,0),1)+W107*markup*difficulty*IF(Y107&lt;&gt;"",VLOOKUP(LEFT(Y107,2),cityindex,3,0),1)))-1))</f>
        <v>0</v>
      </c>
      <c r="R107" s="143">
        <v>0</v>
      </c>
      <c r="S107" s="143">
        <f>U107*V107</f>
        <v>2.7506747155981555</v>
      </c>
      <c r="T107" s="143" t="s">
        <v>968</v>
      </c>
      <c r="U107" s="143">
        <v>50.790085122442285</v>
      </c>
      <c r="V107" s="143">
        <v>5.4157710288670745E-2</v>
      </c>
      <c r="W107" s="143">
        <v>0</v>
      </c>
      <c r="X107" s="143">
        <f>SUM(R107,S107,W107)</f>
        <v>2.7506747155981555</v>
      </c>
      <c r="Y107" s="143" t="s">
        <v>1680</v>
      </c>
      <c r="AC107" s="613"/>
      <c r="AD107" s="604" t="s">
        <v>1316</v>
      </c>
    </row>
    <row r="108" spans="1:30" x14ac:dyDescent="0.2">
      <c r="D108" s="228"/>
      <c r="E108" s="228"/>
      <c r="F108" s="228" t="s">
        <v>974</v>
      </c>
      <c r="G108" s="228"/>
      <c r="H108" s="228"/>
      <c r="I108" s="230">
        <f>(25*16)+50</f>
        <v>450</v>
      </c>
      <c r="J108" s="231" t="s">
        <v>301</v>
      </c>
      <c r="K108" s="232">
        <f t="shared" si="4"/>
        <v>0</v>
      </c>
      <c r="L108" s="232">
        <f t="shared" si="5"/>
        <v>0.46808913431525589</v>
      </c>
      <c r="M108" s="232">
        <f t="shared" si="6"/>
        <v>0</v>
      </c>
      <c r="N108" s="232">
        <v>0.75</v>
      </c>
      <c r="O108" s="232">
        <f t="shared" si="7"/>
        <v>1.2180891343152558</v>
      </c>
      <c r="P108" s="233">
        <f t="shared" si="8"/>
        <v>548</v>
      </c>
      <c r="Q108" s="291">
        <f t="shared" si="9"/>
        <v>1.6022589396293876</v>
      </c>
      <c r="R108" s="143">
        <v>0</v>
      </c>
      <c r="S108" s="143">
        <f t="shared" si="2"/>
        <v>0.37597520828534609</v>
      </c>
      <c r="T108" s="143" t="s">
        <v>965</v>
      </c>
      <c r="U108" s="143">
        <v>30.337316807306259</v>
      </c>
      <c r="V108" s="143">
        <v>1.2393159575496752E-2</v>
      </c>
      <c r="W108" s="143">
        <v>0</v>
      </c>
      <c r="X108" s="143">
        <f t="shared" si="3"/>
        <v>0.37597520828534609</v>
      </c>
      <c r="Y108" s="143" t="s">
        <v>975</v>
      </c>
      <c r="AC108" s="613"/>
      <c r="AD108" s="604" t="s">
        <v>1313</v>
      </c>
    </row>
    <row r="109" spans="1:30" x14ac:dyDescent="0.2">
      <c r="D109" s="228"/>
      <c r="E109" s="228"/>
      <c r="F109" s="228" t="s">
        <v>976</v>
      </c>
      <c r="G109" s="228"/>
      <c r="H109" s="228"/>
      <c r="I109" s="230">
        <v>24517</v>
      </c>
      <c r="J109" s="231" t="s">
        <v>301</v>
      </c>
      <c r="K109" s="232">
        <f t="shared" si="4"/>
        <v>0</v>
      </c>
      <c r="L109" s="232">
        <f t="shared" si="5"/>
        <v>0</v>
      </c>
      <c r="M109" s="232">
        <f t="shared" si="6"/>
        <v>0</v>
      </c>
      <c r="N109" s="232">
        <f>0.56+0.38</f>
        <v>0.94000000000000006</v>
      </c>
      <c r="O109" s="232">
        <f t="shared" si="7"/>
        <v>0.94000000000000006</v>
      </c>
      <c r="P109" s="233">
        <f t="shared" si="8"/>
        <v>23046</v>
      </c>
      <c r="Q109" s="291" t="str">
        <f t="shared" si="9"/>
        <v>manual</v>
      </c>
      <c r="AC109" s="613">
        <f>I109-[1]BUILDING!$I$108</f>
        <v>-1863</v>
      </c>
      <c r="AD109" s="607" t="s">
        <v>1665</v>
      </c>
    </row>
    <row r="110" spans="1:30" x14ac:dyDescent="0.2">
      <c r="D110" s="228"/>
      <c r="E110" s="228"/>
      <c r="F110" s="228" t="s">
        <v>967</v>
      </c>
      <c r="G110" s="228"/>
      <c r="H110" s="228"/>
      <c r="I110" s="230">
        <v>6</v>
      </c>
      <c r="J110" s="231" t="s">
        <v>390</v>
      </c>
      <c r="K110" s="232">
        <f t="shared" si="4"/>
        <v>2.1177284993617356</v>
      </c>
      <c r="L110" s="232">
        <f t="shared" si="5"/>
        <v>51.352388424304088</v>
      </c>
      <c r="M110" s="232">
        <f t="shared" si="6"/>
        <v>0</v>
      </c>
      <c r="N110" s="232"/>
      <c r="O110" s="232">
        <f t="shared" si="7"/>
        <v>53.470116923665827</v>
      </c>
      <c r="P110" s="233">
        <f t="shared" si="8"/>
        <v>321</v>
      </c>
      <c r="Q110" s="291">
        <f t="shared" si="9"/>
        <v>0</v>
      </c>
      <c r="R110" s="143">
        <v>1.5713503431642397</v>
      </c>
      <c r="S110" s="143">
        <f t="shared" si="2"/>
        <v>41.246898332774364</v>
      </c>
      <c r="T110" s="143" t="s">
        <v>968</v>
      </c>
      <c r="U110" s="143">
        <v>50.790085122442285</v>
      </c>
      <c r="V110" s="143">
        <v>0.81210532003122915</v>
      </c>
      <c r="W110" s="143">
        <v>0</v>
      </c>
      <c r="X110" s="143">
        <f t="shared" si="3"/>
        <v>42.818248675938605</v>
      </c>
      <c r="Y110" s="143" t="s">
        <v>969</v>
      </c>
      <c r="AC110" s="613"/>
      <c r="AD110" s="604" t="s">
        <v>1313</v>
      </c>
    </row>
    <row r="111" spans="1:30" x14ac:dyDescent="0.2">
      <c r="D111" s="228"/>
      <c r="E111" s="228"/>
      <c r="F111" s="228" t="s">
        <v>1056</v>
      </c>
      <c r="G111" s="228"/>
      <c r="H111" s="228"/>
      <c r="I111" s="230">
        <v>2</v>
      </c>
      <c r="J111" s="231" t="s">
        <v>648</v>
      </c>
      <c r="K111" s="232">
        <f t="shared" si="4"/>
        <v>2.1177284993617356</v>
      </c>
      <c r="L111" s="232">
        <f t="shared" si="5"/>
        <v>77.908790490974923</v>
      </c>
      <c r="M111" s="232">
        <f t="shared" si="6"/>
        <v>0</v>
      </c>
      <c r="N111" s="232"/>
      <c r="O111" s="232">
        <f t="shared" si="7"/>
        <v>80.026518990336655</v>
      </c>
      <c r="P111" s="233">
        <f t="shared" si="8"/>
        <v>160</v>
      </c>
      <c r="Q111" s="291">
        <f t="shared" si="9"/>
        <v>0</v>
      </c>
      <c r="R111" s="143">
        <v>1.5713503431642397</v>
      </c>
      <c r="S111" s="143">
        <f t="shared" si="2"/>
        <v>62.577341759819205</v>
      </c>
      <c r="T111" s="143" t="s">
        <v>968</v>
      </c>
      <c r="U111" s="143">
        <v>50.790085122442285</v>
      </c>
      <c r="V111" s="143">
        <v>1.2320779067205887</v>
      </c>
      <c r="W111" s="143">
        <v>0</v>
      </c>
      <c r="X111" s="143">
        <f t="shared" si="3"/>
        <v>64.148692102983446</v>
      </c>
      <c r="Y111" s="143" t="s">
        <v>1057</v>
      </c>
      <c r="AC111" s="613"/>
      <c r="AD111" s="605" t="s">
        <v>1313</v>
      </c>
    </row>
    <row r="112" spans="1:30" x14ac:dyDescent="0.2">
      <c r="D112" s="228"/>
      <c r="E112" s="228"/>
      <c r="F112" s="228" t="s">
        <v>970</v>
      </c>
      <c r="G112" s="228"/>
      <c r="H112" s="228"/>
      <c r="I112" s="230">
        <f>98*10</f>
        <v>980</v>
      </c>
      <c r="J112" s="231" t="s">
        <v>301</v>
      </c>
      <c r="K112" s="232">
        <f t="shared" si="4"/>
        <v>0</v>
      </c>
      <c r="L112" s="232">
        <f>S112*markup*difficulty*IF(Y112&lt;&gt;"",VLOOKUP(LEFT(Y112,2),cityindex,3,0),1)+3.82</f>
        <v>3.82</v>
      </c>
      <c r="M112" s="232">
        <f t="shared" si="6"/>
        <v>0</v>
      </c>
      <c r="N112" s="232"/>
      <c r="O112" s="232">
        <f t="shared" si="7"/>
        <v>3.82</v>
      </c>
      <c r="P112" s="233">
        <f t="shared" si="8"/>
        <v>3744</v>
      </c>
      <c r="Q112" s="291" t="str">
        <f t="shared" si="9"/>
        <v>manual</v>
      </c>
      <c r="S112" s="143">
        <f t="shared" si="2"/>
        <v>0</v>
      </c>
      <c r="X112" s="143">
        <f t="shared" si="3"/>
        <v>0</v>
      </c>
      <c r="AC112" s="613">
        <f>I112-[1]BUILDING!$I$111</f>
        <v>310</v>
      </c>
      <c r="AD112" s="604" t="s">
        <v>1647</v>
      </c>
    </row>
    <row r="113" spans="4:30" x14ac:dyDescent="0.2">
      <c r="D113" s="228"/>
      <c r="E113" s="228"/>
      <c r="F113" s="228"/>
      <c r="G113" s="228"/>
      <c r="H113" s="228"/>
      <c r="I113" s="230"/>
      <c r="J113" s="231"/>
      <c r="K113" s="232">
        <f t="shared" si="4"/>
        <v>0</v>
      </c>
      <c r="L113" s="232">
        <f t="shared" ref="L113:L135" si="10">S113*markup*difficulty*IF(Y113&lt;&gt;"",VLOOKUP(LEFT(Y113,2),cityindex,3,0),1)</f>
        <v>0</v>
      </c>
      <c r="M113" s="232">
        <f t="shared" si="6"/>
        <v>0</v>
      </c>
      <c r="N113" s="232"/>
      <c r="O113" s="232">
        <f t="shared" si="7"/>
        <v>0</v>
      </c>
      <c r="P113" s="233">
        <f t="shared" si="8"/>
        <v>0</v>
      </c>
      <c r="Q113" s="291">
        <f t="shared" si="9"/>
        <v>0</v>
      </c>
      <c r="S113" s="143">
        <f t="shared" si="2"/>
        <v>0</v>
      </c>
      <c r="X113" s="143">
        <f t="shared" si="3"/>
        <v>0</v>
      </c>
      <c r="AC113" s="613"/>
      <c r="AD113" s="604"/>
    </row>
    <row r="114" spans="4:30" x14ac:dyDescent="0.2">
      <c r="D114" s="228"/>
      <c r="E114" s="228" t="s">
        <v>978</v>
      </c>
      <c r="F114" s="228"/>
      <c r="G114" s="228"/>
      <c r="H114" s="228"/>
      <c r="I114" s="230"/>
      <c r="J114" s="231"/>
      <c r="K114" s="232">
        <f t="shared" si="4"/>
        <v>0</v>
      </c>
      <c r="L114" s="232">
        <f t="shared" si="10"/>
        <v>0</v>
      </c>
      <c r="M114" s="232">
        <f t="shared" si="6"/>
        <v>0</v>
      </c>
      <c r="N114" s="232"/>
      <c r="O114" s="232">
        <f t="shared" si="7"/>
        <v>0</v>
      </c>
      <c r="P114" s="233">
        <f t="shared" si="8"/>
        <v>0</v>
      </c>
      <c r="Q114" s="291">
        <f t="shared" si="9"/>
        <v>0</v>
      </c>
      <c r="S114" s="143">
        <f t="shared" si="2"/>
        <v>0</v>
      </c>
      <c r="X114" s="143">
        <f t="shared" si="3"/>
        <v>0</v>
      </c>
      <c r="AC114" s="613"/>
      <c r="AD114" s="604"/>
    </row>
    <row r="115" spans="4:30" x14ac:dyDescent="0.2">
      <c r="D115" s="228"/>
      <c r="E115" s="228"/>
      <c r="F115" s="228" t="s">
        <v>1682</v>
      </c>
      <c r="G115" s="228"/>
      <c r="H115" s="228"/>
      <c r="I115" s="230">
        <v>328</v>
      </c>
      <c r="J115" s="231" t="s">
        <v>301</v>
      </c>
      <c r="K115" s="232">
        <f>R115*tax*markup*IF(Y115&lt;&gt;"",VLOOKUP(LEFT(Y115,2),cityindex,2,0),1)</f>
        <v>1.8811836080530278</v>
      </c>
      <c r="L115" s="232">
        <f>S115*markup*difficulty*IF(Y115&lt;&gt;"",VLOOKUP(LEFT(Y115,2),cityindex,3,0),1)</f>
        <v>3.2902331557232669</v>
      </c>
      <c r="M115" s="232">
        <f>W115*markup*difficulty*IF(Y115&lt;&gt;"",VLOOKUP(LEFT(Y115,2),cityindex,3,0),1)</f>
        <v>2.1408899798806367</v>
      </c>
      <c r="N115" s="232"/>
      <c r="O115" s="232">
        <f>SUM(K115:N115)*embed</f>
        <v>7.3123067436569311</v>
      </c>
      <c r="P115" s="233">
        <f>ROUND((O115*I115),0)</f>
        <v>2398</v>
      </c>
      <c r="Q115" s="291">
        <f>IF(O115=0,0,IF(X115=0,"manual",(O115/(R115*tax*markup*IF(Y115&lt;&gt;"",VLOOKUP(LEFT(Y115,2),cityindex,2,0),1)+S115*markup*difficulty*IF(Y115&lt;&gt;"",VLOOKUP(LEFT(Y115,2),cityindex,3,0),1)+W115*markup*difficulty*IF(Y115&lt;&gt;"",VLOOKUP(LEFT(Y115,2),cityindex,3,0),1)))-1))</f>
        <v>0</v>
      </c>
      <c r="R115" s="143">
        <v>1.3958345033180501</v>
      </c>
      <c r="S115" s="143">
        <f>U115*V115</f>
        <v>2.6427575547978046</v>
      </c>
      <c r="T115" s="143" t="s">
        <v>1040</v>
      </c>
      <c r="U115" s="143">
        <v>57.934497485353006</v>
      </c>
      <c r="V115" s="143">
        <v>4.5616302367444309E-2</v>
      </c>
      <c r="W115" s="143">
        <v>1.7195903452856518</v>
      </c>
      <c r="X115" s="143">
        <f>SUM(R115,S115,W115)</f>
        <v>5.7581824034015066</v>
      </c>
      <c r="Y115" s="143" t="s">
        <v>1676</v>
      </c>
      <c r="AC115" s="613"/>
      <c r="AD115" s="604" t="s">
        <v>1316</v>
      </c>
    </row>
    <row r="116" spans="4:30" x14ac:dyDescent="0.2">
      <c r="D116" s="228"/>
      <c r="E116" s="228"/>
      <c r="F116" s="228" t="s">
        <v>1681</v>
      </c>
      <c r="G116" s="228"/>
      <c r="H116" s="228"/>
      <c r="I116" s="230">
        <v>78</v>
      </c>
      <c r="J116" s="231" t="s">
        <v>301</v>
      </c>
      <c r="K116" s="232">
        <f>R116*tax*markup*IF(Y116&lt;&gt;"",VLOOKUP(LEFT(Y116,2),cityindex,2,0),1)</f>
        <v>0</v>
      </c>
      <c r="L116" s="232">
        <f>S116*markup*difficulty*IF(Y116&lt;&gt;"",VLOOKUP(LEFT(Y116,2),cityindex,3,0),1)</f>
        <v>10.438831460639665</v>
      </c>
      <c r="M116" s="232">
        <f>W116*markup*difficulty*IF(Y116&lt;&gt;"",VLOOKUP(LEFT(Y116,2),cityindex,3,0),1)</f>
        <v>17.403313158658531</v>
      </c>
      <c r="N116" s="232"/>
      <c r="O116" s="232">
        <f>SUM(K116:N116)*embed</f>
        <v>27.842144619298196</v>
      </c>
      <c r="P116" s="233">
        <f>ROUND((O116*I116),0)</f>
        <v>2172</v>
      </c>
      <c r="Q116" s="291">
        <f t="shared" ref="Q116" si="11">IF(O116=0,0,IF(X116=0,"manual",(O116/(R116*tax*markup*IF(Y116&lt;&gt;"",VLOOKUP(LEFT(Y116,2),cityindex,2,0),1)+S116*markup*difficulty*IF(Y116&lt;&gt;"",VLOOKUP(LEFT(Y116,2),cityindex,3,0),1)+W116*markup*difficulty*IF(Y116&lt;&gt;"",VLOOKUP(LEFT(Y116,2),cityindex,3,0),1)))-1))</f>
        <v>0</v>
      </c>
      <c r="R116" s="143">
        <v>0</v>
      </c>
      <c r="S116" s="143">
        <f>U116*V116</f>
        <v>8.3846035828431038</v>
      </c>
      <c r="T116" s="143" t="s">
        <v>965</v>
      </c>
      <c r="U116" s="143">
        <v>30.337316807306259</v>
      </c>
      <c r="V116" s="143">
        <v>0.27637920769656882</v>
      </c>
      <c r="W116" s="143">
        <v>13.978564786071107</v>
      </c>
      <c r="X116" s="143">
        <f>SUM(R116,S116,W116)</f>
        <v>22.363168368914209</v>
      </c>
      <c r="Y116" s="143" t="s">
        <v>1601</v>
      </c>
      <c r="AC116" s="143"/>
      <c r="AD116" s="604" t="s">
        <v>1316</v>
      </c>
    </row>
    <row r="117" spans="4:30" x14ac:dyDescent="0.2">
      <c r="D117" s="228"/>
      <c r="E117" s="228"/>
      <c r="F117" s="228" t="s">
        <v>1677</v>
      </c>
      <c r="G117" s="228"/>
      <c r="H117" s="228"/>
      <c r="I117" s="230">
        <f>39*10</f>
        <v>390</v>
      </c>
      <c r="J117" s="231" t="s">
        <v>301</v>
      </c>
      <c r="K117" s="232">
        <f>R117*tax*markup*IF(Y117&lt;&gt;"",VLOOKUP(LEFT(Y117,2),cityindex,2,0),1)</f>
        <v>1.204888509367859</v>
      </c>
      <c r="L117" s="232">
        <f>S117*markup*difficulty*IF(Y117&lt;&gt;"",VLOOKUP(LEFT(Y117,2),cityindex,3,0),1)</f>
        <v>3.9191696160928435</v>
      </c>
      <c r="M117" s="232">
        <f>W117*markup*difficulty*IF(Y117&lt;&gt;"",VLOOKUP(LEFT(Y117,2),cityindex,3,0),1)</f>
        <v>1.3879597516547879</v>
      </c>
      <c r="N117" s="232"/>
      <c r="O117" s="232">
        <f>SUM(K117:N117)*embed</f>
        <v>6.5120178771154906</v>
      </c>
      <c r="P117" s="233">
        <f>ROUND((O117*I117),0)</f>
        <v>2540</v>
      </c>
      <c r="Q117" s="291">
        <f>IF(O117=0,0,IF(X117=0,"manual",(O117/(R117*tax*markup*IF(Y117&lt;&gt;"",VLOOKUP(LEFT(Y117,2),cityindex,2,0),1)+S117*markup*difficulty*IF(Y117&lt;&gt;"",VLOOKUP(LEFT(Y117,2),cityindex,3,0),1)+W117*markup*difficulty*IF(Y117&lt;&gt;"",VLOOKUP(LEFT(Y117,2),cityindex,3,0),1)))-1))</f>
        <v>0</v>
      </c>
      <c r="R117" s="143">
        <v>0.89402488243439082</v>
      </c>
      <c r="S117" s="143">
        <f>U117*V117</f>
        <v>3.1479274024842114</v>
      </c>
      <c r="T117" s="143" t="s">
        <v>965</v>
      </c>
      <c r="U117" s="143">
        <v>30.337316807306259</v>
      </c>
      <c r="V117" s="143">
        <v>0.10376419979653848</v>
      </c>
      <c r="W117" s="143">
        <v>1.1148271097628817</v>
      </c>
      <c r="X117" s="143">
        <f>SUM(R117,S117,W117)</f>
        <v>5.1567793946814842</v>
      </c>
      <c r="Y117" s="143" t="s">
        <v>1678</v>
      </c>
      <c r="AC117" s="613"/>
      <c r="AD117" s="604" t="s">
        <v>1316</v>
      </c>
    </row>
    <row r="118" spans="4:30" x14ac:dyDescent="0.2">
      <c r="D118" s="228"/>
      <c r="E118" s="228"/>
      <c r="F118" s="228" t="s">
        <v>1063</v>
      </c>
      <c r="G118" s="228"/>
      <c r="H118" s="228"/>
      <c r="I118" s="230">
        <f>42*10</f>
        <v>420</v>
      </c>
      <c r="J118" s="231" t="s">
        <v>301</v>
      </c>
      <c r="K118" s="232">
        <f t="shared" si="4"/>
        <v>1.204888509367859</v>
      </c>
      <c r="L118" s="232">
        <f t="shared" si="10"/>
        <v>3.9191696160928435</v>
      </c>
      <c r="M118" s="232">
        <f t="shared" si="6"/>
        <v>1.3879597516547879</v>
      </c>
      <c r="N118" s="232"/>
      <c r="O118" s="232">
        <f t="shared" si="7"/>
        <v>6.5120178771154906</v>
      </c>
      <c r="P118" s="233">
        <f t="shared" si="8"/>
        <v>2735</v>
      </c>
      <c r="Q118" s="291">
        <f t="shared" si="9"/>
        <v>0</v>
      </c>
      <c r="R118" s="143">
        <v>0.89402488243439082</v>
      </c>
      <c r="S118" s="143">
        <f t="shared" si="2"/>
        <v>3.1479274024842114</v>
      </c>
      <c r="T118" s="143" t="s">
        <v>965</v>
      </c>
      <c r="U118" s="143">
        <v>30.337316807306259</v>
      </c>
      <c r="V118" s="143">
        <v>0.10376419979653848</v>
      </c>
      <c r="W118" s="143">
        <v>1.1148271097628817</v>
      </c>
      <c r="X118" s="143">
        <f t="shared" si="3"/>
        <v>5.1567793946814842</v>
      </c>
      <c r="Y118" s="143" t="s">
        <v>1064</v>
      </c>
      <c r="AC118" s="613"/>
      <c r="AD118" s="604"/>
    </row>
    <row r="119" spans="4:30" x14ac:dyDescent="0.2">
      <c r="D119" s="228"/>
      <c r="E119" s="228"/>
      <c r="F119" s="228" t="s">
        <v>1603</v>
      </c>
      <c r="G119" s="228"/>
      <c r="H119" s="228"/>
      <c r="I119" s="230">
        <v>65</v>
      </c>
      <c r="J119" s="231" t="s">
        <v>309</v>
      </c>
      <c r="K119" s="232">
        <f>R119*tax*markup*IF(Y119&lt;&gt;"",VLOOKUP(LEFT(Y119,2),cityindex,2,0),1)</f>
        <v>0</v>
      </c>
      <c r="L119" s="232">
        <f>S119*markup*difficulty*IF(Y119&lt;&gt;"",VLOOKUP(LEFT(Y119,2),cityindex,3,0),1)</f>
        <v>2.56060758789789</v>
      </c>
      <c r="M119" s="232">
        <f>W119*markup*difficulty*IF(Y119&lt;&gt;"",VLOOKUP(LEFT(Y119,2),cityindex,3,0),1)</f>
        <v>3.034957368801682</v>
      </c>
      <c r="N119" s="232"/>
      <c r="O119" s="232">
        <f>SUM(K119:N119)*embed</f>
        <v>5.5955649566995724</v>
      </c>
      <c r="P119" s="233">
        <f>ROUND((O119*I119),0)</f>
        <v>364</v>
      </c>
      <c r="Q119" s="291">
        <f t="shared" si="9"/>
        <v>0</v>
      </c>
      <c r="R119" s="143">
        <v>0</v>
      </c>
      <c r="S119" s="143">
        <f>U119*V119</f>
        <v>2.0567129220063372</v>
      </c>
      <c r="T119" s="143" t="s">
        <v>965</v>
      </c>
      <c r="U119" s="143">
        <v>30.337316807306259</v>
      </c>
      <c r="V119" s="143">
        <v>6.7794819662858608E-2</v>
      </c>
      <c r="W119" s="143">
        <v>2.4377167620897042</v>
      </c>
      <c r="X119" s="143">
        <f>SUM(R119,S119,W119)</f>
        <v>4.4944296840960414</v>
      </c>
      <c r="Y119" s="143" t="s">
        <v>1604</v>
      </c>
      <c r="AC119" s="143"/>
      <c r="AD119" s="604" t="s">
        <v>1316</v>
      </c>
    </row>
    <row r="120" spans="4:30" x14ac:dyDescent="0.2">
      <c r="D120" s="228"/>
      <c r="E120" s="228"/>
      <c r="F120" s="228" t="s">
        <v>1058</v>
      </c>
      <c r="G120" s="228"/>
      <c r="H120" s="228"/>
      <c r="I120" s="230">
        <f>12.5*833</f>
        <v>10412.5</v>
      </c>
      <c r="J120" s="231" t="s">
        <v>301</v>
      </c>
      <c r="K120" s="232">
        <f t="shared" si="4"/>
        <v>3.3603563959455983E-2</v>
      </c>
      <c r="L120" s="232">
        <f t="shared" si="10"/>
        <v>1.2802847237500155</v>
      </c>
      <c r="M120" s="232">
        <f t="shared" si="6"/>
        <v>0</v>
      </c>
      <c r="N120" s="232"/>
      <c r="O120" s="232">
        <f t="shared" si="7"/>
        <v>1.3138882877094715</v>
      </c>
      <c r="P120" s="233">
        <f t="shared" si="8"/>
        <v>13681</v>
      </c>
      <c r="Q120" s="291">
        <f t="shared" si="9"/>
        <v>0</v>
      </c>
      <c r="R120" s="143">
        <v>2.4933777760060831E-2</v>
      </c>
      <c r="S120" s="143">
        <f t="shared" si="2"/>
        <v>1.0283411435743095</v>
      </c>
      <c r="T120" s="143" t="s">
        <v>965</v>
      </c>
      <c r="U120" s="143">
        <v>30.337316807306259</v>
      </c>
      <c r="V120" s="143">
        <v>3.389690492755279E-2</v>
      </c>
      <c r="W120" s="143">
        <v>0</v>
      </c>
      <c r="X120" s="143">
        <f t="shared" si="3"/>
        <v>1.0532749213343704</v>
      </c>
      <c r="Y120" s="143" t="s">
        <v>1059</v>
      </c>
      <c r="AC120" s="613">
        <f>I120-[1]BUILDING!I115</f>
        <v>-3678.5</v>
      </c>
      <c r="AD120" s="604" t="s">
        <v>1674</v>
      </c>
    </row>
    <row r="121" spans="4:30" x14ac:dyDescent="0.2">
      <c r="D121" s="228"/>
      <c r="E121" s="228"/>
      <c r="F121" s="228" t="s">
        <v>1062</v>
      </c>
      <c r="G121" s="228"/>
      <c r="H121" s="228"/>
      <c r="I121" s="230">
        <f>1162*10</f>
        <v>11620</v>
      </c>
      <c r="J121" s="231" t="s">
        <v>301</v>
      </c>
      <c r="K121" s="232">
        <f t="shared" si="4"/>
        <v>0</v>
      </c>
      <c r="L121" s="232">
        <f t="shared" si="10"/>
        <v>0.17629325621185513</v>
      </c>
      <c r="M121" s="232">
        <f t="shared" si="6"/>
        <v>0</v>
      </c>
      <c r="N121" s="232">
        <v>0.5</v>
      </c>
      <c r="O121" s="232">
        <f t="shared" si="7"/>
        <v>0.6762932562118551</v>
      </c>
      <c r="P121" s="233">
        <f t="shared" si="8"/>
        <v>7859</v>
      </c>
      <c r="Q121" s="291">
        <f t="shared" si="9"/>
        <v>2.8361833614278473</v>
      </c>
      <c r="R121" s="143">
        <v>0</v>
      </c>
      <c r="S121" s="143">
        <f t="shared" si="2"/>
        <v>0.14160100900550612</v>
      </c>
      <c r="T121" s="143" t="s">
        <v>965</v>
      </c>
      <c r="U121" s="143">
        <v>30.337316807306259</v>
      </c>
      <c r="V121" s="143">
        <v>4.6675521736122619E-3</v>
      </c>
      <c r="W121" s="143">
        <v>0</v>
      </c>
      <c r="X121" s="143">
        <f t="shared" si="3"/>
        <v>0.14160100900550612</v>
      </c>
      <c r="Y121" s="143" t="s">
        <v>1060</v>
      </c>
      <c r="AC121" s="613">
        <f>I121-[1]BUILDING!I116</f>
        <v>-6673</v>
      </c>
      <c r="AD121" s="604" t="s">
        <v>1674</v>
      </c>
    </row>
    <row r="122" spans="4:30" x14ac:dyDescent="0.2">
      <c r="D122" s="228"/>
      <c r="E122" s="228"/>
      <c r="F122" s="228" t="s">
        <v>1685</v>
      </c>
      <c r="G122" s="228"/>
      <c r="H122" s="228"/>
      <c r="I122" s="230">
        <f>307*10.5</f>
        <v>3223.5</v>
      </c>
      <c r="J122" s="231" t="s">
        <v>301</v>
      </c>
      <c r="K122" s="232">
        <f>R122*tax*markup*IF(Y122&lt;&gt;"",VLOOKUP(LEFT(Y122,2),cityindex,2,0),1)</f>
        <v>0</v>
      </c>
      <c r="L122" s="232">
        <f>S122*markup*difficulty*IF(Y122&lt;&gt;"",VLOOKUP(LEFT(Y122,2),cityindex,3,0),1)</f>
        <v>0</v>
      </c>
      <c r="M122" s="232">
        <f>W122*markup*difficulty*IF(Y122&lt;&gt;"",VLOOKUP(LEFT(Y122,2),cityindex,3,0),1)</f>
        <v>0</v>
      </c>
      <c r="N122" s="232">
        <v>1.5</v>
      </c>
      <c r="O122" s="232">
        <f>SUM(K122:N122)*embed</f>
        <v>1.5</v>
      </c>
      <c r="P122" s="233">
        <f>ROUND((O122*I122),0)</f>
        <v>4835</v>
      </c>
      <c r="Q122" s="291" t="str">
        <f>IF(O122=0,0,IF(X122=0,"manual",(O122/(R122*tax*markup*IF(Y122&lt;&gt;"",VLOOKUP(LEFT(Y122,2),cityindex,2,0),1)+S122*markup*difficulty*IF(Y122&lt;&gt;"",VLOOKUP(LEFT(Y122,2),cityindex,3,0),1)+W122*markup*difficulty*IF(Y122&lt;&gt;"",VLOOKUP(LEFT(Y122,2),cityindex,3,0),1)))-1))</f>
        <v>manual</v>
      </c>
      <c r="S122" s="143">
        <f>U122*V122</f>
        <v>0</v>
      </c>
      <c r="X122" s="143">
        <f>SUM(R122,S122,W122)</f>
        <v>0</v>
      </c>
      <c r="AC122" s="613"/>
      <c r="AD122" s="604" t="s">
        <v>1316</v>
      </c>
    </row>
    <row r="123" spans="4:30" x14ac:dyDescent="0.2">
      <c r="D123" s="228"/>
      <c r="E123" s="228"/>
      <c r="F123" s="228" t="s">
        <v>1686</v>
      </c>
      <c r="G123" s="228"/>
      <c r="H123" s="228"/>
      <c r="I123" s="230">
        <v>15</v>
      </c>
      <c r="J123" s="231" t="s">
        <v>309</v>
      </c>
      <c r="K123" s="232">
        <f>R123*tax*markup*IF(Y123&lt;&gt;"",VLOOKUP(LEFT(Y123,2),cityindex,2,0),1)</f>
        <v>0</v>
      </c>
      <c r="L123" s="232">
        <f>S123*markup*difficulty*IF(Y123&lt;&gt;"",VLOOKUP(LEFT(Y123,2),cityindex,3,0),1)</f>
        <v>23.10543763532846</v>
      </c>
      <c r="M123" s="232">
        <f>W123*markup*difficulty*IF(Y123&lt;&gt;"",VLOOKUP(LEFT(Y123,2),cityindex,3,0),1)</f>
        <v>0</v>
      </c>
      <c r="N123" s="232"/>
      <c r="O123" s="232">
        <f>SUM(K123:N123)*embed</f>
        <v>23.10543763532846</v>
      </c>
      <c r="P123" s="233">
        <f>ROUND((O123*I123),0)</f>
        <v>347</v>
      </c>
      <c r="Q123" s="291">
        <f>IF(O123=0,0,IF(X123=0,"manual",(O123/(R123*tax*markup*IF(Y123&lt;&gt;"",VLOOKUP(LEFT(Y123,2),cityindex,2,0),1)+S123*markup*difficulty*IF(Y123&lt;&gt;"",VLOOKUP(LEFT(Y123,2),cityindex,3,0),1)+W123*markup*difficulty*IF(Y123&lt;&gt;"",VLOOKUP(LEFT(Y123,2),cityindex,3,0),1)))-1))</f>
        <v>0</v>
      </c>
      <c r="R123" s="143">
        <v>0</v>
      </c>
      <c r="S123" s="143">
        <f>U123*V123</f>
        <v>18.558584446046954</v>
      </c>
      <c r="T123" s="143" t="s">
        <v>968</v>
      </c>
      <c r="U123" s="143">
        <v>50.790085122442285</v>
      </c>
      <c r="V123" s="143">
        <v>0.36539778189595107</v>
      </c>
      <c r="W123" s="143">
        <v>0</v>
      </c>
      <c r="X123" s="143">
        <f>SUM(R123,S123,W123)</f>
        <v>18.558584446046954</v>
      </c>
      <c r="Y123" s="143" t="s">
        <v>1687</v>
      </c>
      <c r="AC123" s="613"/>
      <c r="AD123" s="604" t="s">
        <v>1316</v>
      </c>
    </row>
    <row r="124" spans="4:30" x14ac:dyDescent="0.2">
      <c r="D124" s="228"/>
      <c r="E124" s="228"/>
      <c r="F124" s="228" t="s">
        <v>967</v>
      </c>
      <c r="G124" s="228"/>
      <c r="H124" s="228"/>
      <c r="I124" s="230">
        <v>19</v>
      </c>
      <c r="J124" s="231" t="s">
        <v>390</v>
      </c>
      <c r="K124" s="232">
        <f t="shared" si="4"/>
        <v>2.1177284993617356</v>
      </c>
      <c r="L124" s="232">
        <f t="shared" si="10"/>
        <v>51.352388424304088</v>
      </c>
      <c r="M124" s="232">
        <f t="shared" si="6"/>
        <v>0</v>
      </c>
      <c r="N124" s="232"/>
      <c r="O124" s="232">
        <f t="shared" si="7"/>
        <v>53.470116923665827</v>
      </c>
      <c r="P124" s="233">
        <f t="shared" si="8"/>
        <v>1016</v>
      </c>
      <c r="Q124" s="291">
        <f t="shared" si="9"/>
        <v>0</v>
      </c>
      <c r="R124" s="143">
        <v>1.5713503431642397</v>
      </c>
      <c r="S124" s="143">
        <f t="shared" si="2"/>
        <v>41.246898332774364</v>
      </c>
      <c r="T124" s="143" t="s">
        <v>968</v>
      </c>
      <c r="U124" s="143">
        <v>50.790085122442285</v>
      </c>
      <c r="V124" s="143">
        <v>0.81210532003122915</v>
      </c>
      <c r="W124" s="143">
        <v>0</v>
      </c>
      <c r="X124" s="143">
        <f t="shared" si="3"/>
        <v>42.818248675938605</v>
      </c>
      <c r="Y124" s="143" t="s">
        <v>969</v>
      </c>
      <c r="AC124" s="613"/>
      <c r="AD124" s="604" t="s">
        <v>1675</v>
      </c>
    </row>
    <row r="125" spans="4:30" x14ac:dyDescent="0.2">
      <c r="D125" s="228"/>
      <c r="E125" s="228"/>
      <c r="F125" s="228" t="s">
        <v>1056</v>
      </c>
      <c r="G125" s="228"/>
      <c r="H125" s="228"/>
      <c r="I125" s="230">
        <v>2</v>
      </c>
      <c r="J125" s="231" t="s">
        <v>648</v>
      </c>
      <c r="K125" s="232">
        <f t="shared" si="4"/>
        <v>2.1177284993617356</v>
      </c>
      <c r="L125" s="232">
        <f t="shared" si="10"/>
        <v>77.908790490974923</v>
      </c>
      <c r="M125" s="232">
        <f t="shared" si="6"/>
        <v>0</v>
      </c>
      <c r="N125" s="232"/>
      <c r="O125" s="232">
        <f t="shared" si="7"/>
        <v>80.026518990336655</v>
      </c>
      <c r="P125" s="233">
        <f t="shared" si="8"/>
        <v>160</v>
      </c>
      <c r="Q125" s="291">
        <f t="shared" si="9"/>
        <v>0</v>
      </c>
      <c r="R125" s="143">
        <v>1.5713503431642397</v>
      </c>
      <c r="S125" s="143">
        <f t="shared" si="2"/>
        <v>62.577341759819205</v>
      </c>
      <c r="T125" s="143" t="s">
        <v>968</v>
      </c>
      <c r="U125" s="143">
        <v>50.790085122442285</v>
      </c>
      <c r="V125" s="143">
        <v>1.2320779067205887</v>
      </c>
      <c r="W125" s="143">
        <v>0</v>
      </c>
      <c r="X125" s="143">
        <f t="shared" si="3"/>
        <v>64.148692102983446</v>
      </c>
      <c r="Y125" s="143" t="s">
        <v>1057</v>
      </c>
      <c r="AC125" s="613"/>
      <c r="AD125" s="604" t="s">
        <v>1675</v>
      </c>
    </row>
    <row r="126" spans="4:30" x14ac:dyDescent="0.2">
      <c r="D126" s="228"/>
      <c r="E126" s="228"/>
      <c r="F126" s="228"/>
      <c r="G126" s="228"/>
      <c r="H126" s="228"/>
      <c r="I126" s="230"/>
      <c r="J126" s="231"/>
      <c r="K126" s="232">
        <f t="shared" si="4"/>
        <v>0</v>
      </c>
      <c r="L126" s="232">
        <f t="shared" si="10"/>
        <v>0</v>
      </c>
      <c r="M126" s="232">
        <f t="shared" si="6"/>
        <v>0</v>
      </c>
      <c r="N126" s="232"/>
      <c r="O126" s="232">
        <f t="shared" si="7"/>
        <v>0</v>
      </c>
      <c r="P126" s="233">
        <f t="shared" si="8"/>
        <v>0</v>
      </c>
      <c r="Q126" s="291">
        <f t="shared" si="9"/>
        <v>0</v>
      </c>
      <c r="S126" s="143">
        <f t="shared" si="2"/>
        <v>0</v>
      </c>
      <c r="X126" s="143">
        <f t="shared" si="3"/>
        <v>0</v>
      </c>
      <c r="AC126" s="613"/>
      <c r="AD126" s="604"/>
    </row>
    <row r="127" spans="4:30" x14ac:dyDescent="0.2">
      <c r="D127" s="228"/>
      <c r="E127" s="228" t="s">
        <v>1025</v>
      </c>
      <c r="F127" s="228"/>
      <c r="G127" s="228"/>
      <c r="H127" s="228"/>
      <c r="I127" s="230"/>
      <c r="J127" s="231"/>
      <c r="K127" s="232">
        <f t="shared" si="4"/>
        <v>0</v>
      </c>
      <c r="L127" s="232">
        <f t="shared" si="10"/>
        <v>0</v>
      </c>
      <c r="M127" s="232">
        <f t="shared" si="6"/>
        <v>0</v>
      </c>
      <c r="N127" s="232"/>
      <c r="O127" s="232">
        <f t="shared" si="7"/>
        <v>0</v>
      </c>
      <c r="P127" s="233">
        <f t="shared" si="8"/>
        <v>0</v>
      </c>
      <c r="Q127" s="291">
        <f t="shared" si="9"/>
        <v>0</v>
      </c>
      <c r="S127" s="143">
        <f t="shared" si="2"/>
        <v>0</v>
      </c>
      <c r="X127" s="143">
        <f t="shared" si="3"/>
        <v>0</v>
      </c>
      <c r="AC127" s="613"/>
      <c r="AD127" s="604"/>
    </row>
    <row r="128" spans="4:30" x14ac:dyDescent="0.2">
      <c r="D128" s="228"/>
      <c r="E128" s="228"/>
      <c r="F128" s="228" t="s">
        <v>1026</v>
      </c>
      <c r="G128" s="228"/>
      <c r="H128" s="228"/>
      <c r="I128" s="230">
        <f>GFA*0.2</f>
        <v>6294.8</v>
      </c>
      <c r="J128" s="231" t="s">
        <v>301</v>
      </c>
      <c r="K128" s="232">
        <f t="shared" si="4"/>
        <v>0</v>
      </c>
      <c r="L128" s="232">
        <f t="shared" si="10"/>
        <v>0</v>
      </c>
      <c r="M128" s="232">
        <f t="shared" si="6"/>
        <v>0</v>
      </c>
      <c r="N128" s="232">
        <v>6</v>
      </c>
      <c r="O128" s="232">
        <f t="shared" si="7"/>
        <v>6</v>
      </c>
      <c r="P128" s="233">
        <f t="shared" si="8"/>
        <v>37769</v>
      </c>
      <c r="Q128" s="291" t="str">
        <f t="shared" si="9"/>
        <v>manual</v>
      </c>
      <c r="S128" s="143">
        <f t="shared" si="2"/>
        <v>0</v>
      </c>
      <c r="X128" s="143">
        <f t="shared" si="3"/>
        <v>0</v>
      </c>
      <c r="AC128" s="613"/>
      <c r="AD128" s="604"/>
    </row>
    <row r="129" spans="1:30" x14ac:dyDescent="0.2">
      <c r="D129" s="228"/>
      <c r="E129" s="228"/>
      <c r="F129" s="228" t="s">
        <v>1027</v>
      </c>
      <c r="G129" s="228"/>
      <c r="H129" s="228"/>
      <c r="I129" s="230">
        <f>GFA*0.2</f>
        <v>6294.8</v>
      </c>
      <c r="J129" s="231" t="s">
        <v>301</v>
      </c>
      <c r="K129" s="232">
        <f t="shared" si="4"/>
        <v>0</v>
      </c>
      <c r="L129" s="232">
        <f t="shared" si="10"/>
        <v>0</v>
      </c>
      <c r="M129" s="232">
        <f t="shared" si="6"/>
        <v>0</v>
      </c>
      <c r="N129" s="232">
        <v>3.5</v>
      </c>
      <c r="O129" s="232">
        <f t="shared" si="7"/>
        <v>3.5</v>
      </c>
      <c r="P129" s="233">
        <f t="shared" si="8"/>
        <v>22032</v>
      </c>
      <c r="Q129" s="291" t="str">
        <f t="shared" si="9"/>
        <v>manual</v>
      </c>
      <c r="S129" s="143">
        <f t="shared" si="2"/>
        <v>0</v>
      </c>
      <c r="X129" s="143">
        <f t="shared" si="3"/>
        <v>0</v>
      </c>
      <c r="AC129" s="613"/>
      <c r="AD129" s="604"/>
    </row>
    <row r="130" spans="1:30" x14ac:dyDescent="0.2">
      <c r="D130" s="228"/>
      <c r="E130" s="228"/>
      <c r="F130" s="228" t="s">
        <v>1090</v>
      </c>
      <c r="G130" s="228"/>
      <c r="H130" s="228"/>
      <c r="I130" s="230">
        <v>1</v>
      </c>
      <c r="J130" s="231" t="s">
        <v>992</v>
      </c>
      <c r="K130" s="232">
        <f t="shared" si="4"/>
        <v>0</v>
      </c>
      <c r="L130" s="232">
        <f t="shared" si="10"/>
        <v>0</v>
      </c>
      <c r="M130" s="232">
        <f t="shared" si="6"/>
        <v>0</v>
      </c>
      <c r="N130" s="232">
        <v>5000</v>
      </c>
      <c r="O130" s="232">
        <f t="shared" si="7"/>
        <v>5000</v>
      </c>
      <c r="P130" s="233">
        <f t="shared" si="8"/>
        <v>5000</v>
      </c>
      <c r="Q130" s="291" t="str">
        <f t="shared" si="9"/>
        <v>manual</v>
      </c>
      <c r="S130" s="143">
        <f t="shared" si="2"/>
        <v>0</v>
      </c>
      <c r="X130" s="143">
        <f t="shared" si="3"/>
        <v>0</v>
      </c>
      <c r="AC130" s="613"/>
      <c r="AD130" s="604"/>
    </row>
    <row r="131" spans="1:30" x14ac:dyDescent="0.2">
      <c r="D131" s="228"/>
      <c r="E131" s="228"/>
      <c r="F131" s="228"/>
      <c r="G131" s="228"/>
      <c r="H131" s="228"/>
      <c r="I131" s="230"/>
      <c r="J131" s="231"/>
      <c r="K131" s="232">
        <f>R131*tax*markup*IF(Y131&lt;&gt;"",VLOOKUP(LEFT(Y131,2),cityindex,2,0),1)</f>
        <v>0</v>
      </c>
      <c r="L131" s="232">
        <f>S131*markup*difficulty*IF(Y131&lt;&gt;"",VLOOKUP(LEFT(Y131,2),cityindex,3,0),1)</f>
        <v>0</v>
      </c>
      <c r="M131" s="232">
        <f>W131*markup*difficulty*IF(Y131&lt;&gt;"",VLOOKUP(LEFT(Y131,2),cityindex,3,0),1)</f>
        <v>0</v>
      </c>
      <c r="N131" s="232"/>
      <c r="O131" s="232">
        <f>SUM(K131:N131)*embed</f>
        <v>0</v>
      </c>
      <c r="P131" s="233">
        <f>ROUND((O131*I131),0)</f>
        <v>0</v>
      </c>
      <c r="Q131" s="291">
        <f>IF(O131=0,0,IF(X131=0,"manual",(O131/(R131*tax*markup*IF(Y131&lt;&gt;"",VLOOKUP(LEFT(Y131,2),cityindex,2,0),1)+S131*markup*difficulty*IF(Y131&lt;&gt;"",VLOOKUP(LEFT(Y131,2),cityindex,3,0),1)+W131*markup*difficulty*IF(Y131&lt;&gt;"",VLOOKUP(LEFT(Y131,2),cityindex,3,0),1)))-1))</f>
        <v>0</v>
      </c>
      <c r="S131" s="143">
        <f>U131*V131</f>
        <v>0</v>
      </c>
      <c r="X131" s="143">
        <f>SUM(R131,S131,W131)</f>
        <v>0</v>
      </c>
      <c r="AC131" s="613"/>
      <c r="AD131" s="604"/>
    </row>
    <row r="132" spans="1:30" x14ac:dyDescent="0.2">
      <c r="D132" s="228"/>
      <c r="E132" s="228" t="s">
        <v>1098</v>
      </c>
      <c r="F132" s="228"/>
      <c r="G132" s="228"/>
      <c r="H132" s="228"/>
      <c r="I132" s="230"/>
      <c r="J132" s="231"/>
      <c r="K132" s="232">
        <f t="shared" si="4"/>
        <v>0</v>
      </c>
      <c r="L132" s="232">
        <f t="shared" si="10"/>
        <v>0</v>
      </c>
      <c r="M132" s="232">
        <f t="shared" si="6"/>
        <v>0</v>
      </c>
      <c r="N132" s="232"/>
      <c r="O132" s="232">
        <f t="shared" si="7"/>
        <v>0</v>
      </c>
      <c r="P132" s="233">
        <f t="shared" si="8"/>
        <v>0</v>
      </c>
      <c r="Q132" s="291">
        <f t="shared" si="9"/>
        <v>0</v>
      </c>
      <c r="S132" s="143">
        <f t="shared" si="2"/>
        <v>0</v>
      </c>
      <c r="X132" s="143">
        <f t="shared" si="3"/>
        <v>0</v>
      </c>
      <c r="AC132" s="613"/>
      <c r="AD132" s="604"/>
    </row>
    <row r="133" spans="1:30" x14ac:dyDescent="0.2">
      <c r="D133" s="228"/>
      <c r="E133" s="228"/>
      <c r="F133" s="228" t="s">
        <v>972</v>
      </c>
      <c r="G133" s="228"/>
      <c r="H133" s="228"/>
      <c r="I133" s="234">
        <v>0.15</v>
      </c>
      <c r="J133" s="231" t="s">
        <v>973</v>
      </c>
      <c r="K133" s="232">
        <f t="shared" si="4"/>
        <v>0</v>
      </c>
      <c r="L133" s="232">
        <f t="shared" si="10"/>
        <v>0</v>
      </c>
      <c r="M133" s="232">
        <f t="shared" si="6"/>
        <v>0</v>
      </c>
      <c r="N133" s="232">
        <f>SUM(P104:P130)</f>
        <v>182851</v>
      </c>
      <c r="O133" s="232">
        <f t="shared" si="7"/>
        <v>182851</v>
      </c>
      <c r="P133" s="233">
        <f t="shared" si="8"/>
        <v>27428</v>
      </c>
      <c r="Q133" s="291" t="str">
        <f t="shared" si="9"/>
        <v>manual</v>
      </c>
      <c r="S133" s="143">
        <f t="shared" si="2"/>
        <v>0</v>
      </c>
      <c r="X133" s="143">
        <f t="shared" si="3"/>
        <v>0</v>
      </c>
      <c r="Z133" s="316"/>
      <c r="AA133" s="316"/>
      <c r="AB133" s="316"/>
      <c r="AC133" s="613"/>
      <c r="AD133" s="604"/>
    </row>
    <row r="134" spans="1:30" s="612" customFormat="1" x14ac:dyDescent="0.2">
      <c r="B134" s="615"/>
      <c r="C134" s="616"/>
      <c r="D134" s="228"/>
      <c r="E134" s="228"/>
      <c r="F134" s="228" t="s">
        <v>1689</v>
      </c>
      <c r="G134" s="143"/>
      <c r="H134" s="228"/>
      <c r="I134" s="230">
        <v>8</v>
      </c>
      <c r="J134" s="231" t="s">
        <v>1688</v>
      </c>
      <c r="K134" s="232">
        <f>R134*tax*markup*IF(Y134&lt;&gt;"",VLOOKUP(LEFT(Y134,2),cityindex,2,0),1)</f>
        <v>0</v>
      </c>
      <c r="L134" s="232">
        <f>S134*markup*difficulty*IF(Y134&lt;&gt;"",VLOOKUP(LEFT(Y134,2),cityindex,3,0),1)+375</f>
        <v>375</v>
      </c>
      <c r="M134" s="232">
        <f>W134*markup*difficulty*IF(Y134&lt;&gt;"",VLOOKUP(LEFT(Y134,2),cityindex,3,0),1)</f>
        <v>0</v>
      </c>
      <c r="N134" s="232"/>
      <c r="O134" s="232">
        <f>SUM(K134:N134)*embed</f>
        <v>375</v>
      </c>
      <c r="P134" s="233">
        <f>ROUND((O134*I134),0)</f>
        <v>3000</v>
      </c>
      <c r="Q134" s="617" t="str">
        <f>IF(O134=0,0,IF(X134=0,"manual",(O134/(R134*tax*markup*IF(Y134&lt;&gt;"",VLOOKUP(LEFT(Y134,2),cityindex,2,0),1)+S134*markup*difficulty*IF(Y134&lt;&gt;"",VLOOKUP(LEFT(Y134,2),cityindex,3,0),1)+W134*markup*difficulty*IF(Y134&lt;&gt;"",VLOOKUP(LEFT(Y134,2),cityindex,3,0),1)))-1))</f>
        <v>manual</v>
      </c>
      <c r="S134" s="612">
        <f>U134*V134</f>
        <v>0</v>
      </c>
      <c r="X134" s="612">
        <f>SUM(R134,S134,W134)</f>
        <v>0</v>
      </c>
      <c r="AD134" s="604" t="s">
        <v>1316</v>
      </c>
    </row>
    <row r="135" spans="1:30" ht="12.75" customHeight="1" x14ac:dyDescent="0.2">
      <c r="A135" s="143" t="s">
        <v>296</v>
      </c>
      <c r="K135" s="149">
        <f t="shared" si="4"/>
        <v>0</v>
      </c>
      <c r="L135" s="149">
        <f t="shared" si="10"/>
        <v>0</v>
      </c>
      <c r="M135" s="149">
        <f t="shared" si="6"/>
        <v>0</v>
      </c>
      <c r="N135" s="149"/>
      <c r="O135" s="149">
        <f t="shared" si="7"/>
        <v>0</v>
      </c>
      <c r="P135" s="216">
        <f t="shared" si="8"/>
        <v>0</v>
      </c>
      <c r="Q135" s="291">
        <f t="shared" si="9"/>
        <v>0</v>
      </c>
      <c r="S135" s="143">
        <f t="shared" si="2"/>
        <v>0</v>
      </c>
      <c r="X135" s="143">
        <f t="shared" si="3"/>
        <v>0</v>
      </c>
      <c r="Z135" s="316"/>
      <c r="AA135" s="316"/>
      <c r="AB135" s="316"/>
      <c r="AC135" s="613"/>
      <c r="AD135" s="604"/>
    </row>
    <row r="136" spans="1:30" ht="25.5" customHeight="1" x14ac:dyDescent="0.2">
      <c r="D136" s="217" t="str">
        <f>"TOTAL - " &amp; D103</f>
        <v>TOTAL - 02  EXISTING CONDITIONS</v>
      </c>
      <c r="E136" s="217"/>
      <c r="F136" s="217"/>
      <c r="G136" s="217"/>
      <c r="H136" s="217"/>
      <c r="I136" s="218"/>
      <c r="J136" s="219"/>
      <c r="K136" s="220"/>
      <c r="L136" s="220"/>
      <c r="M136" s="220"/>
      <c r="N136" s="220"/>
      <c r="O136" s="221"/>
      <c r="P136" s="222">
        <f>SUM(P103:P135)</f>
        <v>213279</v>
      </c>
      <c r="Q136" s="294" t="str">
        <f>_xlfn.CONCAT(TEXT(SUM(P136/GFA),"$#,##0.00"),"/SF")</f>
        <v>$6.78/SF</v>
      </c>
      <c r="S136" s="143">
        <f t="shared" si="2"/>
        <v>0</v>
      </c>
      <c r="X136" s="143">
        <f t="shared" si="3"/>
        <v>0</v>
      </c>
      <c r="Z136" s="316"/>
      <c r="AA136" s="589"/>
      <c r="AB136" s="316"/>
      <c r="AC136" s="613"/>
      <c r="AD136" s="604"/>
    </row>
    <row r="137" spans="1:30" x14ac:dyDescent="0.2">
      <c r="D137" s="214" t="s">
        <v>269</v>
      </c>
      <c r="E137" s="215"/>
      <c r="F137" s="215"/>
      <c r="G137" s="215"/>
      <c r="H137" s="215"/>
      <c r="K137" s="149">
        <f t="shared" ref="K137:K145" si="12">R137*tax*markup*IF(Y137&lt;&gt;"",VLOOKUP(LEFT(Y137,2),cityindex,2,0),1)</f>
        <v>0</v>
      </c>
      <c r="L137" s="149">
        <f t="shared" ref="L137:L145" si="13">S137*markup*difficulty*IF(Y137&lt;&gt;"",VLOOKUP(LEFT(Y137,2),cityindex,3,0),1)</f>
        <v>0</v>
      </c>
      <c r="M137" s="149">
        <f t="shared" ref="M137:M145" si="14">W137*markup*difficulty*IF(Y137&lt;&gt;"",VLOOKUP(LEFT(Y137,2),cityindex,3,0),1)</f>
        <v>0</v>
      </c>
      <c r="N137" s="149"/>
      <c r="O137" s="149">
        <f t="shared" ref="O137:O175" si="15">SUM(K137:N137)*embed</f>
        <v>0</v>
      </c>
      <c r="P137" s="216">
        <f t="shared" ref="P137:P175" si="16">ROUND((O137*I137),0)</f>
        <v>0</v>
      </c>
      <c r="Q137" s="291">
        <f>IF(O137=0,0,IF(X137=0,"manual",O137/((R137*tax*markup*IF(Y137&lt;&gt;"",VLOOKUP(LEFT(Y137,2),cityindex,2,0),1))+S137*markup*difficulty*IF(Y137&lt;&gt;"",VLOOKUP(LEFT(Y137,2),cityindex,3,0),1)+W137*markup*difficulty*IF(Y137&lt;&gt;"",VLOOKUP(LEFT(Y137,2),cityindex,3,0),1))))</f>
        <v>0</v>
      </c>
      <c r="S137" s="143">
        <f t="shared" si="2"/>
        <v>0</v>
      </c>
      <c r="X137" s="143">
        <f t="shared" si="3"/>
        <v>0</v>
      </c>
      <c r="Z137" s="316"/>
      <c r="AA137" s="316"/>
      <c r="AB137" s="316"/>
      <c r="AC137" s="613"/>
      <c r="AD137" s="604"/>
    </row>
    <row r="138" spans="1:30" x14ac:dyDescent="0.2">
      <c r="D138" s="228"/>
      <c r="E138" s="228" t="s">
        <v>706</v>
      </c>
      <c r="F138" s="228"/>
      <c r="G138" s="228"/>
      <c r="H138" s="228"/>
      <c r="I138" s="230"/>
      <c r="J138" s="231"/>
      <c r="K138" s="232">
        <f t="shared" si="12"/>
        <v>0</v>
      </c>
      <c r="L138" s="232">
        <f t="shared" si="13"/>
        <v>0</v>
      </c>
      <c r="M138" s="232">
        <f t="shared" si="14"/>
        <v>0</v>
      </c>
      <c r="N138" s="232"/>
      <c r="O138" s="232">
        <f t="shared" si="15"/>
        <v>0</v>
      </c>
      <c r="P138" s="233">
        <f t="shared" si="16"/>
        <v>0</v>
      </c>
      <c r="Q138" s="291">
        <f t="shared" ref="Q138:Q174" si="17">IF(O138=0,0,IF(X138=0,"manual",(O138/(R138*tax*markup*IF(Y138&lt;&gt;"",VLOOKUP(LEFT(Y138,2),cityindex,2,0),1)+S138*markup*difficulty*IF(Y138&lt;&gt;"",VLOOKUP(LEFT(Y138,2),cityindex,3,0),1)+W138*markup*difficulty*IF(Y138&lt;&gt;"",VLOOKUP(LEFT(Y138,2),cityindex,3,0),1)))-1))</f>
        <v>0</v>
      </c>
      <c r="S138" s="143">
        <f t="shared" si="2"/>
        <v>0</v>
      </c>
      <c r="X138" s="143">
        <f t="shared" si="3"/>
        <v>0</v>
      </c>
      <c r="Z138" s="316"/>
      <c r="AA138" s="316"/>
      <c r="AB138" s="316"/>
      <c r="AC138" s="613"/>
      <c r="AD138" s="604"/>
    </row>
    <row r="139" spans="1:30" x14ac:dyDescent="0.2">
      <c r="D139" s="228"/>
      <c r="E139" s="228"/>
      <c r="F139" s="228" t="s">
        <v>1067</v>
      </c>
      <c r="G139" s="228"/>
      <c r="H139" s="228"/>
      <c r="I139" s="230">
        <v>31</v>
      </c>
      <c r="J139" s="231" t="s">
        <v>301</v>
      </c>
      <c r="K139" s="232">
        <f t="shared" si="12"/>
        <v>21.495195410435578</v>
      </c>
      <c r="L139" s="232">
        <f t="shared" si="13"/>
        <v>18.457994238204947</v>
      </c>
      <c r="M139" s="232">
        <f t="shared" si="14"/>
        <v>0.27852088943373887</v>
      </c>
      <c r="N139" s="232"/>
      <c r="O139" s="232">
        <f t="shared" si="15"/>
        <v>40.23171053807426</v>
      </c>
      <c r="P139" s="233">
        <f t="shared" si="16"/>
        <v>1247</v>
      </c>
      <c r="Q139" s="291">
        <f t="shared" si="17"/>
        <v>0</v>
      </c>
      <c r="R139" s="143">
        <v>15.949392329918716</v>
      </c>
      <c r="S139" s="143">
        <f t="shared" si="2"/>
        <v>14.825698183297146</v>
      </c>
      <c r="T139" s="143" t="s">
        <v>989</v>
      </c>
      <c r="U139" s="143">
        <v>48.84158546236776</v>
      </c>
      <c r="V139" s="143">
        <v>0.3035466200154433</v>
      </c>
      <c r="W139" s="143">
        <v>0.22371155777810348</v>
      </c>
      <c r="X139" s="143">
        <f t="shared" si="3"/>
        <v>30.998802070993964</v>
      </c>
      <c r="Y139" s="143" t="s">
        <v>421</v>
      </c>
      <c r="Z139" s="316"/>
      <c r="AA139" s="316"/>
      <c r="AB139" s="316"/>
      <c r="AC139" s="613"/>
      <c r="AD139" s="604" t="s">
        <v>1313</v>
      </c>
    </row>
    <row r="140" spans="1:30" x14ac:dyDescent="0.2">
      <c r="D140" s="228"/>
      <c r="E140" s="228"/>
      <c r="F140" s="228" t="s">
        <v>1783</v>
      </c>
      <c r="G140" s="228"/>
      <c r="H140" s="228"/>
      <c r="I140" s="230">
        <v>1</v>
      </c>
      <c r="J140" s="231" t="s">
        <v>992</v>
      </c>
      <c r="K140" s="232">
        <f t="shared" si="12"/>
        <v>0</v>
      </c>
      <c r="L140" s="232">
        <f t="shared" si="13"/>
        <v>0</v>
      </c>
      <c r="M140" s="232">
        <f t="shared" si="14"/>
        <v>0</v>
      </c>
      <c r="N140" s="232">
        <v>3500</v>
      </c>
      <c r="O140" s="232">
        <f t="shared" si="15"/>
        <v>3500</v>
      </c>
      <c r="P140" s="233">
        <f t="shared" si="16"/>
        <v>3500</v>
      </c>
      <c r="Q140" s="291" t="str">
        <f t="shared" si="17"/>
        <v>manual</v>
      </c>
      <c r="S140" s="143">
        <f t="shared" ref="S140:S195" si="18">U140*V140</f>
        <v>0</v>
      </c>
      <c r="X140" s="143">
        <f t="shared" ref="X140:X195" si="19">SUM(R140,S140,W140)</f>
        <v>0</v>
      </c>
      <c r="Z140" s="316"/>
      <c r="AA140" s="316"/>
      <c r="AB140" s="316"/>
      <c r="AC140" s="613"/>
      <c r="AD140" s="604" t="s">
        <v>1313</v>
      </c>
    </row>
    <row r="141" spans="1:30" x14ac:dyDescent="0.2">
      <c r="D141" s="228"/>
      <c r="F141" s="228" t="s">
        <v>1683</v>
      </c>
      <c r="G141" s="228"/>
      <c r="H141" s="228"/>
      <c r="I141" s="230">
        <f>I115</f>
        <v>328</v>
      </c>
      <c r="J141" s="231" t="s">
        <v>301</v>
      </c>
      <c r="K141" s="232">
        <f t="shared" ref="K141" si="20">R141*tax*markup*IF(Y141&lt;&gt;"",VLOOKUP(LEFT(Y141,2),cityindex,2,0),1)</f>
        <v>0</v>
      </c>
      <c r="L141" s="232">
        <f t="shared" ref="L141" si="21">S141*markup*difficulty*IF(Y141&lt;&gt;"",VLOOKUP(LEFT(Y141,2),cityindex,3,0),1)</f>
        <v>0.90890992010431293</v>
      </c>
      <c r="M141" s="232">
        <f t="shared" ref="M141" si="22">W141*markup*difficulty*IF(Y141&lt;&gt;"",VLOOKUP(LEFT(Y141,2),cityindex,3,0),1)</f>
        <v>0</v>
      </c>
      <c r="N141" s="232">
        <v>2</v>
      </c>
      <c r="O141" s="232">
        <f t="shared" ref="O141" si="23">SUM(K141:N141)*embed</f>
        <v>2.9089099201043132</v>
      </c>
      <c r="P141" s="233">
        <f t="shared" ref="P141" si="24">ROUND((O141*I141),0)</f>
        <v>954</v>
      </c>
      <c r="Q141" s="291">
        <f t="shared" ref="Q141" si="25">IF(O141=0,0,IF(X141=0,"manual",(O141/(R141*tax*markup*IF(Y141&lt;&gt;"",VLOOKUP(LEFT(Y141,2),cityindex,2,0),1)+S141*markup*difficulty*IF(Y141&lt;&gt;"",VLOOKUP(LEFT(Y141,2),cityindex,3,0),1)+W141*markup*difficulty*IF(Y141&lt;&gt;"",VLOOKUP(LEFT(Y141,2),cityindex,3,0),1)))-1))</f>
        <v>2.200438080564096</v>
      </c>
      <c r="R141" s="143">
        <v>0</v>
      </c>
      <c r="S141" s="143">
        <f t="shared" ref="S141" si="26">U141*V141</f>
        <v>0.73004812859784163</v>
      </c>
      <c r="T141" s="143" t="s">
        <v>980</v>
      </c>
      <c r="U141" s="143">
        <v>47.096966173293225</v>
      </c>
      <c r="V141" s="143">
        <v>1.5500958722301358E-2</v>
      </c>
      <c r="W141" s="143">
        <v>0</v>
      </c>
      <c r="X141" s="143">
        <f t="shared" ref="X141" si="27">SUM(R141,S141,W141)</f>
        <v>0.73004812859784163</v>
      </c>
      <c r="Y141" s="143" t="s">
        <v>417</v>
      </c>
      <c r="Z141" s="316"/>
      <c r="AA141" s="316"/>
      <c r="AB141" s="590"/>
      <c r="AC141" s="613"/>
      <c r="AD141" s="604" t="s">
        <v>1316</v>
      </c>
    </row>
    <row r="142" spans="1:30" x14ac:dyDescent="0.2">
      <c r="D142" s="228"/>
      <c r="F142" s="228" t="s">
        <v>1068</v>
      </c>
      <c r="G142" s="228"/>
      <c r="H142" s="228"/>
      <c r="I142" s="230">
        <f>SUM(4*12)*3</f>
        <v>144</v>
      </c>
      <c r="J142" s="231" t="s">
        <v>301</v>
      </c>
      <c r="K142" s="232">
        <f t="shared" si="12"/>
        <v>0</v>
      </c>
      <c r="L142" s="232">
        <f t="shared" si="13"/>
        <v>0.90890992010431293</v>
      </c>
      <c r="M142" s="232">
        <f t="shared" si="14"/>
        <v>0</v>
      </c>
      <c r="N142" s="232">
        <v>2</v>
      </c>
      <c r="O142" s="232">
        <f t="shared" si="15"/>
        <v>2.9089099201043132</v>
      </c>
      <c r="P142" s="233">
        <f t="shared" si="16"/>
        <v>419</v>
      </c>
      <c r="Q142" s="291">
        <f t="shared" si="17"/>
        <v>2.200438080564096</v>
      </c>
      <c r="R142" s="143">
        <v>0</v>
      </c>
      <c r="S142" s="143">
        <f t="shared" si="18"/>
        <v>0.73004812859784163</v>
      </c>
      <c r="T142" s="143" t="s">
        <v>980</v>
      </c>
      <c r="U142" s="143">
        <v>47.096966173293225</v>
      </c>
      <c r="V142" s="143">
        <v>1.5500958722301358E-2</v>
      </c>
      <c r="W142" s="143">
        <v>0</v>
      </c>
      <c r="X142" s="143">
        <f t="shared" si="19"/>
        <v>0.73004812859784163</v>
      </c>
      <c r="Y142" s="143" t="s">
        <v>417</v>
      </c>
      <c r="Z142" s="316"/>
      <c r="AA142" s="316"/>
      <c r="AB142" s="590"/>
      <c r="AC142" s="613"/>
      <c r="AD142" s="604" t="s">
        <v>1684</v>
      </c>
    </row>
    <row r="143" spans="1:30" x14ac:dyDescent="0.2">
      <c r="D143" s="228"/>
      <c r="F143" s="228" t="s">
        <v>1434</v>
      </c>
      <c r="G143" s="228"/>
      <c r="H143" s="228"/>
      <c r="I143" s="230">
        <f>AQ4*0.05</f>
        <v>1319</v>
      </c>
      <c r="J143" s="231" t="s">
        <v>301</v>
      </c>
      <c r="K143" s="232">
        <f t="shared" ref="K143" si="28">R143*tax*markup*IF(Y143&lt;&gt;"",VLOOKUP(LEFT(Y143,2),cityindex,2,0),1)</f>
        <v>1.3696092217360054</v>
      </c>
      <c r="L143" s="232">
        <f t="shared" ref="L143" si="29">S143*markup*difficulty*IF(Y143&lt;&gt;"",VLOOKUP(LEFT(Y143,2),cityindex,3,0),1)</f>
        <v>2.3048394939559746</v>
      </c>
      <c r="M143" s="232">
        <f t="shared" ref="M143" si="30">W143*markup*difficulty*IF(Y143&lt;&gt;"",VLOOKUP(LEFT(Y143,2),cityindex,3,0),1)</f>
        <v>0.44089877229373853</v>
      </c>
      <c r="N143" s="232"/>
      <c r="O143" s="232">
        <f>SUM(K143:N143)*embed</f>
        <v>4.1153474879857193</v>
      </c>
      <c r="P143" s="233">
        <f>ROUND((O143*I143),0)</f>
        <v>5428</v>
      </c>
      <c r="Q143" s="291">
        <f>IF(O143=0,0,IF(X143=0,"manual",(O143/(R143*tax*markup*IF(Y143&lt;&gt;"",VLOOKUP(LEFT(Y143,2),cityindex,2,0),1)+S143*markup*difficulty*IF(Y143&lt;&gt;"",VLOOKUP(LEFT(Y143,2),cityindex,3,0),1)+W143*markup*difficulty*IF(Y143&lt;&gt;"",VLOOKUP(LEFT(Y143,2),cityindex,3,0),1)))-1))</f>
        <v>0</v>
      </c>
      <c r="R143" s="143">
        <v>1.016247324066524</v>
      </c>
      <c r="S143" s="143">
        <f t="shared" si="18"/>
        <v>1.8512767019726701</v>
      </c>
      <c r="T143" s="143" t="s">
        <v>965</v>
      </c>
      <c r="U143" s="143">
        <v>30.337316807306259</v>
      </c>
      <c r="V143" s="143">
        <v>6.102308631087703E-2</v>
      </c>
      <c r="W143" s="143">
        <v>0.35413556007529196</v>
      </c>
      <c r="X143" s="143">
        <f t="shared" si="19"/>
        <v>3.2216595861144861</v>
      </c>
      <c r="Y143" s="143" t="s">
        <v>383</v>
      </c>
      <c r="Z143" s="316"/>
      <c r="AA143" s="316"/>
      <c r="AB143" s="316"/>
      <c r="AC143" s="316"/>
      <c r="AD143" s="604"/>
    </row>
    <row r="144" spans="1:30" x14ac:dyDescent="0.2">
      <c r="D144" s="228"/>
      <c r="F144" s="228" t="s">
        <v>1091</v>
      </c>
      <c r="G144" s="228"/>
      <c r="H144" s="228"/>
      <c r="I144" s="230">
        <f>GFA*0.1</f>
        <v>3147.4</v>
      </c>
      <c r="J144" s="231" t="s">
        <v>301</v>
      </c>
      <c r="K144" s="232">
        <f t="shared" si="12"/>
        <v>0</v>
      </c>
      <c r="L144" s="232">
        <f t="shared" si="13"/>
        <v>0.90890992010431293</v>
      </c>
      <c r="M144" s="232">
        <f t="shared" si="14"/>
        <v>0</v>
      </c>
      <c r="N144" s="232"/>
      <c r="O144" s="232">
        <f t="shared" si="15"/>
        <v>0.90890992010431293</v>
      </c>
      <c r="P144" s="233">
        <f t="shared" si="16"/>
        <v>2861</v>
      </c>
      <c r="Q144" s="291">
        <f t="shared" si="17"/>
        <v>0</v>
      </c>
      <c r="R144" s="143">
        <v>0</v>
      </c>
      <c r="S144" s="143">
        <f t="shared" si="18"/>
        <v>0.73004812859784163</v>
      </c>
      <c r="T144" s="143" t="s">
        <v>980</v>
      </c>
      <c r="U144" s="143">
        <v>47.096966173293225</v>
      </c>
      <c r="V144" s="143">
        <v>1.5500958722301358E-2</v>
      </c>
      <c r="W144" s="143">
        <v>0</v>
      </c>
      <c r="X144" s="143">
        <f t="shared" si="19"/>
        <v>0.73004812859784163</v>
      </c>
      <c r="Y144" s="143" t="s">
        <v>417</v>
      </c>
      <c r="Z144" s="316"/>
      <c r="AA144" s="316"/>
      <c r="AB144" s="316"/>
      <c r="AC144" s="316"/>
      <c r="AD144" s="604"/>
    </row>
    <row r="145" spans="1:35" x14ac:dyDescent="0.2">
      <c r="D145" s="228"/>
      <c r="E145" s="228"/>
      <c r="F145" s="228"/>
      <c r="G145" s="228"/>
      <c r="H145" s="228"/>
      <c r="I145" s="230"/>
      <c r="J145" s="231"/>
      <c r="K145" s="232">
        <f t="shared" si="12"/>
        <v>0</v>
      </c>
      <c r="L145" s="232">
        <f t="shared" si="13"/>
        <v>0</v>
      </c>
      <c r="M145" s="232">
        <f t="shared" si="14"/>
        <v>0</v>
      </c>
      <c r="N145" s="232"/>
      <c r="O145" s="232">
        <f t="shared" si="15"/>
        <v>0</v>
      </c>
      <c r="P145" s="233">
        <f t="shared" si="16"/>
        <v>0</v>
      </c>
      <c r="Q145" s="291">
        <f t="shared" si="17"/>
        <v>0</v>
      </c>
      <c r="S145" s="143">
        <f t="shared" si="18"/>
        <v>0</v>
      </c>
      <c r="X145" s="143">
        <f t="shared" si="19"/>
        <v>0</v>
      </c>
      <c r="Z145" s="316"/>
      <c r="AA145" s="316"/>
      <c r="AB145" s="316"/>
      <c r="AC145" s="590"/>
      <c r="AD145" s="604"/>
    </row>
    <row r="146" spans="1:35" x14ac:dyDescent="0.2">
      <c r="D146" s="228"/>
      <c r="E146" s="228" t="s">
        <v>1560</v>
      </c>
      <c r="F146" s="228"/>
      <c r="G146" s="228"/>
      <c r="H146" s="228"/>
      <c r="I146" s="230"/>
      <c r="J146" s="231"/>
      <c r="K146" s="232">
        <f>R146*tax*markup*IF(Y146&lt;&gt;"",VLOOKUP(LEFT(Y146,2),cityindex,2,0),1)</f>
        <v>0</v>
      </c>
      <c r="L146" s="232">
        <f>S146*markup*difficulty*IF(Y146&lt;&gt;"",VLOOKUP(LEFT(Y146,2),cityindex,3,0),1)</f>
        <v>0</v>
      </c>
      <c r="M146" s="232">
        <f>W146*markup*difficulty*IF(Y146&lt;&gt;"",VLOOKUP(LEFT(Y146,2),cityindex,3,0),1)</f>
        <v>0</v>
      </c>
      <c r="N146" s="232"/>
      <c r="O146" s="232">
        <f t="shared" ref="O146:O151" si="31">SUM(K146:N146)*embed</f>
        <v>0</v>
      </c>
      <c r="P146" s="233">
        <f t="shared" ref="P146:P151" si="32">ROUND((O146*I146),0)</f>
        <v>0</v>
      </c>
      <c r="Q146" s="291">
        <f t="shared" ref="Q146:Q151" si="33">IF(O146=0,0,IF(X146=0,"manual",(O146/(R146*tax*markup*IF(Y146&lt;&gt;"",VLOOKUP(LEFT(Y146,2),cityindex,2,0),1)+S146*markup*difficulty*IF(Y146&lt;&gt;"",VLOOKUP(LEFT(Y146,2),cityindex,3,0),1)+W146*markup*difficulty*IF(Y146&lt;&gt;"",VLOOKUP(LEFT(Y146,2),cityindex,3,0),1)))-1))</f>
        <v>0</v>
      </c>
      <c r="S146" s="143">
        <f t="shared" ref="S146:S151" si="34">U146*V146</f>
        <v>0</v>
      </c>
      <c r="X146" s="143">
        <f t="shared" ref="X146:X151" si="35">SUM(R146,S146,W146)</f>
        <v>0</v>
      </c>
      <c r="Z146" s="591" t="s">
        <v>1335</v>
      </c>
      <c r="AA146" s="591" t="s">
        <v>1336</v>
      </c>
      <c r="AB146" s="591" t="s">
        <v>990</v>
      </c>
      <c r="AC146" s="316"/>
      <c r="AD146" s="604"/>
      <c r="AE146" s="236"/>
    </row>
    <row r="147" spans="1:35" x14ac:dyDescent="0.2">
      <c r="D147" s="228"/>
      <c r="E147" s="228"/>
      <c r="F147" s="228" t="s">
        <v>1347</v>
      </c>
      <c r="G147" s="228"/>
      <c r="H147" s="228"/>
      <c r="I147" s="230">
        <v>0</v>
      </c>
      <c r="J147" s="231" t="s">
        <v>1007</v>
      </c>
      <c r="K147" s="232">
        <f>R147*tax*markup*IF(Y147&lt;&gt;"",VLOOKUP(LEFT(Y147,2),cityindex,2,0),1)*0</f>
        <v>0</v>
      </c>
      <c r="L147" s="232">
        <f>S147*markup*difficulty*IF(Y147&lt;&gt;"",VLOOKUP(LEFT(Y147,2),cityindex,3,0),1)*0</f>
        <v>0</v>
      </c>
      <c r="M147" s="232">
        <f>W147*markup*difficulty*IF(Y147&lt;&gt;"",VLOOKUP(LEFT(Y147,2),cityindex,3,0),1)*0</f>
        <v>0</v>
      </c>
      <c r="N147" s="232"/>
      <c r="O147" s="232">
        <f t="shared" si="31"/>
        <v>0</v>
      </c>
      <c r="P147" s="233">
        <f t="shared" si="32"/>
        <v>0</v>
      </c>
      <c r="Q147" s="291">
        <f t="shared" si="33"/>
        <v>0</v>
      </c>
      <c r="R147" s="143">
        <v>18.730939430225732</v>
      </c>
      <c r="S147" s="143">
        <f t="shared" si="34"/>
        <v>9.3576089778233253</v>
      </c>
      <c r="T147" s="143" t="s">
        <v>986</v>
      </c>
      <c r="U147" s="143">
        <v>37.236611976817947</v>
      </c>
      <c r="V147" s="143">
        <v>0.25130129947507052</v>
      </c>
      <c r="W147" s="143">
        <v>16.854981453110863</v>
      </c>
      <c r="X147" s="143">
        <f t="shared" si="35"/>
        <v>44.943529861159917</v>
      </c>
      <c r="Y147" s="143" t="s">
        <v>1095</v>
      </c>
      <c r="Z147" s="316">
        <v>94</v>
      </c>
      <c r="AA147" s="316">
        <f>16+5</f>
        <v>21</v>
      </c>
      <c r="AB147" s="316">
        <v>72</v>
      </c>
      <c r="AC147" s="618">
        <f>AB147-[1]BUILDING!$AB$138</f>
        <v>-10</v>
      </c>
      <c r="AD147" s="604" t="s">
        <v>1665</v>
      </c>
      <c r="AE147" s="586"/>
    </row>
    <row r="148" spans="1:35" x14ac:dyDescent="0.2">
      <c r="D148" s="228"/>
      <c r="E148" s="228"/>
      <c r="F148" s="228" t="s">
        <v>1337</v>
      </c>
      <c r="G148" s="228"/>
      <c r="H148" s="228"/>
      <c r="I148" s="230">
        <f>Z147*AA147*AB147</f>
        <v>142128</v>
      </c>
      <c r="J148" s="231" t="s">
        <v>361</v>
      </c>
      <c r="K148" s="232">
        <f>R148*tax*markup*IF(Y148&lt;&gt;"",VLOOKUP(LEFT(Y148,2),cityindex,2,0),1)+1.49</f>
        <v>1.49</v>
      </c>
      <c r="L148" s="232">
        <f t="shared" ref="L148:L153" si="36">S148*markup*difficulty*IF(Y148&lt;&gt;"",VLOOKUP(LEFT(Y148,2),cityindex,3,0),1)</f>
        <v>0</v>
      </c>
      <c r="M148" s="232">
        <f t="shared" ref="M148:M153" si="37">W148*markup*difficulty*IF(Y148&lt;&gt;"",VLOOKUP(LEFT(Y148,2),cityindex,3,0),1)</f>
        <v>0</v>
      </c>
      <c r="N148" s="232"/>
      <c r="O148" s="232">
        <f t="shared" si="31"/>
        <v>1.49</v>
      </c>
      <c r="P148" s="233">
        <f t="shared" si="32"/>
        <v>211771</v>
      </c>
      <c r="Q148" s="291" t="str">
        <f t="shared" si="33"/>
        <v>manual</v>
      </c>
      <c r="S148" s="143">
        <f t="shared" si="34"/>
        <v>0</v>
      </c>
      <c r="X148" s="143">
        <f t="shared" si="35"/>
        <v>0</v>
      </c>
      <c r="Z148" s="316">
        <v>2.044</v>
      </c>
      <c r="AA148" s="316">
        <f>AA147</f>
        <v>21</v>
      </c>
      <c r="AB148" s="320">
        <v>8</v>
      </c>
      <c r="AC148" s="316"/>
      <c r="AD148" s="604" t="s">
        <v>1665</v>
      </c>
    </row>
    <row r="149" spans="1:35" x14ac:dyDescent="0.2">
      <c r="D149" s="228"/>
      <c r="E149" s="228"/>
      <c r="F149" s="228" t="s">
        <v>1338</v>
      </c>
      <c r="G149" s="228"/>
      <c r="H149" s="228"/>
      <c r="I149" s="230">
        <f>(((AA148*AB148)*Z148)*AB147)*1.15</f>
        <v>28432.857599999996</v>
      </c>
      <c r="J149" s="231" t="s">
        <v>361</v>
      </c>
      <c r="K149" s="232">
        <f t="shared" ref="K149:K158" si="38">R149*tax*markup*IF(Y149&lt;&gt;"",VLOOKUP(LEFT(Y149,2),cityindex,2,0),1)</f>
        <v>0.70777049500833478</v>
      </c>
      <c r="L149" s="232">
        <f t="shared" si="36"/>
        <v>0.51516270268285536</v>
      </c>
      <c r="M149" s="232">
        <f t="shared" si="37"/>
        <v>0</v>
      </c>
      <c r="N149" s="232"/>
      <c r="O149" s="232">
        <f t="shared" si="31"/>
        <v>1.2229331976911901</v>
      </c>
      <c r="P149" s="233">
        <f t="shared" si="32"/>
        <v>34771</v>
      </c>
      <c r="Q149" s="291">
        <f t="shared" si="33"/>
        <v>0</v>
      </c>
      <c r="R149" s="143">
        <v>0.52516430248167523</v>
      </c>
      <c r="S149" s="143">
        <f t="shared" si="34"/>
        <v>0.41378530335972313</v>
      </c>
      <c r="T149" s="143" t="s">
        <v>1339</v>
      </c>
      <c r="U149" s="143">
        <v>47.073654544170012</v>
      </c>
      <c r="V149" s="143">
        <v>8.7901673954687617E-3</v>
      </c>
      <c r="W149" s="143">
        <v>0</v>
      </c>
      <c r="X149" s="143">
        <f t="shared" si="35"/>
        <v>0.93894960584139842</v>
      </c>
      <c r="Y149" s="143" t="s">
        <v>339</v>
      </c>
      <c r="Z149" s="591" t="s">
        <v>1097</v>
      </c>
      <c r="AA149" s="316"/>
      <c r="AB149" s="320"/>
      <c r="AC149" s="316"/>
      <c r="AD149" s="604" t="s">
        <v>1665</v>
      </c>
      <c r="AE149" s="236"/>
    </row>
    <row r="150" spans="1:35" x14ac:dyDescent="0.2">
      <c r="D150" s="228"/>
      <c r="E150" s="228"/>
      <c r="F150" s="228" t="s">
        <v>1348</v>
      </c>
      <c r="G150" s="228"/>
      <c r="H150" s="228"/>
      <c r="I150" s="230">
        <f>PI() * (Z150 / 2)^2 * AA150 * AB150 / 27</f>
        <v>175.92918860102841</v>
      </c>
      <c r="J150" s="231" t="s">
        <v>333</v>
      </c>
      <c r="K150" s="232">
        <f t="shared" si="38"/>
        <v>246.93412213410198</v>
      </c>
      <c r="L150" s="232">
        <f t="shared" si="36"/>
        <v>9.5896474782745997</v>
      </c>
      <c r="M150" s="232">
        <f t="shared" si="37"/>
        <v>3.7426239067500053</v>
      </c>
      <c r="N150" s="232"/>
      <c r="O150" s="232">
        <f t="shared" si="31"/>
        <v>260.26639351912655</v>
      </c>
      <c r="P150" s="233">
        <f t="shared" si="32"/>
        <v>45788</v>
      </c>
      <c r="Q150" s="291">
        <f t="shared" si="33"/>
        <v>0</v>
      </c>
      <c r="R150" s="143">
        <v>183.2246284976224</v>
      </c>
      <c r="S150" s="143">
        <f t="shared" si="34"/>
        <v>7.7025280949996784</v>
      </c>
      <c r="T150" s="143" t="s">
        <v>1117</v>
      </c>
      <c r="U150" s="143">
        <v>36.67400681359679</v>
      </c>
      <c r="V150" s="143">
        <v>0.21002690363639204</v>
      </c>
      <c r="W150" s="143">
        <v>3.006123619879522</v>
      </c>
      <c r="X150" s="143">
        <f t="shared" si="35"/>
        <v>193.93328021250161</v>
      </c>
      <c r="Y150" s="143" t="s">
        <v>1340</v>
      </c>
      <c r="Z150" s="320">
        <v>2</v>
      </c>
      <c r="AA150" s="316">
        <f>AA148</f>
        <v>21</v>
      </c>
      <c r="AB150" s="320">
        <f>AB147</f>
        <v>72</v>
      </c>
      <c r="AC150" s="316"/>
      <c r="AD150" s="604" t="s">
        <v>1665</v>
      </c>
      <c r="AE150" s="236"/>
    </row>
    <row r="151" spans="1:35" x14ac:dyDescent="0.2">
      <c r="D151" s="228"/>
      <c r="E151" s="228"/>
      <c r="F151" s="228" t="s">
        <v>405</v>
      </c>
      <c r="G151" s="228"/>
      <c r="H151" s="228"/>
      <c r="I151" s="230">
        <f>((Z150*4)*1.5)*AB147</f>
        <v>864</v>
      </c>
      <c r="J151" s="231" t="s">
        <v>309</v>
      </c>
      <c r="K151" s="232">
        <f t="shared" si="38"/>
        <v>0.13389310574113511</v>
      </c>
      <c r="L151" s="232">
        <f t="shared" si="36"/>
        <v>0.46769391817991873</v>
      </c>
      <c r="M151" s="232">
        <f t="shared" si="37"/>
        <v>7.7193993543621248E-2</v>
      </c>
      <c r="N151" s="232"/>
      <c r="O151" s="232">
        <f t="shared" si="31"/>
        <v>0.67878101746467512</v>
      </c>
      <c r="P151" s="233">
        <f t="shared" si="32"/>
        <v>586</v>
      </c>
      <c r="Q151" s="291">
        <f t="shared" si="33"/>
        <v>0</v>
      </c>
      <c r="R151" s="143">
        <v>9.9348418702902216E-2</v>
      </c>
      <c r="S151" s="143">
        <f t="shared" si="34"/>
        <v>0.37565776560636038</v>
      </c>
      <c r="T151" s="143" t="s">
        <v>980</v>
      </c>
      <c r="U151" s="143">
        <v>47.096966173293225</v>
      </c>
      <c r="V151" s="143">
        <v>7.9762625096514318E-3</v>
      </c>
      <c r="W151" s="143">
        <v>6.200320766555923E-2</v>
      </c>
      <c r="X151" s="143">
        <f t="shared" si="35"/>
        <v>0.53700939197482189</v>
      </c>
      <c r="Y151" s="143" t="s">
        <v>406</v>
      </c>
      <c r="Z151" s="592"/>
      <c r="AA151" s="316"/>
      <c r="AB151" s="316"/>
      <c r="AC151" s="316"/>
      <c r="AD151" s="604"/>
      <c r="AE151" s="236"/>
    </row>
    <row r="152" spans="1:35" x14ac:dyDescent="0.2">
      <c r="D152" s="228"/>
      <c r="E152" s="228"/>
      <c r="F152" s="228"/>
      <c r="G152" s="228"/>
      <c r="H152" s="228"/>
      <c r="I152" s="230"/>
      <c r="J152" s="231"/>
      <c r="K152" s="232">
        <f>R152*tax*markup*IF(Y152&lt;&gt;"",VLOOKUP(LEFT(Y152,2),cityindex,2,0),1)</f>
        <v>0</v>
      </c>
      <c r="L152" s="232">
        <f t="shared" si="36"/>
        <v>0</v>
      </c>
      <c r="M152" s="232">
        <f t="shared" si="37"/>
        <v>0</v>
      </c>
      <c r="N152" s="232"/>
      <c r="O152" s="232">
        <f>SUM(K152:N152)*embed</f>
        <v>0</v>
      </c>
      <c r="P152" s="233">
        <f>ROUND((O152*I152),0)</f>
        <v>0</v>
      </c>
      <c r="Q152" s="291">
        <f>IF(O152=0,0,IF(X152=0,"manual",(O152/(R152*tax*markup*IF(Y152&lt;&gt;"",VLOOKUP(LEFT(Y152,2),cityindex,2,0),1)+S152*markup*difficulty*IF(Y152&lt;&gt;"",VLOOKUP(LEFT(Y152,2),cityindex,3,0),1)+W152*markup*difficulty*IF(Y152&lt;&gt;"",VLOOKUP(LEFT(Y152,2),cityindex,3,0),1)))-1))</f>
        <v>0</v>
      </c>
      <c r="S152" s="143">
        <f>U152*V152</f>
        <v>0</v>
      </c>
      <c r="X152" s="143">
        <f>SUM(R152,S152,W152)</f>
        <v>0</v>
      </c>
      <c r="Z152" s="592"/>
      <c r="AA152" s="316"/>
      <c r="AB152" s="316"/>
      <c r="AC152" s="316"/>
      <c r="AD152" s="604"/>
      <c r="AE152" s="236"/>
    </row>
    <row r="153" spans="1:35" x14ac:dyDescent="0.2">
      <c r="D153" s="228"/>
      <c r="E153" s="228" t="s">
        <v>1690</v>
      </c>
      <c r="F153" s="228"/>
      <c r="G153" s="228"/>
      <c r="H153" s="228"/>
      <c r="I153" s="230"/>
      <c r="J153" s="231"/>
      <c r="K153" s="232">
        <f>R153*tax*markup*IF(Y153&lt;&gt;"",VLOOKUP(LEFT(Y153,2),cityindex,2,0),1)</f>
        <v>0</v>
      </c>
      <c r="L153" s="232">
        <f t="shared" si="36"/>
        <v>0</v>
      </c>
      <c r="M153" s="232">
        <f t="shared" si="37"/>
        <v>0</v>
      </c>
      <c r="N153" s="232"/>
      <c r="O153" s="232">
        <f>SUM(K153:N153)*embed</f>
        <v>0</v>
      </c>
      <c r="P153" s="233">
        <f>ROUND((O153*I153),0)</f>
        <v>0</v>
      </c>
      <c r="Q153" s="291">
        <f>IF(O153=0,0,IF(X153=0,"manual",(O153/(R153*tax*markup*IF(Y153&lt;&gt;"",VLOOKUP(LEFT(Y153,2),cityindex,2,0),1)+S153*markup*difficulty*IF(Y153&lt;&gt;"",VLOOKUP(LEFT(Y153,2),cityindex,3,0),1)+W153*markup*difficulty*IF(Y153&lt;&gt;"",VLOOKUP(LEFT(Y153,2),cityindex,3,0),1)))-1))</f>
        <v>0</v>
      </c>
      <c r="S153" s="143">
        <f>U153*V153</f>
        <v>0</v>
      </c>
      <c r="X153" s="143">
        <f>SUM(R153,S153,W153)</f>
        <v>0</v>
      </c>
      <c r="Z153" s="592" t="s">
        <v>309</v>
      </c>
      <c r="AA153" s="316" t="s">
        <v>1345</v>
      </c>
      <c r="AB153" s="316" t="s">
        <v>1607</v>
      </c>
      <c r="AC153" s="316"/>
      <c r="AD153" s="604"/>
      <c r="AE153" s="236"/>
    </row>
    <row r="154" spans="1:35" x14ac:dyDescent="0.2">
      <c r="A154" s="143" t="s">
        <v>351</v>
      </c>
      <c r="B154" s="287"/>
      <c r="F154" s="228" t="s">
        <v>1341</v>
      </c>
      <c r="I154" s="146">
        <f>(AA154*AB154*Z154)/27</f>
        <v>83.333333333333329</v>
      </c>
      <c r="J154" s="147" t="s">
        <v>333</v>
      </c>
      <c r="K154" s="149">
        <f t="shared" si="38"/>
        <v>483.70155746430333</v>
      </c>
      <c r="L154" s="149">
        <f t="shared" ref="L154:L175" si="39">S154*markup*difficulty*IF(Y154&lt;&gt;"",VLOOKUP(LEFT(Y154,2),cityindex,3,0),1)</f>
        <v>207.44522857134058</v>
      </c>
      <c r="M154" s="149">
        <f t="shared" ref="M154:M175" si="40">W154*markup*difficulty*IF(Y154&lt;&gt;"",VLOOKUP(LEFT(Y154,2),cityindex,3,0),1)</f>
        <v>49.033202256984012</v>
      </c>
      <c r="N154" s="149"/>
      <c r="O154" s="149">
        <f t="shared" si="15"/>
        <v>740.17998829262797</v>
      </c>
      <c r="P154" s="216">
        <f t="shared" si="16"/>
        <v>61682</v>
      </c>
      <c r="Q154" s="291">
        <f t="shared" si="17"/>
        <v>0</v>
      </c>
      <c r="R154" s="143">
        <v>358.90559556604489</v>
      </c>
      <c r="S154" s="143">
        <f t="shared" si="18"/>
        <v>166.62267355127756</v>
      </c>
      <c r="T154" s="143" t="s">
        <v>989</v>
      </c>
      <c r="U154" s="143">
        <v>50.442677143129266</v>
      </c>
      <c r="V154" s="143">
        <v>3.3032083741013936</v>
      </c>
      <c r="W154" s="143">
        <v>39.384098198380727</v>
      </c>
      <c r="X154" s="143">
        <f t="shared" si="19"/>
        <v>564.91236731570314</v>
      </c>
      <c r="Y154" s="143" t="s">
        <v>355</v>
      </c>
      <c r="Z154" s="320">
        <v>450</v>
      </c>
      <c r="AA154" s="320">
        <v>2</v>
      </c>
      <c r="AB154" s="320">
        <v>2.5</v>
      </c>
      <c r="AC154" s="618">
        <f>Z154-[1]BUILDING!Z144</f>
        <v>-61</v>
      </c>
      <c r="AD154" s="604" t="s">
        <v>1665</v>
      </c>
      <c r="AE154" s="227"/>
      <c r="AF154" s="227"/>
    </row>
    <row r="155" spans="1:35" ht="12.75" customHeight="1" x14ac:dyDescent="0.2">
      <c r="A155" s="143" t="s">
        <v>351</v>
      </c>
      <c r="B155" s="287"/>
      <c r="F155" s="228" t="s">
        <v>1342</v>
      </c>
      <c r="I155" s="230">
        <f>((Z155*AA155*AB155)/27)</f>
        <v>57.925925925925924</v>
      </c>
      <c r="J155" s="147" t="s">
        <v>333</v>
      </c>
      <c r="K155" s="149">
        <f t="shared" si="38"/>
        <v>483.70155746430333</v>
      </c>
      <c r="L155" s="149">
        <f t="shared" si="39"/>
        <v>207.44522857134058</v>
      </c>
      <c r="M155" s="149">
        <f t="shared" si="40"/>
        <v>49.033202256984012</v>
      </c>
      <c r="N155" s="149"/>
      <c r="O155" s="149">
        <f t="shared" si="15"/>
        <v>740.17998829262797</v>
      </c>
      <c r="P155" s="216">
        <f t="shared" si="16"/>
        <v>42876</v>
      </c>
      <c r="Q155" s="291">
        <f t="shared" si="17"/>
        <v>0</v>
      </c>
      <c r="R155" s="143">
        <v>358.90559556604489</v>
      </c>
      <c r="S155" s="143">
        <f t="shared" si="18"/>
        <v>166.62267355127756</v>
      </c>
      <c r="T155" s="143" t="s">
        <v>989</v>
      </c>
      <c r="U155" s="143">
        <v>50.442677143129266</v>
      </c>
      <c r="V155" s="143">
        <v>3.3032083741013936</v>
      </c>
      <c r="W155" s="143">
        <v>39.384098198380727</v>
      </c>
      <c r="X155" s="143">
        <f t="shared" si="19"/>
        <v>564.91236731570314</v>
      </c>
      <c r="Y155" s="143" t="s">
        <v>355</v>
      </c>
      <c r="Z155" s="320">
        <v>391</v>
      </c>
      <c r="AA155" s="320">
        <v>2</v>
      </c>
      <c r="AB155" s="320">
        <f>AA154</f>
        <v>2</v>
      </c>
      <c r="AC155" s="618">
        <f>Z155-[1]BUILDING!Z145</f>
        <v>-53</v>
      </c>
      <c r="AD155" s="604" t="s">
        <v>1665</v>
      </c>
      <c r="AG155" s="288"/>
      <c r="AH155" s="289"/>
      <c r="AI155" s="289"/>
    </row>
    <row r="156" spans="1:35" ht="12.75" customHeight="1" x14ac:dyDescent="0.2">
      <c r="B156" s="287"/>
      <c r="D156" s="228"/>
      <c r="E156" s="228"/>
      <c r="F156" s="228"/>
      <c r="G156" s="228"/>
      <c r="H156" s="228"/>
      <c r="I156" s="230"/>
      <c r="J156" s="231"/>
      <c r="K156" s="232">
        <f t="shared" si="38"/>
        <v>0</v>
      </c>
      <c r="L156" s="232">
        <f>S156*markup*difficulty*IF(Y156&lt;&gt;"",VLOOKUP(LEFT(Y156,2),cityindex,3,0),1)</f>
        <v>0</v>
      </c>
      <c r="M156" s="232">
        <f>W156*markup*difficulty*IF(Y156&lt;&gt;"",VLOOKUP(LEFT(Y156,2),cityindex,3,0),1)</f>
        <v>0</v>
      </c>
      <c r="N156" s="232"/>
      <c r="O156" s="232">
        <f t="shared" ref="O156:O161" si="41">SUM(K156:N156)*embed</f>
        <v>0</v>
      </c>
      <c r="P156" s="233">
        <f t="shared" ref="P156:P161" si="42">ROUND((O156*I156),0)</f>
        <v>0</v>
      </c>
      <c r="Q156" s="291">
        <f t="shared" ref="Q156:Q161" si="43">IF(O156=0,0,IF(X156=0,"manual",(O156/(R156*tax*markup*IF(Y156&lt;&gt;"",VLOOKUP(LEFT(Y156,2),cityindex,2,0),1)+S156*markup*difficulty*IF(Y156&lt;&gt;"",VLOOKUP(LEFT(Y156,2),cityindex,3,0),1)+W156*markup*difficulty*IF(Y156&lt;&gt;"",VLOOKUP(LEFT(Y156,2),cityindex,3,0),1)))-1))</f>
        <v>0</v>
      </c>
      <c r="S156" s="143">
        <f>U156*V156</f>
        <v>0</v>
      </c>
      <c r="X156" s="143">
        <f>SUM(R156,S156,W156)</f>
        <v>0</v>
      </c>
      <c r="Z156" s="320"/>
      <c r="AA156" s="320"/>
      <c r="AB156" s="320"/>
      <c r="AC156" s="320"/>
      <c r="AD156" s="604"/>
      <c r="AG156" s="288"/>
      <c r="AH156" s="289"/>
      <c r="AI156" s="289"/>
    </row>
    <row r="157" spans="1:35" x14ac:dyDescent="0.2">
      <c r="D157" s="228"/>
      <c r="E157" s="228" t="s">
        <v>1343</v>
      </c>
      <c r="G157" s="228"/>
      <c r="H157" s="228"/>
      <c r="I157" s="230">
        <v>6053</v>
      </c>
      <c r="J157" s="231" t="s">
        <v>301</v>
      </c>
      <c r="K157" s="232">
        <f t="shared" si="38"/>
        <v>7.3806529160539984</v>
      </c>
      <c r="L157" s="232">
        <f>S157*markup*difficulty*IF(Y157&lt;&gt;"",VLOOKUP(LEFT(Y157,2),cityindex,3,0),1)</f>
        <v>1.9822678001035459</v>
      </c>
      <c r="M157" s="232">
        <f>W157*markup*difficulty*IF(Y157&lt;&gt;"",VLOOKUP(LEFT(Y157,2),cityindex,3,0),1)</f>
        <v>0.21610196454601444</v>
      </c>
      <c r="N157" s="232"/>
      <c r="O157" s="232">
        <f t="shared" si="41"/>
        <v>9.5790226807035594</v>
      </c>
      <c r="P157" s="233">
        <f t="shared" si="42"/>
        <v>57982</v>
      </c>
      <c r="Q157" s="291">
        <f t="shared" si="43"/>
        <v>0</v>
      </c>
      <c r="R157" s="143">
        <v>5.4764298142623131</v>
      </c>
      <c r="S157" s="143">
        <f>U157*V157</f>
        <v>1.5921829719707195</v>
      </c>
      <c r="T157" s="143" t="s">
        <v>989</v>
      </c>
      <c r="U157" s="143">
        <v>45.808731599262835</v>
      </c>
      <c r="V157" s="143">
        <v>3.4757194019236742E-2</v>
      </c>
      <c r="W157" s="143">
        <v>0.17357587513736097</v>
      </c>
      <c r="X157" s="143">
        <f>SUM(R157,S157,W157)</f>
        <v>7.2421886613703936</v>
      </c>
      <c r="Y157" s="143" t="s">
        <v>371</v>
      </c>
      <c r="Z157" s="316"/>
      <c r="AA157" s="316"/>
      <c r="AB157" s="316"/>
      <c r="AC157" s="618">
        <f>I157-[1]BUILDING!$I$147</f>
        <v>-64</v>
      </c>
      <c r="AD157" s="604" t="s">
        <v>1665</v>
      </c>
      <c r="AE157" s="236"/>
    </row>
    <row r="158" spans="1:35" x14ac:dyDescent="0.2">
      <c r="D158" s="228"/>
      <c r="E158" s="228"/>
      <c r="F158" s="228" t="s">
        <v>366</v>
      </c>
      <c r="H158" s="228"/>
      <c r="I158" s="230">
        <f>I157</f>
        <v>6053</v>
      </c>
      <c r="J158" s="231" t="s">
        <v>301</v>
      </c>
      <c r="K158" s="232">
        <f t="shared" si="38"/>
        <v>9.805859151808613E-2</v>
      </c>
      <c r="L158" s="232">
        <f>S158*markup*difficulty*IF(Y158&lt;&gt;"",VLOOKUP(LEFT(Y158,2),cityindex,3,0),1)</f>
        <v>0.13792793152571114</v>
      </c>
      <c r="M158" s="232">
        <f>W158*markup*difficulty*IF(Y158&lt;&gt;"",VLOOKUP(LEFT(Y158,2),cityindex,3,0),1)</f>
        <v>0</v>
      </c>
      <c r="N158" s="232"/>
      <c r="O158" s="232">
        <f t="shared" si="41"/>
        <v>0.23598652304379727</v>
      </c>
      <c r="P158" s="233">
        <f t="shared" si="42"/>
        <v>1428</v>
      </c>
      <c r="Q158" s="291">
        <f t="shared" si="43"/>
        <v>0</v>
      </c>
      <c r="R158" s="143">
        <v>7.2759280275345159E-2</v>
      </c>
      <c r="S158" s="143">
        <f>U158*V158</f>
        <v>0.11078548716924588</v>
      </c>
      <c r="T158" s="143" t="s">
        <v>968</v>
      </c>
      <c r="U158" s="143">
        <v>50.790085122442285</v>
      </c>
      <c r="V158" s="143">
        <v>2.1812424000111357E-3</v>
      </c>
      <c r="W158" s="143">
        <v>0</v>
      </c>
      <c r="X158" s="143">
        <f>SUM(R158,S158,W158)</f>
        <v>0.18354476744459103</v>
      </c>
      <c r="Y158" s="143" t="s">
        <v>367</v>
      </c>
      <c r="Z158" s="316" t="s">
        <v>1055</v>
      </c>
      <c r="AA158" s="316" t="s">
        <v>1344</v>
      </c>
      <c r="AB158" s="577" t="s">
        <v>1345</v>
      </c>
      <c r="AC158" s="320"/>
      <c r="AD158" s="604"/>
      <c r="AE158" s="236"/>
    </row>
    <row r="159" spans="1:35" x14ac:dyDescent="0.2">
      <c r="D159" s="228"/>
      <c r="E159" s="228"/>
      <c r="F159" s="228" t="s">
        <v>1691</v>
      </c>
      <c r="I159" s="230">
        <f>(Z159*AA159*AB159)/27</f>
        <v>39.277777777777779</v>
      </c>
      <c r="J159" s="231" t="s">
        <v>333</v>
      </c>
      <c r="K159" s="232">
        <f t="shared" ref="K159" si="44">R159*tax*markup*IF(Y159&lt;&gt;"",VLOOKUP(LEFT(Y159,2),cityindex,2,0),1)</f>
        <v>269.92156247218696</v>
      </c>
      <c r="L159" s="232">
        <f t="shared" ref="L159" si="45">S159*markup*difficulty*IF(Y159&lt;&gt;"",VLOOKUP(LEFT(Y159,2),cityindex,3,0),1)</f>
        <v>16.730722571182632</v>
      </c>
      <c r="M159" s="232">
        <f t="shared" ref="M159" si="46">W159*markup*difficulty*IF(Y159&lt;&gt;"",VLOOKUP(LEFT(Y159,2),cityindex,3,0),1)</f>
        <v>6.6150427913722334</v>
      </c>
      <c r="N159" s="232"/>
      <c r="O159" s="232">
        <f t="shared" si="41"/>
        <v>293.26732783474182</v>
      </c>
      <c r="P159" s="233">
        <f t="shared" si="42"/>
        <v>11519</v>
      </c>
      <c r="Q159" s="291">
        <f t="shared" si="43"/>
        <v>0</v>
      </c>
      <c r="R159" s="143">
        <v>200.28126360198257</v>
      </c>
      <c r="S159" s="143">
        <f t="shared" si="18"/>
        <v>13.43833138247601</v>
      </c>
      <c r="T159" s="143" t="s">
        <v>1117</v>
      </c>
      <c r="U159" s="143">
        <v>36.67400681359679</v>
      </c>
      <c r="V159" s="143">
        <v>0.36642659338476713</v>
      </c>
      <c r="W159" s="143">
        <v>5.3132873826282996</v>
      </c>
      <c r="X159" s="143">
        <f t="shared" si="19"/>
        <v>219.03288236708687</v>
      </c>
      <c r="Y159" s="143" t="s">
        <v>360</v>
      </c>
      <c r="Z159" s="316">
        <v>1212</v>
      </c>
      <c r="AA159" s="577">
        <f>7/12</f>
        <v>0.58333333333333337</v>
      </c>
      <c r="AB159" s="316">
        <v>1.5</v>
      </c>
      <c r="AC159" s="320"/>
      <c r="AD159" s="604" t="s">
        <v>1647</v>
      </c>
      <c r="AE159" s="236"/>
    </row>
    <row r="160" spans="1:35" x14ac:dyDescent="0.2">
      <c r="D160" s="228"/>
      <c r="E160" s="228"/>
      <c r="F160" s="228" t="s">
        <v>1346</v>
      </c>
      <c r="I160" s="230">
        <f>2 * (SQRT(I157) / AA160) * SQRT(I157)</f>
        <v>807.06666666666672</v>
      </c>
      <c r="J160" s="231" t="s">
        <v>309</v>
      </c>
      <c r="K160" s="232">
        <f t="shared" ref="K160" si="47">R160*tax*markup*IF(Y160&lt;&gt;"",VLOOKUP(LEFT(Y160,2),cityindex,2,0),1)</f>
        <v>0.13389310574113511</v>
      </c>
      <c r="L160" s="232">
        <f t="shared" ref="L160" si="48">S160*markup*difficulty*IF(Y160&lt;&gt;"",VLOOKUP(LEFT(Y160,2),cityindex,3,0),1)</f>
        <v>0.46769391817991873</v>
      </c>
      <c r="M160" s="232">
        <f t="shared" ref="M160" si="49">W160*markup*difficulty*IF(Y160&lt;&gt;"",VLOOKUP(LEFT(Y160,2),cityindex,3,0),1)</f>
        <v>7.7193993543621248E-2</v>
      </c>
      <c r="N160" s="232"/>
      <c r="O160" s="232">
        <f t="shared" si="41"/>
        <v>0.67878101746467512</v>
      </c>
      <c r="P160" s="233">
        <f t="shared" si="42"/>
        <v>548</v>
      </c>
      <c r="Q160" s="291">
        <f t="shared" si="43"/>
        <v>0</v>
      </c>
      <c r="R160" s="143">
        <v>9.9348418702902216E-2</v>
      </c>
      <c r="S160" s="143">
        <f t="shared" si="18"/>
        <v>0.37565776560636038</v>
      </c>
      <c r="T160" s="143" t="s">
        <v>980</v>
      </c>
      <c r="U160" s="143">
        <v>47.096966173293225</v>
      </c>
      <c r="V160" s="143">
        <v>7.9762625096514318E-3</v>
      </c>
      <c r="W160" s="143">
        <v>6.200320766555923E-2</v>
      </c>
      <c r="X160" s="143">
        <f t="shared" si="19"/>
        <v>0.53700939197482189</v>
      </c>
      <c r="Y160" s="143" t="s">
        <v>406</v>
      </c>
      <c r="Z160" s="316" t="s">
        <v>1324</v>
      </c>
      <c r="AA160" s="316">
        <v>15</v>
      </c>
      <c r="AB160" s="316"/>
      <c r="AC160" s="320"/>
      <c r="AD160" s="604" t="s">
        <v>1313</v>
      </c>
      <c r="AE160" s="236"/>
    </row>
    <row r="161" spans="4:33" x14ac:dyDescent="0.2">
      <c r="D161" s="228"/>
      <c r="E161" s="228"/>
      <c r="G161" s="228" t="s">
        <v>379</v>
      </c>
      <c r="H161" s="228"/>
      <c r="I161" s="230">
        <v>31</v>
      </c>
      <c r="J161" s="231" t="s">
        <v>301</v>
      </c>
      <c r="K161" s="232">
        <f t="shared" ref="K161:K167" si="50">R161*tax*markup*IF(Y161&lt;&gt;"",VLOOKUP(LEFT(Y161,2),cityindex,2,0),1)</f>
        <v>1.993585440641763</v>
      </c>
      <c r="L161" s="232">
        <f t="shared" ref="L161:L167" si="51">S161*markup*difficulty*IF(Y161&lt;&gt;"",VLOOKUP(LEFT(Y161,2),cityindex,3,0),1)</f>
        <v>0</v>
      </c>
      <c r="M161" s="232">
        <f t="shared" ref="M161:M167" si="52">W161*markup*difficulty*IF(Y161&lt;&gt;"",VLOOKUP(LEFT(Y161,2),cityindex,3,0),1)</f>
        <v>0</v>
      </c>
      <c r="N161" s="232"/>
      <c r="O161" s="232">
        <f t="shared" si="41"/>
        <v>1.993585440641763</v>
      </c>
      <c r="P161" s="233">
        <f t="shared" si="42"/>
        <v>62</v>
      </c>
      <c r="Q161" s="291">
        <f t="shared" si="43"/>
        <v>0</v>
      </c>
      <c r="R161" s="143">
        <v>1.479236439998711</v>
      </c>
      <c r="S161" s="143">
        <f t="shared" ref="S161:S167" si="53">U161*V161</f>
        <v>0</v>
      </c>
      <c r="U161" s="143">
        <v>0</v>
      </c>
      <c r="V161" s="143">
        <v>0</v>
      </c>
      <c r="W161" s="143">
        <v>0</v>
      </c>
      <c r="X161" s="143">
        <f t="shared" ref="X161:X167" si="54">SUM(R161,S161,W161)</f>
        <v>1.479236439998711</v>
      </c>
      <c r="Y161" s="143" t="s">
        <v>380</v>
      </c>
      <c r="Z161" s="316"/>
      <c r="AA161" s="316"/>
      <c r="AB161" s="316"/>
      <c r="AC161" s="320"/>
      <c r="AD161" s="604"/>
      <c r="AE161" s="236"/>
    </row>
    <row r="162" spans="4:33" x14ac:dyDescent="0.2">
      <c r="D162" s="228"/>
      <c r="E162" s="228"/>
      <c r="F162" s="228"/>
      <c r="G162" s="228"/>
      <c r="H162" s="228"/>
      <c r="I162" s="230"/>
      <c r="J162" s="231"/>
      <c r="K162" s="232">
        <f t="shared" si="50"/>
        <v>0</v>
      </c>
      <c r="L162" s="232">
        <f t="shared" si="51"/>
        <v>0</v>
      </c>
      <c r="M162" s="232">
        <f t="shared" si="52"/>
        <v>0</v>
      </c>
      <c r="N162" s="232"/>
      <c r="O162" s="232">
        <f t="shared" ref="O162:O171" si="55">SUM(K162:N162)*embed</f>
        <v>0</v>
      </c>
      <c r="P162" s="233">
        <f t="shared" ref="P162:P171" si="56">ROUND((O162*I162),0)</f>
        <v>0</v>
      </c>
      <c r="Q162" s="291">
        <f t="shared" ref="Q162:Q171" si="57">IF(O162=0,0,IF(X162=0,"manual",(O162/(R162*tax*markup*IF(Y162&lt;&gt;"",VLOOKUP(LEFT(Y162,2),cityindex,2,0),1)+S162*markup*difficulty*IF(Y162&lt;&gt;"",VLOOKUP(LEFT(Y162,2),cityindex,3,0),1)+W162*markup*difficulty*IF(Y162&lt;&gt;"",VLOOKUP(LEFT(Y162,2),cityindex,3,0),1)))-1))</f>
        <v>0</v>
      </c>
      <c r="S162" s="143">
        <f t="shared" si="53"/>
        <v>0</v>
      </c>
      <c r="X162" s="143">
        <f t="shared" si="54"/>
        <v>0</v>
      </c>
      <c r="Z162" s="316"/>
      <c r="AA162" s="316"/>
      <c r="AB162" s="316"/>
      <c r="AC162" s="320"/>
      <c r="AD162" s="604"/>
      <c r="AE162" s="236"/>
    </row>
    <row r="163" spans="4:33" x14ac:dyDescent="0.2">
      <c r="D163" s="228"/>
      <c r="E163" s="228" t="s">
        <v>1094</v>
      </c>
      <c r="F163" s="228"/>
      <c r="G163" s="228"/>
      <c r="H163" s="228"/>
      <c r="I163" s="230"/>
      <c r="J163" s="231"/>
      <c r="K163" s="232">
        <f t="shared" si="50"/>
        <v>0</v>
      </c>
      <c r="L163" s="232">
        <f t="shared" si="51"/>
        <v>0</v>
      </c>
      <c r="M163" s="232">
        <f t="shared" si="52"/>
        <v>0</v>
      </c>
      <c r="N163" s="232"/>
      <c r="O163" s="232">
        <f t="shared" si="55"/>
        <v>0</v>
      </c>
      <c r="P163" s="233">
        <f t="shared" si="56"/>
        <v>0</v>
      </c>
      <c r="Q163" s="291">
        <f t="shared" si="57"/>
        <v>0</v>
      </c>
      <c r="S163" s="143">
        <f t="shared" si="53"/>
        <v>0</v>
      </c>
      <c r="X163" s="143">
        <f t="shared" si="54"/>
        <v>0</v>
      </c>
      <c r="Z163" s="316"/>
      <c r="AA163" s="316"/>
      <c r="AB163" s="316"/>
      <c r="AC163" s="316"/>
      <c r="AD163" s="604"/>
      <c r="AE163" s="236"/>
    </row>
    <row r="164" spans="4:33" x14ac:dyDescent="0.2">
      <c r="D164" s="228"/>
      <c r="E164" s="228"/>
      <c r="F164" s="228" t="s">
        <v>1579</v>
      </c>
      <c r="G164" s="228"/>
      <c r="H164" s="228"/>
      <c r="I164" s="230">
        <f>25+14+150</f>
        <v>189</v>
      </c>
      <c r="J164" s="231" t="s">
        <v>301</v>
      </c>
      <c r="K164" s="232">
        <f t="shared" si="50"/>
        <v>21.495195410435578</v>
      </c>
      <c r="L164" s="232">
        <f t="shared" si="51"/>
        <v>18.457994238204947</v>
      </c>
      <c r="M164" s="232">
        <f t="shared" si="52"/>
        <v>0.27852088943373887</v>
      </c>
      <c r="N164" s="232"/>
      <c r="O164" s="232">
        <f t="shared" si="55"/>
        <v>40.23171053807426</v>
      </c>
      <c r="P164" s="233">
        <f t="shared" si="56"/>
        <v>7604</v>
      </c>
      <c r="Q164" s="291">
        <f t="shared" si="57"/>
        <v>0</v>
      </c>
      <c r="R164" s="143">
        <v>15.949392329918716</v>
      </c>
      <c r="S164" s="143">
        <f t="shared" si="53"/>
        <v>14.825698183297146</v>
      </c>
      <c r="T164" s="143" t="s">
        <v>989</v>
      </c>
      <c r="U164" s="143">
        <v>48.84158546236776</v>
      </c>
      <c r="V164" s="143">
        <v>0.3035466200154433</v>
      </c>
      <c r="W164" s="143">
        <v>0.22371155777810348</v>
      </c>
      <c r="X164" s="143">
        <f t="shared" si="54"/>
        <v>30.998802070993964</v>
      </c>
      <c r="Y164" s="143" t="s">
        <v>421</v>
      </c>
      <c r="Z164" s="316"/>
      <c r="AA164" s="316"/>
      <c r="AB164" s="316"/>
      <c r="AC164" s="320"/>
      <c r="AD164" s="604"/>
      <c r="AE164" s="236"/>
    </row>
    <row r="165" spans="4:33" x14ac:dyDescent="0.2">
      <c r="D165" s="228"/>
      <c r="E165" s="228"/>
      <c r="F165" s="228" t="s">
        <v>1092</v>
      </c>
      <c r="G165" s="228"/>
      <c r="H165" s="228"/>
      <c r="I165" s="230">
        <v>20</v>
      </c>
      <c r="J165" s="231" t="s">
        <v>448</v>
      </c>
      <c r="K165" s="232">
        <f t="shared" si="50"/>
        <v>18.568031014754673</v>
      </c>
      <c r="L165" s="232">
        <f t="shared" si="51"/>
        <v>21.936359254448345</v>
      </c>
      <c r="M165" s="232">
        <f t="shared" si="52"/>
        <v>0.18387415784493399</v>
      </c>
      <c r="N165" s="232"/>
      <c r="O165" s="232">
        <f t="shared" si="55"/>
        <v>40.688264427047947</v>
      </c>
      <c r="P165" s="233">
        <f t="shared" si="56"/>
        <v>814</v>
      </c>
      <c r="Q165" s="291">
        <f t="shared" si="57"/>
        <v>0</v>
      </c>
      <c r="R165" s="143">
        <v>13.777442158290192</v>
      </c>
      <c r="S165" s="143">
        <f t="shared" si="53"/>
        <v>17.619565666223568</v>
      </c>
      <c r="T165" s="143" t="s">
        <v>968</v>
      </c>
      <c r="U165" s="143">
        <v>50.790085122442285</v>
      </c>
      <c r="V165" s="143">
        <v>0.34690955181010563</v>
      </c>
      <c r="W165" s="143">
        <v>0.14769008662243693</v>
      </c>
      <c r="X165" s="143">
        <f t="shared" si="54"/>
        <v>31.544697911136197</v>
      </c>
      <c r="Y165" s="143" t="s">
        <v>1093</v>
      </c>
      <c r="Z165" s="316"/>
      <c r="AA165" s="316"/>
      <c r="AB165" s="316"/>
      <c r="AC165" s="320"/>
      <c r="AD165" s="604"/>
      <c r="AE165" s="236"/>
    </row>
    <row r="166" spans="4:33" x14ac:dyDescent="0.2">
      <c r="D166" s="228"/>
      <c r="E166" s="228"/>
      <c r="F166" s="228" t="s">
        <v>1568</v>
      </c>
      <c r="G166" s="228"/>
      <c r="H166" s="228"/>
      <c r="I166" s="230">
        <f>I164</f>
        <v>189</v>
      </c>
      <c r="J166" s="231" t="s">
        <v>301</v>
      </c>
      <c r="K166" s="232">
        <f t="shared" si="50"/>
        <v>6.9379114065108425</v>
      </c>
      <c r="L166" s="232">
        <f t="shared" si="51"/>
        <v>18.39617082134923</v>
      </c>
      <c r="M166" s="232">
        <f t="shared" si="52"/>
        <v>0</v>
      </c>
      <c r="N166" s="232"/>
      <c r="O166" s="232">
        <f t="shared" si="55"/>
        <v>25.334082227860073</v>
      </c>
      <c r="P166" s="233">
        <f t="shared" si="56"/>
        <v>4788</v>
      </c>
      <c r="Q166" s="291">
        <f t="shared" si="57"/>
        <v>0</v>
      </c>
      <c r="R166" s="143">
        <v>5.1479164929544261</v>
      </c>
      <c r="S166" s="143">
        <f t="shared" si="53"/>
        <v>14.776040820360826</v>
      </c>
      <c r="T166" s="143" t="s">
        <v>968</v>
      </c>
      <c r="U166" s="143">
        <v>50.790085122442285</v>
      </c>
      <c r="V166" s="143">
        <v>0.29092372624970919</v>
      </c>
      <c r="W166" s="143">
        <v>0</v>
      </c>
      <c r="X166" s="143">
        <f t="shared" si="54"/>
        <v>19.923957313315253</v>
      </c>
      <c r="Y166" s="143" t="s">
        <v>1567</v>
      </c>
      <c r="Z166" s="316"/>
      <c r="AA166" s="316"/>
      <c r="AB166" s="316"/>
      <c r="AC166" s="320"/>
      <c r="AD166" s="604"/>
      <c r="AE166" s="236"/>
    </row>
    <row r="167" spans="4:33" x14ac:dyDescent="0.2">
      <c r="D167" s="228"/>
      <c r="E167" s="228"/>
      <c r="F167" s="228"/>
      <c r="G167" s="228"/>
      <c r="H167" s="228"/>
      <c r="I167" s="230"/>
      <c r="J167" s="231"/>
      <c r="K167" s="232">
        <f t="shared" si="50"/>
        <v>0</v>
      </c>
      <c r="L167" s="232">
        <f t="shared" si="51"/>
        <v>0</v>
      </c>
      <c r="M167" s="232">
        <f t="shared" si="52"/>
        <v>0</v>
      </c>
      <c r="N167" s="232"/>
      <c r="O167" s="232">
        <f t="shared" si="55"/>
        <v>0</v>
      </c>
      <c r="P167" s="233">
        <f t="shared" si="56"/>
        <v>0</v>
      </c>
      <c r="Q167" s="291">
        <f t="shared" si="57"/>
        <v>0</v>
      </c>
      <c r="S167" s="143">
        <f t="shared" si="53"/>
        <v>0</v>
      </c>
      <c r="X167" s="143">
        <f t="shared" si="54"/>
        <v>0</v>
      </c>
      <c r="Z167" s="316"/>
      <c r="AA167" s="316"/>
      <c r="AB167" s="316"/>
      <c r="AC167" s="316"/>
      <c r="AD167" s="604"/>
      <c r="AE167" s="236"/>
    </row>
    <row r="168" spans="4:33" ht="12.75" customHeight="1" x14ac:dyDescent="0.2">
      <c r="D168" s="228"/>
      <c r="E168" s="228" t="s">
        <v>1561</v>
      </c>
      <c r="F168" s="228"/>
      <c r="H168" s="228"/>
      <c r="I168" s="230"/>
      <c r="J168" s="231"/>
      <c r="K168" s="307">
        <f t="shared" ref="K168:K171" si="58">R168*tax*markup*IF(Y168&lt;&gt;"",VLOOKUP(LEFT(Y168,2),cityindex,2,0),1)</f>
        <v>0</v>
      </c>
      <c r="L168" s="307">
        <f t="shared" ref="L168:L171" si="59">S168*markup*difficulty*IF(Y168&lt;&gt;"",VLOOKUP(LEFT(Y168,2),cityindex,3,0),1)</f>
        <v>0</v>
      </c>
      <c r="M168" s="307">
        <f t="shared" ref="M168:M171" si="60">W168*markup*difficulty*IF(Y168&lt;&gt;"",VLOOKUP(LEFT(Y168,2),cityindex,3,0),1)</f>
        <v>0</v>
      </c>
      <c r="N168" s="232"/>
      <c r="O168" s="232">
        <f t="shared" si="55"/>
        <v>0</v>
      </c>
      <c r="P168" s="233">
        <f t="shared" si="56"/>
        <v>0</v>
      </c>
      <c r="Q168" s="291">
        <f t="shared" si="57"/>
        <v>0</v>
      </c>
      <c r="S168" s="143">
        <f t="shared" ref="S168:S171" si="61">U168*V168</f>
        <v>0</v>
      </c>
      <c r="X168" s="143">
        <f t="shared" ref="X168:X171" si="62">SUM(R168,S168,W168)</f>
        <v>0</v>
      </c>
      <c r="Z168" s="316" t="s">
        <v>1562</v>
      </c>
      <c r="AA168" s="316" t="s">
        <v>1563</v>
      </c>
      <c r="AB168" s="227"/>
      <c r="AC168" s="316"/>
      <c r="AD168" s="604"/>
      <c r="AF168" s="588"/>
    </row>
    <row r="169" spans="4:33" ht="12.75" customHeight="1" x14ac:dyDescent="0.2">
      <c r="D169" s="228"/>
      <c r="E169" s="228"/>
      <c r="F169" s="228" t="s">
        <v>1564</v>
      </c>
      <c r="H169" s="228"/>
      <c r="I169" s="230">
        <f>Z169/AA169</f>
        <v>184.66666666666666</v>
      </c>
      <c r="J169" s="231" t="s">
        <v>390</v>
      </c>
      <c r="K169" s="307">
        <f t="shared" si="58"/>
        <v>12.054441480009524</v>
      </c>
      <c r="L169" s="307">
        <f t="shared" si="59"/>
        <v>29.965672725224</v>
      </c>
      <c r="M169" s="307">
        <f t="shared" si="60"/>
        <v>4.1993746044034124</v>
      </c>
      <c r="N169" s="232"/>
      <c r="O169" s="232">
        <f t="shared" si="55"/>
        <v>46.219488809636935</v>
      </c>
      <c r="P169" s="233">
        <f t="shared" si="56"/>
        <v>8535</v>
      </c>
      <c r="Q169" s="291">
        <f t="shared" si="57"/>
        <v>0</v>
      </c>
      <c r="R169" s="143">
        <v>8.9443716519728973</v>
      </c>
      <c r="S169" s="143">
        <f t="shared" si="61"/>
        <v>24.068813433914858</v>
      </c>
      <c r="T169" s="143" t="s">
        <v>965</v>
      </c>
      <c r="U169" s="143">
        <v>30.337316807306259</v>
      </c>
      <c r="V169" s="143">
        <v>0.79337317755531589</v>
      </c>
      <c r="W169" s="143">
        <v>3.3729916501232222</v>
      </c>
      <c r="X169" s="143">
        <f t="shared" si="62"/>
        <v>36.386176736010981</v>
      </c>
      <c r="Y169" s="143" t="s">
        <v>402</v>
      </c>
      <c r="Z169" s="316">
        <f>25+252</f>
        <v>277</v>
      </c>
      <c r="AA169" s="316">
        <f>1+(6/12)</f>
        <v>1.5</v>
      </c>
      <c r="AB169" s="227"/>
      <c r="AC169" s="316"/>
      <c r="AD169" s="604" t="s">
        <v>1313</v>
      </c>
      <c r="AF169" s="588"/>
    </row>
    <row r="170" spans="4:33" ht="12.75" customHeight="1" x14ac:dyDescent="0.2">
      <c r="D170" s="228"/>
      <c r="E170" s="228"/>
      <c r="F170" s="228" t="s">
        <v>1565</v>
      </c>
      <c r="H170" s="228"/>
      <c r="I170" s="230">
        <f>I169*2</f>
        <v>369.33333333333331</v>
      </c>
      <c r="J170" s="231" t="s">
        <v>309</v>
      </c>
      <c r="K170" s="307">
        <f t="shared" si="58"/>
        <v>0</v>
      </c>
      <c r="L170" s="307">
        <f t="shared" si="59"/>
        <v>0</v>
      </c>
      <c r="M170" s="307">
        <f t="shared" si="60"/>
        <v>0</v>
      </c>
      <c r="N170" s="232">
        <v>49.36</v>
      </c>
      <c r="O170" s="232">
        <f t="shared" si="55"/>
        <v>49.36</v>
      </c>
      <c r="P170" s="233">
        <f t="shared" si="56"/>
        <v>18230</v>
      </c>
      <c r="Q170" s="291" t="str">
        <f t="shared" si="57"/>
        <v>manual</v>
      </c>
      <c r="S170" s="143">
        <f t="shared" si="61"/>
        <v>0</v>
      </c>
      <c r="X170" s="143">
        <f t="shared" si="62"/>
        <v>0</v>
      </c>
      <c r="Z170" s="227"/>
      <c r="AA170" s="227"/>
      <c r="AB170" s="227"/>
      <c r="AC170" s="316"/>
      <c r="AD170" s="604" t="s">
        <v>1313</v>
      </c>
      <c r="AF170" s="588"/>
    </row>
    <row r="171" spans="4:33" ht="12.75" customHeight="1" x14ac:dyDescent="0.2">
      <c r="D171" s="228"/>
      <c r="E171" s="228"/>
      <c r="F171" s="228" t="s">
        <v>1566</v>
      </c>
      <c r="H171" s="228"/>
      <c r="I171" s="230">
        <f>I170*3</f>
        <v>1108</v>
      </c>
      <c r="J171" s="231" t="s">
        <v>301</v>
      </c>
      <c r="K171" s="307">
        <f t="shared" si="58"/>
        <v>2.0440571352964616</v>
      </c>
      <c r="L171" s="307">
        <f t="shared" si="59"/>
        <v>2.6071135259502012</v>
      </c>
      <c r="M171" s="307">
        <f t="shared" si="60"/>
        <v>0.55925179290400384</v>
      </c>
      <c r="N171" s="232"/>
      <c r="O171" s="232">
        <f t="shared" si="55"/>
        <v>5.2104224541506667</v>
      </c>
      <c r="P171" s="233">
        <f t="shared" si="56"/>
        <v>5773</v>
      </c>
      <c r="Q171" s="291">
        <f t="shared" si="57"/>
        <v>0</v>
      </c>
      <c r="R171" s="143">
        <v>1.5166863372540222</v>
      </c>
      <c r="S171" s="143">
        <f t="shared" si="61"/>
        <v>2.0940670891166273</v>
      </c>
      <c r="T171" s="143" t="s">
        <v>965</v>
      </c>
      <c r="U171" s="143">
        <v>30.337316807306259</v>
      </c>
      <c r="V171" s="143">
        <v>6.9026114023778951E-2</v>
      </c>
      <c r="W171" s="143">
        <v>0.44919822723213154</v>
      </c>
      <c r="X171" s="143">
        <f t="shared" si="62"/>
        <v>4.0599516536027815</v>
      </c>
      <c r="Y171" s="143" t="s">
        <v>385</v>
      </c>
      <c r="Z171" s="227"/>
      <c r="AA171" s="227"/>
      <c r="AB171" s="227"/>
      <c r="AC171" s="316"/>
      <c r="AD171" s="604" t="s">
        <v>1313</v>
      </c>
      <c r="AF171" s="588"/>
    </row>
    <row r="172" spans="4:33" x14ac:dyDescent="0.2">
      <c r="D172" s="228"/>
      <c r="E172" s="228"/>
      <c r="F172" s="228"/>
      <c r="G172" s="228"/>
      <c r="H172" s="228"/>
      <c r="I172" s="230"/>
      <c r="J172" s="231"/>
      <c r="K172" s="232">
        <f t="shared" ref="K172:K175" si="63">R172*tax*markup*IF(Y172&lt;&gt;"",VLOOKUP(LEFT(Y172,2),cityindex,2,0),1)</f>
        <v>0</v>
      </c>
      <c r="L172" s="232">
        <f t="shared" si="39"/>
        <v>0</v>
      </c>
      <c r="M172" s="232">
        <f t="shared" si="40"/>
        <v>0</v>
      </c>
      <c r="N172" s="232"/>
      <c r="O172" s="232">
        <f t="shared" si="15"/>
        <v>0</v>
      </c>
      <c r="P172" s="233">
        <f t="shared" si="16"/>
        <v>0</v>
      </c>
      <c r="Q172" s="291">
        <f t="shared" si="17"/>
        <v>0</v>
      </c>
      <c r="S172" s="143">
        <f t="shared" si="18"/>
        <v>0</v>
      </c>
      <c r="X172" s="143">
        <f t="shared" si="19"/>
        <v>0</v>
      </c>
      <c r="Z172" s="316"/>
      <c r="AA172" s="316"/>
      <c r="AB172" s="316"/>
      <c r="AC172" s="316"/>
      <c r="AD172" s="604"/>
    </row>
    <row r="173" spans="4:33" x14ac:dyDescent="0.2">
      <c r="D173" s="228"/>
      <c r="E173" s="228" t="s">
        <v>1098</v>
      </c>
      <c r="F173" s="228"/>
      <c r="G173" s="228"/>
      <c r="H173" s="228"/>
      <c r="I173" s="230"/>
      <c r="J173" s="231"/>
      <c r="K173" s="149">
        <f t="shared" si="63"/>
        <v>0</v>
      </c>
      <c r="L173" s="149">
        <f t="shared" si="39"/>
        <v>0</v>
      </c>
      <c r="M173" s="149">
        <f t="shared" si="40"/>
        <v>0</v>
      </c>
      <c r="N173" s="149"/>
      <c r="O173" s="149">
        <f t="shared" si="15"/>
        <v>0</v>
      </c>
      <c r="P173" s="216">
        <f t="shared" si="16"/>
        <v>0</v>
      </c>
      <c r="Q173" s="291">
        <f t="shared" si="17"/>
        <v>0</v>
      </c>
      <c r="S173" s="143">
        <f t="shared" si="18"/>
        <v>0</v>
      </c>
      <c r="X173" s="143">
        <f t="shared" si="19"/>
        <v>0</v>
      </c>
      <c r="Z173" s="316"/>
      <c r="AA173" s="316"/>
      <c r="AB173" s="316"/>
      <c r="AC173" s="316"/>
      <c r="AD173" s="604"/>
    </row>
    <row r="174" spans="4:33" x14ac:dyDescent="0.2">
      <c r="D174" s="228"/>
      <c r="F174" s="228" t="s">
        <v>988</v>
      </c>
      <c r="G174" s="228"/>
      <c r="H174" s="228"/>
      <c r="I174" s="230">
        <f>30*1.5</f>
        <v>45</v>
      </c>
      <c r="J174" s="231" t="s">
        <v>301</v>
      </c>
      <c r="K174" s="232">
        <f t="shared" si="63"/>
        <v>31.921161251236661</v>
      </c>
      <c r="L174" s="232">
        <f t="shared" si="39"/>
        <v>19.176215076826939</v>
      </c>
      <c r="M174" s="232">
        <f t="shared" si="40"/>
        <v>3.7049781792777186</v>
      </c>
      <c r="N174" s="232"/>
      <c r="O174" s="232">
        <f t="shared" si="15"/>
        <v>54.80235450734132</v>
      </c>
      <c r="P174" s="233">
        <f t="shared" si="16"/>
        <v>2466</v>
      </c>
      <c r="Q174" s="291">
        <f t="shared" si="17"/>
        <v>0</v>
      </c>
      <c r="R174" s="143">
        <v>23.685438289870177</v>
      </c>
      <c r="S174" s="143">
        <f t="shared" si="18"/>
        <v>15.402582391025652</v>
      </c>
      <c r="T174" s="143" t="s">
        <v>986</v>
      </c>
      <c r="U174" s="143">
        <v>37.236611976817947</v>
      </c>
      <c r="V174" s="143">
        <v>0.41364081137711173</v>
      </c>
      <c r="W174" s="143">
        <v>2.9758860877732678</v>
      </c>
      <c r="X174" s="143">
        <f t="shared" si="19"/>
        <v>42.063906768669099</v>
      </c>
      <c r="Y174" s="143" t="s">
        <v>987</v>
      </c>
      <c r="AD174" s="604" t="s">
        <v>1313</v>
      </c>
      <c r="AE174" s="236" t="s">
        <v>1781</v>
      </c>
      <c r="AG174" s="143" t="s">
        <v>1784</v>
      </c>
    </row>
    <row r="175" spans="4:33" x14ac:dyDescent="0.2">
      <c r="K175" s="149">
        <f t="shared" si="63"/>
        <v>0</v>
      </c>
      <c r="L175" s="149">
        <f t="shared" si="39"/>
        <v>0</v>
      </c>
      <c r="M175" s="149">
        <f t="shared" si="40"/>
        <v>0</v>
      </c>
      <c r="N175" s="149"/>
      <c r="O175" s="149">
        <f t="shared" si="15"/>
        <v>0</v>
      </c>
      <c r="P175" s="216">
        <f t="shared" si="16"/>
        <v>0</v>
      </c>
      <c r="Q175" s="291">
        <f>IF(O175=0,0,IF(X175=0,"manual",O175/((R175*tax*markup*IF(Y175&lt;&gt;"",VLOOKUP(LEFT(Y175,2),cityindex,2,0),1))+S175*markup*difficulty*IF(Y175&lt;&gt;"",VLOOKUP(LEFT(Y175,2),cityindex,3,0),1)+W175*markup*difficulty*IF(Y175&lt;&gt;"",VLOOKUP(LEFT(Y175,2),cityindex,3,0),1))))</f>
        <v>0</v>
      </c>
      <c r="S175" s="143">
        <f t="shared" si="18"/>
        <v>0</v>
      </c>
      <c r="X175" s="143">
        <f t="shared" si="19"/>
        <v>0</v>
      </c>
      <c r="AD175" s="604"/>
    </row>
    <row r="176" spans="4:33" ht="25.5" customHeight="1" x14ac:dyDescent="0.2">
      <c r="D176" s="217" t="str">
        <f>"TOTAL - " &amp; D137</f>
        <v>TOTAL - 03  CONCRETE</v>
      </c>
      <c r="E176" s="217"/>
      <c r="F176" s="217"/>
      <c r="G176" s="217"/>
      <c r="H176" s="217"/>
      <c r="I176" s="218"/>
      <c r="J176" s="219"/>
      <c r="K176" s="220"/>
      <c r="L176" s="220"/>
      <c r="M176" s="220"/>
      <c r="N176" s="220"/>
      <c r="O176" s="221"/>
      <c r="P176" s="222">
        <f>SUM(P137:P175)</f>
        <v>531632</v>
      </c>
      <c r="Q176" s="294" t="str">
        <f>_xlfn.CONCAT(TEXT(SUM(P176/GFA),"$#,##0.00"),"/SF")</f>
        <v>$16.89/SF</v>
      </c>
      <c r="S176" s="143">
        <f t="shared" si="18"/>
        <v>0</v>
      </c>
      <c r="X176" s="143">
        <f t="shared" si="19"/>
        <v>0</v>
      </c>
      <c r="Z176" s="314"/>
      <c r="AA176" s="315"/>
      <c r="AD176" s="604"/>
    </row>
    <row r="177" spans="4:30" x14ac:dyDescent="0.2">
      <c r="K177" s="149">
        <f t="shared" ref="K177:K186" si="64">R177*tax*markup*IF(Y177&lt;&gt;"",VLOOKUP(LEFT(Y177,2),cityindex,2,0),1)</f>
        <v>0</v>
      </c>
      <c r="L177" s="149">
        <f t="shared" ref="L177:L192" si="65">S177*markup*difficulty*IF(Y177&lt;&gt;"",VLOOKUP(LEFT(Y177,2),cityindex,3,0),1)</f>
        <v>0</v>
      </c>
      <c r="M177" s="149">
        <f t="shared" ref="M177:M192" si="66">W177*markup*difficulty*IF(Y177&lt;&gt;"",VLOOKUP(LEFT(Y177,2),cityindex,3,0),1)</f>
        <v>0</v>
      </c>
      <c r="N177" s="149"/>
      <c r="O177" s="149">
        <f t="shared" ref="O177:O192" si="67">SUM(K177:N177)*embed</f>
        <v>0</v>
      </c>
      <c r="P177" s="216">
        <f t="shared" ref="P177:P192" si="68">ROUND((O177*I177),0)</f>
        <v>0</v>
      </c>
      <c r="Q177" s="291">
        <f>IF(O177=0,0,IF(X177=0,"manual",O177/((R177*tax*markup*IF(Y177&lt;&gt;"",VLOOKUP(LEFT(Y177,2),cityindex,2,0),1))+S177*markup*difficulty*IF(Y177&lt;&gt;"",VLOOKUP(LEFT(Y177,2),cityindex,3,0),1)+W177*markup*difficulty*IF(Y177&lt;&gt;"",VLOOKUP(LEFT(Y177,2),cityindex,3,0),1))))</f>
        <v>0</v>
      </c>
      <c r="S177" s="143">
        <f t="shared" si="18"/>
        <v>0</v>
      </c>
      <c r="X177" s="143">
        <f t="shared" si="19"/>
        <v>0</v>
      </c>
      <c r="AD177" s="604"/>
    </row>
    <row r="178" spans="4:30" x14ac:dyDescent="0.2">
      <c r="D178" s="214" t="s">
        <v>270</v>
      </c>
      <c r="E178" s="215"/>
      <c r="F178" s="215"/>
      <c r="G178" s="215"/>
      <c r="H178" s="215"/>
      <c r="K178" s="149">
        <f t="shared" si="64"/>
        <v>0</v>
      </c>
      <c r="L178" s="149">
        <f t="shared" si="65"/>
        <v>0</v>
      </c>
      <c r="M178" s="149">
        <f t="shared" si="66"/>
        <v>0</v>
      </c>
      <c r="N178" s="149"/>
      <c r="O178" s="149">
        <f t="shared" si="67"/>
        <v>0</v>
      </c>
      <c r="P178" s="216">
        <f t="shared" si="68"/>
        <v>0</v>
      </c>
      <c r="Q178" s="291">
        <f>IF(O178=0,0,IF(X178=0,"manual",O178/((R178*tax*markup*IF(Y178&lt;&gt;"",VLOOKUP(LEFT(Y178,2),cityindex,2,0),1))+S178*markup*difficulty*IF(Y178&lt;&gt;"",VLOOKUP(LEFT(Y178,2),cityindex,3,0),1)+W178*markup*difficulty*IF(Y178&lt;&gt;"",VLOOKUP(LEFT(Y178,2),cityindex,3,0),1))))</f>
        <v>0</v>
      </c>
      <c r="S178" s="143">
        <f t="shared" si="18"/>
        <v>0</v>
      </c>
      <c r="X178" s="143">
        <f t="shared" si="19"/>
        <v>0</v>
      </c>
      <c r="AD178" s="604"/>
    </row>
    <row r="179" spans="4:30" x14ac:dyDescent="0.2">
      <c r="D179" s="228"/>
      <c r="E179" s="228" t="s">
        <v>1362</v>
      </c>
      <c r="F179" s="228"/>
      <c r="G179" s="228"/>
      <c r="H179" s="228"/>
      <c r="I179" s="230"/>
      <c r="J179" s="231"/>
      <c r="K179" s="232">
        <f t="shared" si="64"/>
        <v>0</v>
      </c>
      <c r="L179" s="232">
        <f t="shared" si="65"/>
        <v>0</v>
      </c>
      <c r="M179" s="232">
        <f t="shared" si="66"/>
        <v>0</v>
      </c>
      <c r="N179" s="232"/>
      <c r="O179" s="232">
        <f t="shared" si="67"/>
        <v>0</v>
      </c>
      <c r="P179" s="233">
        <f t="shared" si="68"/>
        <v>0</v>
      </c>
      <c r="Q179" s="291">
        <f t="shared" ref="Q179:Q188" si="69">IF(O179=0,0,IF(X179=0,"manual",(O179/(R179*tax*markup*IF(Y179&lt;&gt;"",VLOOKUP(LEFT(Y179,2),cityindex,2,0),1)+S179*markup*difficulty*IF(Y179&lt;&gt;"",VLOOKUP(LEFT(Y179,2),cityindex,3,0),1)+W179*markup*difficulty*IF(Y179&lt;&gt;"",VLOOKUP(LEFT(Y179,2),cityindex,3,0),1)))-1))</f>
        <v>0</v>
      </c>
      <c r="R179" s="151"/>
      <c r="S179" s="151">
        <f t="shared" si="18"/>
        <v>0</v>
      </c>
      <c r="T179" s="151"/>
      <c r="U179" s="151"/>
      <c r="V179" s="151"/>
      <c r="W179" s="151"/>
      <c r="X179" s="151">
        <f t="shared" si="19"/>
        <v>0</v>
      </c>
      <c r="Y179" s="151"/>
      <c r="Z179" s="143"/>
      <c r="AA179" s="143"/>
      <c r="AB179" s="143"/>
      <c r="AD179" s="604"/>
    </row>
    <row r="180" spans="4:30" x14ac:dyDescent="0.2">
      <c r="D180" s="228"/>
      <c r="E180" s="228"/>
      <c r="F180" s="228" t="s">
        <v>1133</v>
      </c>
      <c r="G180" s="228"/>
      <c r="H180" s="228"/>
      <c r="I180" s="230">
        <v>1525</v>
      </c>
      <c r="J180" s="231" t="s">
        <v>301</v>
      </c>
      <c r="K180" s="232">
        <f t="shared" si="64"/>
        <v>16.959510962213226</v>
      </c>
      <c r="L180" s="232">
        <f t="shared" si="65"/>
        <v>13.043805497346776</v>
      </c>
      <c r="M180" s="232">
        <f t="shared" si="66"/>
        <v>0</v>
      </c>
      <c r="N180" s="232"/>
      <c r="O180" s="232">
        <f t="shared" si="67"/>
        <v>30.003316459560004</v>
      </c>
      <c r="P180" s="233">
        <f t="shared" si="68"/>
        <v>45755</v>
      </c>
      <c r="Q180" s="291">
        <f t="shared" si="69"/>
        <v>0</v>
      </c>
      <c r="R180" s="151">
        <v>12.583923471966925</v>
      </c>
      <c r="S180" s="151">
        <f>U180*V180</f>
        <v>10.476952206704237</v>
      </c>
      <c r="T180" s="151" t="s">
        <v>1131</v>
      </c>
      <c r="U180" s="151">
        <v>49.450208162146893</v>
      </c>
      <c r="V180" s="151">
        <v>0.21186871797081991</v>
      </c>
      <c r="W180" s="151">
        <v>0</v>
      </c>
      <c r="X180" s="151">
        <f>SUM(R180,S180,W180)</f>
        <v>23.06087567867116</v>
      </c>
      <c r="Y180" s="151" t="s">
        <v>1132</v>
      </c>
      <c r="Z180" s="143"/>
      <c r="AA180" s="143"/>
      <c r="AB180" s="143"/>
      <c r="AD180" s="604" t="s">
        <v>1313</v>
      </c>
    </row>
    <row r="181" spans="4:30" x14ac:dyDescent="0.2">
      <c r="D181" s="228"/>
      <c r="E181" s="228"/>
      <c r="F181" s="228" t="s">
        <v>1369</v>
      </c>
      <c r="G181" s="228"/>
      <c r="H181" s="228"/>
      <c r="I181" s="230">
        <f>I180</f>
        <v>1525</v>
      </c>
      <c r="J181" s="231" t="s">
        <v>301</v>
      </c>
      <c r="K181" s="232">
        <f>R181*tax*markup*IF(Y181&lt;&gt;"",VLOOKUP(LEFT(Y181,2),cityindex,2,0),1)</f>
        <v>1.2674847929432027</v>
      </c>
      <c r="L181" s="232">
        <f>S181*markup*difficulty*IF(Y181&lt;&gt;"",VLOOKUP(LEFT(Y181,2),cityindex,3,0),1)</f>
        <v>0.87973471663563085</v>
      </c>
      <c r="M181" s="232">
        <f>W181*markup*difficulty*IF(Y181&lt;&gt;"",VLOOKUP(LEFT(Y181,2),cityindex,3,0),1)</f>
        <v>0</v>
      </c>
      <c r="N181" s="232"/>
      <c r="O181" s="232">
        <f>SUM(K181:N181)*embed</f>
        <v>2.1472195095788336</v>
      </c>
      <c r="P181" s="233">
        <f>ROUND((O181*I181),0)</f>
        <v>3275</v>
      </c>
      <c r="Q181" s="291">
        <f>IF(O181=0,0,IF(X181=0,"manual",(O181/(R181*tax*markup*IF(Y181&lt;&gt;"",VLOOKUP(LEFT(Y181,2),cityindex,2,0),1)+S181*markup*difficulty*IF(Y181&lt;&gt;"",VLOOKUP(LEFT(Y181,2),cityindex,3,0),1)+W181*markup*difficulty*IF(Y181&lt;&gt;"",VLOOKUP(LEFT(Y181,2),cityindex,3,0),1)))-1))</f>
        <v>0</v>
      </c>
      <c r="R181" s="151">
        <v>0.94047120060339473</v>
      </c>
      <c r="S181" s="151">
        <f>U181*V181</f>
        <v>0.70661423022942227</v>
      </c>
      <c r="T181" s="151" t="s">
        <v>968</v>
      </c>
      <c r="U181" s="151">
        <v>50.790085122442285</v>
      </c>
      <c r="V181" s="151">
        <v>1.3912444299432671E-2</v>
      </c>
      <c r="W181" s="151">
        <v>0</v>
      </c>
      <c r="X181" s="151">
        <f>SUM(R181,S181,W181)</f>
        <v>1.6470854308328171</v>
      </c>
      <c r="Y181" s="151" t="s">
        <v>604</v>
      </c>
      <c r="Z181" s="143"/>
      <c r="AA181" s="143"/>
      <c r="AB181" s="143"/>
      <c r="AD181" s="604" t="s">
        <v>1313</v>
      </c>
    </row>
    <row r="182" spans="4:30" x14ac:dyDescent="0.2">
      <c r="D182" s="228"/>
      <c r="E182" s="228"/>
      <c r="F182" s="228" t="s">
        <v>1134</v>
      </c>
      <c r="G182" s="228"/>
      <c r="H182" s="228"/>
      <c r="I182" s="230">
        <v>493</v>
      </c>
      <c r="J182" s="231" t="s">
        <v>309</v>
      </c>
      <c r="K182" s="232">
        <f t="shared" si="64"/>
        <v>22.077198979731985</v>
      </c>
      <c r="L182" s="232">
        <f t="shared" si="65"/>
        <v>17.350927641599103</v>
      </c>
      <c r="M182" s="232">
        <f t="shared" si="66"/>
        <v>0</v>
      </c>
      <c r="N182" s="232">
        <v>6</v>
      </c>
      <c r="O182" s="232">
        <f t="shared" si="67"/>
        <v>45.428126621331089</v>
      </c>
      <c r="P182" s="233">
        <f t="shared" si="68"/>
        <v>22396</v>
      </c>
      <c r="Q182" s="291">
        <f t="shared" si="69"/>
        <v>0.15217562978896204</v>
      </c>
      <c r="R182" s="151">
        <v>16.381237823149956</v>
      </c>
      <c r="S182" s="151">
        <f>U182*V182</f>
        <v>13.936488065541448</v>
      </c>
      <c r="T182" s="151" t="s">
        <v>1131</v>
      </c>
      <c r="U182" s="151">
        <v>49.450208162146893</v>
      </c>
      <c r="V182" s="151">
        <v>0.281828703730504</v>
      </c>
      <c r="W182" s="151">
        <v>0</v>
      </c>
      <c r="X182" s="151">
        <f>SUM(R182,S182,W182)</f>
        <v>30.317725888691406</v>
      </c>
      <c r="Y182" s="151" t="s">
        <v>481</v>
      </c>
      <c r="Z182" s="143"/>
      <c r="AA182" s="143"/>
      <c r="AB182" s="236"/>
      <c r="AD182" s="604" t="s">
        <v>1313</v>
      </c>
    </row>
    <row r="183" spans="4:30" x14ac:dyDescent="0.2">
      <c r="D183" s="228"/>
      <c r="E183" s="228"/>
      <c r="F183" s="228" t="s">
        <v>1843</v>
      </c>
      <c r="G183" s="228"/>
      <c r="H183" s="228"/>
      <c r="I183" s="230">
        <v>874</v>
      </c>
      <c r="J183" s="231" t="s">
        <v>309</v>
      </c>
      <c r="K183" s="232">
        <f>R183*tax*markup*IF(Y183&lt;&gt;"",VLOOKUP(LEFT(Y183,2),cityindex,2,0),1)</f>
        <v>0</v>
      </c>
      <c r="L183" s="232">
        <f>S183*markup*difficulty*IF(Y183&lt;&gt;"",VLOOKUP(LEFT(Y183,2),cityindex,3,0),1)</f>
        <v>0</v>
      </c>
      <c r="M183" s="232">
        <f>W183*markup*difficulty*IF(Y183&lt;&gt;"",VLOOKUP(LEFT(Y183,2),cityindex,3,0),1)</f>
        <v>0</v>
      </c>
      <c r="N183" s="232">
        <v>10.95</v>
      </c>
      <c r="O183" s="232">
        <f>SUM(K183:N183)*embed</f>
        <v>10.95</v>
      </c>
      <c r="P183" s="233">
        <f>ROUND((O183*I183),0)</f>
        <v>9570</v>
      </c>
      <c r="Q183" s="291" t="str">
        <f>IF(O183=0,0,IF(X183=0,"manual",(O183/(R183*tax*markup*IF(Y183&lt;&gt;"",VLOOKUP(LEFT(Y183,2),cityindex,2,0),1)+S183*markup*difficulty*IF(Y183&lt;&gt;"",VLOOKUP(LEFT(Y183,2),cityindex,3,0),1)+W183*markup*difficulty*IF(Y183&lt;&gt;"",VLOOKUP(LEFT(Y183,2),cityindex,3,0),1)))-1))</f>
        <v>manual</v>
      </c>
      <c r="R183" s="151"/>
      <c r="S183" s="151">
        <f>U183*V183</f>
        <v>0</v>
      </c>
      <c r="T183" s="151"/>
      <c r="U183" s="151"/>
      <c r="V183" s="151"/>
      <c r="W183" s="151"/>
      <c r="X183" s="151">
        <f>SUM(R183,S183,W183)</f>
        <v>0</v>
      </c>
      <c r="Y183" s="151"/>
      <c r="Z183" s="143"/>
      <c r="AA183" s="143"/>
      <c r="AB183" s="143"/>
      <c r="AD183" s="604" t="s">
        <v>1313</v>
      </c>
    </row>
    <row r="184" spans="4:30" x14ac:dyDescent="0.2">
      <c r="D184" s="228"/>
      <c r="E184" s="228"/>
      <c r="F184" s="228"/>
      <c r="G184" s="228"/>
      <c r="H184" s="228"/>
      <c r="I184" s="230"/>
      <c r="J184" s="231"/>
      <c r="K184" s="232">
        <f>R184*tax*markup*IF(Y184&lt;&gt;"",VLOOKUP(LEFT(Y184,2),cityindex,2,0),1)</f>
        <v>0</v>
      </c>
      <c r="L184" s="232">
        <f>S184*markup*difficulty*IF(Y184&lt;&gt;"",VLOOKUP(LEFT(Y184,2),cityindex,3,0),1)</f>
        <v>0</v>
      </c>
      <c r="M184" s="232">
        <f>W184*markup*difficulty*IF(Y184&lt;&gt;"",VLOOKUP(LEFT(Y184,2),cityindex,3,0),1)</f>
        <v>0</v>
      </c>
      <c r="N184" s="232"/>
      <c r="O184" s="232">
        <f>SUM(K184:N184)*embed</f>
        <v>0</v>
      </c>
      <c r="P184" s="233">
        <f>ROUND((O184*I184),0)</f>
        <v>0</v>
      </c>
      <c r="Q184" s="291">
        <f>IF(O184=0,0,IF(X184=0,"manual",(O184/(R184*tax*markup*IF(Y184&lt;&gt;"",VLOOKUP(LEFT(Y184,2),cityindex,2,0),1)+S184*markup*difficulty*IF(Y184&lt;&gt;"",VLOOKUP(LEFT(Y184,2),cityindex,3,0),1)+W184*markup*difficulty*IF(Y184&lt;&gt;"",VLOOKUP(LEFT(Y184,2),cityindex,3,0),1)))-1))</f>
        <v>0</v>
      </c>
      <c r="R184" s="151"/>
      <c r="S184" s="151">
        <f>U184*V184</f>
        <v>0</v>
      </c>
      <c r="T184" s="151"/>
      <c r="U184" s="151"/>
      <c r="V184" s="151"/>
      <c r="W184" s="151"/>
      <c r="X184" s="151">
        <f>SUM(R184,S184,W184)</f>
        <v>0</v>
      </c>
      <c r="Y184" s="151"/>
      <c r="Z184" s="143"/>
      <c r="AA184" s="143"/>
      <c r="AB184" s="236"/>
      <c r="AD184" s="604"/>
    </row>
    <row r="185" spans="4:30" x14ac:dyDescent="0.2">
      <c r="D185" s="228"/>
      <c r="E185" s="228" t="s">
        <v>1137</v>
      </c>
      <c r="F185" s="228"/>
      <c r="G185" s="228"/>
      <c r="H185" s="228"/>
      <c r="I185" s="230"/>
      <c r="J185" s="231"/>
      <c r="K185" s="149">
        <f t="shared" si="64"/>
        <v>0</v>
      </c>
      <c r="L185" s="149">
        <f t="shared" si="65"/>
        <v>0</v>
      </c>
      <c r="M185" s="149">
        <f t="shared" si="66"/>
        <v>0</v>
      </c>
      <c r="N185" s="149"/>
      <c r="O185" s="149">
        <f t="shared" si="67"/>
        <v>0</v>
      </c>
      <c r="P185" s="216">
        <f t="shared" si="68"/>
        <v>0</v>
      </c>
      <c r="Q185" s="291">
        <f t="shared" si="69"/>
        <v>0</v>
      </c>
      <c r="S185" s="143">
        <f t="shared" si="18"/>
        <v>0</v>
      </c>
      <c r="X185" s="143">
        <f t="shared" si="19"/>
        <v>0</v>
      </c>
      <c r="AD185" s="604"/>
    </row>
    <row r="186" spans="4:30" x14ac:dyDescent="0.2">
      <c r="D186" s="228"/>
      <c r="E186" s="228"/>
      <c r="F186" s="228" t="s">
        <v>1138</v>
      </c>
      <c r="G186" s="228"/>
      <c r="H186" s="228"/>
      <c r="I186" s="230">
        <f>(826+35)*1.5</f>
        <v>1291.5</v>
      </c>
      <c r="J186" s="231" t="s">
        <v>301</v>
      </c>
      <c r="K186" s="232">
        <f t="shared" si="64"/>
        <v>13.984513731282728</v>
      </c>
      <c r="L186" s="232">
        <f t="shared" si="65"/>
        <v>5.3128382040395641</v>
      </c>
      <c r="M186" s="232">
        <f t="shared" si="66"/>
        <v>0</v>
      </c>
      <c r="N186" s="232"/>
      <c r="O186" s="232">
        <f t="shared" si="67"/>
        <v>19.297351935322293</v>
      </c>
      <c r="P186" s="233">
        <f t="shared" si="68"/>
        <v>24923</v>
      </c>
      <c r="Q186" s="291">
        <f t="shared" si="69"/>
        <v>0</v>
      </c>
      <c r="R186" s="143">
        <v>10.376481431523954</v>
      </c>
      <c r="S186" s="143">
        <f>U186*V186</f>
        <v>4.2673399229233446</v>
      </c>
      <c r="T186" s="143" t="s">
        <v>1131</v>
      </c>
      <c r="U186" s="143">
        <v>49.450208162146893</v>
      </c>
      <c r="V186" s="143">
        <v>8.6295691798318946E-2</v>
      </c>
      <c r="W186" s="143">
        <v>0</v>
      </c>
      <c r="X186" s="143">
        <f>SUM(R186,S186,W186)</f>
        <v>14.643821354447299</v>
      </c>
      <c r="Y186" s="143" t="s">
        <v>468</v>
      </c>
      <c r="AD186" s="604" t="s">
        <v>1313</v>
      </c>
    </row>
    <row r="187" spans="4:30" x14ac:dyDescent="0.2">
      <c r="D187" s="228"/>
      <c r="E187" s="228"/>
      <c r="F187" s="228" t="s">
        <v>1136</v>
      </c>
      <c r="G187" s="228"/>
      <c r="H187" s="228"/>
      <c r="I187" s="230">
        <f>I186*2</f>
        <v>2583</v>
      </c>
      <c r="J187" s="231" t="s">
        <v>301</v>
      </c>
      <c r="K187" s="232">
        <f>R187*tax*markup*IF(Y187&lt;&gt;"",VLOOKUP(LEFT(Y187,2),cityindex,2,0),1)*1.2</f>
        <v>16.121301062801042</v>
      </c>
      <c r="L187" s="232">
        <f t="shared" si="65"/>
        <v>16.304917246880045</v>
      </c>
      <c r="M187" s="232">
        <f t="shared" si="66"/>
        <v>0</v>
      </c>
      <c r="N187" s="232"/>
      <c r="O187" s="232">
        <f t="shared" si="67"/>
        <v>32.42621830968109</v>
      </c>
      <c r="P187" s="233">
        <f t="shared" si="68"/>
        <v>83757</v>
      </c>
      <c r="Q187" s="291">
        <f t="shared" si="69"/>
        <v>9.034780127421782E-2</v>
      </c>
      <c r="R187" s="143">
        <v>9.9683111585996276</v>
      </c>
      <c r="S187" s="143">
        <f>U187*V187</f>
        <v>13.096319073799231</v>
      </c>
      <c r="T187" s="143" t="s">
        <v>1131</v>
      </c>
      <c r="U187" s="143">
        <v>49.450208162146893</v>
      </c>
      <c r="V187" s="143">
        <v>0.26483850241553059</v>
      </c>
      <c r="W187" s="143">
        <v>0</v>
      </c>
      <c r="X187" s="143">
        <f>SUM(R187,S187,W187)</f>
        <v>23.064630232398859</v>
      </c>
      <c r="Y187" s="143" t="s">
        <v>483</v>
      </c>
      <c r="AD187" s="604" t="s">
        <v>1313</v>
      </c>
    </row>
    <row r="188" spans="4:30" x14ac:dyDescent="0.2">
      <c r="D188" s="228"/>
      <c r="E188" s="228"/>
      <c r="F188" s="228" t="s">
        <v>1134</v>
      </c>
      <c r="G188" s="228"/>
      <c r="H188" s="228"/>
      <c r="I188" s="230">
        <v>627</v>
      </c>
      <c r="J188" s="231" t="s">
        <v>309</v>
      </c>
      <c r="K188" s="232">
        <f>R188*tax*markup*IF(Y188&lt;&gt;"",VLOOKUP(LEFT(Y188,2),cityindex,2,0),1)</f>
        <v>22.077198979731985</v>
      </c>
      <c r="L188" s="232">
        <f t="shared" si="65"/>
        <v>17.350927641599103</v>
      </c>
      <c r="M188" s="232">
        <f t="shared" si="66"/>
        <v>0</v>
      </c>
      <c r="N188" s="232">
        <v>6</v>
      </c>
      <c r="O188" s="232">
        <f t="shared" si="67"/>
        <v>45.428126621331089</v>
      </c>
      <c r="P188" s="233">
        <f t="shared" si="68"/>
        <v>28483</v>
      </c>
      <c r="Q188" s="291">
        <f t="shared" si="69"/>
        <v>0.15217562978896204</v>
      </c>
      <c r="R188" s="151">
        <v>16.381237823149956</v>
      </c>
      <c r="S188" s="151">
        <f>U188*V188</f>
        <v>13.936488065541448</v>
      </c>
      <c r="T188" s="151" t="s">
        <v>1131</v>
      </c>
      <c r="U188" s="151">
        <v>49.450208162146893</v>
      </c>
      <c r="V188" s="151">
        <v>0.281828703730504</v>
      </c>
      <c r="W188" s="151">
        <v>0</v>
      </c>
      <c r="X188" s="151">
        <f>SUM(R188,S188,W188)</f>
        <v>30.317725888691406</v>
      </c>
      <c r="Y188" s="151" t="s">
        <v>481</v>
      </c>
      <c r="Z188" s="143"/>
      <c r="AA188" s="143"/>
      <c r="AB188" s="236"/>
      <c r="AD188" s="604" t="s">
        <v>1313</v>
      </c>
    </row>
    <row r="189" spans="4:30" x14ac:dyDescent="0.2">
      <c r="D189" s="228"/>
      <c r="E189" s="228"/>
      <c r="F189" s="228"/>
      <c r="G189" s="228"/>
      <c r="H189" s="228"/>
      <c r="I189" s="230"/>
      <c r="J189" s="231"/>
      <c r="K189" s="232">
        <f>R189*tax*markup*IF(Y189&lt;&gt;"",VLOOKUP(LEFT(Y189,2),cityindex,2,0),1)</f>
        <v>0</v>
      </c>
      <c r="L189" s="232">
        <f>S189*markup*difficulty*IF(Y189&lt;&gt;"",VLOOKUP(LEFT(Y189,2),cityindex,3,0),1)</f>
        <v>0</v>
      </c>
      <c r="M189" s="232">
        <f>W189*markup*difficulty*IF(Y189&lt;&gt;"",VLOOKUP(LEFT(Y189,2),cityindex,3,0),1)</f>
        <v>0</v>
      </c>
      <c r="N189" s="232"/>
      <c r="O189" s="232">
        <f>SUM(K189:N189)*embed</f>
        <v>0</v>
      </c>
      <c r="P189" s="233">
        <f>ROUND((O189*I189),0)</f>
        <v>0</v>
      </c>
      <c r="Q189" s="291">
        <f>IF(O189=0,0,IF(X189=0,"manual",(O189/(R189*tax*markup*IF(Y189&lt;&gt;"",VLOOKUP(LEFT(Y189,2),cityindex,2,0),1)+S189*markup*difficulty*IF(Y189&lt;&gt;"",VLOOKUP(LEFT(Y189,2),cityindex,3,0),1)+W189*markup*difficulty*IF(Y189&lt;&gt;"",VLOOKUP(LEFT(Y189,2),cityindex,3,0),1)))-1))</f>
        <v>0</v>
      </c>
      <c r="R189" s="151"/>
      <c r="S189" s="151">
        <f>U189*V189</f>
        <v>0</v>
      </c>
      <c r="T189" s="151"/>
      <c r="U189" s="151"/>
      <c r="V189" s="151"/>
      <c r="W189" s="151"/>
      <c r="X189" s="151">
        <f>SUM(R189,S189,W189)</f>
        <v>0</v>
      </c>
      <c r="Y189" s="151"/>
      <c r="Z189" s="143"/>
      <c r="AA189" s="143"/>
      <c r="AB189" s="143"/>
      <c r="AD189" s="604"/>
    </row>
    <row r="190" spans="4:30" x14ac:dyDescent="0.2">
      <c r="D190" s="228"/>
      <c r="E190" s="228" t="s">
        <v>1180</v>
      </c>
      <c r="F190" s="228"/>
      <c r="G190" s="228"/>
      <c r="H190" s="228"/>
      <c r="I190" s="230"/>
      <c r="J190" s="231"/>
      <c r="K190" s="149">
        <f t="shared" ref="K190" si="70">R190*tax*markup*IF(Y190&lt;&gt;"",VLOOKUP(LEFT(Y190,2),cityindex,2,0),1)</f>
        <v>0</v>
      </c>
      <c r="L190" s="149">
        <f t="shared" ref="L190" si="71">S190*markup*difficulty*IF(Y190&lt;&gt;"",VLOOKUP(LEFT(Y190,2),cityindex,3,0),1)</f>
        <v>0</v>
      </c>
      <c r="M190" s="149">
        <f t="shared" ref="M190" si="72">W190*markup*difficulty*IF(Y190&lt;&gt;"",VLOOKUP(LEFT(Y190,2),cityindex,3,0),1)</f>
        <v>0</v>
      </c>
      <c r="N190" s="149"/>
      <c r="O190" s="149">
        <f t="shared" ref="O190" si="73">SUM(K190:N190)*embed</f>
        <v>0</v>
      </c>
      <c r="P190" s="216">
        <f t="shared" ref="P190" si="74">ROUND((O190*I190),0)</f>
        <v>0</v>
      </c>
      <c r="Q190" s="291">
        <f t="shared" ref="Q190" si="75">IF(O190=0,0,IF(X190=0,"manual",(O190/(R190*tax*markup*IF(Y190&lt;&gt;"",VLOOKUP(LEFT(Y190,2),cityindex,2,0),1)+S190*markup*difficulty*IF(Y190&lt;&gt;"",VLOOKUP(LEFT(Y190,2),cityindex,3,0),1)+W190*markup*difficulty*IF(Y190&lt;&gt;"",VLOOKUP(LEFT(Y190,2),cityindex,3,0),1)))-1))</f>
        <v>0</v>
      </c>
      <c r="S190" s="143">
        <f t="shared" ref="S190" si="76">U190*V190</f>
        <v>0</v>
      </c>
      <c r="X190" s="143">
        <f t="shared" ref="X190" si="77">SUM(R190,S190,W190)</f>
        <v>0</v>
      </c>
      <c r="AD190" s="604"/>
    </row>
    <row r="191" spans="4:30" x14ac:dyDescent="0.2">
      <c r="D191" s="228"/>
      <c r="E191" s="228"/>
      <c r="F191" s="228" t="s">
        <v>1138</v>
      </c>
      <c r="G191" s="228"/>
      <c r="H191" s="228"/>
      <c r="I191" s="230">
        <f>I344</f>
        <v>1060.5</v>
      </c>
      <c r="J191" s="231" t="s">
        <v>301</v>
      </c>
      <c r="K191" s="232">
        <f>R191*tax*markup*IF(Y191&lt;&gt;"",VLOOKUP(LEFT(Y191,2),cityindex,2,0),1)</f>
        <v>13.984513731282728</v>
      </c>
      <c r="L191" s="232">
        <f>S191*markup*difficulty*IF(Y191&lt;&gt;"",VLOOKUP(LEFT(Y191,2),cityindex,3,0),1)</f>
        <v>5.3128382040395641</v>
      </c>
      <c r="M191" s="232">
        <f>W191*markup*difficulty*IF(Y191&lt;&gt;"",VLOOKUP(LEFT(Y191,2),cityindex,3,0),1)</f>
        <v>0</v>
      </c>
      <c r="N191" s="232"/>
      <c r="O191" s="232">
        <f>SUM(K191:N191)*embed</f>
        <v>19.297351935322293</v>
      </c>
      <c r="P191" s="233">
        <f>ROUND((O191*I191),0)</f>
        <v>20465</v>
      </c>
      <c r="Q191" s="291">
        <f>IF(O191=0,0,IF(X191=0,"manual",(O191/(R191*tax*markup*IF(Y191&lt;&gt;"",VLOOKUP(LEFT(Y191,2),cityindex,2,0),1)+S191*markup*difficulty*IF(Y191&lt;&gt;"",VLOOKUP(LEFT(Y191,2),cityindex,3,0),1)+W191*markup*difficulty*IF(Y191&lt;&gt;"",VLOOKUP(LEFT(Y191,2),cityindex,3,0),1)))-1))</f>
        <v>0</v>
      </c>
      <c r="R191" s="143">
        <v>10.376481431523954</v>
      </c>
      <c r="S191" s="143">
        <f>U191*V191</f>
        <v>4.2673399229233446</v>
      </c>
      <c r="T191" s="143" t="s">
        <v>1131</v>
      </c>
      <c r="U191" s="143">
        <v>49.450208162146893</v>
      </c>
      <c r="V191" s="143">
        <v>8.6295691798318946E-2</v>
      </c>
      <c r="W191" s="143">
        <v>0</v>
      </c>
      <c r="X191" s="143">
        <f>SUM(R191,S191,W191)</f>
        <v>14.643821354447299</v>
      </c>
      <c r="Y191" s="143" t="s">
        <v>468</v>
      </c>
      <c r="AD191" s="604" t="s">
        <v>1313</v>
      </c>
    </row>
    <row r="192" spans="4:30" x14ac:dyDescent="0.2">
      <c r="K192" s="149">
        <f>R192*tax*markup*IF(Y192&lt;&gt;"",VLOOKUP(LEFT(Y192,2),cityindex,2,0),1)</f>
        <v>0</v>
      </c>
      <c r="L192" s="149">
        <f t="shared" si="65"/>
        <v>0</v>
      </c>
      <c r="M192" s="149">
        <f t="shared" si="66"/>
        <v>0</v>
      </c>
      <c r="N192" s="149"/>
      <c r="O192" s="149">
        <f t="shared" si="67"/>
        <v>0</v>
      </c>
      <c r="P192" s="216">
        <f t="shared" si="68"/>
        <v>0</v>
      </c>
      <c r="Q192" s="291">
        <f>IF(O192=0,0,IF(X192=0,"manual",O192/((R192*tax*markup*IF(Y192&lt;&gt;"",VLOOKUP(LEFT(Y192,2),cityindex,2,0),1))+S192*markup*difficulty*IF(Y192&lt;&gt;"",VLOOKUP(LEFT(Y192,2),cityindex,3,0),1)+W192*markup*difficulty*IF(Y192&lt;&gt;"",VLOOKUP(LEFT(Y192,2),cityindex,3,0),1))))</f>
        <v>0</v>
      </c>
      <c r="S192" s="143">
        <f t="shared" si="18"/>
        <v>0</v>
      </c>
      <c r="X192" s="143">
        <f t="shared" si="19"/>
        <v>0</v>
      </c>
      <c r="AD192" s="604"/>
    </row>
    <row r="193" spans="4:30" ht="24.75" customHeight="1" x14ac:dyDescent="0.2">
      <c r="D193" s="217" t="str">
        <f>"TOTAL - " &amp; D178</f>
        <v>TOTAL - 04  MASONRY</v>
      </c>
      <c r="E193" s="217"/>
      <c r="F193" s="217"/>
      <c r="G193" s="217"/>
      <c r="H193" s="217"/>
      <c r="I193" s="218"/>
      <c r="J193" s="219"/>
      <c r="K193" s="220"/>
      <c r="L193" s="220"/>
      <c r="M193" s="220"/>
      <c r="N193" s="220"/>
      <c r="O193" s="221"/>
      <c r="P193" s="222">
        <f>SUM(P178:P192)</f>
        <v>238624</v>
      </c>
      <c r="Q193" s="294" t="str">
        <f>_xlfn.CONCAT(TEXT(SUM(P193/GFA),"$#,##0.00"),"/SF")</f>
        <v>$7.58/SF</v>
      </c>
      <c r="S193" s="143">
        <f t="shared" si="18"/>
        <v>0</v>
      </c>
      <c r="X193" s="143">
        <f t="shared" si="19"/>
        <v>0</v>
      </c>
      <c r="Z193" s="314"/>
      <c r="AA193" s="315"/>
      <c r="AD193" s="604"/>
    </row>
    <row r="194" spans="4:30" x14ac:dyDescent="0.2">
      <c r="K194" s="149">
        <f t="shared" ref="K194:K227" si="78">R194*tax*markup*IF(Y194&lt;&gt;"",VLOOKUP(LEFT(Y194,2),cityindex,2,0),1)</f>
        <v>0</v>
      </c>
      <c r="L194" s="149">
        <f t="shared" ref="L194:L227" si="79">S194*markup*difficulty*IF(Y194&lt;&gt;"",VLOOKUP(LEFT(Y194,2),cityindex,3,0),1)</f>
        <v>0</v>
      </c>
      <c r="M194" s="149">
        <f t="shared" ref="M194:M227" si="80">W194*markup*difficulty*IF(Y194&lt;&gt;"",VLOOKUP(LEFT(Y194,2),cityindex,3,0),1)</f>
        <v>0</v>
      </c>
      <c r="N194" s="149"/>
      <c r="O194" s="149">
        <f t="shared" ref="O194:O227" si="81">SUM(K194:N194)*embed</f>
        <v>0</v>
      </c>
      <c r="P194" s="216">
        <f t="shared" ref="P194:P227" si="82">ROUND((O194*I194),0)</f>
        <v>0</v>
      </c>
      <c r="Q194" s="291">
        <f>IF(O194=0,0,IF(X194=0,"manual",O194/((R194*tax*markup*IF(Y194&lt;&gt;"",VLOOKUP(LEFT(Y194,2),cityindex,2,0),1))+S194*markup*difficulty*IF(Y194&lt;&gt;"",VLOOKUP(LEFT(Y194,2),cityindex,3,0),1)+W194*markup*difficulty*IF(Y194&lt;&gt;"",VLOOKUP(LEFT(Y194,2),cityindex,3,0),1))))</f>
        <v>0</v>
      </c>
      <c r="S194" s="143">
        <f t="shared" si="18"/>
        <v>0</v>
      </c>
      <c r="X194" s="143">
        <f t="shared" si="19"/>
        <v>0</v>
      </c>
      <c r="AD194" s="604"/>
    </row>
    <row r="195" spans="4:30" x14ac:dyDescent="0.2">
      <c r="D195" s="214" t="s">
        <v>271</v>
      </c>
      <c r="E195" s="215"/>
      <c r="F195" s="215"/>
      <c r="G195" s="215"/>
      <c r="H195" s="215"/>
      <c r="K195" s="149">
        <f t="shared" si="78"/>
        <v>0</v>
      </c>
      <c r="L195" s="149">
        <f t="shared" si="79"/>
        <v>0</v>
      </c>
      <c r="M195" s="149">
        <f t="shared" si="80"/>
        <v>0</v>
      </c>
      <c r="N195" s="149"/>
      <c r="O195" s="149">
        <f t="shared" si="81"/>
        <v>0</v>
      </c>
      <c r="P195" s="216">
        <f t="shared" si="82"/>
        <v>0</v>
      </c>
      <c r="Q195" s="291">
        <f>IF(O195=0,0,IF(X195=0,"manual",O195/((R195*tax*markup*IF(Y195&lt;&gt;"",VLOOKUP(LEFT(Y195,2),cityindex,2,0),1))+S195*markup*difficulty*IF(Y195&lt;&gt;"",VLOOKUP(LEFT(Y195,2),cityindex,3,0),1)+W195*markup*difficulty*IF(Y195&lt;&gt;"",VLOOKUP(LEFT(Y195,2),cityindex,3,0),1))))</f>
        <v>0</v>
      </c>
      <c r="S195" s="143">
        <f t="shared" si="18"/>
        <v>0</v>
      </c>
      <c r="X195" s="143">
        <f t="shared" si="19"/>
        <v>0</v>
      </c>
      <c r="AD195" s="604"/>
    </row>
    <row r="196" spans="4:30" hidden="1" x14ac:dyDescent="0.2">
      <c r="D196" s="228"/>
      <c r="E196" s="228" t="s">
        <v>1139</v>
      </c>
      <c r="F196" s="228"/>
      <c r="G196" s="228"/>
      <c r="H196" s="228"/>
      <c r="I196" s="230"/>
      <c r="J196" s="231"/>
      <c r="K196" s="232">
        <f t="shared" ref="K196:K198" si="83">R196*tax*markup*IF(Y196&lt;&gt;"",VLOOKUP(LEFT(Y196,2),cityindex,2,0),1)</f>
        <v>0</v>
      </c>
      <c r="L196" s="232">
        <f t="shared" ref="L196:L198" si="84">S196*markup*difficulty*IF(Y196&lt;&gt;"",VLOOKUP(LEFT(Y196,2),cityindex,3,0),1)</f>
        <v>0</v>
      </c>
      <c r="M196" s="232">
        <f t="shared" ref="M196:M198" si="85">W196*markup*difficulty*IF(Y196&lt;&gt;"",VLOOKUP(LEFT(Y196,2),cityindex,3,0),1)</f>
        <v>0</v>
      </c>
      <c r="N196" s="232"/>
      <c r="O196" s="232">
        <f t="shared" ref="O196:O198" si="86">SUM(K196:N196)*embed</f>
        <v>0</v>
      </c>
      <c r="P196" s="233">
        <f t="shared" ref="P196:P198" si="87">ROUND((O196*I196),0)</f>
        <v>0</v>
      </c>
      <c r="Q196" s="291">
        <f t="shared" ref="Q196:Q198" si="88">IF(O196=0,0,IF(X196=0,"manual",(O196/(R196*tax*markup*IF(Y196&lt;&gt;"",VLOOKUP(LEFT(Y196,2),cityindex,2,0),1)+S196*markup*difficulty*IF(Y196&lt;&gt;"",VLOOKUP(LEFT(Y196,2),cityindex,3,0),1)+W196*markup*difficulty*IF(Y196&lt;&gt;"",VLOOKUP(LEFT(Y196,2),cityindex,3,0),1)))-1))</f>
        <v>0</v>
      </c>
      <c r="S196" s="143">
        <f t="shared" ref="S196:S198" si="89">U196*V196</f>
        <v>0</v>
      </c>
      <c r="X196" s="143">
        <f t="shared" ref="X196:X198" si="90">SUM(R196,S196,W196)</f>
        <v>0</v>
      </c>
      <c r="AD196" s="604"/>
    </row>
    <row r="197" spans="4:30" hidden="1" x14ac:dyDescent="0.2">
      <c r="D197" s="228"/>
      <c r="E197" s="228"/>
      <c r="F197" s="228" t="s">
        <v>1140</v>
      </c>
      <c r="G197" s="228"/>
      <c r="H197" s="228"/>
      <c r="I197" s="230"/>
      <c r="J197" s="231"/>
      <c r="K197" s="232">
        <f t="shared" si="83"/>
        <v>0</v>
      </c>
      <c r="L197" s="232">
        <f t="shared" si="84"/>
        <v>0</v>
      </c>
      <c r="M197" s="232">
        <f t="shared" si="85"/>
        <v>0</v>
      </c>
      <c r="N197" s="232">
        <v>10000</v>
      </c>
      <c r="O197" s="232">
        <f t="shared" si="86"/>
        <v>10000</v>
      </c>
      <c r="P197" s="233">
        <f t="shared" si="87"/>
        <v>0</v>
      </c>
      <c r="Q197" s="291" t="str">
        <f t="shared" si="88"/>
        <v>manual</v>
      </c>
      <c r="S197" s="143">
        <f t="shared" si="89"/>
        <v>0</v>
      </c>
      <c r="X197" s="143">
        <f t="shared" si="90"/>
        <v>0</v>
      </c>
      <c r="AD197" s="604" t="s">
        <v>1736</v>
      </c>
    </row>
    <row r="198" spans="4:30" hidden="1" x14ac:dyDescent="0.2">
      <c r="D198" s="228"/>
      <c r="E198" s="228"/>
      <c r="F198" s="228"/>
      <c r="G198" s="228"/>
      <c r="H198" s="228"/>
      <c r="I198" s="230"/>
      <c r="J198" s="231"/>
      <c r="K198" s="232">
        <f t="shared" si="83"/>
        <v>0</v>
      </c>
      <c r="L198" s="232">
        <f t="shared" si="84"/>
        <v>0</v>
      </c>
      <c r="M198" s="232">
        <f t="shared" si="85"/>
        <v>0</v>
      </c>
      <c r="N198" s="232"/>
      <c r="O198" s="232">
        <f t="shared" si="86"/>
        <v>0</v>
      </c>
      <c r="P198" s="233">
        <f t="shared" si="87"/>
        <v>0</v>
      </c>
      <c r="Q198" s="291">
        <f t="shared" si="88"/>
        <v>0</v>
      </c>
      <c r="S198" s="143">
        <f t="shared" si="89"/>
        <v>0</v>
      </c>
      <c r="X198" s="143">
        <f t="shared" si="90"/>
        <v>0</v>
      </c>
      <c r="AB198" s="613"/>
      <c r="AD198" s="604"/>
    </row>
    <row r="199" spans="4:30" x14ac:dyDescent="0.2">
      <c r="D199" s="228"/>
      <c r="E199" s="228" t="s">
        <v>1126</v>
      </c>
      <c r="F199" s="228"/>
      <c r="G199" s="228"/>
      <c r="H199" s="228"/>
      <c r="I199" s="230"/>
      <c r="J199" s="231"/>
      <c r="K199" s="232">
        <f t="shared" si="78"/>
        <v>0</v>
      </c>
      <c r="L199" s="232">
        <f t="shared" si="79"/>
        <v>0</v>
      </c>
      <c r="M199" s="232">
        <f t="shared" si="80"/>
        <v>0</v>
      </c>
      <c r="N199" s="232"/>
      <c r="O199" s="232">
        <f t="shared" si="81"/>
        <v>0</v>
      </c>
      <c r="P199" s="233">
        <f t="shared" si="82"/>
        <v>0</v>
      </c>
      <c r="Q199" s="291">
        <f t="shared" ref="Q199:Q221" si="91">IF(O199=0,0,IF(X199=0,"manual",(O199/(R199*tax*markup*IF(Y199&lt;&gt;"",VLOOKUP(LEFT(Y199,2),cityindex,2,0),1)+S199*markup*difficulty*IF(Y199&lt;&gt;"",VLOOKUP(LEFT(Y199,2),cityindex,3,0),1)+W199*markup*difficulty*IF(Y199&lt;&gt;"",VLOOKUP(LEFT(Y199,2),cityindex,3,0),1)))-1))</f>
        <v>0</v>
      </c>
      <c r="S199" s="143">
        <f t="shared" ref="S199:S252" si="92">U199*V199</f>
        <v>0</v>
      </c>
      <c r="X199" s="143">
        <f t="shared" ref="X199:X252" si="93">SUM(R199,S199,W199)</f>
        <v>0</v>
      </c>
      <c r="Z199" s="573" t="s">
        <v>193</v>
      </c>
      <c r="AA199" s="573" t="s">
        <v>1711</v>
      </c>
      <c r="AD199" s="604"/>
    </row>
    <row r="200" spans="4:30" x14ac:dyDescent="0.2">
      <c r="D200" s="228"/>
      <c r="E200" s="228"/>
      <c r="F200" s="228" t="s">
        <v>1350</v>
      </c>
      <c r="G200" s="228"/>
      <c r="H200" s="228"/>
      <c r="I200" s="230">
        <v>1.773255</v>
      </c>
      <c r="J200" s="231" t="s">
        <v>486</v>
      </c>
      <c r="K200" s="232">
        <f t="shared" ref="K200:K214" si="94">R200*tax*markup*IF(Y200&lt;&gt;"",VLOOKUP(LEFT(Y200,2),cityindex,2,0),1)</f>
        <v>5080.9963413102696</v>
      </c>
      <c r="L200" s="232">
        <f t="shared" ref="L200:L214" si="95">S200*markup*difficulty*IF(Y200&lt;&gt;"",VLOOKUP(LEFT(Y200,2),cityindex,3,0),1)</f>
        <v>723.58359600345295</v>
      </c>
      <c r="M200" s="232">
        <f t="shared" ref="M200:M214" si="96">W200*markup*difficulty*IF(Y200&lt;&gt;"",VLOOKUP(LEFT(Y200,2),cityindex,3,0),1)</f>
        <v>202.92234555249857</v>
      </c>
      <c r="N200" s="232"/>
      <c r="O200" s="232">
        <f t="shared" ref="O200:O214" si="97">SUM(K200:N200)*embed</f>
        <v>6007.5022828662213</v>
      </c>
      <c r="P200" s="233">
        <f t="shared" ref="P200:P214" si="98">ROUND((O200*I200),0)</f>
        <v>10653</v>
      </c>
      <c r="Q200" s="291">
        <f t="shared" ref="Q200:Q214" si="99">IF(O200=0,0,IF(X200=0,"manual",(O200/(R200*tax*markup*IF(Y200&lt;&gt;"",VLOOKUP(LEFT(Y200,2),cityindex,2,0),1)+S200*markup*difficulty*IF(Y200&lt;&gt;"",VLOOKUP(LEFT(Y200,2),cityindex,3,0),1)+W200*markup*difficulty*IF(Y200&lt;&gt;"",VLOOKUP(LEFT(Y200,2),cityindex,3,0),1)))-1))</f>
        <v>0</v>
      </c>
      <c r="R200" s="143">
        <v>3770.0892002636092</v>
      </c>
      <c r="S200" s="143">
        <f t="shared" ref="S200:S214" si="100">U200*V200</f>
        <v>581.19164337626739</v>
      </c>
      <c r="T200" s="143" t="s">
        <v>981</v>
      </c>
      <c r="U200" s="143">
        <v>47.073654544170012</v>
      </c>
      <c r="V200" s="143">
        <v>12.346431332008127</v>
      </c>
      <c r="W200" s="143">
        <v>162.98983578513941</v>
      </c>
      <c r="X200" s="143">
        <f t="shared" ref="X200:X214" si="101">SUM(R200,S200,W200)</f>
        <v>4514.2706794250162</v>
      </c>
      <c r="Y200" s="143" t="s">
        <v>496</v>
      </c>
      <c r="Z200" s="622">
        <f>SUM([1]BUILDING!$I$190:$I$198)</f>
        <v>46.431586499999995</v>
      </c>
      <c r="AA200" s="622">
        <f>SUM(I200:I212)</f>
        <v>45.632728499999999</v>
      </c>
      <c r="AC200" s="613">
        <f>I200-[1]BUILDING!I190</f>
        <v>-3.5465100000000005</v>
      </c>
      <c r="AD200" s="604" t="s">
        <v>1648</v>
      </c>
    </row>
    <row r="201" spans="4:30" x14ac:dyDescent="0.2">
      <c r="D201" s="228"/>
      <c r="E201" s="228"/>
      <c r="F201" s="228" t="s">
        <v>1692</v>
      </c>
      <c r="G201" s="228"/>
      <c r="H201" s="228"/>
      <c r="I201" s="230">
        <v>0.82370750000000004</v>
      </c>
      <c r="J201" s="231" t="s">
        <v>486</v>
      </c>
      <c r="K201" s="232">
        <f t="shared" ref="K201" si="102">R201*tax*markup*IF(Y201&lt;&gt;"",VLOOKUP(LEFT(Y201,2),cityindex,2,0),1)</f>
        <v>5080.9963413102696</v>
      </c>
      <c r="L201" s="232">
        <f t="shared" ref="L201" si="103">S201*markup*difficulty*IF(Y201&lt;&gt;"",VLOOKUP(LEFT(Y201,2),cityindex,3,0),1)</f>
        <v>723.58359600345295</v>
      </c>
      <c r="M201" s="232">
        <f t="shared" ref="M201" si="104">W201*markup*difficulty*IF(Y201&lt;&gt;"",VLOOKUP(LEFT(Y201,2),cityindex,3,0),1)</f>
        <v>202.92234555249857</v>
      </c>
      <c r="N201" s="232"/>
      <c r="O201" s="232">
        <f t="shared" ref="O201" si="105">SUM(K201:N201)*embed</f>
        <v>6007.5022828662213</v>
      </c>
      <c r="P201" s="233">
        <f t="shared" ref="P201" si="106">ROUND((O201*I201),0)</f>
        <v>4948</v>
      </c>
      <c r="Q201" s="291">
        <f t="shared" ref="Q201" si="107">IF(O201=0,0,IF(X201=0,"manual",(O201/(R201*tax*markup*IF(Y201&lt;&gt;"",VLOOKUP(LEFT(Y201,2),cityindex,2,0),1)+S201*markup*difficulty*IF(Y201&lt;&gt;"",VLOOKUP(LEFT(Y201,2),cityindex,3,0),1)+W201*markup*difficulty*IF(Y201&lt;&gt;"",VLOOKUP(LEFT(Y201,2),cityindex,3,0),1)))-1))</f>
        <v>0</v>
      </c>
      <c r="R201" s="143">
        <v>3770.0892002636092</v>
      </c>
      <c r="S201" s="143">
        <f t="shared" ref="S201" si="108">U201*V201</f>
        <v>581.19164337626739</v>
      </c>
      <c r="T201" s="143" t="s">
        <v>981</v>
      </c>
      <c r="U201" s="143">
        <v>47.073654544170012</v>
      </c>
      <c r="V201" s="143">
        <v>12.346431332008127</v>
      </c>
      <c r="W201" s="143">
        <v>162.98983578513941</v>
      </c>
      <c r="X201" s="143">
        <f t="shared" ref="X201" si="109">SUM(R201,S201,W201)</f>
        <v>4514.2706794250162</v>
      </c>
      <c r="Y201" s="143" t="s">
        <v>496</v>
      </c>
      <c r="AC201" s="613"/>
      <c r="AD201" s="604" t="s">
        <v>1316</v>
      </c>
    </row>
    <row r="202" spans="4:30" x14ac:dyDescent="0.2">
      <c r="D202" s="228"/>
      <c r="E202" s="228"/>
      <c r="F202" s="228" t="s">
        <v>1351</v>
      </c>
      <c r="G202" s="228"/>
      <c r="H202" s="228"/>
      <c r="I202" s="230">
        <v>0</v>
      </c>
      <c r="J202" s="231"/>
      <c r="K202" s="232">
        <f t="shared" si="94"/>
        <v>5080.9963413102696</v>
      </c>
      <c r="L202" s="232">
        <f t="shared" si="95"/>
        <v>723.58359600345295</v>
      </c>
      <c r="M202" s="232">
        <f t="shared" si="96"/>
        <v>202.92234555249857</v>
      </c>
      <c r="N202" s="232"/>
      <c r="O202" s="232">
        <f t="shared" si="97"/>
        <v>6007.5022828662213</v>
      </c>
      <c r="P202" s="233">
        <f t="shared" si="98"/>
        <v>0</v>
      </c>
      <c r="Q202" s="291">
        <f t="shared" si="99"/>
        <v>0</v>
      </c>
      <c r="R202" s="143">
        <v>3770.0892002636092</v>
      </c>
      <c r="S202" s="143">
        <f t="shared" si="100"/>
        <v>581.19164337626739</v>
      </c>
      <c r="T202" s="143" t="s">
        <v>981</v>
      </c>
      <c r="U202" s="143">
        <v>47.073654544170012</v>
      </c>
      <c r="V202" s="143">
        <v>12.346431332008127</v>
      </c>
      <c r="W202" s="143">
        <v>162.98983578513941</v>
      </c>
      <c r="X202" s="143">
        <f t="shared" si="101"/>
        <v>4514.2706794250162</v>
      </c>
      <c r="Y202" s="143" t="s">
        <v>496</v>
      </c>
      <c r="Z202" s="333"/>
      <c r="AC202" s="613">
        <f>I202-[1]BUILDING!I191</f>
        <v>-3.1066310000000001</v>
      </c>
      <c r="AD202" s="604" t="s">
        <v>1694</v>
      </c>
    </row>
    <row r="203" spans="4:30" x14ac:dyDescent="0.2">
      <c r="D203" s="228"/>
      <c r="E203" s="228"/>
      <c r="F203" s="228" t="s">
        <v>1693</v>
      </c>
      <c r="G203" s="228"/>
      <c r="H203" s="228"/>
      <c r="I203" s="230">
        <v>13.525864000000002</v>
      </c>
      <c r="J203" s="231" t="s">
        <v>486</v>
      </c>
      <c r="K203" s="232">
        <f t="shared" si="94"/>
        <v>5080.9963413102696</v>
      </c>
      <c r="L203" s="232">
        <f t="shared" si="95"/>
        <v>723.58359600345295</v>
      </c>
      <c r="M203" s="232">
        <f t="shared" si="96"/>
        <v>202.92234555249857</v>
      </c>
      <c r="N203" s="232"/>
      <c r="O203" s="232">
        <f t="shared" si="97"/>
        <v>6007.5022828662213</v>
      </c>
      <c r="P203" s="233">
        <f t="shared" si="98"/>
        <v>81257</v>
      </c>
      <c r="Q203" s="291">
        <f t="shared" si="99"/>
        <v>0</v>
      </c>
      <c r="R203" s="143">
        <v>3770.0892002636092</v>
      </c>
      <c r="S203" s="143">
        <f t="shared" si="100"/>
        <v>581.19164337626739</v>
      </c>
      <c r="T203" s="143" t="s">
        <v>981</v>
      </c>
      <c r="U203" s="143">
        <v>47.073654544170012</v>
      </c>
      <c r="V203" s="143">
        <v>12.346431332008127</v>
      </c>
      <c r="W203" s="143">
        <v>162.98983578513941</v>
      </c>
      <c r="X203" s="143">
        <f t="shared" si="101"/>
        <v>4514.2706794250162</v>
      </c>
      <c r="Y203" s="143" t="s">
        <v>496</v>
      </c>
      <c r="AC203" s="613"/>
      <c r="AD203" s="604" t="s">
        <v>1316</v>
      </c>
    </row>
    <row r="204" spans="4:30" x14ac:dyDescent="0.2">
      <c r="D204" s="228"/>
      <c r="E204" s="228"/>
      <c r="F204" s="228" t="s">
        <v>1697</v>
      </c>
      <c r="G204" s="228"/>
      <c r="H204" s="228"/>
      <c r="I204" s="578">
        <v>0.11416350000000003</v>
      </c>
      <c r="J204" s="231" t="s">
        <v>486</v>
      </c>
      <c r="K204" s="232">
        <f t="shared" ref="K204" si="110">R204*tax*markup*IF(Y204&lt;&gt;"",VLOOKUP(LEFT(Y204,2),cityindex,2,0),1)</f>
        <v>5080.9963413102696</v>
      </c>
      <c r="L204" s="232">
        <f t="shared" ref="L204" si="111">S204*markup*difficulty*IF(Y204&lt;&gt;"",VLOOKUP(LEFT(Y204,2),cityindex,3,0),1)</f>
        <v>723.58359600345295</v>
      </c>
      <c r="M204" s="232">
        <f t="shared" ref="M204" si="112">W204*markup*difficulty*IF(Y204&lt;&gt;"",VLOOKUP(LEFT(Y204,2),cityindex,3,0),1)</f>
        <v>202.92234555249857</v>
      </c>
      <c r="N204" s="232"/>
      <c r="O204" s="232">
        <f t="shared" ref="O204" si="113">SUM(K204:N204)*embed</f>
        <v>6007.5022828662213</v>
      </c>
      <c r="P204" s="233">
        <f t="shared" ref="P204" si="114">ROUND((O204*I204),0)</f>
        <v>686</v>
      </c>
      <c r="Q204" s="291">
        <f t="shared" ref="Q204" si="115">IF(O204=0,0,IF(X204=0,"manual",(O204/(R204*tax*markup*IF(Y204&lt;&gt;"",VLOOKUP(LEFT(Y204,2),cityindex,2,0),1)+S204*markup*difficulty*IF(Y204&lt;&gt;"",VLOOKUP(LEFT(Y204,2),cityindex,3,0),1)+W204*markup*difficulty*IF(Y204&lt;&gt;"",VLOOKUP(LEFT(Y204,2),cityindex,3,0),1)))-1))</f>
        <v>0</v>
      </c>
      <c r="R204" s="143">
        <v>3770.0892002636092</v>
      </c>
      <c r="S204" s="143">
        <f t="shared" ref="S204" si="116">U204*V204</f>
        <v>581.19164337626739</v>
      </c>
      <c r="T204" s="143" t="s">
        <v>981</v>
      </c>
      <c r="U204" s="143">
        <v>47.073654544170012</v>
      </c>
      <c r="V204" s="143">
        <v>12.346431332008127</v>
      </c>
      <c r="W204" s="143">
        <v>162.98983578513941</v>
      </c>
      <c r="X204" s="143">
        <f t="shared" ref="X204" si="117">SUM(R204,S204,W204)</f>
        <v>4514.2706794250162</v>
      </c>
      <c r="Y204" s="143" t="s">
        <v>496</v>
      </c>
      <c r="AA204" s="311" t="s">
        <v>1696</v>
      </c>
      <c r="AC204" s="619"/>
      <c r="AD204" s="604" t="s">
        <v>1316</v>
      </c>
    </row>
    <row r="205" spans="4:30" x14ac:dyDescent="0.2">
      <c r="D205" s="228"/>
      <c r="E205" s="228"/>
      <c r="F205" s="228" t="s">
        <v>1352</v>
      </c>
      <c r="G205" s="228"/>
      <c r="H205" s="228"/>
      <c r="I205" s="578">
        <v>0.20224049999999999</v>
      </c>
      <c r="J205" s="231" t="s">
        <v>486</v>
      </c>
      <c r="K205" s="232">
        <f t="shared" ref="K205" si="118">R205*tax*markup*IF(Y205&lt;&gt;"",VLOOKUP(LEFT(Y205,2),cityindex,2,0),1)</f>
        <v>5080.9963413102696</v>
      </c>
      <c r="L205" s="232">
        <f t="shared" ref="L205" si="119">S205*markup*difficulty*IF(Y205&lt;&gt;"",VLOOKUP(LEFT(Y205,2),cityindex,3,0),1)</f>
        <v>723.58359600345295</v>
      </c>
      <c r="M205" s="232">
        <f t="shared" ref="M205" si="120">W205*markup*difficulty*IF(Y205&lt;&gt;"",VLOOKUP(LEFT(Y205,2),cityindex,3,0),1)</f>
        <v>202.92234555249857</v>
      </c>
      <c r="N205" s="232"/>
      <c r="O205" s="232">
        <f t="shared" ref="O205" si="121">SUM(K205:N205)*embed</f>
        <v>6007.5022828662213</v>
      </c>
      <c r="P205" s="233">
        <f t="shared" ref="P205" si="122">ROUND((O205*I205),0)</f>
        <v>1215</v>
      </c>
      <c r="Q205" s="291">
        <f t="shared" ref="Q205" si="123">IF(O205=0,0,IF(X205=0,"manual",(O205/(R205*tax*markup*IF(Y205&lt;&gt;"",VLOOKUP(LEFT(Y205,2),cityindex,2,0),1)+S205*markup*difficulty*IF(Y205&lt;&gt;"",VLOOKUP(LEFT(Y205,2),cityindex,3,0),1)+W205*markup*difficulty*IF(Y205&lt;&gt;"",VLOOKUP(LEFT(Y205,2),cityindex,3,0),1)))-1))</f>
        <v>0</v>
      </c>
      <c r="R205" s="143">
        <v>3770.0892002636092</v>
      </c>
      <c r="S205" s="143">
        <f t="shared" ref="S205" si="124">U205*V205</f>
        <v>581.19164337626739</v>
      </c>
      <c r="T205" s="143" t="s">
        <v>981</v>
      </c>
      <c r="U205" s="143">
        <v>47.073654544170012</v>
      </c>
      <c r="V205" s="143">
        <v>12.346431332008127</v>
      </c>
      <c r="W205" s="143">
        <v>162.98983578513941</v>
      </c>
      <c r="X205" s="143">
        <f t="shared" ref="X205" si="125">SUM(R205,S205,W205)</f>
        <v>4514.2706794250162</v>
      </c>
      <c r="Y205" s="143" t="s">
        <v>496</v>
      </c>
      <c r="AA205" s="311" t="s">
        <v>1696</v>
      </c>
      <c r="AC205" s="619">
        <f>I205-[1]BUILDING!$I$192</f>
        <v>-19.797759500000002</v>
      </c>
      <c r="AD205" s="604" t="s">
        <v>1665</v>
      </c>
    </row>
    <row r="206" spans="4:30" x14ac:dyDescent="0.2">
      <c r="D206" s="228"/>
      <c r="E206" s="228"/>
      <c r="F206" s="228" t="s">
        <v>1353</v>
      </c>
      <c r="G206" s="228"/>
      <c r="H206" s="228"/>
      <c r="I206" s="230">
        <v>1.56365</v>
      </c>
      <c r="J206" s="231" t="s">
        <v>486</v>
      </c>
      <c r="K206" s="232">
        <f t="shared" si="94"/>
        <v>5080.9963413102696</v>
      </c>
      <c r="L206" s="232">
        <f t="shared" si="95"/>
        <v>723.58359600345295</v>
      </c>
      <c r="M206" s="232">
        <f t="shared" si="96"/>
        <v>202.92234555249857</v>
      </c>
      <c r="N206" s="232"/>
      <c r="O206" s="232">
        <f t="shared" si="97"/>
        <v>6007.5022828662213</v>
      </c>
      <c r="P206" s="233">
        <f t="shared" si="98"/>
        <v>9394</v>
      </c>
      <c r="Q206" s="291">
        <f t="shared" si="99"/>
        <v>0</v>
      </c>
      <c r="R206" s="143">
        <v>3770.0892002636092</v>
      </c>
      <c r="S206" s="143">
        <f t="shared" si="100"/>
        <v>581.19164337626739</v>
      </c>
      <c r="T206" s="143" t="s">
        <v>981</v>
      </c>
      <c r="U206" s="143">
        <v>47.073654544170012</v>
      </c>
      <c r="V206" s="143">
        <v>12.346431332008127</v>
      </c>
      <c r="W206" s="143">
        <v>162.98983578513941</v>
      </c>
      <c r="X206" s="143">
        <f t="shared" si="101"/>
        <v>4514.2706794250162</v>
      </c>
      <c r="Y206" s="143" t="s">
        <v>496</v>
      </c>
      <c r="AC206" s="613">
        <f>I206-[1]BUILDING!I193</f>
        <v>-0.53164100000000047</v>
      </c>
      <c r="AD206" s="604" t="s">
        <v>1648</v>
      </c>
    </row>
    <row r="207" spans="4:30" x14ac:dyDescent="0.2">
      <c r="D207" s="228"/>
      <c r="E207" s="228"/>
      <c r="F207" s="228" t="s">
        <v>1695</v>
      </c>
      <c r="G207" s="228"/>
      <c r="H207" s="228"/>
      <c r="I207" s="230">
        <v>10.466280000000003</v>
      </c>
      <c r="J207" s="231" t="s">
        <v>486</v>
      </c>
      <c r="K207" s="232">
        <f t="shared" ref="K207" si="126">R207*tax*markup*IF(Y207&lt;&gt;"",VLOOKUP(LEFT(Y207,2),cityindex,2,0),1)</f>
        <v>5080.9963413102696</v>
      </c>
      <c r="L207" s="232">
        <f t="shared" ref="L207" si="127">S207*markup*difficulty*IF(Y207&lt;&gt;"",VLOOKUP(LEFT(Y207,2),cityindex,3,0),1)</f>
        <v>723.58359600345295</v>
      </c>
      <c r="M207" s="232">
        <f t="shared" ref="M207" si="128">W207*markup*difficulty*IF(Y207&lt;&gt;"",VLOOKUP(LEFT(Y207,2),cityindex,3,0),1)</f>
        <v>202.92234555249857</v>
      </c>
      <c r="N207" s="232"/>
      <c r="O207" s="232">
        <f t="shared" ref="O207" si="129">SUM(K207:N207)*embed</f>
        <v>6007.5022828662213</v>
      </c>
      <c r="P207" s="233">
        <f t="shared" ref="P207" si="130">ROUND((O207*I207),0)</f>
        <v>62876</v>
      </c>
      <c r="Q207" s="291">
        <f t="shared" ref="Q207" si="131">IF(O207=0,0,IF(X207=0,"manual",(O207/(R207*tax*markup*IF(Y207&lt;&gt;"",VLOOKUP(LEFT(Y207,2),cityindex,2,0),1)+S207*markup*difficulty*IF(Y207&lt;&gt;"",VLOOKUP(LEFT(Y207,2),cityindex,3,0),1)+W207*markup*difficulty*IF(Y207&lt;&gt;"",VLOOKUP(LEFT(Y207,2),cityindex,3,0),1)))-1))</f>
        <v>0</v>
      </c>
      <c r="R207" s="143">
        <v>3770.0892002636092</v>
      </c>
      <c r="S207" s="143">
        <f t="shared" ref="S207" si="132">U207*V207</f>
        <v>581.19164337626739</v>
      </c>
      <c r="T207" s="143" t="s">
        <v>981</v>
      </c>
      <c r="U207" s="143">
        <v>47.073654544170012</v>
      </c>
      <c r="V207" s="143">
        <v>12.346431332008127</v>
      </c>
      <c r="W207" s="143">
        <v>162.98983578513941</v>
      </c>
      <c r="X207" s="143">
        <f t="shared" ref="X207" si="133">SUM(R207,S207,W207)</f>
        <v>4514.2706794250162</v>
      </c>
      <c r="Y207" s="143" t="s">
        <v>496</v>
      </c>
      <c r="AC207" s="613"/>
      <c r="AD207" s="604" t="s">
        <v>1316</v>
      </c>
    </row>
    <row r="208" spans="4:30" x14ac:dyDescent="0.2">
      <c r="D208" s="228"/>
      <c r="E208" s="228"/>
      <c r="F208" s="228" t="s">
        <v>1354</v>
      </c>
      <c r="G208" s="228"/>
      <c r="H208" s="228"/>
      <c r="I208" s="578"/>
      <c r="J208" s="231"/>
      <c r="K208" s="232">
        <f t="shared" si="94"/>
        <v>5080.9963413102696</v>
      </c>
      <c r="L208" s="232">
        <f t="shared" si="95"/>
        <v>723.58359600345295</v>
      </c>
      <c r="M208" s="232">
        <f t="shared" si="96"/>
        <v>202.92234555249857</v>
      </c>
      <c r="N208" s="232"/>
      <c r="O208" s="232">
        <f t="shared" si="97"/>
        <v>6007.5022828662213</v>
      </c>
      <c r="P208" s="233">
        <f t="shared" si="98"/>
        <v>0</v>
      </c>
      <c r="Q208" s="291">
        <f t="shared" si="99"/>
        <v>0</v>
      </c>
      <c r="R208" s="143">
        <v>3770.0892002636092</v>
      </c>
      <c r="S208" s="143">
        <f t="shared" si="100"/>
        <v>581.19164337626739</v>
      </c>
      <c r="T208" s="143" t="s">
        <v>981</v>
      </c>
      <c r="U208" s="143">
        <v>47.073654544170012</v>
      </c>
      <c r="V208" s="143">
        <v>12.346431332008127</v>
      </c>
      <c r="W208" s="143">
        <v>162.98983578513941</v>
      </c>
      <c r="X208" s="143">
        <f t="shared" si="101"/>
        <v>4514.2706794250162</v>
      </c>
      <c r="Y208" s="143" t="s">
        <v>496</v>
      </c>
      <c r="AC208" s="619">
        <f>I208-[1]BUILDING!I194</f>
        <v>-0.23014200000000001</v>
      </c>
      <c r="AD208" s="604" t="s">
        <v>1694</v>
      </c>
    </row>
    <row r="209" spans="4:31" x14ac:dyDescent="0.2">
      <c r="D209" s="228"/>
      <c r="E209" s="228"/>
      <c r="F209" s="228" t="s">
        <v>1355</v>
      </c>
      <c r="G209" s="228"/>
      <c r="H209" s="228"/>
      <c r="I209" s="230">
        <v>10.020582000000003</v>
      </c>
      <c r="J209" s="231" t="s">
        <v>486</v>
      </c>
      <c r="K209" s="232">
        <f t="shared" si="94"/>
        <v>5080.9963413102696</v>
      </c>
      <c r="L209" s="232">
        <f t="shared" si="95"/>
        <v>723.58359600345295</v>
      </c>
      <c r="M209" s="232">
        <f t="shared" si="96"/>
        <v>202.92234555249857</v>
      </c>
      <c r="N209" s="232"/>
      <c r="O209" s="232">
        <f t="shared" si="97"/>
        <v>6007.5022828662213</v>
      </c>
      <c r="P209" s="233">
        <f t="shared" si="98"/>
        <v>60199</v>
      </c>
      <c r="Q209" s="291">
        <f t="shared" si="99"/>
        <v>0</v>
      </c>
      <c r="R209" s="143">
        <v>3770.0892002636092</v>
      </c>
      <c r="S209" s="143">
        <f t="shared" si="100"/>
        <v>581.19164337626739</v>
      </c>
      <c r="T209" s="143" t="s">
        <v>981</v>
      </c>
      <c r="U209" s="143">
        <v>47.073654544170012</v>
      </c>
      <c r="V209" s="143">
        <v>12.346431332008127</v>
      </c>
      <c r="W209" s="143">
        <v>162.98983578513941</v>
      </c>
      <c r="X209" s="143">
        <f t="shared" si="101"/>
        <v>4514.2706794250162</v>
      </c>
      <c r="Y209" s="143" t="s">
        <v>496</v>
      </c>
      <c r="AC209" s="619">
        <f>I209-[1]BUILDING!I195</f>
        <v>1.2242340000000009</v>
      </c>
      <c r="AD209" s="604" t="s">
        <v>1647</v>
      </c>
    </row>
    <row r="210" spans="4:31" x14ac:dyDescent="0.2">
      <c r="D210" s="228"/>
      <c r="E210" s="228"/>
      <c r="F210" s="228" t="s">
        <v>1356</v>
      </c>
      <c r="G210" s="228"/>
      <c r="H210" s="228"/>
      <c r="I210" s="230">
        <v>0.85571750000000002</v>
      </c>
      <c r="J210" s="231" t="s">
        <v>486</v>
      </c>
      <c r="K210" s="232">
        <f t="shared" si="94"/>
        <v>5080.9963413102696</v>
      </c>
      <c r="L210" s="232">
        <f t="shared" si="95"/>
        <v>723.58359600345295</v>
      </c>
      <c r="M210" s="232">
        <f t="shared" si="96"/>
        <v>202.92234555249857</v>
      </c>
      <c r="N210" s="232"/>
      <c r="O210" s="232">
        <f t="shared" si="97"/>
        <v>6007.5022828662213</v>
      </c>
      <c r="P210" s="233">
        <f t="shared" si="98"/>
        <v>5141</v>
      </c>
      <c r="Q210" s="291">
        <f t="shared" si="99"/>
        <v>0</v>
      </c>
      <c r="R210" s="143">
        <v>3770.0892002636092</v>
      </c>
      <c r="S210" s="143">
        <f t="shared" si="100"/>
        <v>581.19164337626739</v>
      </c>
      <c r="T210" s="143" t="s">
        <v>981</v>
      </c>
      <c r="U210" s="143">
        <v>47.073654544170012</v>
      </c>
      <c r="V210" s="143">
        <v>12.346431332008127</v>
      </c>
      <c r="W210" s="143">
        <v>162.98983578513941</v>
      </c>
      <c r="X210" s="143">
        <f t="shared" si="101"/>
        <v>4514.2706794250162</v>
      </c>
      <c r="Y210" s="143" t="s">
        <v>496</v>
      </c>
      <c r="AC210" s="619">
        <f>I210-[1]BUILDING!I196</f>
        <v>-0.76320749999999993</v>
      </c>
      <c r="AD210" s="604" t="s">
        <v>1648</v>
      </c>
    </row>
    <row r="211" spans="4:31" x14ac:dyDescent="0.2">
      <c r="D211" s="228"/>
      <c r="E211" s="228"/>
      <c r="F211" s="228" t="s">
        <v>1357</v>
      </c>
      <c r="G211" s="228"/>
      <c r="H211" s="228"/>
      <c r="I211" s="578"/>
      <c r="J211" s="231"/>
      <c r="K211" s="232">
        <f t="shared" si="94"/>
        <v>5080.9963413102696</v>
      </c>
      <c r="L211" s="232">
        <f t="shared" si="95"/>
        <v>723.58359600345295</v>
      </c>
      <c r="M211" s="232">
        <f t="shared" si="96"/>
        <v>202.92234555249857</v>
      </c>
      <c r="N211" s="232"/>
      <c r="O211" s="232">
        <f t="shared" si="97"/>
        <v>6007.5022828662213</v>
      </c>
      <c r="P211" s="233">
        <f t="shared" si="98"/>
        <v>0</v>
      </c>
      <c r="Q211" s="291">
        <f t="shared" si="99"/>
        <v>0</v>
      </c>
      <c r="R211" s="143">
        <v>3770.0892002636092</v>
      </c>
      <c r="S211" s="143">
        <f t="shared" si="100"/>
        <v>581.19164337626739</v>
      </c>
      <c r="T211" s="143" t="s">
        <v>981</v>
      </c>
      <c r="U211" s="143">
        <v>47.073654544170012</v>
      </c>
      <c r="V211" s="143">
        <v>12.346431332008127</v>
      </c>
      <c r="W211" s="143">
        <v>162.98983578513941</v>
      </c>
      <c r="X211" s="143">
        <f t="shared" si="101"/>
        <v>4514.2706794250162</v>
      </c>
      <c r="Y211" s="143" t="s">
        <v>496</v>
      </c>
      <c r="AC211" s="619">
        <f>I211-[1]BUILDING!I197</f>
        <v>-0.227216</v>
      </c>
      <c r="AD211" s="604" t="s">
        <v>1694</v>
      </c>
    </row>
    <row r="212" spans="4:31" x14ac:dyDescent="0.2">
      <c r="D212" s="228"/>
      <c r="E212" s="228"/>
      <c r="F212" s="228" t="s">
        <v>1358</v>
      </c>
      <c r="G212" s="228"/>
      <c r="H212" s="228"/>
      <c r="I212" s="230">
        <f>5.0372685+1.25</f>
        <v>6.2872684999999997</v>
      </c>
      <c r="J212" s="231" t="s">
        <v>486</v>
      </c>
      <c r="K212" s="232">
        <f t="shared" si="94"/>
        <v>5080.9963413102696</v>
      </c>
      <c r="L212" s="232">
        <f t="shared" si="95"/>
        <v>723.58359600345295</v>
      </c>
      <c r="M212" s="232">
        <f t="shared" si="96"/>
        <v>202.92234555249857</v>
      </c>
      <c r="N212" s="232"/>
      <c r="O212" s="232">
        <f t="shared" si="97"/>
        <v>6007.5022828662213</v>
      </c>
      <c r="P212" s="233">
        <f t="shared" si="98"/>
        <v>37771</v>
      </c>
      <c r="Q212" s="291">
        <f t="shared" si="99"/>
        <v>0</v>
      </c>
      <c r="R212" s="143">
        <v>3770.0892002636092</v>
      </c>
      <c r="S212" s="143">
        <f t="shared" si="100"/>
        <v>581.19164337626739</v>
      </c>
      <c r="T212" s="143" t="s">
        <v>981</v>
      </c>
      <c r="U212" s="143">
        <v>47.073654544170012</v>
      </c>
      <c r="V212" s="143">
        <v>12.346431332008127</v>
      </c>
      <c r="W212" s="143">
        <v>162.98983578513941</v>
      </c>
      <c r="X212" s="143">
        <f t="shared" si="101"/>
        <v>4514.2706794250162</v>
      </c>
      <c r="Y212" s="143" t="s">
        <v>496</v>
      </c>
      <c r="AC212" s="613">
        <f>I212-[1]BUILDING!I198</f>
        <v>1.25</v>
      </c>
      <c r="AD212" s="604" t="s">
        <v>1647</v>
      </c>
    </row>
    <row r="213" spans="4:31" x14ac:dyDescent="0.2">
      <c r="D213" s="228"/>
      <c r="E213" s="228"/>
      <c r="F213" s="228" t="s">
        <v>1698</v>
      </c>
      <c r="G213" s="228"/>
      <c r="H213" s="228"/>
      <c r="I213" s="230">
        <v>120</v>
      </c>
      <c r="J213" s="231" t="s">
        <v>309</v>
      </c>
      <c r="K213" s="232">
        <f>R213*tax*markup*IF(Y213&lt;&gt;"",VLOOKUP(LEFT(Y213,2),cityindex,2,0),1)</f>
        <v>0</v>
      </c>
      <c r="L213" s="232">
        <f>S213*markup*difficulty*IF(Y213&lt;&gt;"",VLOOKUP(LEFT(Y213,2),cityindex,3,0),1)</f>
        <v>0</v>
      </c>
      <c r="M213" s="232">
        <f>W213*markup*difficulty*IF(Y213&lt;&gt;"",VLOOKUP(LEFT(Y213,2),cityindex,3,0),1)</f>
        <v>0</v>
      </c>
      <c r="N213" s="232">
        <v>75.89</v>
      </c>
      <c r="O213" s="232">
        <f>SUM(K213:N213)*embed</f>
        <v>75.89</v>
      </c>
      <c r="P213" s="233">
        <f>ROUND((O213*I213),0)</f>
        <v>9107</v>
      </c>
      <c r="Q213" s="291" t="str">
        <f>IF(O213=0,0,IF(X213=0,"manual",(O213/(R213*tax*markup*IF(Y213&lt;&gt;"",VLOOKUP(LEFT(Y213,2),cityindex,2,0),1)+S213*markup*difficulty*IF(Y213&lt;&gt;"",VLOOKUP(LEFT(Y213,2),cityindex,3,0),1)+W213*markup*difficulty*IF(Y213&lt;&gt;"",VLOOKUP(LEFT(Y213,2),cityindex,3,0),1)))-1))</f>
        <v>manual</v>
      </c>
      <c r="S213" s="143">
        <f>U213*V213</f>
        <v>0</v>
      </c>
      <c r="X213" s="143">
        <f>SUM(R213,S213,W213)</f>
        <v>0</v>
      </c>
      <c r="AA213" s="311" t="s">
        <v>1699</v>
      </c>
      <c r="AC213" s="613"/>
      <c r="AD213" s="604" t="s">
        <v>1316</v>
      </c>
    </row>
    <row r="214" spans="4:31" x14ac:dyDescent="0.2">
      <c r="D214" s="228"/>
      <c r="E214" s="228"/>
      <c r="G214" s="228" t="s">
        <v>1583</v>
      </c>
      <c r="H214" s="228"/>
      <c r="I214" s="230">
        <v>12</v>
      </c>
      <c r="J214" s="231" t="s">
        <v>486</v>
      </c>
      <c r="K214" s="232">
        <f t="shared" si="94"/>
        <v>129.1350522481992</v>
      </c>
      <c r="L214" s="232">
        <f t="shared" si="95"/>
        <v>217.75509359288606</v>
      </c>
      <c r="M214" s="232">
        <f t="shared" si="96"/>
        <v>0</v>
      </c>
      <c r="N214" s="232"/>
      <c r="O214" s="232">
        <f t="shared" si="97"/>
        <v>346.89014584108526</v>
      </c>
      <c r="P214" s="233">
        <f t="shared" si="98"/>
        <v>4163</v>
      </c>
      <c r="Q214" s="291">
        <f t="shared" si="99"/>
        <v>0</v>
      </c>
      <c r="R214" s="143">
        <v>95.817952455140968</v>
      </c>
      <c r="S214" s="143">
        <f t="shared" si="100"/>
        <v>174.90368963284018</v>
      </c>
      <c r="T214" s="143" t="s">
        <v>1069</v>
      </c>
      <c r="U214" s="143">
        <v>35.070891047405659</v>
      </c>
      <c r="V214" s="143">
        <v>4.9871470159232967</v>
      </c>
      <c r="W214" s="143">
        <v>0</v>
      </c>
      <c r="X214" s="143">
        <f t="shared" si="101"/>
        <v>270.72164208798114</v>
      </c>
      <c r="Y214" s="143" t="s">
        <v>1366</v>
      </c>
      <c r="AA214" s="236"/>
      <c r="AC214" s="613">
        <f>I214-[1]BUILDING!I199</f>
        <v>0</v>
      </c>
      <c r="AD214" s="604" t="s">
        <v>1665</v>
      </c>
      <c r="AE214" s="236"/>
    </row>
    <row r="215" spans="4:31" x14ac:dyDescent="0.2">
      <c r="D215" s="228"/>
      <c r="F215" s="228" t="s">
        <v>1101</v>
      </c>
      <c r="G215" s="228"/>
      <c r="H215" s="228"/>
      <c r="I215" s="230">
        <f>986+2129+4643</f>
        <v>7758</v>
      </c>
      <c r="J215" s="231" t="s">
        <v>301</v>
      </c>
      <c r="K215" s="232">
        <f t="shared" si="78"/>
        <v>4.2414536849827709</v>
      </c>
      <c r="L215" s="232">
        <f t="shared" si="79"/>
        <v>0.46718804874889647</v>
      </c>
      <c r="M215" s="232">
        <f t="shared" si="80"/>
        <v>3.9221430978486925E-2</v>
      </c>
      <c r="N215" s="232"/>
      <c r="O215" s="232">
        <f t="shared" si="81"/>
        <v>4.7478631647101546</v>
      </c>
      <c r="P215" s="233">
        <f t="shared" si="82"/>
        <v>36834</v>
      </c>
      <c r="Q215" s="291">
        <f t="shared" si="91"/>
        <v>0</v>
      </c>
      <c r="R215" s="143">
        <v>3.1471502156303885</v>
      </c>
      <c r="S215" s="143">
        <f t="shared" si="92"/>
        <v>0.37525144477823008</v>
      </c>
      <c r="T215" s="143" t="s">
        <v>981</v>
      </c>
      <c r="U215" s="143">
        <v>47.073654544170012</v>
      </c>
      <c r="V215" s="143">
        <v>7.9715808855699791E-3</v>
      </c>
      <c r="W215" s="143">
        <v>3.1503157412439295E-2</v>
      </c>
      <c r="X215" s="143">
        <f t="shared" si="93"/>
        <v>3.5539048178210582</v>
      </c>
      <c r="Y215" s="143" t="s">
        <v>500</v>
      </c>
      <c r="AC215" s="613">
        <f>I215-[1]BUILDING!I200</f>
        <v>0</v>
      </c>
      <c r="AD215" s="604" t="s">
        <v>1313</v>
      </c>
    </row>
    <row r="216" spans="4:31" x14ac:dyDescent="0.2">
      <c r="D216" s="228"/>
      <c r="E216" s="228"/>
      <c r="F216" s="228" t="s">
        <v>1569</v>
      </c>
      <c r="H216" s="228"/>
      <c r="I216" s="230">
        <f>SUM(I200:I212)*0.1</f>
        <v>4.5632728499999997</v>
      </c>
      <c r="J216" s="231" t="s">
        <v>486</v>
      </c>
      <c r="K216" s="232">
        <f t="shared" ref="K216:K217" si="134">R216*tax*markup*IF(Y216&lt;&gt;"",VLOOKUP(LEFT(Y216,2),cityindex,2,0),1)</f>
        <v>8793.8739224271194</v>
      </c>
      <c r="L216" s="232">
        <f t="shared" ref="L216:L217" si="135">S216*markup*difficulty*IF(Y216&lt;&gt;"",VLOOKUP(LEFT(Y216,2),cityindex,3,0),1)</f>
        <v>1457.0288884207757</v>
      </c>
      <c r="M216" s="232">
        <f t="shared" ref="M216:M217" si="136">W216*markup*difficulty*IF(Y216&lt;&gt;"",VLOOKUP(LEFT(Y216,2),cityindex,3,0),1)</f>
        <v>452.5450881572566</v>
      </c>
      <c r="N216" s="232"/>
      <c r="O216" s="232">
        <f>SUM(K216:N216)*embed</f>
        <v>10703.447899005152</v>
      </c>
      <c r="P216" s="233">
        <f>ROUND((O216*I216),0)</f>
        <v>48843</v>
      </c>
      <c r="Q216" s="291">
        <f>IF(O216=0,0,IF(X216=0,"manual",(O216/(R216*tax*markup*IF(Y216&lt;&gt;"",VLOOKUP(LEFT(Y216,2),cityindex,2,0),1)+S216*markup*difficulty*IF(Y216&lt;&gt;"",VLOOKUP(LEFT(Y216,2),cityindex,3,0),1)+W216*markup*difficulty*IF(Y216&lt;&gt;"",VLOOKUP(LEFT(Y216,2),cityindex,3,0),1)))-1))</f>
        <v>0</v>
      </c>
      <c r="R216" s="143">
        <v>6525.0369959669579</v>
      </c>
      <c r="S216" s="143">
        <f t="shared" si="92"/>
        <v>1170.3043280488157</v>
      </c>
      <c r="T216" s="143" t="s">
        <v>981</v>
      </c>
      <c r="U216" s="143">
        <v>47.073654544170012</v>
      </c>
      <c r="V216" s="143">
        <v>24.861131760031491</v>
      </c>
      <c r="W216" s="143">
        <v>363.49003064839883</v>
      </c>
      <c r="X216" s="143">
        <f t="shared" si="93"/>
        <v>8058.8313546641721</v>
      </c>
      <c r="Y216" s="143" t="s">
        <v>491</v>
      </c>
      <c r="AA216" s="236"/>
      <c r="AC216" s="620">
        <f>I216-[1]BUILDING!I201</f>
        <v>-7.9885799999999563E-2</v>
      </c>
      <c r="AD216" s="604" t="s">
        <v>1648</v>
      </c>
      <c r="AE216" s="236"/>
    </row>
    <row r="217" spans="4:31" x14ac:dyDescent="0.2">
      <c r="D217" s="228"/>
      <c r="E217" s="228"/>
      <c r="F217" s="228" t="s">
        <v>494</v>
      </c>
      <c r="G217" s="228"/>
      <c r="H217" s="228"/>
      <c r="I217" s="230">
        <f>18+40</f>
        <v>58</v>
      </c>
      <c r="J217" s="231" t="s">
        <v>390</v>
      </c>
      <c r="K217" s="232">
        <f t="shared" si="134"/>
        <v>270.0255417533416</v>
      </c>
      <c r="L217" s="232">
        <f t="shared" si="135"/>
        <v>259.84406303631482</v>
      </c>
      <c r="M217" s="232">
        <f t="shared" si="136"/>
        <v>0</v>
      </c>
      <c r="N217" s="232"/>
      <c r="O217" s="232">
        <f>SUM(K217:N217)*embed</f>
        <v>529.86960478965648</v>
      </c>
      <c r="P217" s="233">
        <f>ROUND((O217*I217),0)</f>
        <v>30732</v>
      </c>
      <c r="Q217" s="291">
        <f>IF(O217=0,0,IF(X217=0,"manual",(O217/(R217*tax*markup*IF(Y217&lt;&gt;"",VLOOKUP(LEFT(Y217,2),cityindex,2,0),1)+S217*markup*difficulty*IF(Y217&lt;&gt;"",VLOOKUP(LEFT(Y217,2),cityindex,3,0),1)+W217*markup*difficulty*IF(Y217&lt;&gt;"",VLOOKUP(LEFT(Y217,2),cityindex,3,0),1)))-1))</f>
        <v>0</v>
      </c>
      <c r="R217" s="143">
        <v>200.35841602221657</v>
      </c>
      <c r="S217" s="143">
        <f t="shared" si="92"/>
        <v>208.71009079222071</v>
      </c>
      <c r="T217" s="143" t="s">
        <v>981</v>
      </c>
      <c r="U217" s="143">
        <v>47.073654544170012</v>
      </c>
      <c r="V217" s="143">
        <v>4.4336921110806147</v>
      </c>
      <c r="W217" s="143">
        <v>0</v>
      </c>
      <c r="X217" s="143">
        <f t="shared" si="93"/>
        <v>409.06850681443728</v>
      </c>
      <c r="Y217" s="143" t="s">
        <v>495</v>
      </c>
      <c r="AA217" s="623">
        <f>AC217*O217</f>
        <v>-12716.870514951755</v>
      </c>
      <c r="AC217" s="613">
        <f>I217-[1]BUILDING!I202</f>
        <v>-24</v>
      </c>
      <c r="AD217" s="604" t="s">
        <v>1648</v>
      </c>
      <c r="AE217" s="236"/>
    </row>
    <row r="218" spans="4:31" x14ac:dyDescent="0.2">
      <c r="D218" s="228"/>
      <c r="E218" s="228"/>
      <c r="F218" s="228"/>
      <c r="G218" s="228"/>
      <c r="H218" s="228"/>
      <c r="I218" s="230"/>
      <c r="J218" s="231"/>
      <c r="K218" s="232">
        <f>R218*tax*markup*IF(Y218&lt;&gt;"",VLOOKUP(LEFT(Y218,2),cityindex,2,0),1)</f>
        <v>0</v>
      </c>
      <c r="L218" s="232">
        <f>S218*markup*difficulty*IF(Y218&lt;&gt;"",VLOOKUP(LEFT(Y218,2),cityindex,3,0),1)</f>
        <v>0</v>
      </c>
      <c r="M218" s="232">
        <f>W218*markup*difficulty*IF(Y218&lt;&gt;"",VLOOKUP(LEFT(Y218,2),cityindex,3,0),1)</f>
        <v>0</v>
      </c>
      <c r="N218" s="232"/>
      <c r="O218" s="232">
        <f>SUM(K218:N218)*embed</f>
        <v>0</v>
      </c>
      <c r="P218" s="233">
        <f>ROUND((O218*I218),0)</f>
        <v>0</v>
      </c>
      <c r="Q218" s="291">
        <f>IF(O218=0,0,IF(X218=0,"manual",(O218/(R218*tax*markup*IF(Y218&lt;&gt;"",VLOOKUP(LEFT(Y218,2),cityindex,2,0),1)+S218*markup*difficulty*IF(Y218&lt;&gt;"",VLOOKUP(LEFT(Y218,2),cityindex,3,0),1)+W218*markup*difficulty*IF(Y218&lt;&gt;"",VLOOKUP(LEFT(Y218,2),cityindex,3,0),1)))-1))</f>
        <v>0</v>
      </c>
      <c r="S218" s="143">
        <f>U218*V218</f>
        <v>0</v>
      </c>
      <c r="X218" s="143">
        <f>SUM(R218,S218,W218)</f>
        <v>0</v>
      </c>
      <c r="AA218" s="623"/>
      <c r="AC218" s="613"/>
      <c r="AD218" s="604"/>
      <c r="AE218" s="236"/>
    </row>
    <row r="219" spans="4:31" x14ac:dyDescent="0.2">
      <c r="D219" s="228"/>
      <c r="E219" s="228" t="s">
        <v>1713</v>
      </c>
      <c r="F219" s="228"/>
      <c r="G219" s="228"/>
      <c r="H219" s="228"/>
      <c r="I219" s="230"/>
      <c r="J219" s="231"/>
      <c r="K219" s="232">
        <f>R219*tax*markup*IF(Y219&lt;&gt;"",VLOOKUP(LEFT(Y219,2),cityindex,2,0),1)</f>
        <v>0</v>
      </c>
      <c r="L219" s="232">
        <f>S219*markup*difficulty*IF(Y219&lt;&gt;"",VLOOKUP(LEFT(Y219,2),cityindex,3,0),1)</f>
        <v>0</v>
      </c>
      <c r="M219" s="232">
        <f>W219*markup*difficulty*IF(Y219&lt;&gt;"",VLOOKUP(LEFT(Y219,2),cityindex,3,0),1)</f>
        <v>0</v>
      </c>
      <c r="N219" s="232"/>
      <c r="O219" s="232">
        <f>SUM(K219:N219)*embed</f>
        <v>0</v>
      </c>
      <c r="P219" s="233">
        <f>ROUND((O219*I219),0)</f>
        <v>0</v>
      </c>
      <c r="Q219" s="291">
        <f>IF(O219=0,0,IF(X219=0,"manual",(O219/(R219*tax*markup*IF(Y219&lt;&gt;"",VLOOKUP(LEFT(Y219,2),cityindex,2,0),1)+S219*markup*difficulty*IF(Y219&lt;&gt;"",VLOOKUP(LEFT(Y219,2),cityindex,3,0),1)+W219*markup*difficulty*IF(Y219&lt;&gt;"",VLOOKUP(LEFT(Y219,2),cityindex,3,0),1)))-1))</f>
        <v>0</v>
      </c>
      <c r="S219" s="143">
        <f>U219*V219</f>
        <v>0</v>
      </c>
      <c r="X219" s="143">
        <f>SUM(R219,S219,W219)</f>
        <v>0</v>
      </c>
      <c r="AA219" s="623"/>
      <c r="AC219" s="613"/>
      <c r="AD219" s="604"/>
      <c r="AE219" s="236"/>
    </row>
    <row r="220" spans="4:31" x14ac:dyDescent="0.2">
      <c r="D220" s="228"/>
      <c r="E220" s="228"/>
      <c r="F220" s="228" t="s">
        <v>1727</v>
      </c>
      <c r="G220" s="228"/>
      <c r="H220" s="228"/>
      <c r="I220" s="230">
        <f>Z242*5/2000</f>
        <v>4.9649999999999999</v>
      </c>
      <c r="J220" s="231" t="s">
        <v>486</v>
      </c>
      <c r="K220" s="232">
        <f t="shared" ref="K220" si="137">R220*tax*markup*IF(Y220&lt;&gt;"",VLOOKUP(LEFT(Y220,2),cityindex,2,0),1)</f>
        <v>5080.9963413102696</v>
      </c>
      <c r="L220" s="232">
        <f t="shared" ref="L220" si="138">S220*markup*difficulty*IF(Y220&lt;&gt;"",VLOOKUP(LEFT(Y220,2),cityindex,3,0),1)</f>
        <v>723.58359600345295</v>
      </c>
      <c r="M220" s="232">
        <f t="shared" ref="M220" si="139">W220*markup*difficulty*IF(Y220&lt;&gt;"",VLOOKUP(LEFT(Y220,2),cityindex,3,0),1)</f>
        <v>202.92234555249857</v>
      </c>
      <c r="N220" s="232"/>
      <c r="O220" s="232">
        <f t="shared" ref="O220" si="140">SUM(K220:N220)*embed</f>
        <v>6007.5022828662213</v>
      </c>
      <c r="P220" s="233">
        <f t="shared" ref="P220" si="141">ROUND((O220*I220),0)</f>
        <v>29827</v>
      </c>
      <c r="Q220" s="291">
        <f t="shared" ref="Q220" si="142">IF(O220=0,0,IF(X220=0,"manual",(O220/(R220*tax*markup*IF(Y220&lt;&gt;"",VLOOKUP(LEFT(Y220,2),cityindex,2,0),1)+S220*markup*difficulty*IF(Y220&lt;&gt;"",VLOOKUP(LEFT(Y220,2),cityindex,3,0),1)+W220*markup*difficulty*IF(Y220&lt;&gt;"",VLOOKUP(LEFT(Y220,2),cityindex,3,0),1)))-1))</f>
        <v>0</v>
      </c>
      <c r="R220" s="143">
        <v>3770.0892002636092</v>
      </c>
      <c r="S220" s="143">
        <f t="shared" ref="S220" si="143">U220*V220</f>
        <v>581.19164337626739</v>
      </c>
      <c r="T220" s="143" t="s">
        <v>981</v>
      </c>
      <c r="U220" s="143">
        <v>47.073654544170012</v>
      </c>
      <c r="V220" s="143">
        <v>12.346431332008127</v>
      </c>
      <c r="W220" s="143">
        <v>162.98983578513941</v>
      </c>
      <c r="X220" s="143">
        <f t="shared" ref="X220" si="144">SUM(R220,S220,W220)</f>
        <v>4514.2706794250162</v>
      </c>
      <c r="Y220" s="143" t="s">
        <v>496</v>
      </c>
      <c r="AC220" s="619"/>
      <c r="AD220" s="604" t="s">
        <v>1714</v>
      </c>
    </row>
    <row r="221" spans="4:31" x14ac:dyDescent="0.2">
      <c r="D221" s="228"/>
      <c r="E221" s="228"/>
      <c r="F221" s="228"/>
      <c r="G221" s="228"/>
      <c r="H221" s="228"/>
      <c r="I221" s="230"/>
      <c r="J221" s="231"/>
      <c r="K221" s="232">
        <f t="shared" si="78"/>
        <v>0</v>
      </c>
      <c r="L221" s="232">
        <f t="shared" si="79"/>
        <v>0</v>
      </c>
      <c r="M221" s="232">
        <f t="shared" si="80"/>
        <v>0</v>
      </c>
      <c r="N221" s="232"/>
      <c r="O221" s="232">
        <f t="shared" si="81"/>
        <v>0</v>
      </c>
      <c r="P221" s="233">
        <f t="shared" si="82"/>
        <v>0</v>
      </c>
      <c r="Q221" s="291">
        <f t="shared" si="91"/>
        <v>0</v>
      </c>
      <c r="S221" s="143">
        <f t="shared" si="92"/>
        <v>0</v>
      </c>
      <c r="X221" s="143">
        <f t="shared" si="93"/>
        <v>0</v>
      </c>
      <c r="AC221" s="613">
        <f>I221-[1]BUILDING!$I203</f>
        <v>0</v>
      </c>
      <c r="AD221" s="604"/>
    </row>
    <row r="222" spans="4:31" x14ac:dyDescent="0.2">
      <c r="D222" s="228"/>
      <c r="E222" s="228" t="s">
        <v>1098</v>
      </c>
      <c r="F222" s="228"/>
      <c r="G222" s="228"/>
      <c r="H222" s="228"/>
      <c r="I222" s="230"/>
      <c r="J222" s="231"/>
      <c r="K222" s="232">
        <f>R222*tax*markup*IF(Y222&lt;&gt;"",VLOOKUP(LEFT(Y222,2),cityindex,2,0),1)</f>
        <v>0</v>
      </c>
      <c r="L222" s="232">
        <f>S222*markup*difficulty*IF(Y222&lt;&gt;"",VLOOKUP(LEFT(Y222,2),cityindex,3,0),1)</f>
        <v>0</v>
      </c>
      <c r="M222" s="232">
        <f>W222*markup*difficulty*IF(Y222&lt;&gt;"",VLOOKUP(LEFT(Y222,2),cityindex,3,0),1)</f>
        <v>0</v>
      </c>
      <c r="N222" s="232"/>
      <c r="O222" s="232">
        <f>SUM(K222:N222)*embed</f>
        <v>0</v>
      </c>
      <c r="P222" s="233">
        <f>ROUND((O222*I222),0)</f>
        <v>0</v>
      </c>
      <c r="Q222" s="291">
        <f>IF(O222=0,0,IF(X222=0,"manual",(O222/(R222*tax*markup*IF(Y222&lt;&gt;"",VLOOKUP(LEFT(Y222,2),cityindex,2,0),1)+S222*markup*difficulty*IF(Y222&lt;&gt;"",VLOOKUP(LEFT(Y222,2),cityindex,3,0),1)+W222*markup*difficulty*IF(Y222&lt;&gt;"",VLOOKUP(LEFT(Y222,2),cityindex,3,0),1)))-1))</f>
        <v>0</v>
      </c>
      <c r="S222" s="143">
        <f>U222*V222</f>
        <v>0</v>
      </c>
      <c r="X222" s="143">
        <f>SUM(R222,S222,W222)</f>
        <v>0</v>
      </c>
      <c r="Z222" s="311" t="s">
        <v>1181</v>
      </c>
      <c r="AC222" s="613">
        <f>I222-[1]BUILDING!$I204</f>
        <v>0</v>
      </c>
      <c r="AD222" s="604"/>
    </row>
    <row r="223" spans="4:31" ht="12" customHeight="1" x14ac:dyDescent="0.2">
      <c r="D223" s="228"/>
      <c r="E223" s="228"/>
      <c r="F223" s="228" t="s">
        <v>1435</v>
      </c>
      <c r="G223" s="228"/>
      <c r="H223" s="228"/>
      <c r="I223" s="230">
        <v>352</v>
      </c>
      <c r="J223" s="231" t="s">
        <v>309</v>
      </c>
      <c r="K223" s="232">
        <f>R223*tax*markup*IF(Y223&lt;&gt;"",VLOOKUP(LEFT(Y223,2),cityindex,2,0),1)</f>
        <v>86.321089990238065</v>
      </c>
      <c r="L223" s="232">
        <f>S223*markup*difficulty*IF(Y223&lt;&gt;"",VLOOKUP(LEFT(Y223,2),cityindex,3,0),1)</f>
        <v>30.637136669145988</v>
      </c>
      <c r="M223" s="232">
        <f>W223*markup*difficulty*IF(Y223&lt;&gt;"",VLOOKUP(LEFT(Y223,2),cityindex,3,0),1)</f>
        <v>2.2852861343378299</v>
      </c>
      <c r="N223" s="232"/>
      <c r="O223" s="232">
        <f>SUM(K223:N223)*embed</f>
        <v>119.24351279372188</v>
      </c>
      <c r="P223" s="233">
        <f>ROUND((O223*I223),0)</f>
        <v>41974</v>
      </c>
      <c r="Q223" s="291">
        <f>IF(O223=0,0,IF(X223=0,"manual",(O223/(R223*tax*markup*IF(Y223&lt;&gt;"",VLOOKUP(LEFT(Y223,2),cityindex,2,0),1)+S223*markup*difficulty*IF(Y223&lt;&gt;"",VLOOKUP(LEFT(Y223,2),cityindex,3,0),1)+W223*markup*difficulty*IF(Y223&lt;&gt;"",VLOOKUP(LEFT(Y223,2),cityindex,3,0),1)))-1))</f>
        <v>0</v>
      </c>
      <c r="R223" s="143">
        <v>64.050077438799491</v>
      </c>
      <c r="S223" s="143">
        <f>U223*V223</f>
        <v>24.608141902928502</v>
      </c>
      <c r="T223" s="143" t="s">
        <v>981</v>
      </c>
      <c r="U223" s="143">
        <v>47.073654544170012</v>
      </c>
      <c r="V223" s="143">
        <v>0.52275826343243148</v>
      </c>
      <c r="W223" s="143">
        <v>1.8355711922392206</v>
      </c>
      <c r="X223" s="143">
        <f>SUM(R223,S223,W223)</f>
        <v>90.493790533967214</v>
      </c>
      <c r="Y223" s="143" t="s">
        <v>547</v>
      </c>
      <c r="AC223" s="613">
        <f>I223-[1]BUILDING!$I205</f>
        <v>0</v>
      </c>
      <c r="AD223" s="604" t="s">
        <v>1313</v>
      </c>
    </row>
    <row r="224" spans="4:31" x14ac:dyDescent="0.2">
      <c r="D224" s="228"/>
      <c r="E224" s="228"/>
      <c r="F224" s="228" t="s">
        <v>1436</v>
      </c>
      <c r="G224" s="228"/>
      <c r="H224" s="228"/>
      <c r="I224" s="230">
        <v>20</v>
      </c>
      <c r="J224" s="231" t="s">
        <v>309</v>
      </c>
      <c r="K224" s="232">
        <f>R224*tax*markup*IF(Y224&lt;&gt;"",VLOOKUP(LEFT(Y224,2),cityindex,2,0),1)</f>
        <v>65.16788193943384</v>
      </c>
      <c r="L224" s="232">
        <f>S224*markup*difficulty*IF(Y224&lt;&gt;"",VLOOKUP(LEFT(Y224,2),cityindex,3,0),1)</f>
        <v>13.621679613490713</v>
      </c>
      <c r="M224" s="232">
        <f>W224*markup*difficulty*IF(Y224&lt;&gt;"",VLOOKUP(LEFT(Y224,2),cityindex,3,0),1)</f>
        <v>0.77083757526485308</v>
      </c>
      <c r="N224" s="232"/>
      <c r="O224" s="232">
        <f>SUM(K224:N224)*embed</f>
        <v>79.560399128189403</v>
      </c>
      <c r="P224" s="233">
        <f>ROUND((O224*I224),0)</f>
        <v>1591</v>
      </c>
      <c r="Q224" s="291">
        <f>IF(O224=0,0,IF(X224=0,"manual",(O224/(R224*tax*markup*IF(Y224&lt;&gt;"",VLOOKUP(LEFT(Y224,2),cityindex,2,0),1)+S224*markup*difficulty*IF(Y224&lt;&gt;"",VLOOKUP(LEFT(Y224,2),cityindex,3,0),1)+W224*markup*difficulty*IF(Y224&lt;&gt;"",VLOOKUP(LEFT(Y224,2),cityindex,3,0),1)))-1))</f>
        <v>0</v>
      </c>
      <c r="R224" s="143">
        <v>48.354439050935447</v>
      </c>
      <c r="S224" s="143">
        <f>U224*V224</f>
        <v>10.941108123285712</v>
      </c>
      <c r="T224" s="143" t="s">
        <v>981</v>
      </c>
      <c r="U224" s="143">
        <v>47.073654544170012</v>
      </c>
      <c r="V224" s="143">
        <v>0.23242529668095949</v>
      </c>
      <c r="W224" s="143">
        <v>0.61914664679907871</v>
      </c>
      <c r="X224" s="143">
        <f>SUM(R224,S224,W224)</f>
        <v>59.914693821020236</v>
      </c>
      <c r="Y224" s="143" t="s">
        <v>545</v>
      </c>
      <c r="AC224" s="613">
        <f>I224-[1]BUILDING!$I206</f>
        <v>0</v>
      </c>
      <c r="AD224" s="604" t="s">
        <v>1313</v>
      </c>
    </row>
    <row r="225" spans="2:30" x14ac:dyDescent="0.2">
      <c r="D225" s="228"/>
      <c r="E225" s="228"/>
      <c r="F225" s="228" t="s">
        <v>1437</v>
      </c>
      <c r="G225" s="228"/>
      <c r="H225" s="228"/>
      <c r="I225" s="230">
        <v>1</v>
      </c>
      <c r="J225" s="231" t="s">
        <v>390</v>
      </c>
      <c r="K225" s="232">
        <f>R225*tax*markup*IF(Y225&lt;&gt;"",VLOOKUP(LEFT(Y225,2),cityindex,2,0),1)</f>
        <v>876.13626456960526</v>
      </c>
      <c r="L225" s="232">
        <f>S225*markup*difficulty*IF(Y225&lt;&gt;"",VLOOKUP(LEFT(Y225,2),cityindex,3,0),1)</f>
        <v>932.47665881894181</v>
      </c>
      <c r="M225" s="232">
        <f>W225*markup*difficulty*IF(Y225&lt;&gt;"",VLOOKUP(LEFT(Y225,2),cityindex,3,0),1)</f>
        <v>69.306746995959244</v>
      </c>
      <c r="N225" s="232"/>
      <c r="O225" s="232">
        <f>SUM(K225:N225)*embed</f>
        <v>1877.9196703845064</v>
      </c>
      <c r="P225" s="233">
        <f>ROUND((O225*I225),0)</f>
        <v>1878</v>
      </c>
      <c r="Q225" s="291">
        <f>IF(O225=0,0,IF(X225=0,"manual",(O225/(R225*tax*markup*IF(Y225&lt;&gt;"",VLOOKUP(LEFT(Y225,2),cityindex,2,0),1)+S225*markup*difficulty*IF(Y225&lt;&gt;"",VLOOKUP(LEFT(Y225,2),cityindex,3,0),1)+W225*markup*difficulty*IF(Y225&lt;&gt;"",VLOOKUP(LEFT(Y225,2),cityindex,3,0),1)))-1))</f>
        <v>0</v>
      </c>
      <c r="R225" s="143">
        <v>650.09136931623414</v>
      </c>
      <c r="S225" s="143">
        <f>U225*V225</f>
        <v>748.97723599915003</v>
      </c>
      <c r="T225" s="143" t="s">
        <v>1148</v>
      </c>
      <c r="U225" s="143">
        <v>55.865061889943924</v>
      </c>
      <c r="V225" s="143">
        <v>13.406898885651657</v>
      </c>
      <c r="W225" s="143">
        <v>55.668069876272483</v>
      </c>
      <c r="X225" s="143">
        <f>SUM(R225,S225,W225)</f>
        <v>1454.7366751916566</v>
      </c>
      <c r="Y225" s="143" t="s">
        <v>1431</v>
      </c>
      <c r="AC225" s="613">
        <f>I225-[1]BUILDING!$I207</f>
        <v>0</v>
      </c>
      <c r="AD225" s="604" t="s">
        <v>1313</v>
      </c>
    </row>
    <row r="226" spans="2:30" x14ac:dyDescent="0.2">
      <c r="D226" s="228"/>
      <c r="E226" s="228"/>
      <c r="F226" s="228" t="s">
        <v>1333</v>
      </c>
      <c r="G226" s="228"/>
      <c r="H226" s="228"/>
      <c r="I226" s="230">
        <v>1</v>
      </c>
      <c r="J226" s="231" t="s">
        <v>390</v>
      </c>
      <c r="K226" s="232">
        <f>R226*tax*markup*IF(Y226&lt;&gt;"",VLOOKUP(LEFT(Y226,2),cityindex,2,0),1)</f>
        <v>1178.2421484595777</v>
      </c>
      <c r="L226" s="232">
        <f>S226*markup*difficulty*IF(Y226&lt;&gt;"",VLOOKUP(LEFT(Y226,2),cityindex,3,0),1)</f>
        <v>67.113071963479698</v>
      </c>
      <c r="M226" s="232">
        <f>W226*markup*difficulty*IF(Y226&lt;&gt;"",VLOOKUP(LEFT(Y226,2),cityindex,3,0),1)</f>
        <v>0</v>
      </c>
      <c r="N226" s="232"/>
      <c r="O226" s="232">
        <f>SUM(K226:N226)*embed</f>
        <v>1245.3552204230575</v>
      </c>
      <c r="P226" s="233">
        <f>ROUND((O226*I226),0)</f>
        <v>1245</v>
      </c>
      <c r="Q226" s="291">
        <f>IF(O226=0,0,IF(X226=0,"manual",(O226/(R226*tax*markup*IF(Y226&lt;&gt;"",VLOOKUP(LEFT(Y226,2),cityindex,2,0),1)+S226*markup*difficulty*IF(Y226&lt;&gt;"",VLOOKUP(LEFT(Y226,2),cityindex,3,0),1)+W226*markup*difficulty*IF(Y226&lt;&gt;"",VLOOKUP(LEFT(Y226,2),cityindex,3,0),1)))-1))</f>
        <v>0</v>
      </c>
      <c r="R226" s="143">
        <v>874.25333552933409</v>
      </c>
      <c r="S226" s="143">
        <f>U226*V226</f>
        <v>53.906081898377266</v>
      </c>
      <c r="T226" s="143" t="s">
        <v>968</v>
      </c>
      <c r="U226" s="143">
        <v>50.790085122442285</v>
      </c>
      <c r="V226" s="143">
        <v>1.0613504932788178</v>
      </c>
      <c r="W226" s="143">
        <v>0</v>
      </c>
      <c r="X226" s="143">
        <f>SUM(R226,S226,W226)</f>
        <v>928.15941742771133</v>
      </c>
      <c r="Y226" s="143" t="s">
        <v>1332</v>
      </c>
      <c r="AA226" s="586">
        <f>P226/(3.5^2)</f>
        <v>101.63265306122449</v>
      </c>
      <c r="AC226" s="613">
        <f>I226-[1]BUILDING!$I208</f>
        <v>0</v>
      </c>
      <c r="AD226" s="604" t="s">
        <v>1313</v>
      </c>
    </row>
    <row r="227" spans="2:30" x14ac:dyDescent="0.2">
      <c r="K227" s="149">
        <f t="shared" si="78"/>
        <v>0</v>
      </c>
      <c r="L227" s="149">
        <f t="shared" si="79"/>
        <v>0</v>
      </c>
      <c r="M227" s="149">
        <f t="shared" si="80"/>
        <v>0</v>
      </c>
      <c r="N227" s="149"/>
      <c r="O227" s="149">
        <f t="shared" si="81"/>
        <v>0</v>
      </c>
      <c r="P227" s="216">
        <f t="shared" si="82"/>
        <v>0</v>
      </c>
      <c r="Q227" s="291">
        <f>IF(O227=0,0,IF(X227=0,"manual",O227/((R227*tax*markup*IF(Y227&lt;&gt;"",VLOOKUP(LEFT(Y227,2),cityindex,2,0),1))+S227*markup*difficulty*IF(Y227&lt;&gt;"",VLOOKUP(LEFT(Y227,2),cityindex,3,0),1)+W227*markup*difficulty*IF(Y227&lt;&gt;"",VLOOKUP(LEFT(Y227,2),cityindex,3,0),1))))</f>
        <v>0</v>
      </c>
      <c r="S227" s="143">
        <f t="shared" si="92"/>
        <v>0</v>
      </c>
      <c r="X227" s="143">
        <f t="shared" si="93"/>
        <v>0</v>
      </c>
      <c r="AC227" s="613">
        <f>I227-[1]BUILDING!$I209</f>
        <v>0</v>
      </c>
      <c r="AD227" s="604"/>
    </row>
    <row r="228" spans="2:30" ht="24.75" customHeight="1" x14ac:dyDescent="0.2">
      <c r="D228" s="217" t="str">
        <f>"TOTAL - " &amp; D195</f>
        <v>TOTAL - 05  METALS</v>
      </c>
      <c r="E228" s="217"/>
      <c r="F228" s="217"/>
      <c r="G228" s="217"/>
      <c r="H228" s="217"/>
      <c r="I228" s="218"/>
      <c r="J228" s="219"/>
      <c r="K228" s="220"/>
      <c r="L228" s="220"/>
      <c r="M228" s="220"/>
      <c r="N228" s="220"/>
      <c r="O228" s="221"/>
      <c r="P228" s="222">
        <f>SUM(P195:P227)</f>
        <v>480334</v>
      </c>
      <c r="Q228" s="294" t="str">
        <f>_xlfn.CONCAT(TEXT(SUM(P228/GFA),"$#,##0.00"),"/SF")</f>
        <v>$15.26/SF</v>
      </c>
      <c r="S228" s="143">
        <f t="shared" si="92"/>
        <v>0</v>
      </c>
      <c r="X228" s="143">
        <f t="shared" si="93"/>
        <v>0</v>
      </c>
      <c r="Z228" s="314"/>
      <c r="AA228" s="315"/>
      <c r="AC228" s="613">
        <f>I228-[1]BUILDING!$I210</f>
        <v>0</v>
      </c>
      <c r="AD228" s="604"/>
    </row>
    <row r="229" spans="2:30" x14ac:dyDescent="0.2">
      <c r="K229" s="149">
        <f t="shared" ref="K229:K232" si="145">R229*tax*markup*IF(Y229&lt;&gt;"",VLOOKUP(LEFT(Y229,2),cityindex,2,0),1)</f>
        <v>0</v>
      </c>
      <c r="L229" s="149">
        <f t="shared" ref="L229:L232" si="146">S229*markup*difficulty*IF(Y229&lt;&gt;"",VLOOKUP(LEFT(Y229,2),cityindex,3,0),1)</f>
        <v>0</v>
      </c>
      <c r="M229" s="149">
        <f t="shared" ref="M229:M232" si="147">W229*markup*difficulty*IF(Y229&lt;&gt;"",VLOOKUP(LEFT(Y229,2),cityindex,3,0),1)</f>
        <v>0</v>
      </c>
      <c r="N229" s="149"/>
      <c r="O229" s="149">
        <f t="shared" ref="O229:O232" si="148">SUM(K229:N229)*embed</f>
        <v>0</v>
      </c>
      <c r="P229" s="216">
        <f t="shared" ref="P229:P232" si="149">ROUND((O229*I229),0)</f>
        <v>0</v>
      </c>
      <c r="Q229" s="291">
        <f>IF(O229=0,0,IF(X229=0,"manual",O229/((R229*tax*markup*IF(Y229&lt;&gt;"",VLOOKUP(LEFT(Y229,2),cityindex,2,0),1))+S229*markup*difficulty*IF(Y229&lt;&gt;"",VLOOKUP(LEFT(Y229,2),cityindex,3,0),1)+W229*markup*difficulty*IF(Y229&lt;&gt;"",VLOOKUP(LEFT(Y229,2),cityindex,3,0),1))))</f>
        <v>0</v>
      </c>
      <c r="S229" s="143">
        <f t="shared" si="92"/>
        <v>0</v>
      </c>
      <c r="X229" s="143">
        <f t="shared" si="93"/>
        <v>0</v>
      </c>
      <c r="AC229" s="613">
        <f>I229-[1]BUILDING!$I211</f>
        <v>0</v>
      </c>
      <c r="AD229" s="604"/>
    </row>
    <row r="230" spans="2:30" x14ac:dyDescent="0.2">
      <c r="D230" s="214" t="s">
        <v>272</v>
      </c>
      <c r="E230" s="215"/>
      <c r="F230" s="215"/>
      <c r="G230" s="215"/>
      <c r="H230" s="215"/>
      <c r="K230" s="149">
        <f t="shared" si="145"/>
        <v>0</v>
      </c>
      <c r="L230" s="149">
        <f t="shared" si="146"/>
        <v>0</v>
      </c>
      <c r="M230" s="149">
        <f t="shared" si="147"/>
        <v>0</v>
      </c>
      <c r="N230" s="149"/>
      <c r="O230" s="149">
        <f t="shared" si="148"/>
        <v>0</v>
      </c>
      <c r="P230" s="216">
        <f t="shared" si="149"/>
        <v>0</v>
      </c>
      <c r="Q230" s="291">
        <f>IF(O230=0,0,IF(X230=0,"manual",O230/((R230*tax*markup*IF(Y230&lt;&gt;"",VLOOKUP(LEFT(Y230,2),cityindex,2,0),1))+S230*markup*difficulty*IF(Y230&lt;&gt;"",VLOOKUP(LEFT(Y230,2),cityindex,3,0),1)+W230*markup*difficulty*IF(Y230&lt;&gt;"",VLOOKUP(LEFT(Y230,2),cityindex,3,0),1))))</f>
        <v>0</v>
      </c>
      <c r="S230" s="143">
        <f t="shared" si="92"/>
        <v>0</v>
      </c>
      <c r="X230" s="143">
        <f t="shared" si="93"/>
        <v>0</v>
      </c>
      <c r="AC230" s="613">
        <f>I230-[1]BUILDING!$I212</f>
        <v>0</v>
      </c>
      <c r="AD230" s="604"/>
    </row>
    <row r="231" spans="2:30" x14ac:dyDescent="0.2">
      <c r="D231" s="228"/>
      <c r="E231" s="228" t="s">
        <v>1844</v>
      </c>
      <c r="F231" s="342"/>
      <c r="G231" s="228"/>
      <c r="H231" s="228"/>
      <c r="I231" s="230">
        <f>AQ4</f>
        <v>26380</v>
      </c>
      <c r="J231" s="231" t="s">
        <v>301</v>
      </c>
      <c r="K231" s="232">
        <f>R231*tax*markup*IF(Y231&lt;&gt;"",VLOOKUP(LEFT(Y231,2),cityindex,2,0),1)</f>
        <v>0</v>
      </c>
      <c r="L231" s="232">
        <f>S231*markup*difficulty*IF(Y231&lt;&gt;"",VLOOKUP(LEFT(Y231,2),cityindex,3,0),1)</f>
        <v>0</v>
      </c>
      <c r="M231" s="232">
        <f>W231*markup*difficulty*IF(Y231&lt;&gt;"",VLOOKUP(LEFT(Y231,2),cityindex,3,0),1)</f>
        <v>0</v>
      </c>
      <c r="N231" s="232">
        <v>0.45</v>
      </c>
      <c r="O231" s="232">
        <f>SUM(K231:N231)*embed</f>
        <v>0.45</v>
      </c>
      <c r="P231" s="233">
        <f>ROUND((O231*I231),0)</f>
        <v>11871</v>
      </c>
      <c r="Q231" s="291" t="str">
        <f>IF(O231=0,0,IF(X231=0,"manual",(O231/(R231*tax*markup*IF(Y231&lt;&gt;"",VLOOKUP(LEFT(Y231,2),cityindex,2,0),1)+S231*markup*difficulty*IF(Y231&lt;&gt;"",VLOOKUP(LEFT(Y231,2),cityindex,3,0),1)+W231*markup*difficulty*IF(Y231&lt;&gt;"",VLOOKUP(LEFT(Y231,2),cityindex,3,0),1)))-1))</f>
        <v>manual</v>
      </c>
      <c r="S231" s="143">
        <f>U231*V231</f>
        <v>0</v>
      </c>
      <c r="X231" s="143">
        <f>SUM(R231,S231,W231)</f>
        <v>0</v>
      </c>
      <c r="AC231" s="613">
        <f>I231-[1]BUILDING!$I213</f>
        <v>0</v>
      </c>
      <c r="AD231" s="604"/>
    </row>
    <row r="232" spans="2:30" x14ac:dyDescent="0.2">
      <c r="K232" s="149">
        <f t="shared" si="145"/>
        <v>0</v>
      </c>
      <c r="L232" s="149">
        <f t="shared" si="146"/>
        <v>0</v>
      </c>
      <c r="M232" s="149">
        <f t="shared" si="147"/>
        <v>0</v>
      </c>
      <c r="N232" s="149"/>
      <c r="O232" s="149">
        <f t="shared" si="148"/>
        <v>0</v>
      </c>
      <c r="P232" s="216">
        <f t="shared" si="149"/>
        <v>0</v>
      </c>
      <c r="Q232" s="291">
        <f>IF(O232=0,0,IF(X232=0,"manual",O232/((R232*tax*markup*IF(Y232&lt;&gt;"",VLOOKUP(LEFT(Y232,2),cityindex,2,0),1))+S232*markup*difficulty*IF(Y232&lt;&gt;"",VLOOKUP(LEFT(Y232,2),cityindex,3,0),1)+W232*markup*difficulty*IF(Y232&lt;&gt;"",VLOOKUP(LEFT(Y232,2),cityindex,3,0),1))))</f>
        <v>0</v>
      </c>
      <c r="S232" s="143">
        <f t="shared" si="92"/>
        <v>0</v>
      </c>
      <c r="X232" s="143">
        <f t="shared" si="93"/>
        <v>0</v>
      </c>
      <c r="AC232" s="613">
        <f>I232-[1]BUILDING!$I214</f>
        <v>0</v>
      </c>
      <c r="AD232" s="604"/>
    </row>
    <row r="233" spans="2:30" ht="24.75" customHeight="1" x14ac:dyDescent="0.2">
      <c r="D233" s="217" t="str">
        <f>"TOTAL - " &amp; D230</f>
        <v>TOTAL - 06  WOOD, PLASTICS, AND COMPOSITES</v>
      </c>
      <c r="E233" s="217"/>
      <c r="F233" s="217"/>
      <c r="G233" s="217"/>
      <c r="H233" s="217"/>
      <c r="I233" s="218"/>
      <c r="J233" s="219"/>
      <c r="K233" s="220"/>
      <c r="L233" s="220"/>
      <c r="M233" s="220"/>
      <c r="N233" s="220"/>
      <c r="O233" s="221"/>
      <c r="P233" s="222">
        <f>SUM(P230:P232)</f>
        <v>11871</v>
      </c>
      <c r="Q233" s="294" t="str">
        <f>_xlfn.CONCAT(TEXT(SUM(P233/GFA),"$#,##0.00"),"/SF")</f>
        <v>$0.38/SF</v>
      </c>
      <c r="S233" s="143">
        <f t="shared" si="92"/>
        <v>0</v>
      </c>
      <c r="X233" s="143">
        <f t="shared" si="93"/>
        <v>0</v>
      </c>
      <c r="Z233" s="314"/>
      <c r="AA233" s="315"/>
      <c r="AC233" s="613">
        <f>I233-[1]BUILDING!$I215</f>
        <v>0</v>
      </c>
      <c r="AD233" s="607"/>
    </row>
    <row r="234" spans="2:30" x14ac:dyDescent="0.2">
      <c r="K234" s="149">
        <f t="shared" ref="K234:K261" si="150">R234*tax*markup*IF(Y234&lt;&gt;"",VLOOKUP(LEFT(Y234,2),cityindex,2,0),1)</f>
        <v>0</v>
      </c>
      <c r="L234" s="149">
        <f t="shared" ref="L234:L261" si="151">S234*markup*difficulty*IF(Y234&lt;&gt;"",VLOOKUP(LEFT(Y234,2),cityindex,3,0),1)</f>
        <v>0</v>
      </c>
      <c r="M234" s="149">
        <f t="shared" ref="M234:M261" si="152">W234*markup*difficulty*IF(Y234&lt;&gt;"",VLOOKUP(LEFT(Y234,2),cityindex,3,0),1)</f>
        <v>0</v>
      </c>
      <c r="N234" s="149"/>
      <c r="O234" s="149">
        <f t="shared" ref="O234:O261" si="153">SUM(K234:N234)*embed</f>
        <v>0</v>
      </c>
      <c r="P234" s="216">
        <f t="shared" ref="P234:P261" si="154">ROUND((O234*I234),0)</f>
        <v>0</v>
      </c>
      <c r="Q234" s="291">
        <f>IF(O234=0,0,IF(X234=0,"manual",O234/((R234*tax*markup*IF(Y234&lt;&gt;"",VLOOKUP(LEFT(Y234,2),cityindex,2,0),1))+S234*markup*difficulty*IF(Y234&lt;&gt;"",VLOOKUP(LEFT(Y234,2),cityindex,3,0),1)+W234*markup*difficulty*IF(Y234&lt;&gt;"",VLOOKUP(LEFT(Y234,2),cityindex,3,0),1))))</f>
        <v>0</v>
      </c>
      <c r="S234" s="143">
        <f t="shared" si="92"/>
        <v>0</v>
      </c>
      <c r="X234" s="143">
        <f t="shared" si="93"/>
        <v>0</v>
      </c>
      <c r="AC234" s="613">
        <f>I234-[1]BUILDING!$I216</f>
        <v>0</v>
      </c>
      <c r="AD234" s="607"/>
    </row>
    <row r="235" spans="2:30" x14ac:dyDescent="0.2">
      <c r="D235" s="214" t="s">
        <v>273</v>
      </c>
      <c r="E235" s="215"/>
      <c r="F235" s="215"/>
      <c r="G235" s="215"/>
      <c r="H235" s="215"/>
      <c r="K235" s="149">
        <f t="shared" si="150"/>
        <v>0</v>
      </c>
      <c r="L235" s="149">
        <f t="shared" si="151"/>
        <v>0</v>
      </c>
      <c r="M235" s="149">
        <f t="shared" si="152"/>
        <v>0</v>
      </c>
      <c r="N235" s="149"/>
      <c r="O235" s="149">
        <f t="shared" si="153"/>
        <v>0</v>
      </c>
      <c r="P235" s="216">
        <f t="shared" si="154"/>
        <v>0</v>
      </c>
      <c r="Q235" s="291">
        <f>IF(O235=0,0,IF(X235=0,"manual",O235/((R235*tax*markup*IF(Y235&lt;&gt;"",VLOOKUP(LEFT(Y235,2),cityindex,2,0),1))+S235*markup*difficulty*IF(Y235&lt;&gt;"",VLOOKUP(LEFT(Y235,2),cityindex,3,0),1)+W235*markup*difficulty*IF(Y235&lt;&gt;"",VLOOKUP(LEFT(Y235,2),cityindex,3,0),1))))</f>
        <v>0</v>
      </c>
      <c r="S235" s="143">
        <f t="shared" si="92"/>
        <v>0</v>
      </c>
      <c r="X235" s="143">
        <f t="shared" si="93"/>
        <v>0</v>
      </c>
      <c r="AC235" s="613">
        <f>I235-[1]BUILDING!$I217</f>
        <v>0</v>
      </c>
      <c r="AD235" s="607"/>
    </row>
    <row r="236" spans="2:30" s="107" customFormat="1" x14ac:dyDescent="0.2">
      <c r="B236" s="325"/>
      <c r="C236" s="326"/>
      <c r="D236" s="327"/>
      <c r="E236" s="327" t="s">
        <v>1106</v>
      </c>
      <c r="F236" s="327"/>
      <c r="G236" s="327"/>
      <c r="H236" s="327"/>
      <c r="I236" s="328"/>
      <c r="J236" s="329"/>
      <c r="K236" s="330">
        <f t="shared" si="150"/>
        <v>0</v>
      </c>
      <c r="L236" s="330">
        <f t="shared" si="151"/>
        <v>0</v>
      </c>
      <c r="M236" s="330">
        <f t="shared" si="152"/>
        <v>0</v>
      </c>
      <c r="N236" s="330"/>
      <c r="O236" s="330">
        <f t="shared" si="153"/>
        <v>0</v>
      </c>
      <c r="P236" s="637">
        <f t="shared" si="154"/>
        <v>0</v>
      </c>
      <c r="Q236" s="331">
        <f t="shared" ref="Q236:Q258" si="155">IF(O236=0,0,IF(X236=0,"manual",(O236/(R236*tax*markup*IF(Y236&lt;&gt;"",VLOOKUP(LEFT(Y236,2),cityindex,2,0),1)+S236*markup*difficulty*IF(Y236&lt;&gt;"",VLOOKUP(LEFT(Y236,2),cityindex,3,0),1)+W236*markup*difficulty*IF(Y236&lt;&gt;"",VLOOKUP(LEFT(Y236,2),cityindex,3,0),1)))-1))</f>
        <v>0</v>
      </c>
      <c r="S236" s="107">
        <f t="shared" si="92"/>
        <v>0</v>
      </c>
      <c r="X236" s="107">
        <f t="shared" si="93"/>
        <v>0</v>
      </c>
      <c r="Z236" s="332"/>
      <c r="AC236" s="613">
        <f>I236-[1]BUILDING!$I218</f>
        <v>0</v>
      </c>
      <c r="AD236" s="607"/>
    </row>
    <row r="237" spans="2:30" s="107" customFormat="1" x14ac:dyDescent="0.2">
      <c r="B237" s="325"/>
      <c r="C237" s="326"/>
      <c r="D237" s="327"/>
      <c r="E237" s="327"/>
      <c r="F237" s="228" t="s">
        <v>1361</v>
      </c>
      <c r="G237" s="327"/>
      <c r="H237" s="327"/>
      <c r="I237" s="328">
        <f>I109</f>
        <v>24517</v>
      </c>
      <c r="J237" s="329" t="s">
        <v>301</v>
      </c>
      <c r="K237" s="330">
        <f>R237*tax*markup*IF(Y237&lt;&gt;"",VLOOKUP(LEFT(Y237,2),cityindex,2,0),1)</f>
        <v>15.450566093046195</v>
      </c>
      <c r="L237" s="330">
        <f>S237*markup*difficulty*IF(Y237&lt;&gt;"",VLOOKUP(LEFT(Y237,2),cityindex,3,0),1)</f>
        <v>3.1572176039637028</v>
      </c>
      <c r="M237" s="330">
        <f>W237*markup*difficulty*IF(Y237&lt;&gt;"",VLOOKUP(LEFT(Y237,2),cityindex,3,0),1)</f>
        <v>0</v>
      </c>
      <c r="N237" s="330"/>
      <c r="O237" s="330">
        <f>SUM(K237:N237)*embed</f>
        <v>18.607783697009896</v>
      </c>
      <c r="P237" s="637">
        <f>ROUND((O237*I237),0)</f>
        <v>456207</v>
      </c>
      <c r="Q237" s="331">
        <f>IF(O237=0,0,IF(X237=0,"manual",(O237/(R237*tax*markup*IF(Y237&lt;&gt;"",VLOOKUP(LEFT(Y237,2),cityindex,2,0),1)+S237*markup*difficulty*IF(Y237&lt;&gt;"",VLOOKUP(LEFT(Y237,2),cityindex,3,0),1)+W237*markup*difficulty*IF(Y237&lt;&gt;"",VLOOKUP(LEFT(Y237,2),cityindex,3,0),1)))-1))</f>
        <v>0</v>
      </c>
      <c r="R237" s="107">
        <v>11.464289374066201</v>
      </c>
      <c r="S237" s="107">
        <f>U237*V237</f>
        <v>2.5359177541877127</v>
      </c>
      <c r="T237" s="107" t="s">
        <v>1148</v>
      </c>
      <c r="U237" s="107">
        <v>55.865061889943924</v>
      </c>
      <c r="V237" s="107">
        <v>4.5393626506376329E-2</v>
      </c>
      <c r="W237" s="107">
        <v>0</v>
      </c>
      <c r="X237" s="107">
        <f>SUM(R237,S237,W237)</f>
        <v>14.000207128253914</v>
      </c>
      <c r="Y237" s="107" t="s">
        <v>1359</v>
      </c>
      <c r="Z237" s="332"/>
      <c r="AA237" s="587"/>
      <c r="AC237" s="613">
        <f>I237-[1]BUILDING!$I219</f>
        <v>215</v>
      </c>
      <c r="AD237" s="604" t="s">
        <v>1712</v>
      </c>
    </row>
    <row r="238" spans="2:30" s="107" customFormat="1" x14ac:dyDescent="0.2">
      <c r="B238" s="325"/>
      <c r="C238" s="326"/>
      <c r="D238" s="327"/>
      <c r="E238" s="327"/>
      <c r="F238" s="228" t="s">
        <v>1360</v>
      </c>
      <c r="G238" s="327"/>
      <c r="H238" s="327"/>
      <c r="I238" s="328">
        <f>I237</f>
        <v>24517</v>
      </c>
      <c r="J238" s="329" t="s">
        <v>301</v>
      </c>
      <c r="K238" s="330">
        <f>R238*tax*markup*IF(Y238&lt;&gt;"",VLOOKUP(LEFT(Y238,2),cityindex,2,0),1)</f>
        <v>0.88804816015848742</v>
      </c>
      <c r="L238" s="330">
        <f>S238*markup*difficulty*IF(Y238&lt;&gt;"",VLOOKUP(LEFT(Y238,2),cityindex,3,0),1)</f>
        <v>0.55335274420657776</v>
      </c>
      <c r="M238" s="330">
        <f>W238*markup*difficulty*IF(Y238&lt;&gt;"",VLOOKUP(LEFT(Y238,2),cityindex,3,0),1)</f>
        <v>0</v>
      </c>
      <c r="N238" s="330"/>
      <c r="O238" s="330">
        <f>SUM(K238:N238)*embed</f>
        <v>1.4414009043650653</v>
      </c>
      <c r="P238" s="637">
        <f>ROUND((O238*I238),0)</f>
        <v>35339</v>
      </c>
      <c r="Q238" s="331">
        <f>IF(O238=0,0,IF(X238=0,"manual",(O238/(R238*tax*markup*IF(Y238&lt;&gt;"",VLOOKUP(LEFT(Y238,2),cityindex,2,0),1)+S238*markup*difficulty*IF(Y238&lt;&gt;"",VLOOKUP(LEFT(Y238,2),cityindex,3,0),1)+W238*markup*difficulty*IF(Y238&lt;&gt;"",VLOOKUP(LEFT(Y238,2),cityindex,3,0),1)))-1))</f>
        <v>0</v>
      </c>
      <c r="R238" s="107">
        <v>0.658929972199922</v>
      </c>
      <c r="S238" s="107">
        <f>U238*V238</f>
        <v>0.44446003550729135</v>
      </c>
      <c r="T238" s="107" t="s">
        <v>968</v>
      </c>
      <c r="U238" s="107">
        <v>50.790085122442285</v>
      </c>
      <c r="V238" s="107">
        <v>8.7509212563004878E-3</v>
      </c>
      <c r="W238" s="107">
        <v>0</v>
      </c>
      <c r="X238" s="107">
        <f>SUM(R238,S238,W238)</f>
        <v>1.1033900077072134</v>
      </c>
      <c r="Y238" s="107" t="s">
        <v>614</v>
      </c>
      <c r="Z238" s="332"/>
      <c r="AA238" s="587"/>
      <c r="AC238" s="613">
        <f>I238-[1]BUILDING!$I220</f>
        <v>215</v>
      </c>
      <c r="AD238" s="604"/>
    </row>
    <row r="239" spans="2:30" s="107" customFormat="1" x14ac:dyDescent="0.2">
      <c r="B239" s="325"/>
      <c r="C239" s="326"/>
      <c r="D239" s="327"/>
      <c r="E239" s="327"/>
      <c r="F239" s="228" t="s">
        <v>1570</v>
      </c>
      <c r="G239" s="327"/>
      <c r="H239" s="327"/>
      <c r="I239" s="328">
        <v>4643</v>
      </c>
      <c r="J239" s="329" t="s">
        <v>301</v>
      </c>
      <c r="K239" s="330">
        <f>R239*tax*markup*IF(Y239&lt;&gt;"",VLOOKUP(LEFT(Y239,2),cityindex,2,0),1)</f>
        <v>15.450566093046195</v>
      </c>
      <c r="L239" s="330">
        <f>S239*markup*difficulty*IF(Y239&lt;&gt;"",VLOOKUP(LEFT(Y239,2),cityindex,3,0),1)</f>
        <v>3.1572176039637028</v>
      </c>
      <c r="M239" s="330">
        <f>W239*markup*difficulty*IF(Y239&lt;&gt;"",VLOOKUP(LEFT(Y239,2),cityindex,3,0),1)</f>
        <v>0</v>
      </c>
      <c r="N239" s="330"/>
      <c r="O239" s="330">
        <f>SUM(K239:N239)*embed</f>
        <v>18.607783697009896</v>
      </c>
      <c r="P239" s="637">
        <f>ROUND((O239*I239),0)</f>
        <v>86396</v>
      </c>
      <c r="Q239" s="331">
        <f>IF(O239=0,0,IF(X239=0,"manual",(O239/(R239*tax*markup*IF(Y239&lt;&gt;"",VLOOKUP(LEFT(Y239,2),cityindex,2,0),1)+S239*markup*difficulty*IF(Y239&lt;&gt;"",VLOOKUP(LEFT(Y239,2),cityindex,3,0),1)+W239*markup*difficulty*IF(Y239&lt;&gt;"",VLOOKUP(LEFT(Y239,2),cityindex,3,0),1)))-1))</f>
        <v>0</v>
      </c>
      <c r="R239" s="107">
        <v>11.464289374066201</v>
      </c>
      <c r="S239" s="107">
        <f>U239*V239</f>
        <v>2.5359177541877127</v>
      </c>
      <c r="T239" s="107" t="s">
        <v>1148</v>
      </c>
      <c r="U239" s="107">
        <v>55.865061889943924</v>
      </c>
      <c r="V239" s="107">
        <v>4.5393626506376329E-2</v>
      </c>
      <c r="W239" s="107">
        <v>0</v>
      </c>
      <c r="X239" s="107">
        <f>SUM(R239,S239,W239)</f>
        <v>14.000207128253914</v>
      </c>
      <c r="Y239" s="107" t="s">
        <v>1359</v>
      </c>
      <c r="Z239" s="332"/>
      <c r="AA239" s="587"/>
      <c r="AC239" s="613">
        <f>I239-[1]BUILDING!$I221</f>
        <v>0</v>
      </c>
      <c r="AD239" s="604"/>
    </row>
    <row r="240" spans="2:30" s="107" customFormat="1" x14ac:dyDescent="0.2">
      <c r="B240" s="325"/>
      <c r="C240" s="326"/>
      <c r="D240" s="327"/>
      <c r="E240" s="327"/>
      <c r="F240" s="327"/>
      <c r="G240" s="327"/>
      <c r="H240" s="327"/>
      <c r="I240" s="328"/>
      <c r="J240" s="329"/>
      <c r="K240" s="330">
        <f t="shared" si="150"/>
        <v>0</v>
      </c>
      <c r="L240" s="330">
        <f t="shared" si="151"/>
        <v>0</v>
      </c>
      <c r="M240" s="330">
        <f t="shared" si="152"/>
        <v>0</v>
      </c>
      <c r="N240" s="330"/>
      <c r="O240" s="330">
        <f t="shared" si="153"/>
        <v>0</v>
      </c>
      <c r="P240" s="637">
        <f t="shared" si="154"/>
        <v>0</v>
      </c>
      <c r="Q240" s="331">
        <f t="shared" si="155"/>
        <v>0</v>
      </c>
      <c r="S240" s="107">
        <f t="shared" si="92"/>
        <v>0</v>
      </c>
      <c r="X240" s="107">
        <f t="shared" si="93"/>
        <v>0</v>
      </c>
      <c r="Z240" s="332"/>
      <c r="AC240" s="613">
        <f>I240-[1]BUILDING!$I222</f>
        <v>0</v>
      </c>
      <c r="AD240" s="604"/>
    </row>
    <row r="241" spans="2:30" x14ac:dyDescent="0.2">
      <c r="D241" s="228"/>
      <c r="E241" s="228" t="s">
        <v>1103</v>
      </c>
      <c r="F241" s="228"/>
      <c r="G241" s="228"/>
      <c r="H241" s="228"/>
      <c r="I241" s="230"/>
      <c r="J241" s="231"/>
      <c r="K241" s="232">
        <f t="shared" si="150"/>
        <v>0</v>
      </c>
      <c r="L241" s="232">
        <f t="shared" si="151"/>
        <v>0</v>
      </c>
      <c r="M241" s="232">
        <f t="shared" si="152"/>
        <v>0</v>
      </c>
      <c r="N241" s="232"/>
      <c r="O241" s="232">
        <f t="shared" si="153"/>
        <v>0</v>
      </c>
      <c r="P241" s="233">
        <f t="shared" si="154"/>
        <v>0</v>
      </c>
      <c r="Q241" s="291">
        <f t="shared" si="155"/>
        <v>0</v>
      </c>
      <c r="S241" s="143">
        <f t="shared" si="92"/>
        <v>0</v>
      </c>
      <c r="X241" s="143">
        <f t="shared" si="93"/>
        <v>0</v>
      </c>
      <c r="Z241" s="573" t="s">
        <v>301</v>
      </c>
      <c r="AA241" s="573" t="s">
        <v>1702</v>
      </c>
      <c r="AB241" s="573"/>
      <c r="AC241" s="613">
        <f>I241-[1]BUILDING!$I223</f>
        <v>0</v>
      </c>
      <c r="AD241" s="604"/>
    </row>
    <row r="242" spans="2:30" s="107" customFormat="1" x14ac:dyDescent="0.2">
      <c r="B242" s="325"/>
      <c r="C242" s="326"/>
      <c r="D242" s="327"/>
      <c r="E242" s="327"/>
      <c r="F242" s="327" t="s">
        <v>1105</v>
      </c>
      <c r="G242" s="327"/>
      <c r="H242" s="327"/>
      <c r="I242" s="328">
        <f>Z242+AA242*1.15</f>
        <v>2191.85</v>
      </c>
      <c r="J242" s="329" t="s">
        <v>301</v>
      </c>
      <c r="K242" s="330">
        <f t="shared" si="150"/>
        <v>5.7855026096351709</v>
      </c>
      <c r="L242" s="330">
        <f t="shared" si="151"/>
        <v>2.7562812604989873</v>
      </c>
      <c r="M242" s="330">
        <f t="shared" si="152"/>
        <v>0</v>
      </c>
      <c r="N242" s="330"/>
      <c r="O242" s="330">
        <f t="shared" si="153"/>
        <v>8.5417838701341573</v>
      </c>
      <c r="P242" s="637">
        <f t="shared" si="154"/>
        <v>18722</v>
      </c>
      <c r="Q242" s="331">
        <f t="shared" si="155"/>
        <v>0</v>
      </c>
      <c r="R242" s="107">
        <v>4.2928314530251601</v>
      </c>
      <c r="S242" s="107">
        <f t="shared" si="92"/>
        <v>2.2138805305212745</v>
      </c>
      <c r="T242" s="107" t="s">
        <v>982</v>
      </c>
      <c r="U242" s="107">
        <v>46.631314605846775</v>
      </c>
      <c r="V242" s="107">
        <v>4.7476262447975065E-2</v>
      </c>
      <c r="W242" s="107">
        <v>0</v>
      </c>
      <c r="X242" s="107">
        <f t="shared" si="93"/>
        <v>6.5067119835464347</v>
      </c>
      <c r="Y242" s="107" t="s">
        <v>1102</v>
      </c>
      <c r="Z242" s="624">
        <v>1986</v>
      </c>
      <c r="AA242" s="624">
        <v>179</v>
      </c>
      <c r="AB242" s="624"/>
      <c r="AC242" s="613">
        <f>I242-[1]BUILDING!$I224</f>
        <v>113.84999999999991</v>
      </c>
      <c r="AD242" s="604" t="s">
        <v>1716</v>
      </c>
    </row>
    <row r="243" spans="2:30" s="107" customFormat="1" x14ac:dyDescent="0.2">
      <c r="B243" s="325"/>
      <c r="C243" s="326"/>
      <c r="D243" s="327"/>
      <c r="E243" s="327"/>
      <c r="F243" s="327" t="s">
        <v>1719</v>
      </c>
      <c r="G243" s="327"/>
      <c r="H243" s="327"/>
      <c r="I243" s="328">
        <f>AA242*3</f>
        <v>537</v>
      </c>
      <c r="J243" s="329" t="s">
        <v>309</v>
      </c>
      <c r="K243" s="330">
        <f>R243*tax*markup*IF(Y243&lt;&gt;"",VLOOKUP(LEFT(Y243,2),cityindex,2,0),1)</f>
        <v>0.84779902171007038</v>
      </c>
      <c r="L243" s="330">
        <f>S243*markup*difficulty*IF(Y243&lt;&gt;"",VLOOKUP(LEFT(Y243,2),cityindex,3,0),1)</f>
        <v>1.0628410521962313</v>
      </c>
      <c r="M243" s="330">
        <f>W243*markup*difficulty*IF(Y243&lt;&gt;"",VLOOKUP(LEFT(Y243,2),cityindex,3,0),1)</f>
        <v>0</v>
      </c>
      <c r="N243" s="330"/>
      <c r="O243" s="330">
        <f>SUM(K243:N243)*embed</f>
        <v>1.9106400739063016</v>
      </c>
      <c r="P243" s="637">
        <f>ROUND((O243*I243),0)</f>
        <v>1026</v>
      </c>
      <c r="Q243" s="331">
        <f>IF(O243=0,0,IF(X243=0,"manual",(O243/(R243*tax*markup*IF(Y243&lt;&gt;"",VLOOKUP(LEFT(Y243,2),cityindex,2,0),1)+S243*markup*difficulty*IF(Y243&lt;&gt;"",VLOOKUP(LEFT(Y243,2),cityindex,3,0),1)+W243*markup*difficulty*IF(Y243&lt;&gt;"",VLOOKUP(LEFT(Y243,2),cityindex,3,0),1)))-1))</f>
        <v>0</v>
      </c>
      <c r="R243" s="107">
        <v>0.62906519135948524</v>
      </c>
      <c r="S243" s="107">
        <f>U243*V243</f>
        <v>0.85368759212548695</v>
      </c>
      <c r="T243" s="107" t="s">
        <v>968</v>
      </c>
      <c r="U243" s="107">
        <v>50.790085122442285</v>
      </c>
      <c r="V243" s="107">
        <v>1.6808154388153872E-2</v>
      </c>
      <c r="W243" s="107">
        <v>0</v>
      </c>
      <c r="X243" s="107">
        <f>SUM(R243,S243,W243)</f>
        <v>1.4827527834849721</v>
      </c>
      <c r="Y243" s="107" t="s">
        <v>1718</v>
      </c>
      <c r="Z243" s="624"/>
      <c r="AA243" s="624"/>
      <c r="AB243" s="624"/>
      <c r="AC243" s="613"/>
      <c r="AD243" s="604" t="s">
        <v>1316</v>
      </c>
    </row>
    <row r="244" spans="2:30" x14ac:dyDescent="0.2">
      <c r="D244" s="228"/>
      <c r="F244" s="228" t="s">
        <v>1721</v>
      </c>
      <c r="G244" s="228"/>
      <c r="H244" s="228"/>
      <c r="I244" s="230">
        <f>Z242</f>
        <v>1986</v>
      </c>
      <c r="J244" s="231" t="s">
        <v>301</v>
      </c>
      <c r="K244" s="232">
        <f>R244*tax*markup*IF(Y244&lt;&gt;"",VLOOKUP(LEFT(Y244,2),cityindex,2,0),1)</f>
        <v>1.4586075321662351</v>
      </c>
      <c r="L244" s="232">
        <f>S244*markup*difficulty*IF(Y244&lt;&gt;"",VLOOKUP(LEFT(Y244,2),cityindex,3,0),1)</f>
        <v>0.58395789417351418</v>
      </c>
      <c r="M244" s="232">
        <f>W244*markup*difficulty*IF(Y244&lt;&gt;"",VLOOKUP(LEFT(Y244,2),cityindex,3,0),1)</f>
        <v>0</v>
      </c>
      <c r="N244" s="232"/>
      <c r="O244" s="232">
        <f>SUM(K244:N244)*embed</f>
        <v>2.042565426339749</v>
      </c>
      <c r="P244" s="233">
        <f>ROUND((O244*I244),0)</f>
        <v>4057</v>
      </c>
      <c r="Q244" s="291">
        <f>IF(O244=0,0,IF(X244=0,"manual",(O244/(R244*tax*markup*IF(Y244&lt;&gt;"",VLOOKUP(LEFT(Y244,2),cityindex,2,0),1)+S244*markup*difficulty*IF(Y244&lt;&gt;"",VLOOKUP(LEFT(Y244,2),cityindex,3,0),1)+W244*markup*difficulty*IF(Y244&lt;&gt;"",VLOOKUP(LEFT(Y244,2),cityindex,3,0),1)))-1))</f>
        <v>0</v>
      </c>
      <c r="R244" s="143">
        <v>1.0822838937579304</v>
      </c>
      <c r="S244" s="143">
        <f>U244*V244</f>
        <v>0.46904248527993103</v>
      </c>
      <c r="T244" s="143" t="s">
        <v>982</v>
      </c>
      <c r="U244" s="143">
        <v>46.631314605846775</v>
      </c>
      <c r="V244" s="143">
        <v>1.0058530179655734E-2</v>
      </c>
      <c r="W244" s="143">
        <v>0</v>
      </c>
      <c r="X244" s="143">
        <f>SUM(R244,S244,W244)</f>
        <v>1.5513263790378615</v>
      </c>
      <c r="Y244" s="143" t="s">
        <v>1717</v>
      </c>
      <c r="AC244" s="613"/>
      <c r="AD244" s="604" t="s">
        <v>1316</v>
      </c>
    </row>
    <row r="245" spans="2:30" x14ac:dyDescent="0.2">
      <c r="D245" s="228"/>
      <c r="E245" s="228"/>
      <c r="F245" s="228" t="s">
        <v>1725</v>
      </c>
      <c r="G245" s="228"/>
      <c r="H245" s="228"/>
      <c r="I245" s="230">
        <f>I242</f>
        <v>2191.85</v>
      </c>
      <c r="J245" s="231" t="s">
        <v>301</v>
      </c>
      <c r="K245" s="232">
        <f>R245*tax*markup*IF(Y245&lt;&gt;"",VLOOKUP(LEFT(Y245,2),cityindex,2,0),1)*1.5</f>
        <v>5.1219199424372412</v>
      </c>
      <c r="L245" s="232">
        <f t="shared" si="151"/>
        <v>0.33198006283764275</v>
      </c>
      <c r="M245" s="232">
        <f t="shared" si="152"/>
        <v>0</v>
      </c>
      <c r="N245" s="232"/>
      <c r="O245" s="232">
        <f t="shared" si="153"/>
        <v>5.4539000052748836</v>
      </c>
      <c r="P245" s="233">
        <f t="shared" si="154"/>
        <v>11954</v>
      </c>
      <c r="Q245" s="291">
        <f t="shared" si="155"/>
        <v>0.45569574395538948</v>
      </c>
      <c r="R245" s="143">
        <v>2.5336362873818867</v>
      </c>
      <c r="S245" s="143">
        <f t="shared" si="92"/>
        <v>0.26665065288164075</v>
      </c>
      <c r="T245" s="143" t="s">
        <v>982</v>
      </c>
      <c r="U245" s="143">
        <v>46.631314605846775</v>
      </c>
      <c r="V245" s="143">
        <v>5.7182744071342844E-3</v>
      </c>
      <c r="W245" s="143">
        <v>0</v>
      </c>
      <c r="X245" s="143">
        <f t="shared" si="93"/>
        <v>2.8002869402635273</v>
      </c>
      <c r="Y245" s="143" t="s">
        <v>1104</v>
      </c>
      <c r="AC245" s="613">
        <f>I245-[1]BUILDING!$I225</f>
        <v>113.84999999999991</v>
      </c>
      <c r="AD245" s="604" t="s">
        <v>1647</v>
      </c>
    </row>
    <row r="246" spans="2:30" x14ac:dyDescent="0.2">
      <c r="D246" s="228"/>
      <c r="E246" s="228"/>
      <c r="F246" s="228"/>
      <c r="G246" s="228"/>
      <c r="H246" s="228"/>
      <c r="I246" s="230"/>
      <c r="J246" s="231"/>
      <c r="K246" s="232">
        <f t="shared" si="150"/>
        <v>0</v>
      </c>
      <c r="L246" s="232">
        <f t="shared" si="151"/>
        <v>0</v>
      </c>
      <c r="M246" s="232">
        <f t="shared" si="152"/>
        <v>0</v>
      </c>
      <c r="N246" s="232"/>
      <c r="O246" s="232">
        <f t="shared" si="153"/>
        <v>0</v>
      </c>
      <c r="P246" s="233">
        <f t="shared" si="154"/>
        <v>0</v>
      </c>
      <c r="Q246" s="291">
        <f t="shared" si="155"/>
        <v>0</v>
      </c>
      <c r="S246" s="143">
        <f t="shared" si="92"/>
        <v>0</v>
      </c>
      <c r="X246" s="143">
        <f t="shared" si="93"/>
        <v>0</v>
      </c>
      <c r="Z246" s="333"/>
      <c r="AC246" s="613">
        <f>I246-[1]BUILDING!$I226</f>
        <v>0</v>
      </c>
      <c r="AD246" s="604"/>
    </row>
    <row r="247" spans="2:30" x14ac:dyDescent="0.2">
      <c r="D247" s="228"/>
      <c r="E247" s="228" t="s">
        <v>1130</v>
      </c>
      <c r="F247" s="228"/>
      <c r="G247" s="228"/>
      <c r="H247" s="228"/>
      <c r="I247" s="230"/>
      <c r="J247" s="231"/>
      <c r="K247" s="232">
        <f t="shared" si="150"/>
        <v>0</v>
      </c>
      <c r="L247" s="232">
        <f t="shared" si="151"/>
        <v>0</v>
      </c>
      <c r="M247" s="232">
        <f t="shared" si="152"/>
        <v>0</v>
      </c>
      <c r="N247" s="232"/>
      <c r="O247" s="232">
        <f t="shared" si="153"/>
        <v>0</v>
      </c>
      <c r="P247" s="233">
        <f t="shared" si="154"/>
        <v>0</v>
      </c>
      <c r="Q247" s="291">
        <f t="shared" si="155"/>
        <v>0</v>
      </c>
      <c r="S247" s="143">
        <f t="shared" si="92"/>
        <v>0</v>
      </c>
      <c r="X247" s="143">
        <f t="shared" si="93"/>
        <v>0</v>
      </c>
      <c r="Z247" s="333"/>
      <c r="AC247" s="613">
        <f>I247-[1]BUILDING!$I227</f>
        <v>0</v>
      </c>
      <c r="AD247" s="604"/>
    </row>
    <row r="248" spans="2:30" x14ac:dyDescent="0.2">
      <c r="D248" s="228"/>
      <c r="F248" s="228" t="s">
        <v>1147</v>
      </c>
      <c r="G248" s="228"/>
      <c r="H248" s="228"/>
      <c r="I248" s="230">
        <v>15837</v>
      </c>
      <c r="J248" s="231" t="s">
        <v>301</v>
      </c>
      <c r="K248" s="232">
        <f t="shared" si="150"/>
        <v>19.744125865927639</v>
      </c>
      <c r="L248" s="232">
        <f t="shared" si="151"/>
        <v>3.0073831549935974</v>
      </c>
      <c r="M248" s="232">
        <f t="shared" si="152"/>
        <v>0</v>
      </c>
      <c r="N248" s="232"/>
      <c r="O248" s="232">
        <f t="shared" si="153"/>
        <v>22.751509020921237</v>
      </c>
      <c r="P248" s="233">
        <f t="shared" si="154"/>
        <v>360316</v>
      </c>
      <c r="Q248" s="291">
        <f t="shared" si="155"/>
        <v>0</v>
      </c>
      <c r="R248" s="143">
        <v>14.650102203494914</v>
      </c>
      <c r="S248" s="143">
        <f t="shared" si="92"/>
        <v>2.4155687991916444</v>
      </c>
      <c r="T248" s="143" t="s">
        <v>982</v>
      </c>
      <c r="U248" s="143">
        <v>46.631314605846775</v>
      </c>
      <c r="V248" s="143">
        <v>5.1801430425227023E-2</v>
      </c>
      <c r="W248" s="143">
        <v>0</v>
      </c>
      <c r="X248" s="143">
        <f t="shared" si="93"/>
        <v>17.065671002686557</v>
      </c>
      <c r="Y248" s="143" t="s">
        <v>983</v>
      </c>
      <c r="AC248" s="613">
        <f>I248-[1]BUILDING!$I228</f>
        <v>0</v>
      </c>
      <c r="AD248" s="604" t="s">
        <v>1313</v>
      </c>
    </row>
    <row r="249" spans="2:30" x14ac:dyDescent="0.2">
      <c r="D249" s="228"/>
      <c r="E249" s="228"/>
      <c r="F249" s="228" t="s">
        <v>1584</v>
      </c>
      <c r="G249" s="228"/>
      <c r="H249" s="228"/>
      <c r="I249" s="230">
        <f>I248</f>
        <v>15837</v>
      </c>
      <c r="J249" s="231" t="s">
        <v>301</v>
      </c>
      <c r="K249" s="232">
        <f>R249*tax*markup*IF(Y249&lt;&gt;"",VLOOKUP(LEFT(Y249,2),cityindex,2,0),1)</f>
        <v>0.78874359890584511</v>
      </c>
      <c r="L249" s="232">
        <f>S249*markup*difficulty*IF(Y249&lt;&gt;"",VLOOKUP(LEFT(Y249,2),cityindex,3,0),1)</f>
        <v>0.75089966473210779</v>
      </c>
      <c r="M249" s="232">
        <f>W249*markup*difficulty*IF(Y249&lt;&gt;"",VLOOKUP(LEFT(Y249,2),cityindex,3,0),1)</f>
        <v>0</v>
      </c>
      <c r="N249" s="232"/>
      <c r="O249" s="232">
        <f>SUM(K249:N249)*embed</f>
        <v>1.5396432636379529</v>
      </c>
      <c r="P249" s="233">
        <f>ROUND((O249*I249),0)</f>
        <v>24383</v>
      </c>
      <c r="Q249" s="291">
        <f>IF(O249=0,0,IF(X249=0,"manual",(O249/(R249*tax*markup*IF(Y249&lt;&gt;"",VLOOKUP(LEFT(Y249,2),cityindex,2,0),1)+S249*markup*difficulty*IF(Y249&lt;&gt;"",VLOOKUP(LEFT(Y249,2),cityindex,3,0),1)+W249*markup*difficulty*IF(Y249&lt;&gt;"",VLOOKUP(LEFT(Y249,2),cityindex,3,0),1)))-1))</f>
        <v>0</v>
      </c>
      <c r="R249" s="143">
        <v>0.58524618485459257</v>
      </c>
      <c r="S249" s="143">
        <f>U249*V249</f>
        <v>0.60313226082900218</v>
      </c>
      <c r="T249" s="143" t="s">
        <v>968</v>
      </c>
      <c r="U249" s="143">
        <v>50.790085122442285</v>
      </c>
      <c r="V249" s="143">
        <v>1.1875E-2</v>
      </c>
      <c r="W249" s="143">
        <v>0</v>
      </c>
      <c r="X249" s="143">
        <f>SUM(R249,S249,W249)</f>
        <v>1.1883784456835946</v>
      </c>
      <c r="Y249" s="143" t="s">
        <v>1149</v>
      </c>
      <c r="AC249" s="613">
        <f>I249-[1]BUILDING!$I229</f>
        <v>0</v>
      </c>
      <c r="AD249" s="604" t="s">
        <v>1313</v>
      </c>
    </row>
    <row r="250" spans="2:30" s="107" customFormat="1" x14ac:dyDescent="0.2">
      <c r="B250" s="325"/>
      <c r="C250" s="326"/>
      <c r="D250" s="327"/>
      <c r="E250" s="327"/>
      <c r="F250" s="327" t="s">
        <v>1724</v>
      </c>
      <c r="G250" s="327"/>
      <c r="H250" s="327"/>
      <c r="I250" s="328">
        <f>AA242*1.2</f>
        <v>214.79999999999998</v>
      </c>
      <c r="J250" s="329" t="s">
        <v>301</v>
      </c>
      <c r="K250" s="330">
        <f>R250*tax*markup*IF(Y250&lt;&gt;"",VLOOKUP(LEFT(Y250,2),cityindex,2,0),1)</f>
        <v>1.5297243756292518</v>
      </c>
      <c r="L250" s="330">
        <f>S250*markup*difficulty*IF(Y250&lt;&gt;"",VLOOKUP(LEFT(Y250,2),cityindex,3,0),1)</f>
        <v>0.75405832854482635</v>
      </c>
      <c r="M250" s="330">
        <f>W250*markup*difficulty*IF(Y250&lt;&gt;"",VLOOKUP(LEFT(Y250,2),cityindex,3,0),1)</f>
        <v>0</v>
      </c>
      <c r="N250" s="330"/>
      <c r="O250" s="330">
        <f>SUM(K250:N250)*embed</f>
        <v>2.2837827041740781</v>
      </c>
      <c r="P250" s="637">
        <f>ROUND((O250*I250),0)</f>
        <v>491</v>
      </c>
      <c r="Q250" s="331">
        <f>IF(O250=0,0,IF(X250=0,"manual",(O250/(R250*tax*markup*IF(Y250&lt;&gt;"",VLOOKUP(LEFT(Y250,2),cityindex,2,0),1)+S250*markup*difficulty*IF(Y250&lt;&gt;"",VLOOKUP(LEFT(Y250,2),cityindex,3,0),1)+W250*markup*difficulty*IF(Y250&lt;&gt;"",VLOOKUP(LEFT(Y250,2),cityindex,3,0),1)))-1))</f>
        <v>0</v>
      </c>
      <c r="R250" s="107">
        <v>1.1350524504515997</v>
      </c>
      <c r="S250" s="107">
        <f>U250*V250</f>
        <v>0.60566934019664764</v>
      </c>
      <c r="T250" s="107" t="s">
        <v>968</v>
      </c>
      <c r="U250" s="107">
        <v>50.790085122442285</v>
      </c>
      <c r="V250" s="107">
        <v>1.1924952256656574E-2</v>
      </c>
      <c r="W250" s="107">
        <v>0</v>
      </c>
      <c r="X250" s="107">
        <f>SUM(R250,S250,W250)</f>
        <v>1.7407217906482475</v>
      </c>
      <c r="Y250" s="107" t="s">
        <v>1720</v>
      </c>
      <c r="Z250" s="624"/>
      <c r="AA250" s="624"/>
      <c r="AB250" s="624"/>
      <c r="AC250" s="613"/>
      <c r="AD250" s="604" t="s">
        <v>1316</v>
      </c>
    </row>
    <row r="251" spans="2:30" x14ac:dyDescent="0.2">
      <c r="D251" s="228"/>
      <c r="E251" s="228"/>
      <c r="F251" s="228" t="s">
        <v>1723</v>
      </c>
      <c r="G251" s="228"/>
      <c r="H251" s="228"/>
      <c r="I251" s="230">
        <f>AA242*1.2</f>
        <v>214.79999999999998</v>
      </c>
      <c r="J251" s="231" t="s">
        <v>301</v>
      </c>
      <c r="K251" s="232">
        <f>R251*tax*markup*IF(Y251&lt;&gt;"",VLOOKUP(LEFT(Y251,2),cityindex,2,0),1)</f>
        <v>0.88804816015848742</v>
      </c>
      <c r="L251" s="232">
        <f>S251*markup*difficulty*IF(Y251&lt;&gt;"",VLOOKUP(LEFT(Y251,2),cityindex,3,0),1)</f>
        <v>0.55335274420657776</v>
      </c>
      <c r="M251" s="232">
        <f>W251*markup*difficulty*IF(Y251&lt;&gt;"",VLOOKUP(LEFT(Y251,2),cityindex,3,0),1)</f>
        <v>0</v>
      </c>
      <c r="N251" s="232"/>
      <c r="O251" s="232">
        <f>SUM(K251:N251)*embed</f>
        <v>1.4414009043650653</v>
      </c>
      <c r="P251" s="233">
        <f>ROUND((O251*I251),0)</f>
        <v>310</v>
      </c>
      <c r="Q251" s="291">
        <f>IF(O251=0,0,IF(X251=0,"manual",(O251/(R251*tax*markup*IF(Y251&lt;&gt;"",VLOOKUP(LEFT(Y251,2),cityindex,2,0),1)+S251*markup*difficulty*IF(Y251&lt;&gt;"",VLOOKUP(LEFT(Y251,2),cityindex,3,0),1)+W251*markup*difficulty*IF(Y251&lt;&gt;"",VLOOKUP(LEFT(Y251,2),cityindex,3,0),1)))-1))</f>
        <v>0</v>
      </c>
      <c r="R251" s="143">
        <v>0.658929972199922</v>
      </c>
      <c r="S251" s="143">
        <f>U251*V251</f>
        <v>0.44446003550729135</v>
      </c>
      <c r="T251" s="143" t="s">
        <v>968</v>
      </c>
      <c r="U251" s="143">
        <v>50.790085122442285</v>
      </c>
      <c r="V251" s="143">
        <v>8.7509212563004878E-3</v>
      </c>
      <c r="W251" s="143">
        <v>0</v>
      </c>
      <c r="X251" s="143">
        <f>SUM(R251,S251,W251)</f>
        <v>1.1033900077072134</v>
      </c>
      <c r="Y251" s="143" t="s">
        <v>614</v>
      </c>
      <c r="AC251" s="613"/>
      <c r="AD251" s="604" t="s">
        <v>1316</v>
      </c>
    </row>
    <row r="252" spans="2:30" x14ac:dyDescent="0.2">
      <c r="D252" s="228"/>
      <c r="E252" s="228"/>
      <c r="F252" s="228"/>
      <c r="G252" s="228"/>
      <c r="H252" s="228"/>
      <c r="I252" s="230"/>
      <c r="J252" s="231"/>
      <c r="K252" s="232">
        <f t="shared" si="150"/>
        <v>0</v>
      </c>
      <c r="L252" s="232">
        <f t="shared" si="151"/>
        <v>0</v>
      </c>
      <c r="M252" s="232">
        <f t="shared" si="152"/>
        <v>0</v>
      </c>
      <c r="N252" s="232"/>
      <c r="O252" s="232">
        <f t="shared" si="153"/>
        <v>0</v>
      </c>
      <c r="P252" s="233">
        <f t="shared" si="154"/>
        <v>0</v>
      </c>
      <c r="Q252" s="291">
        <f t="shared" si="155"/>
        <v>0</v>
      </c>
      <c r="S252" s="143">
        <f t="shared" si="92"/>
        <v>0</v>
      </c>
      <c r="X252" s="143">
        <f t="shared" si="93"/>
        <v>0</v>
      </c>
      <c r="AC252" s="613">
        <f>I252-[1]BUILDING!$I230</f>
        <v>0</v>
      </c>
      <c r="AD252" s="604"/>
    </row>
    <row r="253" spans="2:30" x14ac:dyDescent="0.2">
      <c r="D253" s="228"/>
      <c r="E253" s="228" t="s">
        <v>1098</v>
      </c>
      <c r="F253" s="228"/>
      <c r="G253" s="228"/>
      <c r="H253" s="228"/>
      <c r="I253" s="230"/>
      <c r="J253" s="231"/>
      <c r="K253" s="232">
        <f t="shared" si="150"/>
        <v>0</v>
      </c>
      <c r="L253" s="232">
        <f t="shared" si="151"/>
        <v>0</v>
      </c>
      <c r="M253" s="232">
        <f t="shared" si="152"/>
        <v>0</v>
      </c>
      <c r="N253" s="232"/>
      <c r="O253" s="232">
        <f t="shared" si="153"/>
        <v>0</v>
      </c>
      <c r="P253" s="233">
        <f t="shared" si="154"/>
        <v>0</v>
      </c>
      <c r="Q253" s="291">
        <f t="shared" si="155"/>
        <v>0</v>
      </c>
      <c r="S253" s="143">
        <f t="shared" ref="S253:S433" si="156">U253*V253</f>
        <v>0</v>
      </c>
      <c r="X253" s="143">
        <f t="shared" ref="X253:X433" si="157">SUM(R253,S253,W253)</f>
        <v>0</v>
      </c>
      <c r="AC253" s="613">
        <f>I253-[1]BUILDING!$I231</f>
        <v>0</v>
      </c>
      <c r="AD253" s="604"/>
    </row>
    <row r="254" spans="2:30" x14ac:dyDescent="0.2">
      <c r="D254" s="228"/>
      <c r="E254" s="228"/>
      <c r="F254" s="228" t="s">
        <v>1365</v>
      </c>
      <c r="G254" s="228"/>
      <c r="H254" s="228"/>
      <c r="I254" s="230">
        <f>I248</f>
        <v>15837</v>
      </c>
      <c r="J254" s="231" t="s">
        <v>301</v>
      </c>
      <c r="K254" s="232">
        <f>R254*tax*markup*IF(Y254&lt;&gt;"",VLOOKUP(LEFT(Y254,2),cityindex,2,0),1)</f>
        <v>0.79705308191763291</v>
      </c>
      <c r="L254" s="232">
        <f>S254*markup*difficulty*IF(Y254&lt;&gt;"",VLOOKUP(LEFT(Y254,2),cityindex,3,0),1)</f>
        <v>0.89045269182667697</v>
      </c>
      <c r="M254" s="232">
        <f>W254*markup*difficulty*IF(Y254&lt;&gt;"",VLOOKUP(LEFT(Y254,2),cityindex,3,0),1)</f>
        <v>0</v>
      </c>
      <c r="N254" s="232"/>
      <c r="O254" s="232">
        <f>SUM(K254:N254)*embed</f>
        <v>1.6875057737443098</v>
      </c>
      <c r="P254" s="233">
        <f>ROUND((O254*I254),0)</f>
        <v>26725</v>
      </c>
      <c r="Q254" s="291">
        <f>IF(O254=0,0,IF(X254=0,"manual",(O254/(R254*tax*markup*IF(Y254&lt;&gt;"",VLOOKUP(LEFT(Y254,2),cityindex,2,0),1)+S254*markup*difficulty*IF(Y254&lt;&gt;"",VLOOKUP(LEFT(Y254,2),cityindex,3,0),1)+W254*markup*difficulty*IF(Y254&lt;&gt;"",VLOOKUP(LEFT(Y254,2),cityindex,3,0),1)))-1))</f>
        <v>0</v>
      </c>
      <c r="R254" s="143">
        <v>0.59141180475630584</v>
      </c>
      <c r="S254" s="143">
        <f>U254*V254</f>
        <v>0.71522304564391714</v>
      </c>
      <c r="T254" s="143" t="s">
        <v>968</v>
      </c>
      <c r="U254" s="143">
        <v>50.790085122442285</v>
      </c>
      <c r="V254" s="143">
        <v>1.4081942251518027E-2</v>
      </c>
      <c r="W254" s="143">
        <v>0</v>
      </c>
      <c r="X254" s="143">
        <f>SUM(R254,S254,W254)</f>
        <v>1.306634850400223</v>
      </c>
      <c r="Y254" s="143" t="s">
        <v>984</v>
      </c>
      <c r="AC254" s="613">
        <f>I254-[1]BUILDING!$I232</f>
        <v>0</v>
      </c>
      <c r="AD254" s="604" t="s">
        <v>1313</v>
      </c>
    </row>
    <row r="255" spans="2:30" x14ac:dyDescent="0.2">
      <c r="D255" s="228"/>
      <c r="E255" s="228"/>
      <c r="F255" s="228" t="s">
        <v>1363</v>
      </c>
      <c r="G255" s="228"/>
      <c r="H255" s="228"/>
      <c r="I255" s="230">
        <v>620</v>
      </c>
      <c r="J255" s="231" t="s">
        <v>301</v>
      </c>
      <c r="K255" s="232">
        <f>R255*tax*markup*IF(Y255&lt;&gt;"",VLOOKUP(LEFT(Y255,2),cityindex,2,0),1)</f>
        <v>16.266314577856949</v>
      </c>
      <c r="L255" s="232">
        <f>S255*markup*difficulty*IF(Y255&lt;&gt;"",VLOOKUP(LEFT(Y255,2),cityindex,3,0),1)</f>
        <v>1.8995513838085185</v>
      </c>
      <c r="M255" s="232">
        <f>W255*markup*difficulty*IF(Y255&lt;&gt;"",VLOOKUP(LEFT(Y255,2),cityindex,3,0),1)</f>
        <v>0</v>
      </c>
      <c r="N255" s="232"/>
      <c r="O255" s="232">
        <f>SUM(K255:N255)*embed</f>
        <v>18.165865961665467</v>
      </c>
      <c r="P255" s="233">
        <f>ROUND((O255*I255),0)</f>
        <v>11263</v>
      </c>
      <c r="Q255" s="291">
        <f>IF(O255=0,0,IF(X255=0,"manual",(O255/(R255*tax*markup*IF(Y255&lt;&gt;"",VLOOKUP(LEFT(Y255,2),cityindex,2,0),1)+S255*markup*difficulty*IF(Y255&lt;&gt;"",VLOOKUP(LEFT(Y255,2),cityindex,3,0),1)+W255*markup*difficulty*IF(Y255&lt;&gt;"",VLOOKUP(LEFT(Y255,2),cityindex,3,0),1)))-1))</f>
        <v>0</v>
      </c>
      <c r="R255" s="143">
        <v>12.06957313066173</v>
      </c>
      <c r="S255" s="143">
        <f>U255*V255</f>
        <v>1.525744083380336</v>
      </c>
      <c r="T255" s="143" t="s">
        <v>965</v>
      </c>
      <c r="U255" s="143">
        <v>30.337316807306259</v>
      </c>
      <c r="V255" s="143">
        <v>5.0292650898278675E-2</v>
      </c>
      <c r="W255" s="143">
        <v>0</v>
      </c>
      <c r="X255" s="143">
        <f>SUM(R255,S255,W255)</f>
        <v>13.595317214042066</v>
      </c>
      <c r="Y255" s="143" t="s">
        <v>1364</v>
      </c>
      <c r="AC255" s="613">
        <f>I255-[1]BUILDING!$I233</f>
        <v>0</v>
      </c>
      <c r="AD255" s="604" t="s">
        <v>1313</v>
      </c>
    </row>
    <row r="256" spans="2:30" x14ac:dyDescent="0.2">
      <c r="D256" s="228"/>
      <c r="E256" s="228"/>
      <c r="F256" s="228" t="s">
        <v>1146</v>
      </c>
      <c r="G256" s="228"/>
      <c r="H256" s="228"/>
      <c r="I256" s="230">
        <f>66+AA242</f>
        <v>245</v>
      </c>
      <c r="J256" s="231" t="s">
        <v>309</v>
      </c>
      <c r="K256" s="232">
        <f>R256*tax*markup*IF(Y256&lt;&gt;"",VLOOKUP(LEFT(Y256,2),cityindex,2,0),1)</f>
        <v>6.3981273616486316</v>
      </c>
      <c r="L256" s="232">
        <f>S256*markup*difficulty*IF(Y256&lt;&gt;"",VLOOKUP(LEFT(Y256,2),cityindex,3,0),1)</f>
        <v>9.1602340989416167</v>
      </c>
      <c r="M256" s="232">
        <f>W256*markup*difficulty*IF(Y256&lt;&gt;"",VLOOKUP(LEFT(Y256,2),cityindex,3,0),1)</f>
        <v>0</v>
      </c>
      <c r="N256" s="232"/>
      <c r="O256" s="232">
        <f>SUM(K256:N256)*embed</f>
        <v>15.558361460590248</v>
      </c>
      <c r="P256" s="233">
        <f>ROUND((O256*I256),0)</f>
        <v>3812</v>
      </c>
      <c r="Q256" s="291">
        <f>IF(O256=0,0,IF(X256=0,"manual",(O256/(R256*tax*markup*IF(Y256&lt;&gt;"",VLOOKUP(LEFT(Y256,2),cityindex,2,0),1)+S256*markup*difficulty*IF(Y256&lt;&gt;"",VLOOKUP(LEFT(Y256,2),cityindex,3,0),1)+W256*markup*difficulty*IF(Y256&lt;&gt;"",VLOOKUP(LEFT(Y256,2),cityindex,3,0),1)))-1))</f>
        <v>0</v>
      </c>
      <c r="R256" s="143">
        <v>4.7473978030541604</v>
      </c>
      <c r="S256" s="143">
        <f>U256*V256</f>
        <v>7.3576177501539082</v>
      </c>
      <c r="T256" s="143" t="s">
        <v>982</v>
      </c>
      <c r="U256" s="143">
        <v>46.631314605846775</v>
      </c>
      <c r="V256" s="143">
        <v>0.15778276491547566</v>
      </c>
      <c r="W256" s="143">
        <v>0</v>
      </c>
      <c r="X256" s="143">
        <f>SUM(R256,S256,W256)</f>
        <v>12.105015553208069</v>
      </c>
      <c r="Y256" s="143" t="s">
        <v>1127</v>
      </c>
      <c r="AC256" s="613">
        <f>I256-[1]BUILDING!$I234</f>
        <v>179</v>
      </c>
      <c r="AD256" s="604" t="s">
        <v>1726</v>
      </c>
    </row>
    <row r="257" spans="4:30" x14ac:dyDescent="0.2">
      <c r="D257" s="228"/>
      <c r="F257" s="228" t="s">
        <v>1145</v>
      </c>
      <c r="G257" s="228"/>
      <c r="H257" s="228"/>
      <c r="I257" s="230">
        <v>936</v>
      </c>
      <c r="J257" s="231" t="s">
        <v>309</v>
      </c>
      <c r="K257" s="232">
        <f t="shared" si="150"/>
        <v>13.347990297989732</v>
      </c>
      <c r="L257" s="232">
        <f t="shared" si="151"/>
        <v>4.9121560574941858</v>
      </c>
      <c r="M257" s="232">
        <f t="shared" si="152"/>
        <v>0</v>
      </c>
      <c r="N257" s="232"/>
      <c r="O257" s="232">
        <f t="shared" si="153"/>
        <v>18.260146355483919</v>
      </c>
      <c r="P257" s="233">
        <f t="shared" si="154"/>
        <v>17091</v>
      </c>
      <c r="Q257" s="291">
        <f t="shared" si="155"/>
        <v>0</v>
      </c>
      <c r="R257" s="143">
        <v>9.904182307420708</v>
      </c>
      <c r="S257" s="143">
        <f t="shared" si="156"/>
        <v>3.9455068734893057</v>
      </c>
      <c r="T257" s="143" t="s">
        <v>982</v>
      </c>
      <c r="U257" s="143">
        <v>46.631314605846775</v>
      </c>
      <c r="V257" s="143">
        <v>8.4610672181105656E-2</v>
      </c>
      <c r="W257" s="143">
        <v>0</v>
      </c>
      <c r="X257" s="143">
        <f t="shared" si="157"/>
        <v>13.849689180910014</v>
      </c>
      <c r="Y257" s="143" t="s">
        <v>638</v>
      </c>
      <c r="AC257" s="613">
        <f>I257-[1]BUILDING!$I235</f>
        <v>0</v>
      </c>
      <c r="AD257" s="604"/>
    </row>
    <row r="258" spans="4:30" x14ac:dyDescent="0.2">
      <c r="D258" s="228"/>
      <c r="F258" s="228" t="s">
        <v>985</v>
      </c>
      <c r="G258" s="228"/>
      <c r="H258" s="228"/>
      <c r="I258" s="230">
        <f>(I257/30)*15</f>
        <v>468</v>
      </c>
      <c r="J258" s="231" t="s">
        <v>309</v>
      </c>
      <c r="K258" s="232">
        <f t="shared" si="150"/>
        <v>13.347990297989732</v>
      </c>
      <c r="L258" s="232">
        <f t="shared" si="151"/>
        <v>4.9121560574941858</v>
      </c>
      <c r="M258" s="232">
        <f t="shared" si="152"/>
        <v>0</v>
      </c>
      <c r="N258" s="232"/>
      <c r="O258" s="232">
        <f t="shared" si="153"/>
        <v>18.260146355483919</v>
      </c>
      <c r="P258" s="233">
        <f t="shared" si="154"/>
        <v>8546</v>
      </c>
      <c r="Q258" s="291">
        <f t="shared" si="155"/>
        <v>0</v>
      </c>
      <c r="R258" s="143">
        <v>9.904182307420708</v>
      </c>
      <c r="S258" s="143">
        <f t="shared" si="156"/>
        <v>3.9455068734893057</v>
      </c>
      <c r="T258" s="143" t="s">
        <v>982</v>
      </c>
      <c r="U258" s="143">
        <v>46.631314605846775</v>
      </c>
      <c r="V258" s="143">
        <v>8.4610672181105656E-2</v>
      </c>
      <c r="W258" s="143">
        <v>0</v>
      </c>
      <c r="X258" s="143">
        <f t="shared" si="157"/>
        <v>13.849689180910014</v>
      </c>
      <c r="Y258" s="143" t="s">
        <v>638</v>
      </c>
      <c r="AC258" s="613">
        <f>I258-[1]BUILDING!$I236</f>
        <v>0</v>
      </c>
      <c r="AD258" s="604"/>
    </row>
    <row r="259" spans="4:30" x14ac:dyDescent="0.2">
      <c r="D259" s="228"/>
      <c r="E259" s="228"/>
      <c r="F259" s="228" t="s">
        <v>1571</v>
      </c>
      <c r="G259" s="228"/>
      <c r="H259" s="228"/>
      <c r="I259" s="230">
        <v>30</v>
      </c>
      <c r="J259" s="231" t="s">
        <v>390</v>
      </c>
      <c r="K259" s="232">
        <f>R259*tax*markup*IF(Y259&lt;&gt;"",VLOOKUP(LEFT(Y259,2),cityindex,2,0),1)</f>
        <v>0</v>
      </c>
      <c r="L259" s="232">
        <f>S259*markup*difficulty*IF(Y259&lt;&gt;"",VLOOKUP(LEFT(Y259,2),cityindex,3,0),1)</f>
        <v>0</v>
      </c>
      <c r="M259" s="232">
        <f>W259*markup*difficulty*IF(Y259&lt;&gt;"",VLOOKUP(LEFT(Y259,2),cityindex,3,0),1)</f>
        <v>0</v>
      </c>
      <c r="N259" s="232">
        <v>254.75</v>
      </c>
      <c r="O259" s="232">
        <f>SUM(K259:N259)*embed</f>
        <v>254.75</v>
      </c>
      <c r="P259" s="233">
        <f>ROUND((O259*I259),0)</f>
        <v>7643</v>
      </c>
      <c r="Q259" s="291" t="str">
        <f>IF(O259=0,0,IF(X259=0,"manual",(O259/(R259*tax*markup*IF(Y259&lt;&gt;"",VLOOKUP(LEFT(Y259,2),cityindex,2,0),1)+S259*markup*difficulty*IF(Y259&lt;&gt;"",VLOOKUP(LEFT(Y259,2),cityindex,3,0),1)+W259*markup*difficulty*IF(Y259&lt;&gt;"",VLOOKUP(LEFT(Y259,2),cityindex,3,0),1)))-1))</f>
        <v>manual</v>
      </c>
      <c r="S259" s="143">
        <f>U259*V259</f>
        <v>0</v>
      </c>
      <c r="X259" s="143">
        <f>SUM(R259,S259,W259)</f>
        <v>0</v>
      </c>
      <c r="AC259" s="613">
        <f>I259-[1]BUILDING!$I237</f>
        <v>0</v>
      </c>
      <c r="AD259" s="604"/>
    </row>
    <row r="260" spans="4:30" x14ac:dyDescent="0.2">
      <c r="D260" s="228"/>
      <c r="F260" s="228" t="s">
        <v>1128</v>
      </c>
      <c r="G260" s="228"/>
      <c r="H260" s="228"/>
      <c r="I260" s="230">
        <v>1</v>
      </c>
      <c r="J260" s="231" t="s">
        <v>390</v>
      </c>
      <c r="K260" s="232">
        <f>R260*tax*markup*IF(Y260&lt;&gt;"",VLOOKUP(LEFT(Y260,2),cityindex,2,0),1)</f>
        <v>1402.6653689620073</v>
      </c>
      <c r="L260" s="232">
        <f>S260*markup*difficulty*IF(Y260&lt;&gt;"",VLOOKUP(LEFT(Y260,2),cityindex,3,0),1)</f>
        <v>151.69059673176693</v>
      </c>
      <c r="M260" s="232">
        <f>W260*markup*difficulty*IF(Y260&lt;&gt;"",VLOOKUP(LEFT(Y260,2),cityindex,3,0),1)</f>
        <v>0</v>
      </c>
      <c r="N260" s="232"/>
      <c r="O260" s="232">
        <f>SUM(K260:N260)*embed</f>
        <v>1554.3559656937741</v>
      </c>
      <c r="P260" s="233">
        <f>ROUND((O260*I260),0)</f>
        <v>1554</v>
      </c>
      <c r="Q260" s="291">
        <f>IF(O260=0,0,IF(X260=0,"manual",(O260/(R260*tax*markup*IF(Y260&lt;&gt;"",VLOOKUP(LEFT(Y260,2),cityindex,2,0),1)+S260*markup*difficulty*IF(Y260&lt;&gt;"",VLOOKUP(LEFT(Y260,2),cityindex,3,0),1)+W260*markup*difficulty*IF(Y260&lt;&gt;"",VLOOKUP(LEFT(Y260,2),cityindex,3,0),1)))-1))</f>
        <v>0</v>
      </c>
      <c r="R260" s="143">
        <v>1040.7749196968991</v>
      </c>
      <c r="S260" s="143">
        <f>U260*V260</f>
        <v>121.8398367323429</v>
      </c>
      <c r="T260" s="143" t="s">
        <v>965</v>
      </c>
      <c r="U260" s="143">
        <v>30.337316807306259</v>
      </c>
      <c r="V260" s="143">
        <v>4.0161704974185364</v>
      </c>
      <c r="W260" s="143">
        <v>0</v>
      </c>
      <c r="X260" s="143">
        <f>SUM(R260,S260,W260)</f>
        <v>1162.6147564292421</v>
      </c>
      <c r="Y260" s="143" t="s">
        <v>1129</v>
      </c>
      <c r="AC260" s="613">
        <f>I260-[1]BUILDING!$I238</f>
        <v>0</v>
      </c>
      <c r="AD260" s="604"/>
    </row>
    <row r="261" spans="4:30" x14ac:dyDescent="0.2">
      <c r="K261" s="149">
        <f t="shared" si="150"/>
        <v>0</v>
      </c>
      <c r="L261" s="149">
        <f t="shared" si="151"/>
        <v>0</v>
      </c>
      <c r="M261" s="149">
        <f t="shared" si="152"/>
        <v>0</v>
      </c>
      <c r="N261" s="149"/>
      <c r="O261" s="149">
        <f t="shared" si="153"/>
        <v>0</v>
      </c>
      <c r="P261" s="216">
        <f t="shared" si="154"/>
        <v>0</v>
      </c>
      <c r="Q261" s="291">
        <f>IF(O261=0,0,IF(X261=0,"manual",O261/((R261*tax*markup*IF(Y261&lt;&gt;"",VLOOKUP(LEFT(Y261,2),cityindex,2,0),1))+S261*markup*difficulty*IF(Y261&lt;&gt;"",VLOOKUP(LEFT(Y261,2),cityindex,3,0),1)+W261*markup*difficulty*IF(Y261&lt;&gt;"",VLOOKUP(LEFT(Y261,2),cityindex,3,0),1))))</f>
        <v>0</v>
      </c>
      <c r="S261" s="143">
        <f t="shared" si="156"/>
        <v>0</v>
      </c>
      <c r="X261" s="143">
        <f t="shared" si="157"/>
        <v>0</v>
      </c>
      <c r="AA261" s="587"/>
      <c r="AC261" s="613">
        <f>I261-[1]BUILDING!$I239</f>
        <v>0</v>
      </c>
      <c r="AD261" s="604"/>
    </row>
    <row r="262" spans="4:30" ht="24.75" customHeight="1" x14ac:dyDescent="0.2">
      <c r="D262" s="217" t="str">
        <f>"TOTAL - " &amp; D235</f>
        <v>TOTAL - 07  THERMAL AND MOISTURE PROTECTION</v>
      </c>
      <c r="E262" s="217"/>
      <c r="F262" s="217"/>
      <c r="G262" s="217"/>
      <c r="H262" s="217"/>
      <c r="I262" s="218"/>
      <c r="J262" s="219"/>
      <c r="K262" s="220"/>
      <c r="L262" s="220"/>
      <c r="M262" s="220"/>
      <c r="N262" s="220"/>
      <c r="O262" s="221"/>
      <c r="P262" s="222">
        <f>SUM(P235:P261)</f>
        <v>1075835</v>
      </c>
      <c r="Q262" s="294" t="str">
        <f>_xlfn.CONCAT(TEXT(SUM(P262/GFA),"$#,##0.00"),"/SF")</f>
        <v>$34.18/SF</v>
      </c>
      <c r="S262" s="143">
        <f t="shared" si="156"/>
        <v>0</v>
      </c>
      <c r="X262" s="143">
        <f t="shared" si="157"/>
        <v>0</v>
      </c>
      <c r="Z262" s="314"/>
      <c r="AA262" s="315"/>
      <c r="AC262" s="613">
        <f>I262-[1]BUILDING!$I240</f>
        <v>0</v>
      </c>
      <c r="AD262" s="604"/>
    </row>
    <row r="263" spans="4:30" x14ac:dyDescent="0.2">
      <c r="K263" s="149">
        <f t="shared" ref="K263:K290" si="158">R263*tax*markup*IF(Y263&lt;&gt;"",VLOOKUP(LEFT(Y263,2),cityindex,2,0),1)</f>
        <v>0</v>
      </c>
      <c r="L263" s="149">
        <f t="shared" ref="L263:L290" si="159">S263*markup*difficulty*IF(Y263&lt;&gt;"",VLOOKUP(LEFT(Y263,2),cityindex,3,0),1)</f>
        <v>0</v>
      </c>
      <c r="M263" s="149">
        <f t="shared" ref="M263:M290" si="160">W263*markup*difficulty*IF(Y263&lt;&gt;"",VLOOKUP(LEFT(Y263,2),cityindex,3,0),1)</f>
        <v>0</v>
      </c>
      <c r="N263" s="149"/>
      <c r="O263" s="149">
        <f t="shared" ref="O263:O290" si="161">SUM(K263:N263)*embed</f>
        <v>0</v>
      </c>
      <c r="P263" s="216">
        <f t="shared" ref="P263:P290" si="162">ROUND((O263*I263),0)</f>
        <v>0</v>
      </c>
      <c r="Q263" s="291">
        <f>IF(O263=0,0,IF(X263=0,"manual",O263/((R263*tax*markup*IF(Y263&lt;&gt;"",VLOOKUP(LEFT(Y263,2),cityindex,2,0),1))+S263*markup*difficulty*IF(Y263&lt;&gt;"",VLOOKUP(LEFT(Y263,2),cityindex,3,0),1)+W263*markup*difficulty*IF(Y263&lt;&gt;"",VLOOKUP(LEFT(Y263,2),cityindex,3,0),1))))</f>
        <v>0</v>
      </c>
      <c r="S263" s="143">
        <f t="shared" si="156"/>
        <v>0</v>
      </c>
      <c r="X263" s="143">
        <f t="shared" si="157"/>
        <v>0</v>
      </c>
      <c r="AC263" s="613">
        <f>I263-[1]BUILDING!$I241</f>
        <v>0</v>
      </c>
      <c r="AD263" s="606"/>
    </row>
    <row r="264" spans="4:30" x14ac:dyDescent="0.2">
      <c r="D264" s="214" t="s">
        <v>274</v>
      </c>
      <c r="E264" s="215"/>
      <c r="F264" s="215"/>
      <c r="G264" s="215"/>
      <c r="H264" s="215"/>
      <c r="K264" s="149">
        <f t="shared" si="158"/>
        <v>0</v>
      </c>
      <c r="L264" s="149">
        <f t="shared" si="159"/>
        <v>0</v>
      </c>
      <c r="M264" s="149">
        <f t="shared" si="160"/>
        <v>0</v>
      </c>
      <c r="N264" s="149"/>
      <c r="O264" s="149">
        <f t="shared" si="161"/>
        <v>0</v>
      </c>
      <c r="P264" s="216">
        <f t="shared" si="162"/>
        <v>0</v>
      </c>
      <c r="Q264" s="291">
        <f>IF(O264=0,0,IF(X264=0,"manual",O264/((R264*tax*markup*IF(Y264&lt;&gt;"",VLOOKUP(LEFT(Y264,2),cityindex,2,0),1))+S264*markup*difficulty*IF(Y264&lt;&gt;"",VLOOKUP(LEFT(Y264,2),cityindex,3,0),1)+W264*markup*difficulty*IF(Y264&lt;&gt;"",VLOOKUP(LEFT(Y264,2),cityindex,3,0),1))))</f>
        <v>0</v>
      </c>
      <c r="S264" s="143">
        <f t="shared" si="156"/>
        <v>0</v>
      </c>
      <c r="X264" s="143">
        <f t="shared" si="157"/>
        <v>0</v>
      </c>
      <c r="AC264" s="613">
        <f>I264-[1]BUILDING!$I242</f>
        <v>0</v>
      </c>
      <c r="AD264" s="604"/>
    </row>
    <row r="265" spans="4:30" x14ac:dyDescent="0.2">
      <c r="D265" s="228"/>
      <c r="E265" s="228" t="s">
        <v>645</v>
      </c>
      <c r="F265" s="228"/>
      <c r="G265" s="228"/>
      <c r="H265" s="228"/>
      <c r="I265" s="230"/>
      <c r="J265" s="231"/>
      <c r="K265" s="232">
        <f t="shared" si="158"/>
        <v>0</v>
      </c>
      <c r="L265" s="232">
        <f t="shared" si="159"/>
        <v>0</v>
      </c>
      <c r="M265" s="232">
        <f t="shared" si="160"/>
        <v>0</v>
      </c>
      <c r="N265" s="232"/>
      <c r="O265" s="232">
        <f t="shared" si="161"/>
        <v>0</v>
      </c>
      <c r="P265" s="233">
        <f t="shared" si="162"/>
        <v>0</v>
      </c>
      <c r="Q265" s="291">
        <f t="shared" ref="Q265:Q277" si="163">IF(O265=0,0,IF(X265=0,"manual",(O265/(R265*tax*markup*IF(Y265&lt;&gt;"",VLOOKUP(LEFT(Y265,2),cityindex,2,0),1)+S265*markup*difficulty*IF(Y265&lt;&gt;"",VLOOKUP(LEFT(Y265,2),cityindex,3,0),1)+W265*markup*difficulty*IF(Y265&lt;&gt;"",VLOOKUP(LEFT(Y265,2),cityindex,3,0),1)))-1))</f>
        <v>0</v>
      </c>
      <c r="S265" s="143">
        <f t="shared" ref="S265:S277" si="164">U265*V265</f>
        <v>0</v>
      </c>
      <c r="X265" s="143">
        <f t="shared" ref="X265:X277" si="165">SUM(R265,S265,W265)</f>
        <v>0</v>
      </c>
      <c r="AC265" s="613">
        <f>I265-[1]BUILDING!$I243</f>
        <v>0</v>
      </c>
      <c r="AD265" s="604"/>
    </row>
    <row r="266" spans="4:30" x14ac:dyDescent="0.2">
      <c r="D266" s="228"/>
      <c r="E266" s="228"/>
      <c r="F266" s="228" t="s">
        <v>1377</v>
      </c>
      <c r="G266" s="228"/>
      <c r="H266" s="228"/>
      <c r="I266" s="230">
        <v>3</v>
      </c>
      <c r="J266" s="231" t="s">
        <v>648</v>
      </c>
      <c r="K266" s="232">
        <f>R266*tax*markup*IF(Y266&lt;&gt;"",VLOOKUP(LEFT(Y266,2),cityindex,2,0),1)</f>
        <v>5515.4662803524889</v>
      </c>
      <c r="L266" s="232">
        <f>S266*markup*difficulty*IF(Y266&lt;&gt;"",VLOOKUP(LEFT(Y266,2),cityindex,3,0),1)</f>
        <v>328.62769433631649</v>
      </c>
      <c r="M266" s="232">
        <f>W266*markup*difficulty*IF(Y266&lt;&gt;"",VLOOKUP(LEFT(Y266,2),cityindex,3,0),1)</f>
        <v>0</v>
      </c>
      <c r="N266" s="232"/>
      <c r="O266" s="232">
        <f>SUM(K266:N266)*embed</f>
        <v>5844.0939746888052</v>
      </c>
      <c r="P266" s="233">
        <f>ROUND((O266*I266),0)</f>
        <v>17532</v>
      </c>
      <c r="Q266" s="291">
        <f>IF(O266=0,0,IF(X266=0,"manual",(O266/(R266*tax*markup*IF(Y266&lt;&gt;"",VLOOKUP(LEFT(Y266,2),cityindex,2,0),1)+S266*markup*difficulty*IF(Y266&lt;&gt;"",VLOOKUP(LEFT(Y266,2),cityindex,3,0),1)+W266*markup*difficulty*IF(Y266&lt;&gt;"",VLOOKUP(LEFT(Y266,2),cityindex,3,0),1)))-1))</f>
        <v>0</v>
      </c>
      <c r="R266" s="143">
        <v>4092.4650326775841</v>
      </c>
      <c r="S266" s="143">
        <f>U266*V266</f>
        <v>263.95798741872807</v>
      </c>
      <c r="T266" s="143" t="s">
        <v>981</v>
      </c>
      <c r="U266" s="143">
        <v>47.073654544170012</v>
      </c>
      <c r="V266" s="143">
        <v>5.6073400286151944</v>
      </c>
      <c r="W266" s="143">
        <v>0</v>
      </c>
      <c r="X266" s="143">
        <f>SUM(R266,S266,W266)</f>
        <v>4356.423020096312</v>
      </c>
      <c r="Y266" s="143" t="s">
        <v>649</v>
      </c>
      <c r="AC266" s="613">
        <f>I266-[1]BUILDING!$I244</f>
        <v>0</v>
      </c>
      <c r="AD266" s="604" t="s">
        <v>1313</v>
      </c>
    </row>
    <row r="267" spans="4:30" x14ac:dyDescent="0.2">
      <c r="D267" s="228"/>
      <c r="E267" s="228"/>
      <c r="F267" s="228"/>
      <c r="G267" s="228" t="s">
        <v>1845</v>
      </c>
      <c r="H267" s="228"/>
      <c r="I267" s="230">
        <f>I266</f>
        <v>3</v>
      </c>
      <c r="J267" s="231" t="s">
        <v>390</v>
      </c>
      <c r="K267" s="232">
        <f t="shared" ref="K267" si="166">R267*tax*markup*IF(Y267&lt;&gt;"",VLOOKUP(LEFT(Y267,2),cityindex,2,0),1)</f>
        <v>0</v>
      </c>
      <c r="L267" s="232">
        <f t="shared" ref="L267" si="167">S267*markup*difficulty*IF(Y267&lt;&gt;"",VLOOKUP(LEFT(Y267,2),cityindex,3,0),1)</f>
        <v>0</v>
      </c>
      <c r="M267" s="232">
        <f t="shared" ref="M267" si="168">W267*markup*difficulty*IF(Y267&lt;&gt;"",VLOOKUP(LEFT(Y267,2),cityindex,3,0),1)</f>
        <v>0</v>
      </c>
      <c r="N267" s="232">
        <v>1000</v>
      </c>
      <c r="O267" s="232">
        <f t="shared" ref="O267" si="169">SUM(K267:N267)*embed</f>
        <v>1000</v>
      </c>
      <c r="P267" s="233">
        <f t="shared" ref="P267" si="170">ROUND((O267*I267),0)</f>
        <v>3000</v>
      </c>
      <c r="Q267" s="291" t="str">
        <f t="shared" ref="Q267" si="171">IF(O267=0,0,IF(X267=0,"manual",(O267/(R267*tax*markup*IF(Y267&lt;&gt;"",VLOOKUP(LEFT(Y267,2),cityindex,2,0),1)+S267*markup*difficulty*IF(Y267&lt;&gt;"",VLOOKUP(LEFT(Y267,2),cityindex,3,0),1)+W267*markup*difficulty*IF(Y267&lt;&gt;"",VLOOKUP(LEFT(Y267,2),cityindex,3,0),1)))-1))</f>
        <v>manual</v>
      </c>
      <c r="S267" s="143">
        <f t="shared" ref="S267" si="172">U267*V267</f>
        <v>0</v>
      </c>
      <c r="X267" s="143">
        <f t="shared" ref="X267" si="173">SUM(R267,S267,W267)</f>
        <v>0</v>
      </c>
      <c r="AA267" s="236"/>
      <c r="AC267" s="613">
        <f>I267-[1]BUILDING!$I245</f>
        <v>0</v>
      </c>
      <c r="AD267" s="604" t="s">
        <v>1313</v>
      </c>
    </row>
    <row r="268" spans="4:30" x14ac:dyDescent="0.2">
      <c r="D268" s="228"/>
      <c r="E268" s="228"/>
      <c r="F268" s="228" t="s">
        <v>1378</v>
      </c>
      <c r="G268" s="228"/>
      <c r="H268" s="228"/>
      <c r="I268" s="230">
        <v>3</v>
      </c>
      <c r="J268" s="231" t="s">
        <v>390</v>
      </c>
      <c r="K268" s="232">
        <f>R268*tax*markup*IF(Y268&lt;&gt;"",VLOOKUP(LEFT(Y268,2),cityindex,2,0),1)</f>
        <v>3185.7483430827556</v>
      </c>
      <c r="L268" s="232">
        <f>S268*markup*difficulty*IF(Y268&lt;&gt;"",VLOOKUP(LEFT(Y268,2),cityindex,3,0),1)</f>
        <v>194.12698408748417</v>
      </c>
      <c r="M268" s="232">
        <f>W268*markup*difficulty*IF(Y268&lt;&gt;"",VLOOKUP(LEFT(Y268,2),cityindex,3,0),1)</f>
        <v>0</v>
      </c>
      <c r="N268" s="232"/>
      <c r="O268" s="232">
        <f>SUM(K268:N268)*embed</f>
        <v>3379.8753271702399</v>
      </c>
      <c r="P268" s="233">
        <f>ROUND((O268*I268),0)</f>
        <v>10140</v>
      </c>
      <c r="Q268" s="291">
        <f>IF(O268=0,0,IF(X268=0,"manual",(O268/(R268*tax*markup*IF(Y268&lt;&gt;"",VLOOKUP(LEFT(Y268,2),cityindex,2,0),1)+S268*markup*difficulty*IF(Y268&lt;&gt;"",VLOOKUP(LEFT(Y268,2),cityindex,3,0),1)+W268*markup*difficulty*IF(Y268&lt;&gt;"",VLOOKUP(LEFT(Y268,2),cityindex,3,0),1)))-1))</f>
        <v>0</v>
      </c>
      <c r="R268" s="143">
        <v>2363.81894735172</v>
      </c>
      <c r="S268" s="143">
        <f>U268*V268</f>
        <v>155.92528842368205</v>
      </c>
      <c r="T268" s="143" t="s">
        <v>981</v>
      </c>
      <c r="U268" s="143">
        <v>47.073654544170012</v>
      </c>
      <c r="V268" s="143">
        <v>3.3123684560622904</v>
      </c>
      <c r="W268" s="143">
        <v>0</v>
      </c>
      <c r="X268" s="143">
        <f>SUM(R268,S268,W268)</f>
        <v>2519.7442357754021</v>
      </c>
      <c r="Y268" s="143" t="s">
        <v>647</v>
      </c>
      <c r="AA268" s="236"/>
      <c r="AC268" s="613">
        <f>I268-[1]BUILDING!$I246</f>
        <v>0</v>
      </c>
      <c r="AD268" s="604" t="s">
        <v>1313</v>
      </c>
    </row>
    <row r="269" spans="4:30" x14ac:dyDescent="0.2">
      <c r="D269" s="228"/>
      <c r="E269" s="228"/>
      <c r="F269" s="228"/>
      <c r="G269" s="228" t="s">
        <v>1845</v>
      </c>
      <c r="H269" s="228"/>
      <c r="I269" s="230">
        <f>I268</f>
        <v>3</v>
      </c>
      <c r="J269" s="231" t="s">
        <v>390</v>
      </c>
      <c r="K269" s="232">
        <f t="shared" ref="K269" si="174">R269*tax*markup*IF(Y269&lt;&gt;"",VLOOKUP(LEFT(Y269,2),cityindex,2,0),1)</f>
        <v>0</v>
      </c>
      <c r="L269" s="232">
        <f t="shared" ref="L269" si="175">S269*markup*difficulty*IF(Y269&lt;&gt;"",VLOOKUP(LEFT(Y269,2),cityindex,3,0),1)</f>
        <v>0</v>
      </c>
      <c r="M269" s="232">
        <f t="shared" ref="M269" si="176">W269*markup*difficulty*IF(Y269&lt;&gt;"",VLOOKUP(LEFT(Y269,2),cityindex,3,0),1)</f>
        <v>0</v>
      </c>
      <c r="N269" s="232">
        <v>500</v>
      </c>
      <c r="O269" s="232">
        <f t="shared" ref="O269" si="177">SUM(K269:N269)*embed</f>
        <v>500</v>
      </c>
      <c r="P269" s="233">
        <f t="shared" ref="P269" si="178">ROUND((O269*I269),0)</f>
        <v>1500</v>
      </c>
      <c r="Q269" s="291" t="str">
        <f t="shared" ref="Q269" si="179">IF(O269=0,0,IF(X269=0,"manual",(O269/(R269*tax*markup*IF(Y269&lt;&gt;"",VLOOKUP(LEFT(Y269,2),cityindex,2,0),1)+S269*markup*difficulty*IF(Y269&lt;&gt;"",VLOOKUP(LEFT(Y269,2),cityindex,3,0),1)+W269*markup*difficulty*IF(Y269&lt;&gt;"",VLOOKUP(LEFT(Y269,2),cityindex,3,0),1)))-1))</f>
        <v>manual</v>
      </c>
      <c r="S269" s="143">
        <f t="shared" ref="S269" si="180">U269*V269</f>
        <v>0</v>
      </c>
      <c r="X269" s="143">
        <f t="shared" ref="X269" si="181">SUM(R269,S269,W269)</f>
        <v>0</v>
      </c>
      <c r="AC269" s="613">
        <f>I269-[1]BUILDING!$I247</f>
        <v>0</v>
      </c>
      <c r="AD269" s="604" t="s">
        <v>1313</v>
      </c>
    </row>
    <row r="270" spans="4:30" x14ac:dyDescent="0.2">
      <c r="D270" s="228"/>
      <c r="E270" s="228"/>
      <c r="F270" s="228" t="s">
        <v>1375</v>
      </c>
      <c r="G270" s="228"/>
      <c r="H270" s="228"/>
      <c r="I270" s="230">
        <v>10</v>
      </c>
      <c r="J270" s="231" t="s">
        <v>390</v>
      </c>
      <c r="K270" s="232">
        <f>R270*tax*markup*IF(Y270&lt;&gt;"",VLOOKUP(LEFT(Y270,2),cityindex,2,0),1)</f>
        <v>1767.8955912645449</v>
      </c>
      <c r="L270" s="232">
        <f>S270*markup*difficulty*IF(Y270&lt;&gt;"",VLOOKUP(LEFT(Y270,2),cityindex,3,0),1)</f>
        <v>227.00823619812056</v>
      </c>
      <c r="M270" s="232">
        <f>W270*markup*difficulty*IF(Y270&lt;&gt;"",VLOOKUP(LEFT(Y270,2),cityindex,3,0),1)</f>
        <v>0</v>
      </c>
      <c r="N270" s="232"/>
      <c r="O270" s="232">
        <f>SUM(K270:N270)*embed</f>
        <v>1994.9038274626655</v>
      </c>
      <c r="P270" s="233">
        <f>ROUND((O270*I270),0)</f>
        <v>19949</v>
      </c>
      <c r="Q270" s="291">
        <f>IF(O270=0,0,IF(X270=0,"manual",(O270/(R270*tax*markup*IF(Y270&lt;&gt;"",VLOOKUP(LEFT(Y270,2),cityindex,2,0),1)+S270*markup*difficulty*IF(Y270&lt;&gt;"",VLOOKUP(LEFT(Y270,2),cityindex,3,0),1)+W270*markup*difficulty*IF(Y270&lt;&gt;"",VLOOKUP(LEFT(Y270,2),cityindex,3,0),1)))-1))</f>
        <v>0</v>
      </c>
      <c r="R270" s="143">
        <v>1311.7750197201144</v>
      </c>
      <c r="S270" s="143">
        <f>U270*V270</f>
        <v>182.33593268925344</v>
      </c>
      <c r="T270" s="143" t="s">
        <v>968</v>
      </c>
      <c r="U270" s="143">
        <v>50.790085122442285</v>
      </c>
      <c r="V270" s="143">
        <v>3.589990689121445</v>
      </c>
      <c r="W270" s="143">
        <v>0</v>
      </c>
      <c r="X270" s="143">
        <f>SUM(R270,S270,W270)</f>
        <v>1494.1109524093679</v>
      </c>
      <c r="Y270" s="143" t="s">
        <v>654</v>
      </c>
      <c r="AC270" s="613">
        <f>I270-[1]BUILDING!$I248</f>
        <v>0</v>
      </c>
      <c r="AD270" s="604" t="s">
        <v>1313</v>
      </c>
    </row>
    <row r="271" spans="4:30" x14ac:dyDescent="0.2">
      <c r="D271" s="228"/>
      <c r="E271" s="228"/>
      <c r="F271" s="228"/>
      <c r="G271" s="228" t="s">
        <v>1845</v>
      </c>
      <c r="H271" s="228"/>
      <c r="I271" s="230">
        <f>I270</f>
        <v>10</v>
      </c>
      <c r="J271" s="231" t="s">
        <v>390</v>
      </c>
      <c r="K271" s="232">
        <f t="shared" ref="K271" si="182">R271*tax*markup*IF(Y271&lt;&gt;"",VLOOKUP(LEFT(Y271,2),cityindex,2,0),1)</f>
        <v>0</v>
      </c>
      <c r="L271" s="232">
        <f t="shared" ref="L271" si="183">S271*markup*difficulty*IF(Y271&lt;&gt;"",VLOOKUP(LEFT(Y271,2),cityindex,3,0),1)</f>
        <v>0</v>
      </c>
      <c r="M271" s="232">
        <f t="shared" ref="M271" si="184">W271*markup*difficulty*IF(Y271&lt;&gt;"",VLOOKUP(LEFT(Y271,2),cityindex,3,0),1)</f>
        <v>0</v>
      </c>
      <c r="N271" s="232">
        <v>1000</v>
      </c>
      <c r="O271" s="232">
        <f t="shared" ref="O271" si="185">SUM(K271:N271)*embed</f>
        <v>1000</v>
      </c>
      <c r="P271" s="233">
        <f t="shared" ref="P271" si="186">ROUND((O271*I271),0)</f>
        <v>10000</v>
      </c>
      <c r="Q271" s="291" t="str">
        <f t="shared" ref="Q271" si="187">IF(O271=0,0,IF(X271=0,"manual",(O271/(R271*tax*markup*IF(Y271&lt;&gt;"",VLOOKUP(LEFT(Y271,2),cityindex,2,0),1)+S271*markup*difficulty*IF(Y271&lt;&gt;"",VLOOKUP(LEFT(Y271,2),cityindex,3,0),1)+W271*markup*difficulty*IF(Y271&lt;&gt;"",VLOOKUP(LEFT(Y271,2),cityindex,3,0),1)))-1))</f>
        <v>manual</v>
      </c>
      <c r="S271" s="143">
        <f t="shared" ref="S271" si="188">U271*V271</f>
        <v>0</v>
      </c>
      <c r="X271" s="143">
        <f t="shared" ref="X271" si="189">SUM(R271,S271,W271)</f>
        <v>0</v>
      </c>
      <c r="AA271" s="236"/>
      <c r="AC271" s="613">
        <f>I271-[1]BUILDING!$I249</f>
        <v>0</v>
      </c>
      <c r="AD271" s="604" t="s">
        <v>1313</v>
      </c>
    </row>
    <row r="272" spans="4:30" x14ac:dyDescent="0.2">
      <c r="D272" s="228"/>
      <c r="E272" s="228"/>
      <c r="F272" s="228" t="s">
        <v>1379</v>
      </c>
      <c r="G272" s="228"/>
      <c r="H272" s="228"/>
      <c r="I272" s="230">
        <v>1</v>
      </c>
      <c r="J272" s="231" t="s">
        <v>390</v>
      </c>
      <c r="K272" s="232">
        <f>R272*tax*markup*IF(Y272&lt;&gt;"",VLOOKUP(LEFT(Y272,2),cityindex,2,0),1)</f>
        <v>2046.1946882649167</v>
      </c>
      <c r="L272" s="232">
        <f>S272*markup*difficulty*IF(Y272&lt;&gt;"",VLOOKUP(LEFT(Y272,2),cityindex,3,0),1)</f>
        <v>866.05590706088128</v>
      </c>
      <c r="M272" s="232">
        <f>W272*markup*difficulty*IF(Y272&lt;&gt;"",VLOOKUP(LEFT(Y272,2),cityindex,3,0),1)</f>
        <v>0</v>
      </c>
      <c r="N272" s="232">
        <v>350</v>
      </c>
      <c r="O272" s="232">
        <f>SUM(K272:N272)*embed</f>
        <v>3262.2505953257978</v>
      </c>
      <c r="P272" s="233">
        <f>ROUND((O272*I272),0)</f>
        <v>3262</v>
      </c>
      <c r="Q272" s="291">
        <f>IF(O272=0,0,IF(X272=0,"manual",(O272/(R272*tax*markup*IF(Y272&lt;&gt;"",VLOOKUP(LEFT(Y272,2),cityindex,2,0),1)+S272*markup*difficulty*IF(Y272&lt;&gt;"",VLOOKUP(LEFT(Y272,2),cityindex,3,0),1)+W272*markup*difficulty*IF(Y272&lt;&gt;"",VLOOKUP(LEFT(Y272,2),cityindex,3,0),1)))-1))</f>
        <v>0.12018196530262704</v>
      </c>
      <c r="R272" s="143">
        <v>1518.2723973139052</v>
      </c>
      <c r="S272" s="143">
        <f>U272*V272</f>
        <v>695.62723458705318</v>
      </c>
      <c r="T272" s="143" t="s">
        <v>1148</v>
      </c>
      <c r="U272" s="143">
        <v>55.865061889943924</v>
      </c>
      <c r="V272" s="143">
        <v>12.451919161164854</v>
      </c>
      <c r="W272" s="143">
        <v>0</v>
      </c>
      <c r="X272" s="143">
        <f>SUM(R272,S272,W272)</f>
        <v>2213.8996319009584</v>
      </c>
      <c r="Y272" s="143" t="s">
        <v>657</v>
      </c>
      <c r="AA272" s="236"/>
      <c r="AC272" s="613">
        <f>I272-[1]BUILDING!$I250</f>
        <v>0</v>
      </c>
      <c r="AD272" s="604" t="s">
        <v>1313</v>
      </c>
    </row>
    <row r="273" spans="4:30" x14ac:dyDescent="0.2">
      <c r="D273" s="228"/>
      <c r="E273" s="228"/>
      <c r="F273" s="228"/>
      <c r="G273" s="228"/>
      <c r="H273" s="228"/>
      <c r="I273" s="230"/>
      <c r="J273" s="231"/>
      <c r="K273" s="232">
        <f t="shared" si="158"/>
        <v>0</v>
      </c>
      <c r="L273" s="232">
        <f t="shared" si="159"/>
        <v>0</v>
      </c>
      <c r="M273" s="232">
        <f t="shared" si="160"/>
        <v>0</v>
      </c>
      <c r="N273" s="232"/>
      <c r="O273" s="232">
        <f t="shared" si="161"/>
        <v>0</v>
      </c>
      <c r="P273" s="233">
        <f t="shared" si="162"/>
        <v>0</v>
      </c>
      <c r="Q273" s="291">
        <f t="shared" si="163"/>
        <v>0</v>
      </c>
      <c r="S273" s="143">
        <f t="shared" si="164"/>
        <v>0</v>
      </c>
      <c r="X273" s="143">
        <f t="shared" si="165"/>
        <v>0</v>
      </c>
      <c r="AC273" s="613">
        <f>I273-[1]BUILDING!$I251</f>
        <v>0</v>
      </c>
      <c r="AD273" s="604"/>
    </row>
    <row r="274" spans="4:30" x14ac:dyDescent="0.2">
      <c r="D274" s="228"/>
      <c r="E274" s="228" t="s">
        <v>668</v>
      </c>
      <c r="F274" s="228"/>
      <c r="G274" s="228"/>
      <c r="H274" s="228"/>
      <c r="I274" s="230"/>
      <c r="J274" s="231"/>
      <c r="K274" s="149">
        <f>R274*tax*markup*IF(Y274&lt;&gt;"",VLOOKUP(LEFT(Y274,2),cityindex,2,0),1)</f>
        <v>0</v>
      </c>
      <c r="L274" s="149">
        <f>S274*markup*difficulty*IF(Y274&lt;&gt;"",VLOOKUP(LEFT(Y274,2),cityindex,3,0),1)</f>
        <v>0</v>
      </c>
      <c r="M274" s="149">
        <f>W274*markup*difficulty*IF(Y274&lt;&gt;"",VLOOKUP(LEFT(Y274,2),cityindex,3,0),1)</f>
        <v>0</v>
      </c>
      <c r="N274" s="149"/>
      <c r="O274" s="149">
        <f>SUM(K274:N274)*embed</f>
        <v>0</v>
      </c>
      <c r="P274" s="216">
        <f>ROUND((O274*I274),0)</f>
        <v>0</v>
      </c>
      <c r="Q274" s="291">
        <f>IF(O274=0,0,IF(X274=0,"manual",(O274/(R274*tax*markup*IF(Y274&lt;&gt;"",VLOOKUP(LEFT(Y274,2),cityindex,2,0),1)+S274*markup*difficulty*IF(Y274&lt;&gt;"",VLOOKUP(LEFT(Y274,2),cityindex,3,0),1)+W274*markup*difficulty*IF(Y274&lt;&gt;"",VLOOKUP(LEFT(Y274,2),cityindex,3,0),1)))-1))</f>
        <v>0</v>
      </c>
      <c r="S274" s="143">
        <f>U274*V274</f>
        <v>0</v>
      </c>
      <c r="X274" s="143">
        <f>SUM(R274,S274,W274)</f>
        <v>0</v>
      </c>
      <c r="AC274" s="613">
        <f>I274-[1]BUILDING!$I252</f>
        <v>0</v>
      </c>
      <c r="AD274" s="604"/>
    </row>
    <row r="275" spans="4:30" x14ac:dyDescent="0.2">
      <c r="D275" s="228"/>
      <c r="F275" s="228" t="s">
        <v>1144</v>
      </c>
      <c r="G275" s="228"/>
      <c r="H275" s="228"/>
      <c r="I275" s="230">
        <v>1100</v>
      </c>
      <c r="J275" s="231" t="s">
        <v>301</v>
      </c>
      <c r="K275" s="232">
        <f>R275*tax*markup*IF(Y275&lt;&gt;"",VLOOKUP(LEFT(Y275,2),cityindex,2,0),1)</f>
        <v>70.370304574293954</v>
      </c>
      <c r="L275" s="232">
        <f>S275*markup*difficulty*IF(Y275&lt;&gt;"",VLOOKUP(LEFT(Y275,2),cityindex,3,0),1)</f>
        <v>12.088273607943455</v>
      </c>
      <c r="M275" s="232">
        <f>W275*markup*difficulty*IF(Y275&lt;&gt;"",VLOOKUP(LEFT(Y275,2),cityindex,3,0),1)</f>
        <v>0</v>
      </c>
      <c r="N275" s="232"/>
      <c r="O275" s="232">
        <f>SUM(K275:N275)*embed</f>
        <v>82.458578182237403</v>
      </c>
      <c r="P275" s="233">
        <f>ROUND((O275*I275),0)</f>
        <v>90704</v>
      </c>
      <c r="Q275" s="291">
        <f>IF(O275=0,0,IF(X275=0,"manual",(O275/(R275*tax*markup*IF(Y275&lt;&gt;"",VLOOKUP(LEFT(Y275,2),cityindex,2,0),1)+S275*markup*difficulty*IF(Y275&lt;&gt;"",VLOOKUP(LEFT(Y275,2),cityindex,3,0),1)+W275*markup*difficulty*IF(Y275&lt;&gt;"",VLOOKUP(LEFT(Y275,2),cityindex,3,0),1)))-1))</f>
        <v>0</v>
      </c>
      <c r="R275" s="143">
        <v>52.214626320000704</v>
      </c>
      <c r="S275" s="143">
        <f>U275*V275</f>
        <v>9.7094567132075937</v>
      </c>
      <c r="T275" s="143" t="s">
        <v>1143</v>
      </c>
      <c r="U275" s="143">
        <v>44.898530410440458</v>
      </c>
      <c r="V275" s="143">
        <v>0.21625332999651609</v>
      </c>
      <c r="W275" s="143">
        <v>0</v>
      </c>
      <c r="X275" s="143">
        <f>SUM(R275,S275,W275)</f>
        <v>61.924083033208298</v>
      </c>
      <c r="Y275" s="143" t="s">
        <v>670</v>
      </c>
      <c r="AA275" s="236"/>
      <c r="AC275" s="613">
        <f>I275-[1]BUILDING!$I253</f>
        <v>0</v>
      </c>
      <c r="AD275" s="604"/>
    </row>
    <row r="276" spans="4:30" x14ac:dyDescent="0.2">
      <c r="D276" s="228"/>
      <c r="E276" s="228"/>
      <c r="F276" s="228"/>
      <c r="G276" s="228"/>
      <c r="H276" s="228"/>
      <c r="I276" s="230"/>
      <c r="J276" s="231"/>
      <c r="K276" s="232">
        <f>R276*tax*markup*IF(Y276&lt;&gt;"",VLOOKUP(LEFT(Y276,2),cityindex,2,0),1)</f>
        <v>0</v>
      </c>
      <c r="L276" s="232">
        <f>S276*markup*difficulty*IF(Y276&lt;&gt;"",VLOOKUP(LEFT(Y276,2),cityindex,3,0),1)</f>
        <v>0</v>
      </c>
      <c r="M276" s="232">
        <f>W276*markup*difficulty*IF(Y276&lt;&gt;"",VLOOKUP(LEFT(Y276,2),cityindex,3,0),1)</f>
        <v>0</v>
      </c>
      <c r="N276" s="232"/>
      <c r="O276" s="232">
        <f>SUM(K276:N276)*embed</f>
        <v>0</v>
      </c>
      <c r="P276" s="233">
        <f>ROUND((O276*I276),0)</f>
        <v>0</v>
      </c>
      <c r="Q276" s="291">
        <f>IF(O276=0,0,IF(X276=0,"manual",(O276/(R276*tax*markup*IF(Y276&lt;&gt;"",VLOOKUP(LEFT(Y276,2),cityindex,2,0),1)+S276*markup*difficulty*IF(Y276&lt;&gt;"",VLOOKUP(LEFT(Y276,2),cityindex,3,0),1)+W276*markup*difficulty*IF(Y276&lt;&gt;"",VLOOKUP(LEFT(Y276,2),cityindex,3,0),1)))-1))</f>
        <v>0</v>
      </c>
      <c r="S276" s="143">
        <f>U276*V276</f>
        <v>0</v>
      </c>
      <c r="X276" s="143">
        <f>SUM(R276,S276,W276)</f>
        <v>0</v>
      </c>
      <c r="AC276" s="613">
        <f>I276-[1]BUILDING!$I254</f>
        <v>0</v>
      </c>
      <c r="AD276" s="604"/>
    </row>
    <row r="277" spans="4:30" x14ac:dyDescent="0.2">
      <c r="D277" s="228"/>
      <c r="E277" s="228" t="s">
        <v>677</v>
      </c>
      <c r="F277" s="228"/>
      <c r="G277" s="228"/>
      <c r="H277" s="228"/>
      <c r="I277" s="230"/>
      <c r="J277" s="231"/>
      <c r="K277" s="232">
        <f t="shared" si="158"/>
        <v>0</v>
      </c>
      <c r="L277" s="232">
        <f t="shared" si="159"/>
        <v>0</v>
      </c>
      <c r="M277" s="232">
        <f t="shared" si="160"/>
        <v>0</v>
      </c>
      <c r="N277" s="232"/>
      <c r="O277" s="232">
        <f t="shared" si="161"/>
        <v>0</v>
      </c>
      <c r="P277" s="233">
        <f t="shared" si="162"/>
        <v>0</v>
      </c>
      <c r="Q277" s="291">
        <f t="shared" si="163"/>
        <v>0</v>
      </c>
      <c r="S277" s="143">
        <f t="shared" si="164"/>
        <v>0</v>
      </c>
      <c r="X277" s="143">
        <f t="shared" si="165"/>
        <v>0</v>
      </c>
      <c r="AC277" s="613">
        <f>I277-[1]BUILDING!$I255</f>
        <v>0</v>
      </c>
      <c r="AD277" s="604"/>
    </row>
    <row r="278" spans="4:30" x14ac:dyDescent="0.2">
      <c r="D278" s="228"/>
      <c r="E278" s="228"/>
      <c r="F278" s="228" t="s">
        <v>1371</v>
      </c>
      <c r="G278" s="228"/>
      <c r="H278" s="228"/>
      <c r="I278" s="230">
        <f>28+24+6</f>
        <v>58</v>
      </c>
      <c r="J278" s="231" t="s">
        <v>390</v>
      </c>
      <c r="K278" s="232">
        <f>R278*tax*markup*IF(Y278&lt;&gt;"",VLOOKUP(LEFT(Y278,2),cityindex,2,0),1)</f>
        <v>1919.4288729247191</v>
      </c>
      <c r="L278" s="232">
        <f>S278*markup*difficulty*IF(Y278&lt;&gt;"",VLOOKUP(LEFT(Y278,2),cityindex,3,0),1)</f>
        <v>235.97649213817638</v>
      </c>
      <c r="M278" s="232">
        <f>W278*markup*difficulty*IF(Y278&lt;&gt;"",VLOOKUP(LEFT(Y278,2),cityindex,3,0),1)</f>
        <v>0</v>
      </c>
      <c r="N278" s="232"/>
      <c r="O278" s="232">
        <f>SUM(K278:N278)*embed</f>
        <v>2155.4053650628957</v>
      </c>
      <c r="P278" s="233">
        <f>ROUND((O278*I278),0)</f>
        <v>125014</v>
      </c>
      <c r="Q278" s="291">
        <f>IF(O278=0,0,IF(X278=0,"manual",(O278/(R278*tax*markup*IF(Y278&lt;&gt;"",VLOOKUP(LEFT(Y278,2),cityindex,2,0),1)+S278*markup*difficulty*IF(Y278&lt;&gt;"",VLOOKUP(LEFT(Y278,2),cityindex,3,0),1)+W278*markup*difficulty*IF(Y278&lt;&gt;"",VLOOKUP(LEFT(Y278,2),cityindex,3,0),1)))-1))</f>
        <v>0</v>
      </c>
      <c r="R278" s="143">
        <v>1424.2124139419343</v>
      </c>
      <c r="S278" s="143">
        <f>U278*V278</f>
        <v>189.5393511150011</v>
      </c>
      <c r="T278" s="143" t="s">
        <v>968</v>
      </c>
      <c r="U278" s="143">
        <v>50.790085122442285</v>
      </c>
      <c r="V278" s="143">
        <v>3.7318179455314708</v>
      </c>
      <c r="W278" s="143">
        <v>0</v>
      </c>
      <c r="X278" s="143">
        <f>SUM(R278,S278,W278)</f>
        <v>1613.7517650569355</v>
      </c>
      <c r="Y278" s="143" t="s">
        <v>1370</v>
      </c>
      <c r="AC278" s="613">
        <f>I278-[1]BUILDING!$I256</f>
        <v>0</v>
      </c>
      <c r="AD278" s="604" t="s">
        <v>1313</v>
      </c>
    </row>
    <row r="279" spans="4:30" x14ac:dyDescent="0.2">
      <c r="D279" s="228"/>
      <c r="E279" s="228"/>
      <c r="F279" s="228"/>
      <c r="G279" s="228" t="s">
        <v>1845</v>
      </c>
      <c r="H279" s="228"/>
      <c r="I279" s="230">
        <f>I278</f>
        <v>58</v>
      </c>
      <c r="J279" s="231" t="s">
        <v>390</v>
      </c>
      <c r="K279" s="232">
        <f t="shared" ref="K279" si="190">R279*tax*markup*IF(Y279&lt;&gt;"",VLOOKUP(LEFT(Y279,2),cityindex,2,0),1)</f>
        <v>0</v>
      </c>
      <c r="L279" s="232">
        <f t="shared" ref="L279" si="191">S279*markup*difficulty*IF(Y279&lt;&gt;"",VLOOKUP(LEFT(Y279,2),cityindex,3,0),1)</f>
        <v>0</v>
      </c>
      <c r="M279" s="232">
        <f t="shared" ref="M279" si="192">W279*markup*difficulty*IF(Y279&lt;&gt;"",VLOOKUP(LEFT(Y279,2),cityindex,3,0),1)</f>
        <v>0</v>
      </c>
      <c r="N279" s="232">
        <v>500</v>
      </c>
      <c r="O279" s="232">
        <f t="shared" ref="O279" si="193">SUM(K279:N279)*embed</f>
        <v>500</v>
      </c>
      <c r="P279" s="233">
        <f t="shared" ref="P279" si="194">ROUND((O279*I279),0)</f>
        <v>29000</v>
      </c>
      <c r="Q279" s="291" t="str">
        <f t="shared" ref="Q279" si="195">IF(O279=0,0,IF(X279=0,"manual",(O279/(R279*tax*markup*IF(Y279&lt;&gt;"",VLOOKUP(LEFT(Y279,2),cityindex,2,0),1)+S279*markup*difficulty*IF(Y279&lt;&gt;"",VLOOKUP(LEFT(Y279,2),cityindex,3,0),1)+W279*markup*difficulty*IF(Y279&lt;&gt;"",VLOOKUP(LEFT(Y279,2),cityindex,3,0),1)))-1))</f>
        <v>manual</v>
      </c>
      <c r="S279" s="143">
        <f t="shared" ref="S279" si="196">U279*V279</f>
        <v>0</v>
      </c>
      <c r="X279" s="143">
        <f t="shared" ref="X279" si="197">SUM(R279,S279,W279)</f>
        <v>0</v>
      </c>
      <c r="AC279" s="613">
        <f>I279-[1]BUILDING!$I257</f>
        <v>0</v>
      </c>
      <c r="AD279" s="604" t="s">
        <v>1313</v>
      </c>
    </row>
    <row r="280" spans="4:30" x14ac:dyDescent="0.2">
      <c r="D280" s="228"/>
      <c r="E280" s="228"/>
      <c r="F280" s="228"/>
      <c r="G280" s="228" t="s">
        <v>1372</v>
      </c>
      <c r="H280" s="228"/>
      <c r="I280" s="230">
        <v>108</v>
      </c>
      <c r="J280" s="231" t="s">
        <v>301</v>
      </c>
      <c r="K280" s="232">
        <f>R280*tax*markup*IF(Y280&lt;&gt;"",VLOOKUP(LEFT(Y280,2),cityindex,2,0),1)</f>
        <v>0</v>
      </c>
      <c r="L280" s="232">
        <f>S280*markup*difficulty*IF(Y280&lt;&gt;"",VLOOKUP(LEFT(Y280,2),cityindex,3,0),1)</f>
        <v>0</v>
      </c>
      <c r="M280" s="232">
        <f>W280*markup*difficulty*IF(Y280&lt;&gt;"",VLOOKUP(LEFT(Y280,2),cityindex,3,0),1)</f>
        <v>0</v>
      </c>
      <c r="N280" s="232">
        <v>20</v>
      </c>
      <c r="O280" s="232">
        <f>SUM(K280:N280)*embed</f>
        <v>20</v>
      </c>
      <c r="P280" s="233">
        <f>ROUND((O280*I280),0)</f>
        <v>2160</v>
      </c>
      <c r="Q280" s="291" t="str">
        <f>IF(O280=0,0,IF(X280=0,"manual",(O280/(R280*tax*markup*IF(Y280&lt;&gt;"",VLOOKUP(LEFT(Y280,2),cityindex,2,0),1)+S280*markup*difficulty*IF(Y280&lt;&gt;"",VLOOKUP(LEFT(Y280,2),cityindex,3,0),1)+W280*markup*difficulty*IF(Y280&lt;&gt;"",VLOOKUP(LEFT(Y280,2),cityindex,3,0),1)))-1))</f>
        <v>manual</v>
      </c>
      <c r="S280" s="143">
        <f>U280*V280</f>
        <v>0</v>
      </c>
      <c r="X280" s="143">
        <f>SUM(R280,S280,W280)</f>
        <v>0</v>
      </c>
      <c r="AC280" s="613">
        <f>I280-[1]BUILDING!$I258</f>
        <v>0</v>
      </c>
      <c r="AD280" s="604" t="s">
        <v>1313</v>
      </c>
    </row>
    <row r="281" spans="4:30" x14ac:dyDescent="0.2">
      <c r="D281" s="228"/>
      <c r="E281" s="228"/>
      <c r="F281" s="228"/>
      <c r="G281" s="228" t="s">
        <v>1381</v>
      </c>
      <c r="H281" s="228"/>
      <c r="I281" s="230">
        <v>5</v>
      </c>
      <c r="J281" s="231" t="s">
        <v>390</v>
      </c>
      <c r="K281" s="232">
        <f>R281*tax*markup*IF(Y281&lt;&gt;"",VLOOKUP(LEFT(Y281,2),cityindex,2,0),1)</f>
        <v>123.34879439968985</v>
      </c>
      <c r="L281" s="232">
        <f>S281*markup*difficulty*IF(Y281&lt;&gt;"",VLOOKUP(LEFT(Y281,2),cityindex,3,0),1)</f>
        <v>70.7737849796695</v>
      </c>
      <c r="M281" s="232">
        <f>W281*markup*difficulty*IF(Y281&lt;&gt;"",VLOOKUP(LEFT(Y281,2),cityindex,3,0),1)</f>
        <v>0</v>
      </c>
      <c r="N281" s="232"/>
      <c r="O281" s="232">
        <f>SUM(K281:N281)*embed</f>
        <v>194.12257937935937</v>
      </c>
      <c r="P281" s="233">
        <f>ROUND((O281*I281),0)</f>
        <v>971</v>
      </c>
      <c r="Q281" s="291">
        <f>IF(O281=0,0,IF(X281=0,"manual",(O281/(R281*tax*markup*IF(Y281&lt;&gt;"",VLOOKUP(LEFT(Y281,2),cityindex,2,0),1)+S281*markup*difficulty*IF(Y281&lt;&gt;"",VLOOKUP(LEFT(Y281,2),cityindex,3,0),1)+W281*markup*difficulty*IF(Y281&lt;&gt;"",VLOOKUP(LEFT(Y281,2),cityindex,3,0),1)))-1))</f>
        <v>0</v>
      </c>
      <c r="R281" s="143">
        <v>91.524560616370209</v>
      </c>
      <c r="S281" s="143">
        <f>U281*V281</f>
        <v>56.846413638288752</v>
      </c>
      <c r="T281" s="143" t="s">
        <v>968</v>
      </c>
      <c r="U281" s="143">
        <v>50.790085122442285</v>
      </c>
      <c r="V281" s="143">
        <v>1.1192423383667534</v>
      </c>
      <c r="W281" s="143">
        <v>0</v>
      </c>
      <c r="X281" s="143">
        <f>SUM(R281,S281,W281)</f>
        <v>148.37097425465896</v>
      </c>
      <c r="Y281" s="143" t="s">
        <v>1380</v>
      </c>
      <c r="AC281" s="613">
        <f>I281-[1]BUILDING!$I259</f>
        <v>0</v>
      </c>
      <c r="AD281" s="604" t="s">
        <v>1313</v>
      </c>
    </row>
    <row r="282" spans="4:30" x14ac:dyDescent="0.2">
      <c r="D282" s="228"/>
      <c r="E282" s="228"/>
      <c r="F282" s="228" t="s">
        <v>1374</v>
      </c>
      <c r="G282" s="228"/>
      <c r="H282" s="228"/>
      <c r="I282" s="230">
        <v>7</v>
      </c>
      <c r="J282" s="231" t="s">
        <v>648</v>
      </c>
      <c r="K282" s="232">
        <f>R282*tax*markup*IF(Y282&lt;&gt;"",VLOOKUP(LEFT(Y282,2),cityindex,2,0),1)</f>
        <v>3459.5300690001004</v>
      </c>
      <c r="L282" s="232">
        <f>S282*markup*difficulty*IF(Y282&lt;&gt;"",VLOOKUP(LEFT(Y282,2),cityindex,3,0),1)</f>
        <v>202.08670642224575</v>
      </c>
      <c r="M282" s="232">
        <f>W282*markup*difficulty*IF(Y282&lt;&gt;"",VLOOKUP(LEFT(Y282,2),cityindex,3,0),1)</f>
        <v>0</v>
      </c>
      <c r="N282" s="232"/>
      <c r="O282" s="232">
        <f>SUM(K282:N282)*embed</f>
        <v>3661.6167754223461</v>
      </c>
      <c r="P282" s="233">
        <f>ROUND((O282*I282),0)</f>
        <v>25631</v>
      </c>
      <c r="Q282" s="291">
        <f>IF(O282=0,0,IF(X282=0,"manual",(O282/(R282*tax*markup*IF(Y282&lt;&gt;"",VLOOKUP(LEFT(Y282,2),cityindex,2,0),1)+S282*markup*difficulty*IF(Y282&lt;&gt;"",VLOOKUP(LEFT(Y282,2),cityindex,3,0),1)+W282*markup*difficulty*IF(Y282&lt;&gt;"",VLOOKUP(LEFT(Y282,2),cityindex,3,0),1)))-1))</f>
        <v>0</v>
      </c>
      <c r="R282" s="143">
        <v>2566.9644445681852</v>
      </c>
      <c r="S282" s="143">
        <f>U282*V282</f>
        <v>162.31863969658292</v>
      </c>
      <c r="T282" s="143" t="s">
        <v>968</v>
      </c>
      <c r="U282" s="143">
        <v>50.790085122442285</v>
      </c>
      <c r="V282" s="143">
        <v>3.1958725665702858</v>
      </c>
      <c r="W282" s="143">
        <v>0</v>
      </c>
      <c r="X282" s="143">
        <f>SUM(R282,S282,W282)</f>
        <v>2729.2830842647681</v>
      </c>
      <c r="Y282" s="143" t="s">
        <v>1373</v>
      </c>
      <c r="AC282" s="613">
        <f>I282-[1]BUILDING!$I260</f>
        <v>0</v>
      </c>
      <c r="AD282" s="604" t="s">
        <v>1313</v>
      </c>
    </row>
    <row r="283" spans="4:30" x14ac:dyDescent="0.2">
      <c r="D283" s="228"/>
      <c r="E283" s="228"/>
      <c r="F283" s="228"/>
      <c r="G283" s="228" t="s">
        <v>1845</v>
      </c>
      <c r="H283" s="228"/>
      <c r="I283" s="230">
        <f>I282</f>
        <v>7</v>
      </c>
      <c r="J283" s="231" t="s">
        <v>390</v>
      </c>
      <c r="K283" s="232">
        <f t="shared" ref="K283" si="198">R283*tax*markup*IF(Y283&lt;&gt;"",VLOOKUP(LEFT(Y283,2),cityindex,2,0),1)</f>
        <v>0</v>
      </c>
      <c r="L283" s="232">
        <f t="shared" ref="L283" si="199">S283*markup*difficulty*IF(Y283&lt;&gt;"",VLOOKUP(LEFT(Y283,2),cityindex,3,0),1)</f>
        <v>0</v>
      </c>
      <c r="M283" s="232">
        <f t="shared" ref="M283" si="200">W283*markup*difficulty*IF(Y283&lt;&gt;"",VLOOKUP(LEFT(Y283,2),cityindex,3,0),1)</f>
        <v>0</v>
      </c>
      <c r="N283" s="232">
        <v>1000</v>
      </c>
      <c r="O283" s="232">
        <f t="shared" ref="O283" si="201">SUM(K283:N283)*embed</f>
        <v>1000</v>
      </c>
      <c r="P283" s="233">
        <f t="shared" ref="P283" si="202">ROUND((O283*I283),0)</f>
        <v>7000</v>
      </c>
      <c r="Q283" s="291" t="str">
        <f t="shared" ref="Q283" si="203">IF(O283=0,0,IF(X283=0,"manual",(O283/(R283*tax*markup*IF(Y283&lt;&gt;"",VLOOKUP(LEFT(Y283,2),cityindex,2,0),1)+S283*markup*difficulty*IF(Y283&lt;&gt;"",VLOOKUP(LEFT(Y283,2),cityindex,3,0),1)+W283*markup*difficulty*IF(Y283&lt;&gt;"",VLOOKUP(LEFT(Y283,2),cityindex,3,0),1)))-1))</f>
        <v>manual</v>
      </c>
      <c r="S283" s="143">
        <f t="shared" ref="S283" si="204">U283*V283</f>
        <v>0</v>
      </c>
      <c r="X283" s="143">
        <f t="shared" ref="X283" si="205">SUM(R283,S283,W283)</f>
        <v>0</v>
      </c>
      <c r="AA283" s="236"/>
      <c r="AC283" s="613">
        <f>I283-[1]BUILDING!$I261</f>
        <v>0</v>
      </c>
      <c r="AD283" s="604" t="s">
        <v>1313</v>
      </c>
    </row>
    <row r="284" spans="4:30" x14ac:dyDescent="0.2">
      <c r="D284" s="228"/>
      <c r="E284" s="228"/>
      <c r="F284" s="228"/>
      <c r="G284" s="228" t="s">
        <v>1372</v>
      </c>
      <c r="H284" s="228"/>
      <c r="I284" s="230">
        <f>(4*2)*I282</f>
        <v>56</v>
      </c>
      <c r="J284" s="231" t="s">
        <v>301</v>
      </c>
      <c r="K284" s="232">
        <f>R284*tax*markup*IF(Y284&lt;&gt;"",VLOOKUP(LEFT(Y284,2),cityindex,2,0),1)</f>
        <v>0</v>
      </c>
      <c r="L284" s="232">
        <f>S284*markup*difficulty*IF(Y284&lt;&gt;"",VLOOKUP(LEFT(Y284,2),cityindex,3,0),1)</f>
        <v>0</v>
      </c>
      <c r="M284" s="232">
        <f>W284*markup*difficulty*IF(Y284&lt;&gt;"",VLOOKUP(LEFT(Y284,2),cityindex,3,0),1)</f>
        <v>0</v>
      </c>
      <c r="N284" s="232">
        <v>20</v>
      </c>
      <c r="O284" s="232">
        <f>SUM(K284:N284)*embed</f>
        <v>20</v>
      </c>
      <c r="P284" s="233">
        <f>ROUND((O284*I284),0)</f>
        <v>1120</v>
      </c>
      <c r="Q284" s="291" t="str">
        <f>IF(O284=0,0,IF(X284=0,"manual",(O284/(R284*tax*markup*IF(Y284&lt;&gt;"",VLOOKUP(LEFT(Y284,2),cityindex,2,0),1)+S284*markup*difficulty*IF(Y284&lt;&gt;"",VLOOKUP(LEFT(Y284,2),cityindex,3,0),1)+W284*markup*difficulty*IF(Y284&lt;&gt;"",VLOOKUP(LEFT(Y284,2),cityindex,3,0),1)))-1))</f>
        <v>manual</v>
      </c>
      <c r="S284" s="143">
        <f>U284*V284</f>
        <v>0</v>
      </c>
      <c r="X284" s="143">
        <f>SUM(R284,S284,W284)</f>
        <v>0</v>
      </c>
      <c r="AC284" s="613">
        <f>I284-[1]BUILDING!$I262</f>
        <v>0</v>
      </c>
      <c r="AD284" s="604" t="s">
        <v>1313</v>
      </c>
    </row>
    <row r="285" spans="4:30" x14ac:dyDescent="0.2">
      <c r="D285" s="228"/>
      <c r="E285" s="228"/>
      <c r="F285" s="228" t="s">
        <v>1376</v>
      </c>
      <c r="G285" s="228"/>
      <c r="H285" s="228"/>
      <c r="I285" s="230">
        <f>12-I270</f>
        <v>2</v>
      </c>
      <c r="J285" s="231" t="s">
        <v>390</v>
      </c>
      <c r="K285" s="232">
        <f>R285*tax*markup*IF(Y285&lt;&gt;"",VLOOKUP(LEFT(Y285,2),cityindex,2,0),1)</f>
        <v>1919.4288729247191</v>
      </c>
      <c r="L285" s="232">
        <f>S285*markup*difficulty*IF(Y285&lt;&gt;"",VLOOKUP(LEFT(Y285,2),cityindex,3,0),1)</f>
        <v>235.97649213817638</v>
      </c>
      <c r="M285" s="232">
        <f>W285*markup*difficulty*IF(Y285&lt;&gt;"",VLOOKUP(LEFT(Y285,2),cityindex,3,0),1)</f>
        <v>0</v>
      </c>
      <c r="N285" s="232"/>
      <c r="O285" s="232">
        <f>SUM(K285:N285)*embed</f>
        <v>2155.4053650628957</v>
      </c>
      <c r="P285" s="233">
        <f>ROUND((O285*I285),0)</f>
        <v>4311</v>
      </c>
      <c r="Q285" s="291">
        <f>IF(O285=0,0,IF(X285=0,"manual",(O285/(R285*tax*markup*IF(Y285&lt;&gt;"",VLOOKUP(LEFT(Y285,2),cityindex,2,0),1)+S285*markup*difficulty*IF(Y285&lt;&gt;"",VLOOKUP(LEFT(Y285,2),cityindex,3,0),1)+W285*markup*difficulty*IF(Y285&lt;&gt;"",VLOOKUP(LEFT(Y285,2),cityindex,3,0),1)))-1))</f>
        <v>0</v>
      </c>
      <c r="R285" s="143">
        <v>1424.2124139419343</v>
      </c>
      <c r="S285" s="143">
        <f>U285*V285</f>
        <v>189.5393511150011</v>
      </c>
      <c r="T285" s="143" t="s">
        <v>968</v>
      </c>
      <c r="U285" s="143">
        <v>50.790085122442285</v>
      </c>
      <c r="V285" s="143">
        <v>3.7318179455314708</v>
      </c>
      <c r="W285" s="143">
        <v>0</v>
      </c>
      <c r="X285" s="143">
        <f>SUM(R285,S285,W285)</f>
        <v>1613.7517650569355</v>
      </c>
      <c r="Y285" s="143" t="s">
        <v>1370</v>
      </c>
      <c r="AC285" s="613">
        <f>I285-[1]BUILDING!$I263</f>
        <v>0</v>
      </c>
      <c r="AD285" s="604" t="s">
        <v>1313</v>
      </c>
    </row>
    <row r="286" spans="4:30" x14ac:dyDescent="0.2">
      <c r="D286" s="228"/>
      <c r="E286" s="228"/>
      <c r="F286" s="228"/>
      <c r="G286" s="228" t="s">
        <v>1845</v>
      </c>
      <c r="H286" s="228"/>
      <c r="I286" s="230">
        <f>I285</f>
        <v>2</v>
      </c>
      <c r="J286" s="231" t="s">
        <v>390</v>
      </c>
      <c r="K286" s="232">
        <f t="shared" ref="K286" si="206">R286*tax*markup*IF(Y286&lt;&gt;"",VLOOKUP(LEFT(Y286,2),cityindex,2,0),1)</f>
        <v>0</v>
      </c>
      <c r="L286" s="232">
        <f t="shared" ref="L286" si="207">S286*markup*difficulty*IF(Y286&lt;&gt;"",VLOOKUP(LEFT(Y286,2),cityindex,3,0),1)</f>
        <v>0</v>
      </c>
      <c r="M286" s="232">
        <f t="shared" ref="M286" si="208">W286*markup*difficulty*IF(Y286&lt;&gt;"",VLOOKUP(LEFT(Y286,2),cityindex,3,0),1)</f>
        <v>0</v>
      </c>
      <c r="N286" s="232">
        <v>1000</v>
      </c>
      <c r="O286" s="232">
        <f t="shared" ref="O286" si="209">SUM(K286:N286)*embed</f>
        <v>1000</v>
      </c>
      <c r="P286" s="233">
        <f t="shared" ref="P286" si="210">ROUND((O286*I286),0)</f>
        <v>2000</v>
      </c>
      <c r="Q286" s="291" t="str">
        <f t="shared" ref="Q286" si="211">IF(O286=0,0,IF(X286=0,"manual",(O286/(R286*tax*markup*IF(Y286&lt;&gt;"",VLOOKUP(LEFT(Y286,2),cityindex,2,0),1)+S286*markup*difficulty*IF(Y286&lt;&gt;"",VLOOKUP(LEFT(Y286,2),cityindex,3,0),1)+W286*markup*difficulty*IF(Y286&lt;&gt;"",VLOOKUP(LEFT(Y286,2),cityindex,3,0),1)))-1))</f>
        <v>manual</v>
      </c>
      <c r="S286" s="143">
        <f t="shared" ref="S286" si="212">U286*V286</f>
        <v>0</v>
      </c>
      <c r="X286" s="143">
        <f t="shared" ref="X286" si="213">SUM(R286,S286,W286)</f>
        <v>0</v>
      </c>
      <c r="AA286" s="236"/>
      <c r="AC286" s="613">
        <f>I286-[1]BUILDING!$I264</f>
        <v>0</v>
      </c>
      <c r="AD286" s="604" t="s">
        <v>1313</v>
      </c>
    </row>
    <row r="287" spans="4:30" x14ac:dyDescent="0.2">
      <c r="D287" s="228"/>
      <c r="E287" s="228"/>
      <c r="F287" s="228"/>
      <c r="G287" s="228"/>
      <c r="H287" s="228"/>
      <c r="I287" s="230"/>
      <c r="J287" s="231"/>
      <c r="K287" s="232">
        <f>R287*tax*markup*IF(Y287&lt;&gt;"",VLOOKUP(LEFT(Y287,2),cityindex,2,0),1)</f>
        <v>0</v>
      </c>
      <c r="L287" s="232">
        <f>S287*markup*difficulty*IF(Y287&lt;&gt;"",VLOOKUP(LEFT(Y287,2),cityindex,3,0),1)</f>
        <v>0</v>
      </c>
      <c r="M287" s="232">
        <f>W287*markup*difficulty*IF(Y287&lt;&gt;"",VLOOKUP(LEFT(Y287,2),cityindex,3,0),1)</f>
        <v>0</v>
      </c>
      <c r="N287" s="232"/>
      <c r="O287" s="232">
        <f>SUM(K287:N287)*embed</f>
        <v>0</v>
      </c>
      <c r="P287" s="233">
        <f>ROUND((O287*I287),0)</f>
        <v>0</v>
      </c>
      <c r="Q287" s="291">
        <f>IF(O287=0,0,IF(X287=0,"manual",(O287/(R287*tax*markup*IF(Y287&lt;&gt;"",VLOOKUP(LEFT(Y287,2),cityindex,2,0),1)+S287*markup*difficulty*IF(Y287&lt;&gt;"",VLOOKUP(LEFT(Y287,2),cityindex,3,0),1)+W287*markup*difficulty*IF(Y287&lt;&gt;"",VLOOKUP(LEFT(Y287,2),cityindex,3,0),1)))-1))</f>
        <v>0</v>
      </c>
      <c r="S287" s="143">
        <f>U287*V287</f>
        <v>0</v>
      </c>
      <c r="X287" s="143">
        <f>SUM(R287,S287,W287)</f>
        <v>0</v>
      </c>
      <c r="AC287" s="613">
        <f>I287-[1]BUILDING!$I265</f>
        <v>0</v>
      </c>
      <c r="AD287" s="604"/>
    </row>
    <row r="288" spans="4:30" x14ac:dyDescent="0.2">
      <c r="D288" s="228"/>
      <c r="E288" s="228" t="s">
        <v>678</v>
      </c>
      <c r="F288" s="228"/>
      <c r="G288" s="228"/>
      <c r="H288" s="228"/>
      <c r="I288" s="230"/>
      <c r="J288" s="231"/>
      <c r="K288" s="232">
        <f>R288*tax*markup*IF(Y288&lt;&gt;"",VLOOKUP(LEFT(Y288,2),cityindex,2,0),1)</f>
        <v>0</v>
      </c>
      <c r="L288" s="232">
        <f>S288*markup*difficulty*IF(Y288&lt;&gt;"",VLOOKUP(LEFT(Y288,2),cityindex,3,0),1)</f>
        <v>0</v>
      </c>
      <c r="M288" s="232">
        <f>W288*markup*difficulty*IF(Y288&lt;&gt;"",VLOOKUP(LEFT(Y288,2),cityindex,3,0),1)</f>
        <v>0</v>
      </c>
      <c r="N288" s="232"/>
      <c r="O288" s="232">
        <f>SUM(K288:N288)*embed</f>
        <v>0</v>
      </c>
      <c r="P288" s="233">
        <f>ROUND((O288*I288),0)</f>
        <v>0</v>
      </c>
      <c r="Q288" s="291">
        <f>IF(O288=0,0,IF(X288=0,"manual",(O288/(R288*tax*markup*IF(Y288&lt;&gt;"",VLOOKUP(LEFT(Y288,2),cityindex,2,0),1)+S288*markup*difficulty*IF(Y288&lt;&gt;"",VLOOKUP(LEFT(Y288,2),cityindex,3,0),1)+W288*markup*difficulty*IF(Y288&lt;&gt;"",VLOOKUP(LEFT(Y288,2),cityindex,3,0),1)))-1))</f>
        <v>0</v>
      </c>
      <c r="S288" s="143">
        <f>U288*V288</f>
        <v>0</v>
      </c>
      <c r="X288" s="143">
        <f>SUM(R288,S288,W288)</f>
        <v>0</v>
      </c>
      <c r="AC288" s="613">
        <f>I288-[1]BUILDING!$I266</f>
        <v>0</v>
      </c>
      <c r="AD288" s="604"/>
    </row>
    <row r="289" spans="4:30" x14ac:dyDescent="0.2">
      <c r="D289" s="228"/>
      <c r="E289" s="228"/>
      <c r="F289" s="228" t="s">
        <v>669</v>
      </c>
      <c r="G289" s="228"/>
      <c r="H289" s="228"/>
      <c r="I289" s="230">
        <f>48*10</f>
        <v>480</v>
      </c>
      <c r="J289" s="231" t="s">
        <v>301</v>
      </c>
      <c r="K289" s="232">
        <f>R289*tax*markup*IF(Y289&lt;&gt;"",VLOOKUP(LEFT(Y289,2),cityindex,2,0),1)</f>
        <v>70.370304574293954</v>
      </c>
      <c r="L289" s="232">
        <f>S289*markup*difficulty*IF(Y289&lt;&gt;"",VLOOKUP(LEFT(Y289,2),cityindex,3,0),1)</f>
        <v>12.088273607943455</v>
      </c>
      <c r="M289" s="232">
        <f>W289*markup*difficulty*IF(Y289&lt;&gt;"",VLOOKUP(LEFT(Y289,2),cityindex,3,0),1)</f>
        <v>0</v>
      </c>
      <c r="N289" s="232"/>
      <c r="O289" s="232">
        <f>SUM(K289:N289)*embed</f>
        <v>82.458578182237403</v>
      </c>
      <c r="P289" s="233">
        <f>ROUND((O289*I289),0)</f>
        <v>39580</v>
      </c>
      <c r="Q289" s="291">
        <f>IF(O289=0,0,IF(X289=0,"manual",(O289/(R289*tax*markup*IF(Y289&lt;&gt;"",VLOOKUP(LEFT(Y289,2),cityindex,2,0),1)+S289*markup*difficulty*IF(Y289&lt;&gt;"",VLOOKUP(LEFT(Y289,2),cityindex,3,0),1)+W289*markup*difficulty*IF(Y289&lt;&gt;"",VLOOKUP(LEFT(Y289,2),cityindex,3,0),1)))-1))</f>
        <v>0</v>
      </c>
      <c r="R289" s="143">
        <v>52.214626320000704</v>
      </c>
      <c r="S289" s="143">
        <f>U289*V289</f>
        <v>9.7094567132075937</v>
      </c>
      <c r="T289" s="143" t="s">
        <v>1143</v>
      </c>
      <c r="U289" s="143">
        <v>44.898530410440458</v>
      </c>
      <c r="V289" s="143">
        <v>0.21625332999651609</v>
      </c>
      <c r="W289" s="143">
        <v>0</v>
      </c>
      <c r="X289" s="143">
        <f>SUM(R289,S289,W289)</f>
        <v>61.924083033208298</v>
      </c>
      <c r="Y289" s="143" t="s">
        <v>670</v>
      </c>
      <c r="AC289" s="613">
        <f>I289-[1]BUILDING!$I267</f>
        <v>0</v>
      </c>
      <c r="AD289" s="604" t="s">
        <v>1313</v>
      </c>
    </row>
    <row r="290" spans="4:30" x14ac:dyDescent="0.2">
      <c r="K290" s="149">
        <f t="shared" si="158"/>
        <v>0</v>
      </c>
      <c r="L290" s="149">
        <f t="shared" si="159"/>
        <v>0</v>
      </c>
      <c r="M290" s="149">
        <f t="shared" si="160"/>
        <v>0</v>
      </c>
      <c r="N290" s="149"/>
      <c r="O290" s="149">
        <f t="shared" si="161"/>
        <v>0</v>
      </c>
      <c r="P290" s="216">
        <f t="shared" si="162"/>
        <v>0</v>
      </c>
      <c r="Q290" s="291">
        <f>IF(O290=0,0,IF(X290=0,"manual",O290/((R290*tax*markup*IF(Y290&lt;&gt;"",VLOOKUP(LEFT(Y290,2),cityindex,2,0),1))+S290*markup*difficulty*IF(Y290&lt;&gt;"",VLOOKUP(LEFT(Y290,2),cityindex,3,0),1)+W290*markup*difficulty*IF(Y290&lt;&gt;"",VLOOKUP(LEFT(Y290,2),cityindex,3,0),1))))</f>
        <v>0</v>
      </c>
      <c r="S290" s="143">
        <f t="shared" si="156"/>
        <v>0</v>
      </c>
      <c r="X290" s="143">
        <f t="shared" si="157"/>
        <v>0</v>
      </c>
      <c r="AC290" s="613">
        <f>I290-[1]BUILDING!$I268</f>
        <v>0</v>
      </c>
      <c r="AD290" s="604"/>
    </row>
    <row r="291" spans="4:30" ht="24.75" customHeight="1" x14ac:dyDescent="0.2">
      <c r="D291" s="217" t="str">
        <f>"TOTAL - " &amp; D264</f>
        <v>TOTAL - 08  OPENINGS</v>
      </c>
      <c r="E291" s="217"/>
      <c r="F291" s="217"/>
      <c r="G291" s="217"/>
      <c r="H291" s="217"/>
      <c r="I291" s="218"/>
      <c r="J291" s="219"/>
      <c r="K291" s="220"/>
      <c r="L291" s="220"/>
      <c r="M291" s="220"/>
      <c r="N291" s="220"/>
      <c r="O291" s="221"/>
      <c r="P291" s="222">
        <f>SUM(P264:P290)</f>
        <v>392874</v>
      </c>
      <c r="Q291" s="294" t="str">
        <f>_xlfn.CONCAT(TEXT(SUM(P291/GFA),"$#,##0.00"),"/SF")</f>
        <v>$12.48/SF</v>
      </c>
      <c r="S291" s="143">
        <f t="shared" si="156"/>
        <v>0</v>
      </c>
      <c r="X291" s="143">
        <f t="shared" si="157"/>
        <v>0</v>
      </c>
      <c r="Z291" s="314"/>
      <c r="AA291" s="315"/>
      <c r="AC291" s="613">
        <f>I291-[1]BUILDING!$I269</f>
        <v>0</v>
      </c>
      <c r="AD291" s="604"/>
    </row>
    <row r="292" spans="4:30" x14ac:dyDescent="0.2">
      <c r="K292" s="149">
        <f t="shared" ref="K292:K296" si="214">R292*tax*markup*IF(Y292&lt;&gt;"",VLOOKUP(LEFT(Y292,2),cityindex,2,0),1)</f>
        <v>0</v>
      </c>
      <c r="L292" s="149">
        <f t="shared" ref="L292:L296" si="215">S292*markup*difficulty*IF(Y292&lt;&gt;"",VLOOKUP(LEFT(Y292,2),cityindex,3,0),1)</f>
        <v>0</v>
      </c>
      <c r="M292" s="149">
        <f t="shared" ref="M292:M296" si="216">W292*markup*difficulty*IF(Y292&lt;&gt;"",VLOOKUP(LEFT(Y292,2),cityindex,3,0),1)</f>
        <v>0</v>
      </c>
      <c r="N292" s="149"/>
      <c r="O292" s="149">
        <f t="shared" ref="O292:O296" si="217">SUM(K292:N292)*embed</f>
        <v>0</v>
      </c>
      <c r="P292" s="216">
        <f t="shared" ref="P292:P296" si="218">ROUND((O292*I292),0)</f>
        <v>0</v>
      </c>
      <c r="Q292" s="291">
        <f>IF(O292=0,0,IF(X292=0,"manual",O292/((R292*tax*markup*IF(Y292&lt;&gt;"",VLOOKUP(LEFT(Y292,2),cityindex,2,0),1))+S292*markup*difficulty*IF(Y292&lt;&gt;"",VLOOKUP(LEFT(Y292,2),cityindex,3,0),1)+W292*markup*difficulty*IF(Y292&lt;&gt;"",VLOOKUP(LEFT(Y292,2),cityindex,3,0),1))))</f>
        <v>0</v>
      </c>
      <c r="S292" s="143">
        <f t="shared" si="156"/>
        <v>0</v>
      </c>
      <c r="X292" s="143">
        <f t="shared" si="157"/>
        <v>0</v>
      </c>
      <c r="AC292" s="613">
        <f>I292-[1]BUILDING!$I270</f>
        <v>0</v>
      </c>
      <c r="AD292" s="604"/>
    </row>
    <row r="293" spans="4:30" x14ac:dyDescent="0.2">
      <c r="D293" s="214" t="s">
        <v>275</v>
      </c>
      <c r="E293" s="215"/>
      <c r="F293" s="215"/>
      <c r="G293" s="215"/>
      <c r="H293" s="215"/>
      <c r="K293" s="149">
        <f t="shared" si="214"/>
        <v>0</v>
      </c>
      <c r="L293" s="149">
        <f t="shared" si="215"/>
        <v>0</v>
      </c>
      <c r="M293" s="149">
        <f t="shared" si="216"/>
        <v>0</v>
      </c>
      <c r="N293" s="149"/>
      <c r="O293" s="149">
        <f t="shared" si="217"/>
        <v>0</v>
      </c>
      <c r="P293" s="216">
        <f t="shared" si="218"/>
        <v>0</v>
      </c>
      <c r="Q293" s="291">
        <f>IF(O293=0,0,IF(X293=0,"manual",O293/((R293*tax*markup*IF(Y293&lt;&gt;"",VLOOKUP(LEFT(Y293,2),cityindex,2,0),1))+S293*markup*difficulty*IF(Y293&lt;&gt;"",VLOOKUP(LEFT(Y293,2),cityindex,3,0),1)+W293*markup*difficulty*IF(Y293&lt;&gt;"",VLOOKUP(LEFT(Y293,2),cityindex,3,0),1))))</f>
        <v>0</v>
      </c>
      <c r="S293" s="143">
        <f t="shared" si="156"/>
        <v>0</v>
      </c>
      <c r="X293" s="143">
        <f t="shared" si="157"/>
        <v>0</v>
      </c>
      <c r="AC293" s="613">
        <f>I293-[1]BUILDING!$I271</f>
        <v>0</v>
      </c>
      <c r="AD293" s="604"/>
    </row>
    <row r="294" spans="4:30" x14ac:dyDescent="0.2">
      <c r="D294" s="228"/>
      <c r="E294" s="228" t="s">
        <v>1139</v>
      </c>
      <c r="F294" s="228"/>
      <c r="G294" s="228"/>
      <c r="H294" s="228"/>
      <c r="I294" s="230"/>
      <c r="J294" s="231"/>
      <c r="K294" s="232">
        <f t="shared" si="214"/>
        <v>0</v>
      </c>
      <c r="L294" s="232">
        <f t="shared" si="215"/>
        <v>0</v>
      </c>
      <c r="M294" s="232">
        <f t="shared" si="216"/>
        <v>0</v>
      </c>
      <c r="N294" s="232"/>
      <c r="O294" s="232">
        <f t="shared" si="217"/>
        <v>0</v>
      </c>
      <c r="P294" s="233">
        <f t="shared" si="218"/>
        <v>0</v>
      </c>
      <c r="Q294" s="291">
        <f t="shared" ref="Q294:Q400" si="219">IF(O294=0,0,IF(X294=0,"manual",(O294/(R294*tax*markup*IF(Y294&lt;&gt;"",VLOOKUP(LEFT(Y294,2),cityindex,2,0),1)+S294*markup*difficulty*IF(Y294&lt;&gt;"",VLOOKUP(LEFT(Y294,2),cityindex,3,0),1)+W294*markup*difficulty*IF(Y294&lt;&gt;"",VLOOKUP(LEFT(Y294,2),cityindex,3,0),1)))-1))</f>
        <v>0</v>
      </c>
      <c r="S294" s="143">
        <f t="shared" si="156"/>
        <v>0</v>
      </c>
      <c r="X294" s="143">
        <f t="shared" si="157"/>
        <v>0</v>
      </c>
      <c r="AC294" s="613">
        <f>I294-[1]BUILDING!$I272</f>
        <v>0</v>
      </c>
      <c r="AD294" s="604"/>
    </row>
    <row r="295" spans="4:30" x14ac:dyDescent="0.2">
      <c r="D295" s="228"/>
      <c r="E295" s="228"/>
      <c r="F295" s="228" t="s">
        <v>1065</v>
      </c>
      <c r="G295" s="228"/>
      <c r="H295" s="228"/>
      <c r="I295" s="230">
        <f>I380</f>
        <v>2930</v>
      </c>
      <c r="J295" s="231" t="s">
        <v>301</v>
      </c>
      <c r="K295" s="232">
        <f t="shared" si="214"/>
        <v>0.70777208685668369</v>
      </c>
      <c r="L295" s="232">
        <f t="shared" si="215"/>
        <v>0.71581493962985565</v>
      </c>
      <c r="M295" s="232">
        <f t="shared" si="216"/>
        <v>0.16164495105391452</v>
      </c>
      <c r="N295" s="232">
        <v>0.25</v>
      </c>
      <c r="O295" s="232">
        <f t="shared" si="217"/>
        <v>1.8352319775404538</v>
      </c>
      <c r="P295" s="233">
        <f t="shared" si="218"/>
        <v>5377</v>
      </c>
      <c r="Q295" s="291">
        <f t="shared" si="219"/>
        <v>0.15770562513373232</v>
      </c>
      <c r="R295" s="143">
        <v>0.52516548362999049</v>
      </c>
      <c r="S295" s="143">
        <f t="shared" si="156"/>
        <v>0.57495175873883986</v>
      </c>
      <c r="T295" s="143" t="s">
        <v>979</v>
      </c>
      <c r="U295" s="143">
        <v>39.536377033321841</v>
      </c>
      <c r="V295" s="143">
        <v>1.4542348133068997E-2</v>
      </c>
      <c r="W295" s="143">
        <v>0.12983530205133695</v>
      </c>
      <c r="X295" s="143">
        <f t="shared" si="157"/>
        <v>1.2299525444201673</v>
      </c>
      <c r="Y295" s="143" t="s">
        <v>302</v>
      </c>
      <c r="AC295" s="613">
        <f>I295-[1]BUILDING!$I273</f>
        <v>0</v>
      </c>
      <c r="AD295" s="604" t="s">
        <v>1313</v>
      </c>
    </row>
    <row r="296" spans="4:30" x14ac:dyDescent="0.2">
      <c r="D296" s="228"/>
      <c r="F296" s="228" t="s">
        <v>1066</v>
      </c>
      <c r="G296" s="228"/>
      <c r="H296" s="228"/>
      <c r="I296" s="230">
        <f>I393</f>
        <v>5387</v>
      </c>
      <c r="J296" s="231" t="s">
        <v>301</v>
      </c>
      <c r="K296" s="232">
        <f t="shared" si="214"/>
        <v>0.70777208685668369</v>
      </c>
      <c r="L296" s="232">
        <f t="shared" si="215"/>
        <v>0.71581493962985565</v>
      </c>
      <c r="M296" s="232">
        <f t="shared" si="216"/>
        <v>0.16164495105391452</v>
      </c>
      <c r="N296" s="232"/>
      <c r="O296" s="232">
        <f t="shared" si="217"/>
        <v>1.5852319775404538</v>
      </c>
      <c r="P296" s="233">
        <f t="shared" si="218"/>
        <v>8540</v>
      </c>
      <c r="Q296" s="291">
        <f t="shared" si="219"/>
        <v>0</v>
      </c>
      <c r="R296" s="143">
        <v>0.52516548362999049</v>
      </c>
      <c r="S296" s="143">
        <f t="shared" si="156"/>
        <v>0.57495175873883986</v>
      </c>
      <c r="T296" s="143" t="s">
        <v>979</v>
      </c>
      <c r="U296" s="143">
        <v>39.536377033321841</v>
      </c>
      <c r="V296" s="143">
        <v>1.4542348133068997E-2</v>
      </c>
      <c r="W296" s="143">
        <v>0.12983530205133695</v>
      </c>
      <c r="X296" s="143">
        <f t="shared" si="157"/>
        <v>1.2299525444201673</v>
      </c>
      <c r="Y296" s="143" t="s">
        <v>302</v>
      </c>
      <c r="AC296" s="613"/>
      <c r="AD296" s="604" t="s">
        <v>1313</v>
      </c>
    </row>
    <row r="297" spans="4:30" x14ac:dyDescent="0.2">
      <c r="D297" s="228"/>
      <c r="E297" s="228"/>
      <c r="F297" s="228"/>
      <c r="G297" s="228"/>
      <c r="H297" s="228"/>
      <c r="I297" s="230"/>
      <c r="J297" s="231"/>
      <c r="K297" s="232">
        <f t="shared" ref="K297:K400" si="220">R297*tax*markup*IF(Y297&lt;&gt;"",VLOOKUP(LEFT(Y297,2),cityindex,2,0),1)</f>
        <v>0</v>
      </c>
      <c r="L297" s="232">
        <f t="shared" ref="L297:L400" si="221">S297*markup*difficulty*IF(Y297&lt;&gt;"",VLOOKUP(LEFT(Y297,2),cityindex,3,0),1)</f>
        <v>0</v>
      </c>
      <c r="M297" s="232">
        <f t="shared" ref="M297:M400" si="222">W297*markup*difficulty*IF(Y297&lt;&gt;"",VLOOKUP(LEFT(Y297,2),cityindex,3,0),1)</f>
        <v>0</v>
      </c>
      <c r="N297" s="232"/>
      <c r="O297" s="232">
        <f t="shared" ref="O297:O400" si="223">SUM(K297:N297)*embed</f>
        <v>0</v>
      </c>
      <c r="P297" s="233">
        <f t="shared" ref="P297:P400" si="224">ROUND((O297*I297),0)</f>
        <v>0</v>
      </c>
      <c r="Q297" s="291">
        <f t="shared" si="219"/>
        <v>0</v>
      </c>
      <c r="S297" s="143">
        <f t="shared" ref="S297:S400" si="225">U297*V297</f>
        <v>0</v>
      </c>
      <c r="X297" s="143">
        <f t="shared" ref="X297:X400" si="226">SUM(R297,S297,W297)</f>
        <v>0</v>
      </c>
      <c r="AC297" s="613"/>
      <c r="AD297" s="604"/>
    </row>
    <row r="298" spans="4:30" x14ac:dyDescent="0.2">
      <c r="D298" s="228"/>
      <c r="E298" s="228" t="s">
        <v>1151</v>
      </c>
      <c r="F298" s="228"/>
      <c r="G298" s="228"/>
      <c r="H298" s="228"/>
      <c r="I298" s="230"/>
      <c r="J298" s="231"/>
      <c r="K298" s="232">
        <f t="shared" si="220"/>
        <v>0</v>
      </c>
      <c r="L298" s="232">
        <f t="shared" si="221"/>
        <v>0</v>
      </c>
      <c r="M298" s="232">
        <f t="shared" si="222"/>
        <v>0</v>
      </c>
      <c r="N298" s="232"/>
      <c r="O298" s="232">
        <f t="shared" si="223"/>
        <v>0</v>
      </c>
      <c r="P298" s="233">
        <f t="shared" si="224"/>
        <v>0</v>
      </c>
      <c r="Q298" s="291">
        <f t="shared" si="219"/>
        <v>0</v>
      </c>
      <c r="S298" s="143">
        <f t="shared" si="225"/>
        <v>0</v>
      </c>
      <c r="X298" s="143">
        <f t="shared" si="226"/>
        <v>0</v>
      </c>
      <c r="AC298" s="613"/>
      <c r="AD298" s="604"/>
    </row>
    <row r="299" spans="4:30" x14ac:dyDescent="0.2">
      <c r="D299" s="228"/>
      <c r="E299" s="228"/>
      <c r="F299" s="228" t="s">
        <v>1728</v>
      </c>
      <c r="G299" s="228"/>
      <c r="H299" s="228"/>
      <c r="I299" s="230">
        <v>5960</v>
      </c>
      <c r="J299" s="231" t="s">
        <v>301</v>
      </c>
      <c r="K299" s="232">
        <f>R299*tax*markup*IF(Y299&lt;&gt;"",VLOOKUP(LEFT(Y299,2),cityindex,2,0),1)</f>
        <v>8.9607856117795297</v>
      </c>
      <c r="L299" s="232">
        <f>S299*markup*difficulty*IF(Y299&lt;&gt;"",VLOOKUP(LEFT(Y299,2),cityindex,3,0),1)</f>
        <v>4.0127116961394478</v>
      </c>
      <c r="M299" s="232">
        <f>W299*markup*difficulty*IF(Y299&lt;&gt;"",VLOOKUP(LEFT(Y299,2),cityindex,3,0),1)</f>
        <v>0</v>
      </c>
      <c r="N299" s="232"/>
      <c r="O299" s="232">
        <f>SUM(K299:N299)*embed</f>
        <v>12.973497307918977</v>
      </c>
      <c r="P299" s="233">
        <f>ROUND((O299*I299),0)</f>
        <v>77322</v>
      </c>
      <c r="Q299" s="291">
        <f>IF(O299=0,0,IF(X299=0,"manual",(O299/(R299*tax*markup*IF(Y299&lt;&gt;"",VLOOKUP(LEFT(Y299,2),cityindex,2,0),1)+S299*markup*difficulty*IF(Y299&lt;&gt;"",VLOOKUP(LEFT(Y299,2),cityindex,3,0),1)+W299*markup*difficulty*IF(Y299&lt;&gt;"",VLOOKUP(LEFT(Y299,2),cityindex,3,0),1)))-1))</f>
        <v>0</v>
      </c>
      <c r="R299" s="143">
        <v>6.6488851381726652</v>
      </c>
      <c r="S299" s="143">
        <f>U299*V299</f>
        <v>3.2230616033248571</v>
      </c>
      <c r="T299" s="143" t="s">
        <v>968</v>
      </c>
      <c r="U299" s="143">
        <v>50.790085122442285</v>
      </c>
      <c r="V299" s="143">
        <v>6.3458480046939394E-2</v>
      </c>
      <c r="W299" s="143">
        <v>0</v>
      </c>
      <c r="X299" s="143">
        <f>SUM(R299,S299,W299)</f>
        <v>9.8719467414975224</v>
      </c>
      <c r="Y299" s="143" t="s">
        <v>1729</v>
      </c>
      <c r="AC299" s="613"/>
      <c r="AD299" s="604" t="s">
        <v>1316</v>
      </c>
    </row>
    <row r="300" spans="4:30" x14ac:dyDescent="0.2">
      <c r="D300" s="228"/>
      <c r="E300" s="228"/>
      <c r="F300" s="228" t="s">
        <v>1722</v>
      </c>
      <c r="G300" s="228"/>
      <c r="H300" s="228"/>
      <c r="I300" s="230">
        <f>I299</f>
        <v>5960</v>
      </c>
      <c r="J300" s="231" t="s">
        <v>301</v>
      </c>
      <c r="K300" s="232">
        <f>R300*tax*markup*IF(Y300&lt;&gt;"",VLOOKUP(LEFT(Y300,2),cityindex,2,0),1)</f>
        <v>0.88804816015848742</v>
      </c>
      <c r="L300" s="232">
        <f>S300*markup*difficulty*IF(Y300&lt;&gt;"",VLOOKUP(LEFT(Y300,2),cityindex,3,0),1)</f>
        <v>0.55335274420657776</v>
      </c>
      <c r="M300" s="232">
        <f>W300*markup*difficulty*IF(Y300&lt;&gt;"",VLOOKUP(LEFT(Y300,2),cityindex,3,0),1)</f>
        <v>0</v>
      </c>
      <c r="N300" s="232"/>
      <c r="O300" s="232">
        <f>SUM(K300:N300)*embed</f>
        <v>1.4414009043650653</v>
      </c>
      <c r="P300" s="233">
        <f>ROUND((O300*I300),0)</f>
        <v>8591</v>
      </c>
      <c r="Q300" s="291">
        <f>IF(O300=0,0,IF(X300=0,"manual",(O300/(R300*tax*markup*IF(Y300&lt;&gt;"",VLOOKUP(LEFT(Y300,2),cityindex,2,0),1)+S300*markup*difficulty*IF(Y300&lt;&gt;"",VLOOKUP(LEFT(Y300,2),cityindex,3,0),1)+W300*markup*difficulty*IF(Y300&lt;&gt;"",VLOOKUP(LEFT(Y300,2),cityindex,3,0),1)))-1))</f>
        <v>0</v>
      </c>
      <c r="R300" s="143">
        <v>0.658929972199922</v>
      </c>
      <c r="S300" s="143">
        <f>U300*V300</f>
        <v>0.44446003550729135</v>
      </c>
      <c r="T300" s="143" t="s">
        <v>968</v>
      </c>
      <c r="U300" s="143">
        <v>50.790085122442285</v>
      </c>
      <c r="V300" s="143">
        <v>8.7509212563004878E-3</v>
      </c>
      <c r="W300" s="143">
        <v>0</v>
      </c>
      <c r="X300" s="143">
        <f>SUM(R300,S300,W300)</f>
        <v>1.1033900077072134</v>
      </c>
      <c r="Y300" s="143" t="s">
        <v>614</v>
      </c>
      <c r="AC300" s="613"/>
      <c r="AD300" s="604"/>
    </row>
    <row r="301" spans="4:30" x14ac:dyDescent="0.2">
      <c r="D301" s="228"/>
      <c r="E301" s="228"/>
      <c r="F301" s="143" t="s">
        <v>1150</v>
      </c>
      <c r="G301" s="228"/>
      <c r="H301" s="228"/>
      <c r="I301" s="230">
        <f>(AS4*15)-I289-I299</f>
        <v>10990</v>
      </c>
      <c r="J301" s="231" t="s">
        <v>301</v>
      </c>
      <c r="K301" s="232">
        <f t="shared" si="220"/>
        <v>4.8462152128399252</v>
      </c>
      <c r="L301" s="232">
        <f t="shared" si="221"/>
        <v>3.1386475007625889</v>
      </c>
      <c r="M301" s="232">
        <f t="shared" si="222"/>
        <v>0</v>
      </c>
      <c r="N301" s="232"/>
      <c r="O301" s="232">
        <f t="shared" si="223"/>
        <v>7.9848627136025137</v>
      </c>
      <c r="P301" s="233">
        <f t="shared" si="224"/>
        <v>87754</v>
      </c>
      <c r="Q301" s="291">
        <f t="shared" si="219"/>
        <v>0</v>
      </c>
      <c r="R301" s="143">
        <v>3.5958820689426898</v>
      </c>
      <c r="S301" s="143">
        <f t="shared" si="225"/>
        <v>2.5210020086446496</v>
      </c>
      <c r="T301" s="143" t="s">
        <v>968</v>
      </c>
      <c r="U301" s="143">
        <v>50.790085122442285</v>
      </c>
      <c r="V301" s="143">
        <v>4.9635711430038754E-2</v>
      </c>
      <c r="W301" s="143">
        <v>0</v>
      </c>
      <c r="X301" s="143">
        <f t="shared" si="226"/>
        <v>6.1168840775873399</v>
      </c>
      <c r="Y301" s="143" t="s">
        <v>682</v>
      </c>
      <c r="AC301" s="613"/>
      <c r="AD301" s="604"/>
    </row>
    <row r="302" spans="4:30" x14ac:dyDescent="0.2">
      <c r="D302" s="228"/>
      <c r="E302" s="228"/>
      <c r="F302" s="228" t="s">
        <v>1152</v>
      </c>
      <c r="G302" s="228"/>
      <c r="H302" s="228"/>
      <c r="I302" s="230">
        <f>I301</f>
        <v>10990</v>
      </c>
      <c r="J302" s="231" t="s">
        <v>301</v>
      </c>
      <c r="K302" s="232">
        <f t="shared" si="220"/>
        <v>0.50739295776028059</v>
      </c>
      <c r="L302" s="232">
        <f t="shared" si="221"/>
        <v>0.508830109615244</v>
      </c>
      <c r="M302" s="232">
        <f t="shared" si="222"/>
        <v>0</v>
      </c>
      <c r="N302" s="232"/>
      <c r="O302" s="232">
        <f t="shared" si="223"/>
        <v>1.0162230673755246</v>
      </c>
      <c r="P302" s="233">
        <f t="shared" si="224"/>
        <v>11168</v>
      </c>
      <c r="Q302" s="291">
        <f t="shared" si="219"/>
        <v>0</v>
      </c>
      <c r="R302" s="143">
        <v>0.3764845675619099</v>
      </c>
      <c r="S302" s="143">
        <f t="shared" si="225"/>
        <v>0.40869888322509551</v>
      </c>
      <c r="T302" s="143" t="s">
        <v>968</v>
      </c>
      <c r="U302" s="143">
        <v>50.790085122442285</v>
      </c>
      <c r="V302" s="143">
        <v>8.0468241437245871E-3</v>
      </c>
      <c r="W302" s="143">
        <v>0</v>
      </c>
      <c r="X302" s="143">
        <f t="shared" si="226"/>
        <v>0.78518345078700547</v>
      </c>
      <c r="Y302" s="143" t="s">
        <v>613</v>
      </c>
      <c r="AC302" s="613"/>
      <c r="AD302" s="604"/>
    </row>
    <row r="303" spans="4:30" x14ac:dyDescent="0.2">
      <c r="D303" s="228"/>
      <c r="E303" s="228"/>
      <c r="F303" s="228" t="s">
        <v>1153</v>
      </c>
      <c r="G303" s="228"/>
      <c r="H303" s="228"/>
      <c r="I303" s="230">
        <f>I301+I299</f>
        <v>16950</v>
      </c>
      <c r="J303" s="231" t="s">
        <v>301</v>
      </c>
      <c r="K303" s="232">
        <f t="shared" si="220"/>
        <v>0.62531816631610104</v>
      </c>
      <c r="L303" s="232">
        <f t="shared" si="221"/>
        <v>1.4792730056799239</v>
      </c>
      <c r="M303" s="232">
        <f t="shared" si="222"/>
        <v>0</v>
      </c>
      <c r="N303" s="232"/>
      <c r="O303" s="232">
        <f t="shared" si="223"/>
        <v>2.1045911719960251</v>
      </c>
      <c r="P303" s="233">
        <f t="shared" si="224"/>
        <v>35673</v>
      </c>
      <c r="Q303" s="291">
        <f t="shared" si="219"/>
        <v>0</v>
      </c>
      <c r="R303" s="143">
        <v>0.46398483824710468</v>
      </c>
      <c r="S303" s="143">
        <f t="shared" si="225"/>
        <v>1.1881710888995372</v>
      </c>
      <c r="T303" s="143" t="s">
        <v>968</v>
      </c>
      <c r="U303" s="143">
        <v>50.790085122442285</v>
      </c>
      <c r="V303" s="143">
        <v>2.3393760534859347E-2</v>
      </c>
      <c r="W303" s="143">
        <v>0</v>
      </c>
      <c r="X303" s="143">
        <f t="shared" si="226"/>
        <v>1.6521559271466417</v>
      </c>
      <c r="Y303" s="143" t="s">
        <v>699</v>
      </c>
      <c r="AC303" s="613"/>
      <c r="AD303" s="604"/>
    </row>
    <row r="304" spans="4:30" x14ac:dyDescent="0.2">
      <c r="D304" s="228"/>
      <c r="E304" s="228"/>
      <c r="F304" s="228"/>
      <c r="G304" s="228"/>
      <c r="H304" s="228"/>
      <c r="I304" s="230"/>
      <c r="J304" s="231"/>
      <c r="K304" s="232">
        <f t="shared" si="220"/>
        <v>0</v>
      </c>
      <c r="L304" s="232">
        <f t="shared" si="221"/>
        <v>0</v>
      </c>
      <c r="M304" s="232">
        <f t="shared" si="222"/>
        <v>0</v>
      </c>
      <c r="N304" s="232"/>
      <c r="O304" s="232">
        <f t="shared" si="223"/>
        <v>0</v>
      </c>
      <c r="P304" s="233">
        <f t="shared" si="224"/>
        <v>0</v>
      </c>
      <c r="Q304" s="291">
        <f t="shared" si="219"/>
        <v>0</v>
      </c>
      <c r="S304" s="143">
        <f t="shared" si="225"/>
        <v>0</v>
      </c>
      <c r="X304" s="143">
        <f t="shared" si="226"/>
        <v>0</v>
      </c>
      <c r="AC304" s="613"/>
      <c r="AD304" s="604"/>
    </row>
    <row r="305" spans="3:39" x14ac:dyDescent="0.2">
      <c r="D305" s="228"/>
      <c r="E305" s="228" t="str">
        <f>_xlfn.CONCAT("Wall type - ",Z306)</f>
        <v>Wall type - A3</v>
      </c>
      <c r="F305" s="228"/>
      <c r="G305" s="228"/>
      <c r="H305" s="228"/>
      <c r="I305" s="230"/>
      <c r="J305" s="231"/>
      <c r="K305" s="232">
        <f>R305*tax*markup*IF(Y305&lt;&gt;"",VLOOKUP(LEFT(Y305,2),cityindex,2,0),1)</f>
        <v>0</v>
      </c>
      <c r="L305" s="232">
        <f t="shared" ref="L305:L325" si="227">S305*markup*difficulty*IF(Y305&lt;&gt;"",VLOOKUP(LEFT(Y305,2),cityindex,3,0),1)</f>
        <v>0</v>
      </c>
      <c r="M305" s="232">
        <f t="shared" ref="M305:M325" si="228">W305*markup*difficulty*IF(Y305&lt;&gt;"",VLOOKUP(LEFT(Y305,2),cityindex,3,0),1)</f>
        <v>0</v>
      </c>
      <c r="N305" s="232"/>
      <c r="O305" s="232">
        <f t="shared" ref="O305:O325" si="229">SUM(K305:N305)*embed</f>
        <v>0</v>
      </c>
      <c r="P305" s="233">
        <f t="shared" ref="P305:P325" si="230">ROUND((O305*I305),0)</f>
        <v>0</v>
      </c>
      <c r="Q305" s="291">
        <f t="shared" ref="Q305:Q325" si="231">IF(O305=0,0,IF(X305=0,"manual",(O305/(R305*tax*markup*IF(Y305&lt;&gt;"",VLOOKUP(LEFT(Y305,2),cityindex,2,0),1)+S305*markup*difficulty*IF(Y305&lt;&gt;"",VLOOKUP(LEFT(Y305,2),cityindex,3,0),1)+W305*markup*difficulty*IF(Y305&lt;&gt;"",VLOOKUP(LEFT(Y305,2),cityindex,3,0),1)))-1))</f>
        <v>0</v>
      </c>
      <c r="S305" s="143">
        <f t="shared" ref="S305:S342" si="232">U305*V305</f>
        <v>0</v>
      </c>
      <c r="X305" s="143">
        <f t="shared" ref="X305:X342" si="233">SUM(R305,S305,W305)</f>
        <v>0</v>
      </c>
      <c r="Z305" s="576" t="s">
        <v>1382</v>
      </c>
      <c r="AA305" s="576" t="s">
        <v>309</v>
      </c>
      <c r="AB305" s="576" t="s">
        <v>1383</v>
      </c>
      <c r="AC305" s="613"/>
      <c r="AD305" s="604"/>
    </row>
    <row r="306" spans="3:39" x14ac:dyDescent="0.2">
      <c r="D306" s="228"/>
      <c r="E306" s="228"/>
      <c r="F306" s="228" t="s">
        <v>1150</v>
      </c>
      <c r="G306" s="228"/>
      <c r="H306" s="228"/>
      <c r="I306" s="230">
        <f>AA306*AB306</f>
        <v>1104</v>
      </c>
      <c r="J306" s="231" t="s">
        <v>301</v>
      </c>
      <c r="K306" s="232">
        <f>R306*tax*markup*IF(Y306&lt;&gt;"",VLOOKUP(LEFT(Y306,2),cityindex,2,0),1)</f>
        <v>4.8462152128399252</v>
      </c>
      <c r="L306" s="232">
        <f t="shared" si="227"/>
        <v>3.1386475007625889</v>
      </c>
      <c r="M306" s="232">
        <f t="shared" si="228"/>
        <v>0</v>
      </c>
      <c r="N306" s="232"/>
      <c r="O306" s="232">
        <f t="shared" si="229"/>
        <v>7.9848627136025137</v>
      </c>
      <c r="P306" s="233">
        <f t="shared" si="230"/>
        <v>8815</v>
      </c>
      <c r="Q306" s="291">
        <f t="shared" si="231"/>
        <v>0</v>
      </c>
      <c r="R306" s="143">
        <v>3.5958820689426898</v>
      </c>
      <c r="S306" s="143">
        <f t="shared" si="232"/>
        <v>2.5210020086446496</v>
      </c>
      <c r="T306" s="143" t="s">
        <v>968</v>
      </c>
      <c r="U306" s="143">
        <v>50.790085122442285</v>
      </c>
      <c r="V306" s="143">
        <v>4.9635711430038754E-2</v>
      </c>
      <c r="W306" s="143">
        <v>0</v>
      </c>
      <c r="X306" s="143">
        <f t="shared" si="233"/>
        <v>6.1168840775873399</v>
      </c>
      <c r="Y306" s="143" t="s">
        <v>682</v>
      </c>
      <c r="Z306" s="573" t="s">
        <v>1384</v>
      </c>
      <c r="AA306" s="573">
        <v>69</v>
      </c>
      <c r="AB306" s="573">
        <v>16</v>
      </c>
      <c r="AC306" s="613">
        <f>I306-[1]BUILDING!I282</f>
        <v>-15717</v>
      </c>
      <c r="AD306" s="604" t="s">
        <v>1665</v>
      </c>
    </row>
    <row r="307" spans="3:39" x14ac:dyDescent="0.2">
      <c r="D307" s="228"/>
      <c r="E307" s="228"/>
      <c r="F307" s="228" t="s">
        <v>1385</v>
      </c>
      <c r="G307" s="228"/>
      <c r="H307" s="228"/>
      <c r="I307" s="230">
        <f t="shared" ref="I307" si="234">AA307*AB307</f>
        <v>1104</v>
      </c>
      <c r="J307" s="231" t="s">
        <v>301</v>
      </c>
      <c r="K307" s="232">
        <f>R307*tax*markup*IF(Y307&lt;&gt;"",VLOOKUP(LEFT(Y307,2),cityindex,2,0),1)*1.5</f>
        <v>0.76108943664042084</v>
      </c>
      <c r="L307" s="232">
        <f t="shared" si="227"/>
        <v>0.508830109615244</v>
      </c>
      <c r="M307" s="232">
        <f t="shared" si="228"/>
        <v>0</v>
      </c>
      <c r="N307" s="232"/>
      <c r="O307" s="232">
        <f t="shared" si="229"/>
        <v>1.2699195462556649</v>
      </c>
      <c r="P307" s="233">
        <f t="shared" si="230"/>
        <v>1402</v>
      </c>
      <c r="Q307" s="291">
        <f t="shared" si="231"/>
        <v>0.24964644773841949</v>
      </c>
      <c r="R307" s="143">
        <v>0.3764845675619099</v>
      </c>
      <c r="S307" s="143">
        <f t="shared" si="232"/>
        <v>0.40869888322509551</v>
      </c>
      <c r="T307" s="143" t="s">
        <v>968</v>
      </c>
      <c r="U307" s="143">
        <v>50.790085122442285</v>
      </c>
      <c r="V307" s="143">
        <v>8.0468241437245871E-3</v>
      </c>
      <c r="W307" s="143">
        <v>0</v>
      </c>
      <c r="X307" s="143">
        <f t="shared" si="233"/>
        <v>0.78518345078700547</v>
      </c>
      <c r="Y307" s="143" t="s">
        <v>613</v>
      </c>
      <c r="Z307" s="576" t="s">
        <v>1392</v>
      </c>
      <c r="AA307" s="573">
        <f>AA306</f>
        <v>69</v>
      </c>
      <c r="AB307" s="579">
        <f>AB306</f>
        <v>16</v>
      </c>
      <c r="AC307" s="613">
        <f>I307-[1]BUILDING!I283</f>
        <v>-15717</v>
      </c>
      <c r="AD307" s="604" t="s">
        <v>1665</v>
      </c>
    </row>
    <row r="308" spans="3:39" x14ac:dyDescent="0.2">
      <c r="D308" s="228"/>
      <c r="E308" s="228"/>
      <c r="F308" s="228" t="s">
        <v>1153</v>
      </c>
      <c r="G308" s="228"/>
      <c r="H308" s="228"/>
      <c r="I308" s="230">
        <f>(AA308*AB308)*Z308</f>
        <v>2208</v>
      </c>
      <c r="J308" s="231" t="s">
        <v>301</v>
      </c>
      <c r="K308" s="232">
        <f>R308*tax*markup*IF(Y308&lt;&gt;"",VLOOKUP(LEFT(Y308,2),cityindex,2,0),1)</f>
        <v>0.62531816631610104</v>
      </c>
      <c r="L308" s="232">
        <f t="shared" si="227"/>
        <v>1.4792730056799239</v>
      </c>
      <c r="M308" s="232">
        <f t="shared" si="228"/>
        <v>0</v>
      </c>
      <c r="N308" s="232"/>
      <c r="O308" s="232">
        <f t="shared" si="229"/>
        <v>2.1045911719960251</v>
      </c>
      <c r="P308" s="233">
        <f t="shared" si="230"/>
        <v>4647</v>
      </c>
      <c r="Q308" s="291">
        <f t="shared" si="231"/>
        <v>0</v>
      </c>
      <c r="R308" s="143">
        <v>0.46398483824710468</v>
      </c>
      <c r="S308" s="143">
        <f t="shared" si="232"/>
        <v>1.1881710888995372</v>
      </c>
      <c r="T308" s="143" t="s">
        <v>968</v>
      </c>
      <c r="U308" s="143">
        <v>50.790085122442285</v>
      </c>
      <c r="V308" s="143">
        <v>2.3393760534859347E-2</v>
      </c>
      <c r="W308" s="143">
        <v>0</v>
      </c>
      <c r="X308" s="143">
        <f t="shared" si="233"/>
        <v>1.6521559271466417</v>
      </c>
      <c r="Y308" s="143" t="s">
        <v>699</v>
      </c>
      <c r="Z308" s="573">
        <v>2</v>
      </c>
      <c r="AA308" s="573">
        <f t="shared" ref="AA308:AA309" si="235">AA307</f>
        <v>69</v>
      </c>
      <c r="AB308" s="579">
        <f t="shared" ref="AB308:AB309" si="236">AB307</f>
        <v>16</v>
      </c>
      <c r="AC308" s="613">
        <f>I308-[1]BUILDING!I284</f>
        <v>-31434</v>
      </c>
      <c r="AD308" s="604" t="s">
        <v>1665</v>
      </c>
    </row>
    <row r="309" spans="3:39" x14ac:dyDescent="0.2">
      <c r="D309" s="228"/>
      <c r="E309" s="228"/>
      <c r="F309" s="228" t="s">
        <v>1386</v>
      </c>
      <c r="G309" s="228"/>
      <c r="H309" s="228"/>
      <c r="I309" s="230">
        <f>AA309*AB309</f>
        <v>1104</v>
      </c>
      <c r="J309" s="231" t="s">
        <v>301</v>
      </c>
      <c r="K309" s="232">
        <f>R309*tax*markup*IF(Y309&lt;&gt;"",VLOOKUP(LEFT(Y309,2),cityindex,2,0),1)*1.6</f>
        <v>0.81182873241644904</v>
      </c>
      <c r="L309" s="232">
        <f t="shared" si="227"/>
        <v>0.508830109615244</v>
      </c>
      <c r="M309" s="232">
        <f t="shared" si="228"/>
        <v>0</v>
      </c>
      <c r="N309" s="232"/>
      <c r="O309" s="232">
        <f t="shared" si="229"/>
        <v>1.3206588420316931</v>
      </c>
      <c r="P309" s="233">
        <f t="shared" si="230"/>
        <v>1458</v>
      </c>
      <c r="Q309" s="291">
        <f t="shared" si="231"/>
        <v>0.29957573728610365</v>
      </c>
      <c r="R309" s="143">
        <v>0.3764845675619099</v>
      </c>
      <c r="S309" s="143">
        <f t="shared" si="232"/>
        <v>0.40869888322509551</v>
      </c>
      <c r="T309" s="143" t="s">
        <v>968</v>
      </c>
      <c r="U309" s="143">
        <v>50.790085122442285</v>
      </c>
      <c r="V309" s="143">
        <v>8.0468241437245871E-3</v>
      </c>
      <c r="W309" s="143">
        <v>0</v>
      </c>
      <c r="X309" s="143">
        <f t="shared" si="233"/>
        <v>0.78518345078700547</v>
      </c>
      <c r="Y309" s="143" t="s">
        <v>613</v>
      </c>
      <c r="Z309" s="573"/>
      <c r="AA309" s="573">
        <f t="shared" si="235"/>
        <v>69</v>
      </c>
      <c r="AB309" s="579">
        <f t="shared" si="236"/>
        <v>16</v>
      </c>
      <c r="AC309" s="613">
        <f>I309-[1]BUILDING!I285</f>
        <v>-15717</v>
      </c>
      <c r="AD309" s="604" t="s">
        <v>1665</v>
      </c>
    </row>
    <row r="310" spans="3:39" x14ac:dyDescent="0.2">
      <c r="D310" s="228"/>
      <c r="E310" s="228"/>
      <c r="F310" s="228" t="s">
        <v>1387</v>
      </c>
      <c r="G310" s="228"/>
      <c r="H310" s="228"/>
      <c r="I310" s="230">
        <f>AA310*Z310</f>
        <v>276</v>
      </c>
      <c r="J310" s="231" t="s">
        <v>309</v>
      </c>
      <c r="K310" s="232">
        <f>R310*tax*markup*IF(Y310&lt;&gt;"",VLOOKUP(LEFT(Y310,2),cityindex,2,0),1)</f>
        <v>0.42974365792396274</v>
      </c>
      <c r="L310" s="232">
        <f t="shared" si="227"/>
        <v>1.0789572410253683</v>
      </c>
      <c r="M310" s="232">
        <f t="shared" si="228"/>
        <v>0</v>
      </c>
      <c r="N310" s="232"/>
      <c r="O310" s="232">
        <f t="shared" si="229"/>
        <v>1.5087008989493311</v>
      </c>
      <c r="P310" s="233">
        <f t="shared" si="230"/>
        <v>416</v>
      </c>
      <c r="Q310" s="291">
        <f t="shared" si="231"/>
        <v>0</v>
      </c>
      <c r="R310" s="143">
        <v>0.31886894120516263</v>
      </c>
      <c r="S310" s="143">
        <f t="shared" si="232"/>
        <v>0.86663232210872942</v>
      </c>
      <c r="T310" s="143" t="s">
        <v>968</v>
      </c>
      <c r="U310" s="143">
        <v>50.790085122442285</v>
      </c>
      <c r="V310" s="143">
        <v>1.7063021651164672E-2</v>
      </c>
      <c r="W310" s="143">
        <v>0</v>
      </c>
      <c r="X310" s="143">
        <f t="shared" si="233"/>
        <v>1.1855012633138919</v>
      </c>
      <c r="Y310" s="143" t="s">
        <v>1388</v>
      </c>
      <c r="Z310" s="573">
        <f>2*Z308</f>
        <v>4</v>
      </c>
      <c r="AA310" s="573">
        <f>AA309</f>
        <v>69</v>
      </c>
      <c r="AB310" s="579">
        <v>4</v>
      </c>
      <c r="AC310" s="613">
        <f>I310-[1]BUILDING!I286</f>
        <v>-6132</v>
      </c>
      <c r="AD310" s="604" t="s">
        <v>1665</v>
      </c>
    </row>
    <row r="311" spans="3:39" x14ac:dyDescent="0.2">
      <c r="D311" s="228"/>
      <c r="E311" s="228"/>
      <c r="F311" s="228"/>
      <c r="G311" s="228"/>
      <c r="H311" s="228"/>
      <c r="I311" s="230"/>
      <c r="J311" s="231"/>
      <c r="K311" s="232">
        <f>R311*tax*markup*IF(Y311&lt;&gt;"",VLOOKUP(LEFT(Y311,2),cityindex,2,0),1)</f>
        <v>0</v>
      </c>
      <c r="L311" s="232">
        <f t="shared" si="227"/>
        <v>0</v>
      </c>
      <c r="M311" s="232">
        <f t="shared" si="228"/>
        <v>0</v>
      </c>
      <c r="N311" s="232"/>
      <c r="O311" s="232">
        <f t="shared" si="229"/>
        <v>0</v>
      </c>
      <c r="P311" s="233">
        <f t="shared" si="230"/>
        <v>0</v>
      </c>
      <c r="Q311" s="291">
        <f t="shared" si="231"/>
        <v>0</v>
      </c>
      <c r="S311" s="143">
        <f t="shared" si="232"/>
        <v>0</v>
      </c>
      <c r="X311" s="143">
        <f t="shared" si="233"/>
        <v>0</v>
      </c>
      <c r="Z311" s="573"/>
      <c r="AA311" s="573"/>
      <c r="AB311" s="573"/>
      <c r="AC311" s="613">
        <f>I311-[1]BUILDING!I287</f>
        <v>0</v>
      </c>
      <c r="AD311" s="604"/>
    </row>
    <row r="312" spans="3:39" x14ac:dyDescent="0.2">
      <c r="D312" s="228"/>
      <c r="E312" s="228" t="str">
        <f>_xlfn.CONCAT("Wall type - ",Z313)</f>
        <v>Wall type - A6</v>
      </c>
      <c r="F312" s="228"/>
      <c r="G312" s="228"/>
      <c r="H312" s="228"/>
      <c r="I312" s="230"/>
      <c r="J312" s="231"/>
      <c r="K312" s="232">
        <f>R312*tax*markup*IF(Y312&lt;&gt;"",VLOOKUP(LEFT(Y312,2),cityindex,2,0),1)</f>
        <v>0</v>
      </c>
      <c r="L312" s="232">
        <f t="shared" ref="L312:L318" si="237">S312*markup*difficulty*IF(Y312&lt;&gt;"",VLOOKUP(LEFT(Y312,2),cityindex,3,0),1)</f>
        <v>0</v>
      </c>
      <c r="M312" s="232">
        <f t="shared" ref="M312:M318" si="238">W312*markup*difficulty*IF(Y312&lt;&gt;"",VLOOKUP(LEFT(Y312,2),cityindex,3,0),1)</f>
        <v>0</v>
      </c>
      <c r="N312" s="232"/>
      <c r="O312" s="232">
        <f t="shared" ref="O312:O318" si="239">SUM(K312:N312)*embed</f>
        <v>0</v>
      </c>
      <c r="P312" s="233">
        <f t="shared" ref="P312:P318" si="240">ROUND((O312*I312),0)</f>
        <v>0</v>
      </c>
      <c r="Q312" s="291">
        <f t="shared" ref="Q312:Q318" si="241">IF(O312=0,0,IF(X312=0,"manual",(O312/(R312*tax*markup*IF(Y312&lt;&gt;"",VLOOKUP(LEFT(Y312,2),cityindex,2,0),1)+S312*markup*difficulty*IF(Y312&lt;&gt;"",VLOOKUP(LEFT(Y312,2),cityindex,3,0),1)+W312*markup*difficulty*IF(Y312&lt;&gt;"",VLOOKUP(LEFT(Y312,2),cityindex,3,0),1)))-1))</f>
        <v>0</v>
      </c>
      <c r="S312" s="143">
        <f t="shared" ref="S312:S318" si="242">U312*V312</f>
        <v>0</v>
      </c>
      <c r="X312" s="143">
        <f t="shared" ref="X312:X318" si="243">SUM(R312,S312,W312)</f>
        <v>0</v>
      </c>
      <c r="Z312" s="576" t="s">
        <v>1382</v>
      </c>
      <c r="AA312" s="576" t="s">
        <v>309</v>
      </c>
      <c r="AB312" s="576" t="s">
        <v>1383</v>
      </c>
      <c r="AC312" s="613"/>
      <c r="AD312" s="604" t="s">
        <v>1316</v>
      </c>
    </row>
    <row r="313" spans="3:39" x14ac:dyDescent="0.2">
      <c r="C313" s="627"/>
      <c r="D313" s="228"/>
      <c r="E313" s="228"/>
      <c r="F313" s="228" t="s">
        <v>1728</v>
      </c>
      <c r="G313" s="228"/>
      <c r="H313" s="228"/>
      <c r="I313" s="230">
        <f>AA313*AB313</f>
        <v>288</v>
      </c>
      <c r="J313" s="231" t="s">
        <v>301</v>
      </c>
      <c r="K313" s="232">
        <f>R313*tax*markup*IF(Y313&lt;&gt;"",VLOOKUP(LEFT(Y313,2),cityindex,2,0),1)</f>
        <v>6.0849124038989091</v>
      </c>
      <c r="L313" s="232">
        <f t="shared" ref="L313" si="244">S313*markup*difficulty*IF(Y313&lt;&gt;"",VLOOKUP(LEFT(Y313,2),cityindex,3,0),1)</f>
        <v>3.1909582924419659</v>
      </c>
      <c r="M313" s="232">
        <f t="shared" ref="M313" si="245">W313*markup*difficulty*IF(Y313&lt;&gt;"",VLOOKUP(LEFT(Y313,2),cityindex,3,0),1)</f>
        <v>0</v>
      </c>
      <c r="N313" s="232"/>
      <c r="O313" s="232">
        <f>SUM(K313:N313)*embed</f>
        <v>9.2758706963408741</v>
      </c>
      <c r="P313" s="233">
        <f>ROUND((O313*I313),0)</f>
        <v>2671</v>
      </c>
      <c r="Q313" s="291">
        <f>IF(O313=0,0,IF(X313=0,"manual",(O313/(R313*tax*markup*IF(Y313&lt;&gt;"",VLOOKUP(LEFT(Y313,2),cityindex,2,0),1)+S313*markup*difficulty*IF(Y313&lt;&gt;"",VLOOKUP(LEFT(Y313,2),cityindex,3,0),1)+W313*markup*difficulty*IF(Y313&lt;&gt;"",VLOOKUP(LEFT(Y313,2),cityindex,3,0),1)))-1))</f>
        <v>0</v>
      </c>
      <c r="R313" s="143">
        <v>4.5149929260869124</v>
      </c>
      <c r="S313" s="143">
        <f t="shared" si="242"/>
        <v>2.5630187087887273</v>
      </c>
      <c r="T313" s="143" t="s">
        <v>968</v>
      </c>
      <c r="U313" s="143">
        <v>50.790085122442285</v>
      </c>
      <c r="V313" s="143">
        <v>5.0462973287206066E-2</v>
      </c>
      <c r="W313" s="143">
        <v>0</v>
      </c>
      <c r="X313" s="143">
        <f t="shared" si="243"/>
        <v>7.0780116348756401</v>
      </c>
      <c r="Y313" s="143" t="s">
        <v>685</v>
      </c>
      <c r="Z313" s="573" t="s">
        <v>1730</v>
      </c>
      <c r="AA313" s="573">
        <v>18</v>
      </c>
      <c r="AB313" s="573">
        <v>16</v>
      </c>
      <c r="AC313" s="316"/>
      <c r="AD313" s="604" t="s">
        <v>1316</v>
      </c>
      <c r="AG313"/>
      <c r="AH313"/>
      <c r="AI313"/>
      <c r="AJ313"/>
      <c r="AK313"/>
      <c r="AL313"/>
      <c r="AM313"/>
    </row>
    <row r="314" spans="3:39" x14ac:dyDescent="0.2">
      <c r="D314" s="228"/>
      <c r="E314" s="228"/>
      <c r="F314" s="228" t="s">
        <v>1385</v>
      </c>
      <c r="G314" s="228"/>
      <c r="H314" s="228"/>
      <c r="I314" s="230">
        <f t="shared" ref="I314" si="246">AA314*AB314</f>
        <v>288</v>
      </c>
      <c r="J314" s="231" t="s">
        <v>301</v>
      </c>
      <c r="K314" s="232">
        <f>R314*tax*markup*IF(Y314&lt;&gt;"",VLOOKUP(LEFT(Y314,2),cityindex,2,0),1)*1.5</f>
        <v>0.76108943664042084</v>
      </c>
      <c r="L314" s="232">
        <f t="shared" si="237"/>
        <v>0.508830109615244</v>
      </c>
      <c r="M314" s="232">
        <f t="shared" si="238"/>
        <v>0</v>
      </c>
      <c r="N314" s="232"/>
      <c r="O314" s="232">
        <f t="shared" si="239"/>
        <v>1.2699195462556649</v>
      </c>
      <c r="P314" s="233">
        <f t="shared" si="240"/>
        <v>366</v>
      </c>
      <c r="Q314" s="291">
        <f t="shared" si="241"/>
        <v>0.24964644773841949</v>
      </c>
      <c r="R314" s="143">
        <v>0.3764845675619099</v>
      </c>
      <c r="S314" s="143">
        <f t="shared" si="242"/>
        <v>0.40869888322509551</v>
      </c>
      <c r="T314" s="143" t="s">
        <v>968</v>
      </c>
      <c r="U314" s="143">
        <v>50.790085122442285</v>
      </c>
      <c r="V314" s="143">
        <v>8.0468241437245871E-3</v>
      </c>
      <c r="W314" s="143">
        <v>0</v>
      </c>
      <c r="X314" s="143">
        <f t="shared" si="243"/>
        <v>0.78518345078700547</v>
      </c>
      <c r="Y314" s="143" t="s">
        <v>613</v>
      </c>
      <c r="Z314" s="576" t="s">
        <v>1392</v>
      </c>
      <c r="AA314" s="573">
        <f>AA313</f>
        <v>18</v>
      </c>
      <c r="AB314" s="579">
        <f>AB313</f>
        <v>16</v>
      </c>
      <c r="AC314" s="613"/>
      <c r="AD314" s="604" t="s">
        <v>1316</v>
      </c>
    </row>
    <row r="315" spans="3:39" x14ac:dyDescent="0.2">
      <c r="D315" s="228"/>
      <c r="E315" s="228"/>
      <c r="F315" s="228" t="s">
        <v>1153</v>
      </c>
      <c r="G315" s="228"/>
      <c r="H315" s="228"/>
      <c r="I315" s="230">
        <f>(AA315*AB315)*Z315</f>
        <v>576</v>
      </c>
      <c r="J315" s="231" t="s">
        <v>301</v>
      </c>
      <c r="K315" s="232">
        <f>R315*tax*markup*IF(Y315&lt;&gt;"",VLOOKUP(LEFT(Y315,2),cityindex,2,0),1)</f>
        <v>0.62531816631610104</v>
      </c>
      <c r="L315" s="232">
        <f t="shared" si="237"/>
        <v>1.4792730056799239</v>
      </c>
      <c r="M315" s="232">
        <f t="shared" si="238"/>
        <v>0</v>
      </c>
      <c r="N315" s="232"/>
      <c r="O315" s="232">
        <f t="shared" si="239"/>
        <v>2.1045911719960251</v>
      </c>
      <c r="P315" s="233">
        <f t="shared" si="240"/>
        <v>1212</v>
      </c>
      <c r="Q315" s="291">
        <f t="shared" si="241"/>
        <v>0</v>
      </c>
      <c r="R315" s="143">
        <v>0.46398483824710468</v>
      </c>
      <c r="S315" s="143">
        <f t="shared" si="242"/>
        <v>1.1881710888995372</v>
      </c>
      <c r="T315" s="143" t="s">
        <v>968</v>
      </c>
      <c r="U315" s="143">
        <v>50.790085122442285</v>
      </c>
      <c r="V315" s="143">
        <v>2.3393760534859347E-2</v>
      </c>
      <c r="W315" s="143">
        <v>0</v>
      </c>
      <c r="X315" s="143">
        <f t="shared" si="243"/>
        <v>1.6521559271466417</v>
      </c>
      <c r="Y315" s="143" t="s">
        <v>699</v>
      </c>
      <c r="Z315" s="573">
        <v>2</v>
      </c>
      <c r="AA315" s="573">
        <f t="shared" ref="AA315:AB316" si="247">AA314</f>
        <v>18</v>
      </c>
      <c r="AB315" s="579">
        <f t="shared" si="247"/>
        <v>16</v>
      </c>
      <c r="AC315" s="613"/>
      <c r="AD315" s="604" t="s">
        <v>1316</v>
      </c>
    </row>
    <row r="316" spans="3:39" x14ac:dyDescent="0.2">
      <c r="D316" s="228"/>
      <c r="E316" s="228"/>
      <c r="F316" s="228" t="s">
        <v>1386</v>
      </c>
      <c r="G316" s="228"/>
      <c r="H316" s="228"/>
      <c r="I316" s="230">
        <f>AA316*AB316</f>
        <v>288</v>
      </c>
      <c r="J316" s="231" t="s">
        <v>301</v>
      </c>
      <c r="K316" s="232">
        <f>R316*tax*markup*IF(Y316&lt;&gt;"",VLOOKUP(LEFT(Y316,2),cityindex,2,0),1)*1.6</f>
        <v>0.81182873241644904</v>
      </c>
      <c r="L316" s="232">
        <f t="shared" si="237"/>
        <v>0.508830109615244</v>
      </c>
      <c r="M316" s="232">
        <f t="shared" si="238"/>
        <v>0</v>
      </c>
      <c r="N316" s="232"/>
      <c r="O316" s="232">
        <f t="shared" si="239"/>
        <v>1.3206588420316931</v>
      </c>
      <c r="P316" s="233">
        <f t="shared" si="240"/>
        <v>380</v>
      </c>
      <c r="Q316" s="291">
        <f t="shared" si="241"/>
        <v>0.29957573728610365</v>
      </c>
      <c r="R316" s="143">
        <v>0.3764845675619099</v>
      </c>
      <c r="S316" s="143">
        <f t="shared" si="242"/>
        <v>0.40869888322509551</v>
      </c>
      <c r="T316" s="143" t="s">
        <v>968</v>
      </c>
      <c r="U316" s="143">
        <v>50.790085122442285</v>
      </c>
      <c r="V316" s="143">
        <v>8.0468241437245871E-3</v>
      </c>
      <c r="W316" s="143">
        <v>0</v>
      </c>
      <c r="X316" s="143">
        <f t="shared" si="243"/>
        <v>0.78518345078700547</v>
      </c>
      <c r="Y316" s="143" t="s">
        <v>613</v>
      </c>
      <c r="Z316" s="573"/>
      <c r="AA316" s="573">
        <f t="shared" si="247"/>
        <v>18</v>
      </c>
      <c r="AB316" s="579">
        <f t="shared" si="247"/>
        <v>16</v>
      </c>
      <c r="AC316" s="613"/>
      <c r="AD316" s="604" t="s">
        <v>1316</v>
      </c>
    </row>
    <row r="317" spans="3:39" x14ac:dyDescent="0.2">
      <c r="D317" s="228"/>
      <c r="E317" s="228"/>
      <c r="F317" s="228" t="s">
        <v>1387</v>
      </c>
      <c r="G317" s="228"/>
      <c r="H317" s="228"/>
      <c r="I317" s="230">
        <f>AA317*Z317</f>
        <v>72</v>
      </c>
      <c r="J317" s="231" t="s">
        <v>309</v>
      </c>
      <c r="K317" s="232">
        <f>R317*tax*markup*IF(Y317&lt;&gt;"",VLOOKUP(LEFT(Y317,2),cityindex,2,0),1)</f>
        <v>0.42974365792396274</v>
      </c>
      <c r="L317" s="232">
        <f t="shared" si="237"/>
        <v>1.0789572410253683</v>
      </c>
      <c r="M317" s="232">
        <f t="shared" si="238"/>
        <v>0</v>
      </c>
      <c r="N317" s="232"/>
      <c r="O317" s="232">
        <f t="shared" si="239"/>
        <v>1.5087008989493311</v>
      </c>
      <c r="P317" s="233">
        <f t="shared" si="240"/>
        <v>109</v>
      </c>
      <c r="Q317" s="291">
        <f t="shared" si="241"/>
        <v>0</v>
      </c>
      <c r="R317" s="143">
        <v>0.31886894120516263</v>
      </c>
      <c r="S317" s="143">
        <f t="shared" si="242"/>
        <v>0.86663232210872942</v>
      </c>
      <c r="T317" s="143" t="s">
        <v>968</v>
      </c>
      <c r="U317" s="143">
        <v>50.790085122442285</v>
      </c>
      <c r="V317" s="143">
        <v>1.7063021651164672E-2</v>
      </c>
      <c r="W317" s="143">
        <v>0</v>
      </c>
      <c r="X317" s="143">
        <f t="shared" si="243"/>
        <v>1.1855012633138919</v>
      </c>
      <c r="Y317" s="143" t="s">
        <v>1388</v>
      </c>
      <c r="Z317" s="573">
        <f>2*Z315</f>
        <v>4</v>
      </c>
      <c r="AA317" s="573">
        <f>AA316</f>
        <v>18</v>
      </c>
      <c r="AB317" s="579">
        <v>4</v>
      </c>
      <c r="AC317" s="613"/>
      <c r="AD317" s="604" t="s">
        <v>1316</v>
      </c>
    </row>
    <row r="318" spans="3:39" x14ac:dyDescent="0.2">
      <c r="D318" s="228"/>
      <c r="E318" s="228"/>
      <c r="F318" s="228"/>
      <c r="G318" s="228"/>
      <c r="H318" s="228"/>
      <c r="I318" s="230"/>
      <c r="J318" s="231"/>
      <c r="K318" s="232">
        <f>R318*tax*markup*IF(Y318&lt;&gt;"",VLOOKUP(LEFT(Y318,2),cityindex,2,0),1)</f>
        <v>0</v>
      </c>
      <c r="L318" s="232">
        <f t="shared" si="237"/>
        <v>0</v>
      </c>
      <c r="M318" s="232">
        <f t="shared" si="238"/>
        <v>0</v>
      </c>
      <c r="N318" s="232"/>
      <c r="O318" s="232">
        <f t="shared" si="239"/>
        <v>0</v>
      </c>
      <c r="P318" s="233">
        <f t="shared" si="240"/>
        <v>0</v>
      </c>
      <c r="Q318" s="291">
        <f t="shared" si="241"/>
        <v>0</v>
      </c>
      <c r="S318" s="143">
        <f t="shared" si="242"/>
        <v>0</v>
      </c>
      <c r="X318" s="143">
        <f t="shared" si="243"/>
        <v>0</v>
      </c>
      <c r="Z318" s="573"/>
      <c r="AA318" s="573"/>
      <c r="AB318" s="573"/>
      <c r="AC318" s="613">
        <f>I318-[1]BUILDING!I294</f>
        <v>0</v>
      </c>
      <c r="AD318" s="604"/>
    </row>
    <row r="319" spans="3:39" x14ac:dyDescent="0.2">
      <c r="D319" s="228"/>
      <c r="E319" s="228" t="str">
        <f>_xlfn.CONCAT("Wall type - ",Z320)</f>
        <v>Wall type - B3</v>
      </c>
      <c r="F319" s="228"/>
      <c r="G319" s="228"/>
      <c r="H319" s="228"/>
      <c r="I319" s="230"/>
      <c r="J319" s="231"/>
      <c r="K319" s="232">
        <f>R319*tax*markup*IF(Y319&lt;&gt;"",VLOOKUP(LEFT(Y319,2),cityindex,2,0),1)</f>
        <v>0</v>
      </c>
      <c r="L319" s="232">
        <f t="shared" si="227"/>
        <v>0</v>
      </c>
      <c r="M319" s="232">
        <f t="shared" si="228"/>
        <v>0</v>
      </c>
      <c r="N319" s="232"/>
      <c r="O319" s="232">
        <f t="shared" si="229"/>
        <v>0</v>
      </c>
      <c r="P319" s="233">
        <f t="shared" si="230"/>
        <v>0</v>
      </c>
      <c r="Q319" s="291">
        <f t="shared" si="231"/>
        <v>0</v>
      </c>
      <c r="S319" s="143">
        <f t="shared" si="232"/>
        <v>0</v>
      </c>
      <c r="X319" s="143">
        <f t="shared" si="233"/>
        <v>0</v>
      </c>
      <c r="Z319" s="576" t="s">
        <v>1382</v>
      </c>
      <c r="AA319" s="576" t="s">
        <v>309</v>
      </c>
      <c r="AB319" s="576" t="s">
        <v>1383</v>
      </c>
      <c r="AC319" s="613">
        <f>I319-[1]BUILDING!I288</f>
        <v>0</v>
      </c>
      <c r="AD319" s="604"/>
    </row>
    <row r="320" spans="3:39" x14ac:dyDescent="0.2">
      <c r="D320" s="228"/>
      <c r="E320" s="228"/>
      <c r="F320" s="228" t="s">
        <v>1150</v>
      </c>
      <c r="G320" s="228"/>
      <c r="H320" s="228"/>
      <c r="I320" s="230">
        <f>AA320*AB320</f>
        <v>864</v>
      </c>
      <c r="J320" s="231" t="s">
        <v>301</v>
      </c>
      <c r="K320" s="232">
        <f>R320*tax*markup*IF(Y320&lt;&gt;"",VLOOKUP(LEFT(Y320,2),cityindex,2,0),1)</f>
        <v>4.8462152128399252</v>
      </c>
      <c r="L320" s="232">
        <f t="shared" si="227"/>
        <v>3.1386475007625889</v>
      </c>
      <c r="M320" s="232">
        <f t="shared" si="228"/>
        <v>0</v>
      </c>
      <c r="N320" s="232"/>
      <c r="O320" s="232">
        <f t="shared" si="229"/>
        <v>7.9848627136025137</v>
      </c>
      <c r="P320" s="233">
        <f t="shared" si="230"/>
        <v>6899</v>
      </c>
      <c r="Q320" s="291">
        <f t="shared" si="231"/>
        <v>0</v>
      </c>
      <c r="R320" s="143">
        <v>3.5958820689426898</v>
      </c>
      <c r="S320" s="143">
        <f t="shared" si="232"/>
        <v>2.5210020086446496</v>
      </c>
      <c r="T320" s="143" t="s">
        <v>968</v>
      </c>
      <c r="U320" s="143">
        <v>50.790085122442285</v>
      </c>
      <c r="V320" s="143">
        <v>4.9635711430038754E-2</v>
      </c>
      <c r="W320" s="143">
        <v>0</v>
      </c>
      <c r="X320" s="143">
        <f t="shared" si="233"/>
        <v>6.1168840775873399</v>
      </c>
      <c r="Y320" s="143" t="s">
        <v>682</v>
      </c>
      <c r="Z320" s="573" t="s">
        <v>1389</v>
      </c>
      <c r="AA320" s="573">
        <v>54</v>
      </c>
      <c r="AB320" s="573">
        <v>16</v>
      </c>
      <c r="AC320" s="613">
        <f>I320-[1]BUILDING!I289</f>
        <v>454.5</v>
      </c>
      <c r="AD320" s="604" t="s">
        <v>1316</v>
      </c>
    </row>
    <row r="321" spans="3:39" x14ac:dyDescent="0.2">
      <c r="D321" s="228"/>
      <c r="E321" s="228"/>
      <c r="F321" s="228" t="s">
        <v>1385</v>
      </c>
      <c r="G321" s="228"/>
      <c r="H321" s="228"/>
      <c r="I321" s="230">
        <f t="shared" ref="I321" si="248">AA321*AB321</f>
        <v>864</v>
      </c>
      <c r="J321" s="231" t="s">
        <v>301</v>
      </c>
      <c r="K321" s="232">
        <f>R321*tax*markup*IF(Y321&lt;&gt;"",VLOOKUP(LEFT(Y321,2),cityindex,2,0),1)*1.5</f>
        <v>0.76108943664042084</v>
      </c>
      <c r="L321" s="232">
        <f t="shared" si="227"/>
        <v>0.508830109615244</v>
      </c>
      <c r="M321" s="232">
        <f t="shared" si="228"/>
        <v>0</v>
      </c>
      <c r="N321" s="232"/>
      <c r="O321" s="232">
        <f t="shared" si="229"/>
        <v>1.2699195462556649</v>
      </c>
      <c r="P321" s="233">
        <f t="shared" si="230"/>
        <v>1097</v>
      </c>
      <c r="Q321" s="291">
        <f t="shared" si="231"/>
        <v>0.24964644773841949</v>
      </c>
      <c r="R321" s="143">
        <v>0.3764845675619099</v>
      </c>
      <c r="S321" s="143">
        <f t="shared" si="232"/>
        <v>0.40869888322509551</v>
      </c>
      <c r="T321" s="143" t="s">
        <v>968</v>
      </c>
      <c r="U321" s="143">
        <v>50.790085122442285</v>
      </c>
      <c r="V321" s="143">
        <v>8.0468241437245871E-3</v>
      </c>
      <c r="W321" s="143">
        <v>0</v>
      </c>
      <c r="X321" s="143">
        <f t="shared" si="233"/>
        <v>0.78518345078700547</v>
      </c>
      <c r="Y321" s="143" t="s">
        <v>613</v>
      </c>
      <c r="Z321" s="576" t="s">
        <v>1392</v>
      </c>
      <c r="AA321" s="573">
        <f>AA320</f>
        <v>54</v>
      </c>
      <c r="AB321" s="579">
        <f>AB320</f>
        <v>16</v>
      </c>
      <c r="AC321" s="613">
        <f>I321-[1]BUILDING!I290</f>
        <v>454.5</v>
      </c>
      <c r="AD321" s="604" t="s">
        <v>1316</v>
      </c>
    </row>
    <row r="322" spans="3:39" x14ac:dyDescent="0.2">
      <c r="D322" s="228"/>
      <c r="E322" s="228"/>
      <c r="F322" s="228" t="s">
        <v>1153</v>
      </c>
      <c r="G322" s="228"/>
      <c r="H322" s="228"/>
      <c r="I322" s="230">
        <f>AA322*AB322*Z322</f>
        <v>1728</v>
      </c>
      <c r="J322" s="231" t="s">
        <v>301</v>
      </c>
      <c r="K322" s="232">
        <f>R322*tax*markup*IF(Y322&lt;&gt;"",VLOOKUP(LEFT(Y322,2),cityindex,2,0),1)</f>
        <v>0.62531816631610104</v>
      </c>
      <c r="L322" s="232">
        <f t="shared" si="227"/>
        <v>1.4792730056799239</v>
      </c>
      <c r="M322" s="232">
        <f t="shared" si="228"/>
        <v>0</v>
      </c>
      <c r="N322" s="232"/>
      <c r="O322" s="232">
        <f t="shared" si="229"/>
        <v>2.1045911719960251</v>
      </c>
      <c r="P322" s="233">
        <f t="shared" si="230"/>
        <v>3637</v>
      </c>
      <c r="Q322" s="291">
        <f t="shared" si="231"/>
        <v>0</v>
      </c>
      <c r="R322" s="143">
        <v>0.46398483824710468</v>
      </c>
      <c r="S322" s="143">
        <f t="shared" si="232"/>
        <v>1.1881710888995372</v>
      </c>
      <c r="T322" s="143" t="s">
        <v>968</v>
      </c>
      <c r="U322" s="143">
        <v>50.790085122442285</v>
      </c>
      <c r="V322" s="143">
        <v>2.3393760534859347E-2</v>
      </c>
      <c r="W322" s="143">
        <v>0</v>
      </c>
      <c r="X322" s="143">
        <f t="shared" si="233"/>
        <v>1.6521559271466417</v>
      </c>
      <c r="Y322" s="143" t="s">
        <v>699</v>
      </c>
      <c r="Z322" s="573">
        <v>2</v>
      </c>
      <c r="AA322" s="573">
        <f t="shared" ref="AA322:AA323" si="249">AA321</f>
        <v>54</v>
      </c>
      <c r="AB322" s="579">
        <f t="shared" ref="AB322:AB323" si="250">AB321</f>
        <v>16</v>
      </c>
      <c r="AC322" s="613">
        <f>I322-[1]BUILDING!I291</f>
        <v>909</v>
      </c>
      <c r="AD322" s="604" t="s">
        <v>1316</v>
      </c>
    </row>
    <row r="323" spans="3:39" x14ac:dyDescent="0.2">
      <c r="D323" s="228"/>
      <c r="E323" s="228"/>
      <c r="F323" s="228" t="s">
        <v>1386</v>
      </c>
      <c r="G323" s="228"/>
      <c r="H323" s="228"/>
      <c r="I323" s="230">
        <f>AA323*AB323</f>
        <v>864</v>
      </c>
      <c r="J323" s="231" t="s">
        <v>301</v>
      </c>
      <c r="K323" s="232">
        <f>R323*tax*markup*IF(Y323&lt;&gt;"",VLOOKUP(LEFT(Y323,2),cityindex,2,0),1)*1.6</f>
        <v>0.81182873241644904</v>
      </c>
      <c r="L323" s="232">
        <f t="shared" si="227"/>
        <v>0.508830109615244</v>
      </c>
      <c r="M323" s="232">
        <f t="shared" si="228"/>
        <v>0</v>
      </c>
      <c r="N323" s="232"/>
      <c r="O323" s="232">
        <f t="shared" si="229"/>
        <v>1.3206588420316931</v>
      </c>
      <c r="P323" s="233">
        <f t="shared" si="230"/>
        <v>1141</v>
      </c>
      <c r="Q323" s="291">
        <f t="shared" si="231"/>
        <v>0.29957573728610365</v>
      </c>
      <c r="R323" s="143">
        <v>0.3764845675619099</v>
      </c>
      <c r="S323" s="143">
        <f t="shared" si="232"/>
        <v>0.40869888322509551</v>
      </c>
      <c r="T323" s="143" t="s">
        <v>968</v>
      </c>
      <c r="U323" s="143">
        <v>50.790085122442285</v>
      </c>
      <c r="V323" s="143">
        <v>8.0468241437245871E-3</v>
      </c>
      <c r="W323" s="143">
        <v>0</v>
      </c>
      <c r="X323" s="143">
        <f t="shared" si="233"/>
        <v>0.78518345078700547</v>
      </c>
      <c r="Y323" s="143" t="s">
        <v>613</v>
      </c>
      <c r="Z323" s="573"/>
      <c r="AA323" s="573">
        <f t="shared" si="249"/>
        <v>54</v>
      </c>
      <c r="AB323" s="579">
        <f t="shared" si="250"/>
        <v>16</v>
      </c>
      <c r="AC323" s="613">
        <f>I323-[1]BUILDING!I292</f>
        <v>454.5</v>
      </c>
      <c r="AD323" s="604" t="s">
        <v>1316</v>
      </c>
    </row>
    <row r="324" spans="3:39" x14ac:dyDescent="0.2">
      <c r="D324" s="228"/>
      <c r="E324" s="228"/>
      <c r="F324" s="228" t="s">
        <v>1387</v>
      </c>
      <c r="G324" s="228"/>
      <c r="H324" s="228"/>
      <c r="I324" s="230">
        <f>AA324*Z324</f>
        <v>216</v>
      </c>
      <c r="J324" s="231" t="s">
        <v>309</v>
      </c>
      <c r="K324" s="232">
        <f>R324*tax*markup*IF(Y324&lt;&gt;"",VLOOKUP(LEFT(Y324,2),cityindex,2,0),1)</f>
        <v>0.42974365792396274</v>
      </c>
      <c r="L324" s="232">
        <f t="shared" si="227"/>
        <v>1.0789572410253683</v>
      </c>
      <c r="M324" s="232">
        <f t="shared" si="228"/>
        <v>0</v>
      </c>
      <c r="N324" s="232"/>
      <c r="O324" s="232">
        <f t="shared" si="229"/>
        <v>1.5087008989493311</v>
      </c>
      <c r="P324" s="233">
        <f t="shared" si="230"/>
        <v>326</v>
      </c>
      <c r="Q324" s="291">
        <f t="shared" si="231"/>
        <v>0</v>
      </c>
      <c r="R324" s="143">
        <v>0.31886894120516263</v>
      </c>
      <c r="S324" s="143">
        <f t="shared" si="232"/>
        <v>0.86663232210872942</v>
      </c>
      <c r="T324" s="143" t="s">
        <v>968</v>
      </c>
      <c r="U324" s="143">
        <v>50.790085122442285</v>
      </c>
      <c r="V324" s="143">
        <v>1.7063021651164672E-2</v>
      </c>
      <c r="W324" s="143">
        <v>0</v>
      </c>
      <c r="X324" s="143">
        <f t="shared" si="233"/>
        <v>1.1855012633138919</v>
      </c>
      <c r="Y324" s="143" t="s">
        <v>1388</v>
      </c>
      <c r="Z324" s="573">
        <f>2*Z322</f>
        <v>4</v>
      </c>
      <c r="AA324" s="573">
        <f>AA323</f>
        <v>54</v>
      </c>
      <c r="AB324" s="579">
        <v>4</v>
      </c>
      <c r="AC324" s="613">
        <f>I324-[1]BUILDING!I293</f>
        <v>60</v>
      </c>
      <c r="AD324" s="604" t="s">
        <v>1316</v>
      </c>
    </row>
    <row r="325" spans="3:39" x14ac:dyDescent="0.2">
      <c r="D325" s="228"/>
      <c r="E325" s="228"/>
      <c r="F325" s="228"/>
      <c r="G325" s="228"/>
      <c r="H325" s="228"/>
      <c r="I325" s="230"/>
      <c r="J325" s="231"/>
      <c r="K325" s="232">
        <f>R325*tax*markup*IF(Y325&lt;&gt;"",VLOOKUP(LEFT(Y325,2),cityindex,2,0),1)</f>
        <v>0</v>
      </c>
      <c r="L325" s="232">
        <f t="shared" si="227"/>
        <v>0</v>
      </c>
      <c r="M325" s="232">
        <f t="shared" si="228"/>
        <v>0</v>
      </c>
      <c r="N325" s="232"/>
      <c r="O325" s="232">
        <f t="shared" si="229"/>
        <v>0</v>
      </c>
      <c r="P325" s="233">
        <f t="shared" si="230"/>
        <v>0</v>
      </c>
      <c r="Q325" s="291">
        <f t="shared" si="231"/>
        <v>0</v>
      </c>
      <c r="S325" s="143">
        <f t="shared" si="232"/>
        <v>0</v>
      </c>
      <c r="X325" s="143">
        <f t="shared" si="233"/>
        <v>0</v>
      </c>
      <c r="Z325" s="573"/>
      <c r="AA325" s="573"/>
      <c r="AB325" s="573"/>
      <c r="AC325" s="613">
        <f>I325-[1]BUILDING!I294</f>
        <v>0</v>
      </c>
      <c r="AD325" s="604"/>
    </row>
    <row r="326" spans="3:39" x14ac:dyDescent="0.2">
      <c r="D326" s="228"/>
      <c r="E326" s="228" t="str">
        <f>_xlfn.CONCAT("Wall type - ",Z327)</f>
        <v>Wall type - C3</v>
      </c>
      <c r="F326" s="228"/>
      <c r="G326" s="228"/>
      <c r="H326" s="228"/>
      <c r="I326" s="230"/>
      <c r="J326" s="231"/>
      <c r="K326" s="232">
        <f>R326*tax*markup*IF(Y326&lt;&gt;"",VLOOKUP(LEFT(Y326,2),cityindex,2,0),1)</f>
        <v>0</v>
      </c>
      <c r="L326" s="232">
        <f t="shared" ref="L326:L328" si="251">S326*markup*difficulty*IF(Y326&lt;&gt;"",VLOOKUP(LEFT(Y326,2),cityindex,3,0),1)</f>
        <v>0</v>
      </c>
      <c r="M326" s="232">
        <f t="shared" ref="M326:M328" si="252">W326*markup*difficulty*IF(Y326&lt;&gt;"",VLOOKUP(LEFT(Y326,2),cityindex,3,0),1)</f>
        <v>0</v>
      </c>
      <c r="N326" s="232"/>
      <c r="O326" s="232">
        <f t="shared" ref="O326:O373" si="253">SUM(K326:N326)*embed</f>
        <v>0</v>
      </c>
      <c r="P326" s="233">
        <f t="shared" ref="P326:P373" si="254">ROUND((O326*I326),0)</f>
        <v>0</v>
      </c>
      <c r="Q326" s="291">
        <f t="shared" ref="Q326:Q373" si="255">IF(O326=0,0,IF(X326=0,"manual",(O326/(R326*tax*markup*IF(Y326&lt;&gt;"",VLOOKUP(LEFT(Y326,2),cityindex,2,0),1)+S326*markup*difficulty*IF(Y326&lt;&gt;"",VLOOKUP(LEFT(Y326,2),cityindex,3,0),1)+W326*markup*difficulty*IF(Y326&lt;&gt;"",VLOOKUP(LEFT(Y326,2),cityindex,3,0),1)))-1))</f>
        <v>0</v>
      </c>
      <c r="S326" s="143">
        <f t="shared" si="232"/>
        <v>0</v>
      </c>
      <c r="X326" s="143">
        <f t="shared" si="233"/>
        <v>0</v>
      </c>
      <c r="Z326" s="576" t="s">
        <v>1382</v>
      </c>
      <c r="AA326" s="576" t="s">
        <v>309</v>
      </c>
      <c r="AB326" s="576" t="s">
        <v>1383</v>
      </c>
      <c r="AC326" s="613">
        <f>I326-[1]BUILDING!I295</f>
        <v>0</v>
      </c>
      <c r="AD326" s="604"/>
    </row>
    <row r="327" spans="3:39" x14ac:dyDescent="0.2">
      <c r="D327" s="228"/>
      <c r="E327" s="228"/>
      <c r="F327" s="228" t="s">
        <v>1150</v>
      </c>
      <c r="G327" s="228"/>
      <c r="H327" s="228"/>
      <c r="I327" s="230">
        <f>AA327*AB327</f>
        <v>928</v>
      </c>
      <c r="J327" s="231" t="s">
        <v>301</v>
      </c>
      <c r="K327" s="232">
        <f>R327*tax*markup*IF(Y327&lt;&gt;"",VLOOKUP(LEFT(Y327,2),cityindex,2,0),1)</f>
        <v>4.8462152128399252</v>
      </c>
      <c r="L327" s="232">
        <f t="shared" si="251"/>
        <v>3.1386475007625889</v>
      </c>
      <c r="M327" s="232">
        <f t="shared" si="252"/>
        <v>0</v>
      </c>
      <c r="N327" s="232"/>
      <c r="O327" s="232">
        <f t="shared" si="253"/>
        <v>7.9848627136025137</v>
      </c>
      <c r="P327" s="233">
        <f t="shared" si="254"/>
        <v>7410</v>
      </c>
      <c r="Q327" s="291">
        <f t="shared" si="255"/>
        <v>0</v>
      </c>
      <c r="R327" s="143">
        <v>3.5958820689426898</v>
      </c>
      <c r="S327" s="143">
        <f t="shared" si="232"/>
        <v>2.5210020086446496</v>
      </c>
      <c r="T327" s="143" t="s">
        <v>968</v>
      </c>
      <c r="U327" s="143">
        <v>50.790085122442285</v>
      </c>
      <c r="V327" s="143">
        <v>4.9635711430038754E-2</v>
      </c>
      <c r="W327" s="143">
        <v>0</v>
      </c>
      <c r="X327" s="143">
        <f t="shared" si="233"/>
        <v>6.1168840775873399</v>
      </c>
      <c r="Y327" s="143" t="s">
        <v>682</v>
      </c>
      <c r="Z327" s="573" t="s">
        <v>1391</v>
      </c>
      <c r="AA327" s="573">
        <v>58</v>
      </c>
      <c r="AB327" s="573">
        <v>16</v>
      </c>
      <c r="AC327" s="613">
        <f>I327-[1]BUILDING!I296</f>
        <v>319</v>
      </c>
      <c r="AD327" s="604" t="s">
        <v>1316</v>
      </c>
    </row>
    <row r="328" spans="3:39" x14ac:dyDescent="0.2">
      <c r="D328" s="228"/>
      <c r="E328" s="228"/>
      <c r="F328" s="228" t="s">
        <v>1385</v>
      </c>
      <c r="G328" s="228"/>
      <c r="H328" s="228"/>
      <c r="I328" s="230">
        <f t="shared" ref="I328" si="256">AA328*AB328</f>
        <v>928</v>
      </c>
      <c r="J328" s="231" t="s">
        <v>301</v>
      </c>
      <c r="K328" s="232">
        <f>R328*tax*markup*IF(Y328&lt;&gt;"",VLOOKUP(LEFT(Y328,2),cityindex,2,0),1)*1.5</f>
        <v>0.76108943664042084</v>
      </c>
      <c r="L328" s="232">
        <f t="shared" si="251"/>
        <v>0.508830109615244</v>
      </c>
      <c r="M328" s="232">
        <f t="shared" si="252"/>
        <v>0</v>
      </c>
      <c r="N328" s="232"/>
      <c r="O328" s="232">
        <f t="shared" si="253"/>
        <v>1.2699195462556649</v>
      </c>
      <c r="P328" s="233">
        <f t="shared" si="254"/>
        <v>1178</v>
      </c>
      <c r="Q328" s="291">
        <f t="shared" si="255"/>
        <v>0.24964644773841949</v>
      </c>
      <c r="R328" s="143">
        <v>0.3764845675619099</v>
      </c>
      <c r="S328" s="143">
        <f t="shared" si="232"/>
        <v>0.40869888322509551</v>
      </c>
      <c r="T328" s="143" t="s">
        <v>968</v>
      </c>
      <c r="U328" s="143">
        <v>50.790085122442285</v>
      </c>
      <c r="V328" s="143">
        <v>8.0468241437245871E-3</v>
      </c>
      <c r="W328" s="143">
        <v>0</v>
      </c>
      <c r="X328" s="143">
        <f t="shared" si="233"/>
        <v>0.78518345078700547</v>
      </c>
      <c r="Y328" s="143" t="s">
        <v>613</v>
      </c>
      <c r="Z328" s="576" t="s">
        <v>1392</v>
      </c>
      <c r="AA328" s="573">
        <f>AA327</f>
        <v>58</v>
      </c>
      <c r="AB328" s="579">
        <f>AB327</f>
        <v>16</v>
      </c>
      <c r="AC328" s="613">
        <f>I328-[1]BUILDING!I297</f>
        <v>319</v>
      </c>
      <c r="AD328" s="604" t="s">
        <v>1316</v>
      </c>
    </row>
    <row r="329" spans="3:39" x14ac:dyDescent="0.2">
      <c r="D329" s="228"/>
      <c r="E329" s="228"/>
      <c r="F329" s="228" t="s">
        <v>1390</v>
      </c>
      <c r="G329" s="228"/>
      <c r="H329" s="228"/>
      <c r="I329" s="230">
        <f>AA329*AB329*Z329</f>
        <v>1856</v>
      </c>
      <c r="J329" s="231" t="s">
        <v>301</v>
      </c>
      <c r="K329" s="232">
        <f>R329*tax*markup*IF(Y329&lt;&gt;"",VLOOKUP(LEFT(Y329,2),cityindex,2,0),1)</f>
        <v>0.5753047402843422</v>
      </c>
      <c r="L329" s="232">
        <f t="shared" ref="L329:L332" si="257">S329*markup*difficulty*IF(Y329&lt;&gt;"",VLOOKUP(LEFT(Y329,2),cityindex,3,0),1)</f>
        <v>0.87411586667371399</v>
      </c>
      <c r="M329" s="232">
        <f t="shared" ref="M329:M332" si="258">W329*markup*difficulty*IF(Y329&lt;&gt;"",VLOOKUP(LEFT(Y329,2),cityindex,3,0),1)</f>
        <v>0</v>
      </c>
      <c r="N329" s="232"/>
      <c r="O329" s="232">
        <f t="shared" si="253"/>
        <v>1.4494206069580562</v>
      </c>
      <c r="P329" s="233">
        <f t="shared" si="254"/>
        <v>2690</v>
      </c>
      <c r="Q329" s="291">
        <f t="shared" si="255"/>
        <v>0</v>
      </c>
      <c r="R329" s="143">
        <v>0.42687497540042268</v>
      </c>
      <c r="S329" s="143">
        <f t="shared" si="232"/>
        <v>0.70210109772989071</v>
      </c>
      <c r="T329" s="143" t="s">
        <v>968</v>
      </c>
      <c r="U329" s="143">
        <v>50.790085122442285</v>
      </c>
      <c r="V329" s="143">
        <v>1.3823585765554425E-2</v>
      </c>
      <c r="W329" s="143">
        <v>0</v>
      </c>
      <c r="X329" s="143">
        <f t="shared" si="233"/>
        <v>1.1289760731303133</v>
      </c>
      <c r="Y329" s="143" t="s">
        <v>701</v>
      </c>
      <c r="Z329" s="573">
        <v>2</v>
      </c>
      <c r="AA329" s="573">
        <f t="shared" ref="AA329:AB330" si="259">AA328</f>
        <v>58</v>
      </c>
      <c r="AB329" s="579">
        <f t="shared" si="259"/>
        <v>16</v>
      </c>
      <c r="AC329" s="613">
        <f>I329-[1]BUILDING!I298</f>
        <v>638</v>
      </c>
      <c r="AD329" s="604" t="s">
        <v>1316</v>
      </c>
    </row>
    <row r="330" spans="3:39" x14ac:dyDescent="0.2">
      <c r="D330" s="228"/>
      <c r="E330" s="228"/>
      <c r="F330" s="228" t="s">
        <v>1153</v>
      </c>
      <c r="G330" s="228"/>
      <c r="H330" s="228"/>
      <c r="I330" s="230">
        <f>AA330*AB330*Z330</f>
        <v>1856</v>
      </c>
      <c r="J330" s="231" t="s">
        <v>301</v>
      </c>
      <c r="K330" s="232">
        <f>R330*tax*markup*IF(Y330&lt;&gt;"",VLOOKUP(LEFT(Y330,2),cityindex,2,0),1)</f>
        <v>0.62531816631610104</v>
      </c>
      <c r="L330" s="232">
        <f t="shared" si="257"/>
        <v>1.4792730056799239</v>
      </c>
      <c r="M330" s="232">
        <f t="shared" si="258"/>
        <v>0</v>
      </c>
      <c r="N330" s="232"/>
      <c r="O330" s="232">
        <f t="shared" si="253"/>
        <v>2.1045911719960251</v>
      </c>
      <c r="P330" s="233">
        <f t="shared" si="254"/>
        <v>3906</v>
      </c>
      <c r="Q330" s="291">
        <f t="shared" si="255"/>
        <v>0</v>
      </c>
      <c r="R330" s="143">
        <v>0.46398483824710468</v>
      </c>
      <c r="S330" s="143">
        <f t="shared" si="232"/>
        <v>1.1881710888995372</v>
      </c>
      <c r="T330" s="143" t="s">
        <v>968</v>
      </c>
      <c r="U330" s="143">
        <v>50.790085122442285</v>
      </c>
      <c r="V330" s="143">
        <v>2.3393760534859347E-2</v>
      </c>
      <c r="W330" s="143">
        <v>0</v>
      </c>
      <c r="X330" s="143">
        <f t="shared" si="233"/>
        <v>1.6521559271466417</v>
      </c>
      <c r="Y330" s="143" t="s">
        <v>699</v>
      </c>
      <c r="Z330" s="573">
        <v>2</v>
      </c>
      <c r="AA330" s="573">
        <f t="shared" si="259"/>
        <v>58</v>
      </c>
      <c r="AB330" s="579">
        <f t="shared" si="259"/>
        <v>16</v>
      </c>
      <c r="AC330" s="613">
        <f>I330-[1]BUILDING!I299</f>
        <v>638</v>
      </c>
      <c r="AD330" s="604" t="s">
        <v>1316</v>
      </c>
    </row>
    <row r="331" spans="3:39" x14ac:dyDescent="0.2">
      <c r="D331" s="228"/>
      <c r="E331" s="228"/>
      <c r="F331" s="228" t="s">
        <v>1386</v>
      </c>
      <c r="G331" s="228"/>
      <c r="H331" s="228"/>
      <c r="I331" s="230">
        <f>AA331*AB331</f>
        <v>7.25</v>
      </c>
      <c r="J331" s="231" t="s">
        <v>301</v>
      </c>
      <c r="K331" s="232">
        <f>R331*tax*markup*IF(Y331&lt;&gt;"",VLOOKUP(LEFT(Y331,2),cityindex,2,0),1)*1.6</f>
        <v>0.81182873241644904</v>
      </c>
      <c r="L331" s="232">
        <f t="shared" si="257"/>
        <v>0.508830109615244</v>
      </c>
      <c r="M331" s="232">
        <f t="shared" si="258"/>
        <v>0</v>
      </c>
      <c r="N331" s="232"/>
      <c r="O331" s="232">
        <f t="shared" si="253"/>
        <v>1.3206588420316931</v>
      </c>
      <c r="P331" s="233">
        <f t="shared" si="254"/>
        <v>10</v>
      </c>
      <c r="Q331" s="291">
        <f t="shared" si="255"/>
        <v>0.29957573728610365</v>
      </c>
      <c r="R331" s="143">
        <v>0.3764845675619099</v>
      </c>
      <c r="S331" s="143">
        <f t="shared" si="232"/>
        <v>0.40869888322509551</v>
      </c>
      <c r="T331" s="143" t="s">
        <v>968</v>
      </c>
      <c r="U331" s="143">
        <v>50.790085122442285</v>
      </c>
      <c r="V331" s="143">
        <v>8.0468241437245871E-3</v>
      </c>
      <c r="W331" s="143">
        <v>0</v>
      </c>
      <c r="X331" s="143">
        <f t="shared" si="233"/>
        <v>0.78518345078700547</v>
      </c>
      <c r="Y331" s="143" t="s">
        <v>613</v>
      </c>
      <c r="Z331" s="573"/>
      <c r="AA331" s="573">
        <f>AA330</f>
        <v>58</v>
      </c>
      <c r="AB331" s="579">
        <f>1.5/12</f>
        <v>0.125</v>
      </c>
      <c r="AC331" s="613">
        <f>I331-[1]BUILDING!I300</f>
        <v>0</v>
      </c>
      <c r="AD331" s="604" t="s">
        <v>1316</v>
      </c>
    </row>
    <row r="332" spans="3:39" x14ac:dyDescent="0.2">
      <c r="D332" s="228"/>
      <c r="E332" s="228"/>
      <c r="F332" s="228" t="s">
        <v>1387</v>
      </c>
      <c r="G332" s="228"/>
      <c r="H332" s="228"/>
      <c r="I332" s="230">
        <f>AA332*AB332</f>
        <v>116</v>
      </c>
      <c r="J332" s="231" t="s">
        <v>309</v>
      </c>
      <c r="K332" s="232">
        <f t="shared" ref="K332:K350" si="260">R332*tax*markup*IF(Y332&lt;&gt;"",VLOOKUP(LEFT(Y332,2),cityindex,2,0),1)</f>
        <v>0.42974365792396274</v>
      </c>
      <c r="L332" s="232">
        <f t="shared" si="257"/>
        <v>1.0789572410253683</v>
      </c>
      <c r="M332" s="232">
        <f t="shared" si="258"/>
        <v>0</v>
      </c>
      <c r="N332" s="232"/>
      <c r="O332" s="232">
        <f t="shared" si="253"/>
        <v>1.5087008989493311</v>
      </c>
      <c r="P332" s="233">
        <f t="shared" si="254"/>
        <v>175</v>
      </c>
      <c r="Q332" s="291">
        <f t="shared" si="255"/>
        <v>0</v>
      </c>
      <c r="R332" s="143">
        <v>0.31886894120516263</v>
      </c>
      <c r="S332" s="143">
        <f t="shared" si="232"/>
        <v>0.86663232210872942</v>
      </c>
      <c r="T332" s="143" t="s">
        <v>968</v>
      </c>
      <c r="U332" s="143">
        <v>50.790085122442285</v>
      </c>
      <c r="V332" s="143">
        <v>1.7063021651164672E-2</v>
      </c>
      <c r="W332" s="143">
        <v>0</v>
      </c>
      <c r="X332" s="143">
        <f t="shared" si="233"/>
        <v>1.1855012633138919</v>
      </c>
      <c r="Y332" s="143" t="s">
        <v>1388</v>
      </c>
      <c r="Z332" s="573">
        <f>Z330*2</f>
        <v>4</v>
      </c>
      <c r="AA332" s="573">
        <f>AA331</f>
        <v>58</v>
      </c>
      <c r="AB332" s="579">
        <v>2</v>
      </c>
      <c r="AC332" s="613">
        <f>I332-[1]BUILDING!I301</f>
        <v>0</v>
      </c>
      <c r="AD332" s="604"/>
    </row>
    <row r="333" spans="3:39" x14ac:dyDescent="0.2">
      <c r="D333" s="228"/>
      <c r="E333" s="228"/>
      <c r="F333" s="228"/>
      <c r="G333" s="228"/>
      <c r="H333" s="228"/>
      <c r="I333" s="230"/>
      <c r="J333" s="231"/>
      <c r="K333" s="232">
        <f t="shared" si="260"/>
        <v>0</v>
      </c>
      <c r="L333" s="232">
        <f>S333*markup*difficulty*IF(Y333&lt;&gt;"",VLOOKUP(LEFT(Y333,2),cityindex,3,0),1)</f>
        <v>0</v>
      </c>
      <c r="M333" s="232">
        <f>W333*markup*difficulty*IF(Y333&lt;&gt;"",VLOOKUP(LEFT(Y333,2),cityindex,3,0),1)</f>
        <v>0</v>
      </c>
      <c r="N333" s="232"/>
      <c r="O333" s="232">
        <f t="shared" si="253"/>
        <v>0</v>
      </c>
      <c r="P333" s="233">
        <f t="shared" si="254"/>
        <v>0</v>
      </c>
      <c r="Q333" s="291">
        <f t="shared" si="255"/>
        <v>0</v>
      </c>
      <c r="S333" s="143">
        <f>U333*V333</f>
        <v>0</v>
      </c>
      <c r="X333" s="143">
        <f>SUM(R333,S333,W333)</f>
        <v>0</v>
      </c>
      <c r="Z333" s="573"/>
      <c r="AA333" s="573"/>
      <c r="AB333" s="579"/>
      <c r="AC333" s="613">
        <f>I333-[1]BUILDING!I302</f>
        <v>0</v>
      </c>
      <c r="AD333" s="604"/>
    </row>
    <row r="334" spans="3:39" x14ac:dyDescent="0.2">
      <c r="D334" s="228"/>
      <c r="E334" s="228" t="str">
        <f>_xlfn.CONCAT("Wall type - ",Z335)</f>
        <v>Wall type - C6s</v>
      </c>
      <c r="F334" s="228"/>
      <c r="G334" s="228"/>
      <c r="H334" s="228"/>
      <c r="I334" s="230"/>
      <c r="J334" s="231"/>
      <c r="K334" s="232">
        <f>R334*tax*markup*IF(Y334&lt;&gt;"",VLOOKUP(LEFT(Y334,2),cityindex,2,0),1)</f>
        <v>0</v>
      </c>
      <c r="L334" s="232">
        <f t="shared" ref="L334:L340" si="261">S334*markup*difficulty*IF(Y334&lt;&gt;"",VLOOKUP(LEFT(Y334,2),cityindex,3,0),1)</f>
        <v>0</v>
      </c>
      <c r="M334" s="232">
        <f t="shared" ref="M334:M340" si="262">W334*markup*difficulty*IF(Y334&lt;&gt;"",VLOOKUP(LEFT(Y334,2),cityindex,3,0),1)</f>
        <v>0</v>
      </c>
      <c r="N334" s="232"/>
      <c r="O334" s="232">
        <f t="shared" ref="O334:O341" si="263">SUM(K334:N334)*embed</f>
        <v>0</v>
      </c>
      <c r="P334" s="233">
        <f t="shared" ref="P334:P341" si="264">ROUND((O334*I334),0)</f>
        <v>0</v>
      </c>
      <c r="Q334" s="291">
        <f t="shared" ref="Q334:Q341" si="265">IF(O334=0,0,IF(X334=0,"manual",(O334/(R334*tax*markup*IF(Y334&lt;&gt;"",VLOOKUP(LEFT(Y334,2),cityindex,2,0),1)+S334*markup*difficulty*IF(Y334&lt;&gt;"",VLOOKUP(LEFT(Y334,2),cityindex,3,0),1)+W334*markup*difficulty*IF(Y334&lt;&gt;"",VLOOKUP(LEFT(Y334,2),cityindex,3,0),1)))-1))</f>
        <v>0</v>
      </c>
      <c r="S334" s="143">
        <f t="shared" ref="S334:S340" si="266">U334*V334</f>
        <v>0</v>
      </c>
      <c r="X334" s="143">
        <f t="shared" ref="X334:X340" si="267">SUM(R334,S334,W334)</f>
        <v>0</v>
      </c>
      <c r="Z334" s="576" t="s">
        <v>1382</v>
      </c>
      <c r="AA334" s="576" t="s">
        <v>309</v>
      </c>
      <c r="AB334" s="576" t="s">
        <v>1383</v>
      </c>
      <c r="AC334" s="613"/>
      <c r="AD334" s="604"/>
    </row>
    <row r="335" spans="3:39" x14ac:dyDescent="0.2">
      <c r="C335" s="627"/>
      <c r="D335" s="228"/>
      <c r="E335" s="228"/>
      <c r="F335" s="228" t="s">
        <v>1728</v>
      </c>
      <c r="G335" s="228"/>
      <c r="H335" s="228"/>
      <c r="I335" s="230">
        <f>AA335*AB335</f>
        <v>1840</v>
      </c>
      <c r="J335" s="231" t="s">
        <v>301</v>
      </c>
      <c r="K335" s="232">
        <f>R335*tax*markup*IF(Y335&lt;&gt;"",VLOOKUP(LEFT(Y335,2),cityindex,2,0),1)</f>
        <v>6.0849124038989091</v>
      </c>
      <c r="L335" s="232">
        <f t="shared" si="261"/>
        <v>3.1909582924419659</v>
      </c>
      <c r="M335" s="232">
        <f t="shared" si="262"/>
        <v>0</v>
      </c>
      <c r="N335" s="232"/>
      <c r="O335" s="232">
        <f>SUM(K335:N335)*embed</f>
        <v>9.2758706963408741</v>
      </c>
      <c r="P335" s="233">
        <f>ROUND((O335*I335),0)</f>
        <v>17068</v>
      </c>
      <c r="Q335" s="291">
        <f>IF(O335=0,0,IF(X335=0,"manual",(O335/(R335*tax*markup*IF(Y335&lt;&gt;"",VLOOKUP(LEFT(Y335,2),cityindex,2,0),1)+S335*markup*difficulty*IF(Y335&lt;&gt;"",VLOOKUP(LEFT(Y335,2),cityindex,3,0),1)+W335*markup*difficulty*IF(Y335&lt;&gt;"",VLOOKUP(LEFT(Y335,2),cityindex,3,0),1)))-1))</f>
        <v>0</v>
      </c>
      <c r="R335" s="143">
        <v>4.5149929260869124</v>
      </c>
      <c r="S335" s="143">
        <f t="shared" si="266"/>
        <v>2.5630187087887273</v>
      </c>
      <c r="T335" s="143" t="s">
        <v>968</v>
      </c>
      <c r="U335" s="143">
        <v>50.790085122442285</v>
      </c>
      <c r="V335" s="143">
        <v>5.0462973287206066E-2</v>
      </c>
      <c r="W335" s="143">
        <v>0</v>
      </c>
      <c r="X335" s="143">
        <f t="shared" si="267"/>
        <v>7.0780116348756401</v>
      </c>
      <c r="Y335" s="143" t="s">
        <v>685</v>
      </c>
      <c r="Z335" s="573" t="s">
        <v>1731</v>
      </c>
      <c r="AA335" s="573">
        <v>115</v>
      </c>
      <c r="AB335" s="573">
        <v>16</v>
      </c>
      <c r="AC335" s="316"/>
      <c r="AD335" s="604" t="s">
        <v>1316</v>
      </c>
      <c r="AG335"/>
      <c r="AH335"/>
      <c r="AI335"/>
      <c r="AJ335"/>
      <c r="AK335"/>
      <c r="AL335"/>
      <c r="AM335"/>
    </row>
    <row r="336" spans="3:39" x14ac:dyDescent="0.2">
      <c r="D336" s="228"/>
      <c r="E336" s="228"/>
      <c r="F336" s="228" t="s">
        <v>1385</v>
      </c>
      <c r="G336" s="228"/>
      <c r="H336" s="228"/>
      <c r="I336" s="230">
        <f t="shared" ref="I336" si="268">AA336*AB336</f>
        <v>1840</v>
      </c>
      <c r="J336" s="231" t="s">
        <v>301</v>
      </c>
      <c r="K336" s="232">
        <f>R336*tax*markup*IF(Y336&lt;&gt;"",VLOOKUP(LEFT(Y336,2),cityindex,2,0),1)*1.5</f>
        <v>0.76108943664042084</v>
      </c>
      <c r="L336" s="232">
        <f t="shared" si="261"/>
        <v>0.508830109615244</v>
      </c>
      <c r="M336" s="232">
        <f t="shared" si="262"/>
        <v>0</v>
      </c>
      <c r="N336" s="232"/>
      <c r="O336" s="232">
        <f t="shared" si="263"/>
        <v>1.2699195462556649</v>
      </c>
      <c r="P336" s="233">
        <f t="shared" si="264"/>
        <v>2337</v>
      </c>
      <c r="Q336" s="291">
        <f t="shared" si="265"/>
        <v>0.24964644773841949</v>
      </c>
      <c r="R336" s="143">
        <v>0.3764845675619099</v>
      </c>
      <c r="S336" s="143">
        <f t="shared" si="266"/>
        <v>0.40869888322509551</v>
      </c>
      <c r="T336" s="143" t="s">
        <v>968</v>
      </c>
      <c r="U336" s="143">
        <v>50.790085122442285</v>
      </c>
      <c r="V336" s="143">
        <v>8.0468241437245871E-3</v>
      </c>
      <c r="W336" s="143">
        <v>0</v>
      </c>
      <c r="X336" s="143">
        <f t="shared" si="267"/>
        <v>0.78518345078700547</v>
      </c>
      <c r="Y336" s="143" t="s">
        <v>613</v>
      </c>
      <c r="Z336" s="576" t="s">
        <v>1392</v>
      </c>
      <c r="AA336" s="573">
        <f>AA335</f>
        <v>115</v>
      </c>
      <c r="AB336" s="579">
        <f>AB335</f>
        <v>16</v>
      </c>
      <c r="AC336" s="613"/>
      <c r="AD336" s="604" t="s">
        <v>1316</v>
      </c>
    </row>
    <row r="337" spans="4:30" x14ac:dyDescent="0.2">
      <c r="D337" s="228"/>
      <c r="E337" s="228"/>
      <c r="F337" s="228" t="s">
        <v>1390</v>
      </c>
      <c r="G337" s="228"/>
      <c r="H337" s="228"/>
      <c r="I337" s="230">
        <f>AA337*AB337*Z337</f>
        <v>3680</v>
      </c>
      <c r="J337" s="231" t="s">
        <v>301</v>
      </c>
      <c r="K337" s="232">
        <f>R337*tax*markup*IF(Y337&lt;&gt;"",VLOOKUP(LEFT(Y337,2),cityindex,2,0),1)</f>
        <v>0.5753047402843422</v>
      </c>
      <c r="L337" s="232">
        <f t="shared" si="261"/>
        <v>0.87411586667371399</v>
      </c>
      <c r="M337" s="232">
        <f t="shared" si="262"/>
        <v>0</v>
      </c>
      <c r="N337" s="232"/>
      <c r="O337" s="232">
        <f t="shared" si="263"/>
        <v>1.4494206069580562</v>
      </c>
      <c r="P337" s="233">
        <f t="shared" si="264"/>
        <v>5334</v>
      </c>
      <c r="Q337" s="291">
        <f t="shared" si="265"/>
        <v>0</v>
      </c>
      <c r="R337" s="143">
        <v>0.42687497540042268</v>
      </c>
      <c r="S337" s="143">
        <f t="shared" si="266"/>
        <v>0.70210109772989071</v>
      </c>
      <c r="T337" s="143" t="s">
        <v>968</v>
      </c>
      <c r="U337" s="143">
        <v>50.790085122442285</v>
      </c>
      <c r="V337" s="143">
        <v>1.3823585765554425E-2</v>
      </c>
      <c r="W337" s="143">
        <v>0</v>
      </c>
      <c r="X337" s="143">
        <f t="shared" si="267"/>
        <v>1.1289760731303133</v>
      </c>
      <c r="Y337" s="143" t="s">
        <v>701</v>
      </c>
      <c r="Z337" s="573">
        <v>2</v>
      </c>
      <c r="AA337" s="573">
        <f t="shared" ref="AA337:AB337" si="269">AA336</f>
        <v>115</v>
      </c>
      <c r="AB337" s="579">
        <f t="shared" si="269"/>
        <v>16</v>
      </c>
      <c r="AC337" s="613"/>
      <c r="AD337" s="604" t="s">
        <v>1316</v>
      </c>
    </row>
    <row r="338" spans="4:30" x14ac:dyDescent="0.2">
      <c r="D338" s="228"/>
      <c r="E338" s="228"/>
      <c r="F338" s="228" t="s">
        <v>1153</v>
      </c>
      <c r="G338" s="228"/>
      <c r="H338" s="228"/>
      <c r="I338" s="230">
        <f>AA338*AB338*Z338</f>
        <v>3680</v>
      </c>
      <c r="J338" s="231" t="s">
        <v>301</v>
      </c>
      <c r="K338" s="232">
        <f>R338*tax*markup*IF(Y338&lt;&gt;"",VLOOKUP(LEFT(Y338,2),cityindex,2,0),1)</f>
        <v>0.62531816631610104</v>
      </c>
      <c r="L338" s="232">
        <f t="shared" si="261"/>
        <v>1.4792730056799239</v>
      </c>
      <c r="M338" s="232">
        <f t="shared" si="262"/>
        <v>0</v>
      </c>
      <c r="N338" s="232"/>
      <c r="O338" s="232">
        <f t="shared" si="263"/>
        <v>2.1045911719960251</v>
      </c>
      <c r="P338" s="233">
        <f t="shared" si="264"/>
        <v>7745</v>
      </c>
      <c r="Q338" s="291">
        <f t="shared" si="265"/>
        <v>0</v>
      </c>
      <c r="R338" s="143">
        <v>0.46398483824710468</v>
      </c>
      <c r="S338" s="143">
        <f t="shared" si="266"/>
        <v>1.1881710888995372</v>
      </c>
      <c r="T338" s="143" t="s">
        <v>968</v>
      </c>
      <c r="U338" s="143">
        <v>50.790085122442285</v>
      </c>
      <c r="V338" s="143">
        <v>2.3393760534859347E-2</v>
      </c>
      <c r="W338" s="143">
        <v>0</v>
      </c>
      <c r="X338" s="143">
        <f t="shared" si="267"/>
        <v>1.6521559271466417</v>
      </c>
      <c r="Y338" s="143" t="s">
        <v>699</v>
      </c>
      <c r="Z338" s="573">
        <v>2</v>
      </c>
      <c r="AA338" s="573">
        <f t="shared" ref="AA338:AB338" si="270">AA337</f>
        <v>115</v>
      </c>
      <c r="AB338" s="579">
        <f t="shared" si="270"/>
        <v>16</v>
      </c>
      <c r="AC338" s="613"/>
      <c r="AD338" s="604" t="s">
        <v>1316</v>
      </c>
    </row>
    <row r="339" spans="4:30" x14ac:dyDescent="0.2">
      <c r="D339" s="228"/>
      <c r="E339" s="228"/>
      <c r="F339" s="228" t="s">
        <v>1386</v>
      </c>
      <c r="G339" s="228"/>
      <c r="H339" s="228"/>
      <c r="I339" s="230">
        <f>AA339*AB339</f>
        <v>14.375</v>
      </c>
      <c r="J339" s="231" t="s">
        <v>301</v>
      </c>
      <c r="K339" s="232">
        <f>R339*tax*markup*IF(Y339&lt;&gt;"",VLOOKUP(LEFT(Y339,2),cityindex,2,0),1)*1.6</f>
        <v>0.81182873241644904</v>
      </c>
      <c r="L339" s="232">
        <f t="shared" si="261"/>
        <v>0.508830109615244</v>
      </c>
      <c r="M339" s="232">
        <f t="shared" si="262"/>
        <v>0</v>
      </c>
      <c r="N339" s="232"/>
      <c r="O339" s="232">
        <f t="shared" si="263"/>
        <v>1.3206588420316931</v>
      </c>
      <c r="P339" s="233">
        <f t="shared" si="264"/>
        <v>19</v>
      </c>
      <c r="Q339" s="291">
        <f t="shared" si="265"/>
        <v>0.29957573728610365</v>
      </c>
      <c r="R339" s="143">
        <v>0.3764845675619099</v>
      </c>
      <c r="S339" s="143">
        <f t="shared" si="266"/>
        <v>0.40869888322509551</v>
      </c>
      <c r="T339" s="143" t="s">
        <v>968</v>
      </c>
      <c r="U339" s="143">
        <v>50.790085122442285</v>
      </c>
      <c r="V339" s="143">
        <v>8.0468241437245871E-3</v>
      </c>
      <c r="W339" s="143">
        <v>0</v>
      </c>
      <c r="X339" s="143">
        <f t="shared" si="267"/>
        <v>0.78518345078700547</v>
      </c>
      <c r="Y339" s="143" t="s">
        <v>613</v>
      </c>
      <c r="Z339" s="573"/>
      <c r="AA339" s="573">
        <f>AA338</f>
        <v>115</v>
      </c>
      <c r="AB339" s="579">
        <f>1.5/12</f>
        <v>0.125</v>
      </c>
      <c r="AC339" s="613"/>
      <c r="AD339" s="604" t="s">
        <v>1316</v>
      </c>
    </row>
    <row r="340" spans="4:30" x14ac:dyDescent="0.2">
      <c r="D340" s="228"/>
      <c r="E340" s="228"/>
      <c r="F340" s="228" t="s">
        <v>1387</v>
      </c>
      <c r="G340" s="228"/>
      <c r="H340" s="228"/>
      <c r="I340" s="230">
        <f>AA340*AB340</f>
        <v>230</v>
      </c>
      <c r="J340" s="231" t="s">
        <v>309</v>
      </c>
      <c r="K340" s="232">
        <f t="shared" ref="K340:K341" si="271">R340*tax*markup*IF(Y340&lt;&gt;"",VLOOKUP(LEFT(Y340,2),cityindex,2,0),1)</f>
        <v>0.42974365792396274</v>
      </c>
      <c r="L340" s="232">
        <f t="shared" si="261"/>
        <v>1.0789572410253683</v>
      </c>
      <c r="M340" s="232">
        <f t="shared" si="262"/>
        <v>0</v>
      </c>
      <c r="N340" s="232"/>
      <c r="O340" s="232">
        <f t="shared" si="263"/>
        <v>1.5087008989493311</v>
      </c>
      <c r="P340" s="233">
        <f t="shared" si="264"/>
        <v>347</v>
      </c>
      <c r="Q340" s="291">
        <f t="shared" si="265"/>
        <v>0</v>
      </c>
      <c r="R340" s="143">
        <v>0.31886894120516263</v>
      </c>
      <c r="S340" s="143">
        <f t="shared" si="266"/>
        <v>0.86663232210872942</v>
      </c>
      <c r="T340" s="143" t="s">
        <v>968</v>
      </c>
      <c r="U340" s="143">
        <v>50.790085122442285</v>
      </c>
      <c r="V340" s="143">
        <v>1.7063021651164672E-2</v>
      </c>
      <c r="W340" s="143">
        <v>0</v>
      </c>
      <c r="X340" s="143">
        <f t="shared" si="267"/>
        <v>1.1855012633138919</v>
      </c>
      <c r="Y340" s="143" t="s">
        <v>1388</v>
      </c>
      <c r="Z340" s="573">
        <f>Z338*2</f>
        <v>4</v>
      </c>
      <c r="AA340" s="573">
        <f>AA339</f>
        <v>115</v>
      </c>
      <c r="AB340" s="579">
        <v>2</v>
      </c>
      <c r="AC340" s="613"/>
      <c r="AD340" s="604" t="s">
        <v>1316</v>
      </c>
    </row>
    <row r="341" spans="4:30" x14ac:dyDescent="0.2">
      <c r="D341" s="228"/>
      <c r="E341" s="228"/>
      <c r="F341" s="228"/>
      <c r="G341" s="228"/>
      <c r="H341" s="228"/>
      <c r="I341" s="230"/>
      <c r="J341" s="231"/>
      <c r="K341" s="232">
        <f t="shared" si="271"/>
        <v>0</v>
      </c>
      <c r="L341" s="232">
        <f>S341*markup*difficulty*IF(Y341&lt;&gt;"",VLOOKUP(LEFT(Y341,2),cityindex,3,0),1)</f>
        <v>0</v>
      </c>
      <c r="M341" s="232">
        <f>W341*markup*difficulty*IF(Y341&lt;&gt;"",VLOOKUP(LEFT(Y341,2),cityindex,3,0),1)</f>
        <v>0</v>
      </c>
      <c r="N341" s="232"/>
      <c r="O341" s="232">
        <f t="shared" si="263"/>
        <v>0</v>
      </c>
      <c r="P341" s="233">
        <f t="shared" si="264"/>
        <v>0</v>
      </c>
      <c r="Q341" s="291">
        <f t="shared" si="265"/>
        <v>0</v>
      </c>
      <c r="S341" s="143">
        <f>U341*V341</f>
        <v>0</v>
      </c>
      <c r="X341" s="143">
        <f>SUM(R341,S341,W341)</f>
        <v>0</v>
      </c>
      <c r="Z341" s="573"/>
      <c r="AA341" s="573"/>
      <c r="AB341" s="579"/>
      <c r="AC341" s="613"/>
      <c r="AD341" s="604"/>
    </row>
    <row r="342" spans="4:30" x14ac:dyDescent="0.2">
      <c r="D342" s="228"/>
      <c r="E342" s="228" t="str">
        <f>_xlfn.CONCAT("Wall type - ",Z343)</f>
        <v>Wall type - E2</v>
      </c>
      <c r="F342" s="228"/>
      <c r="G342" s="228"/>
      <c r="H342" s="228"/>
      <c r="I342" s="230"/>
      <c r="J342" s="231"/>
      <c r="K342" s="232">
        <f t="shared" si="260"/>
        <v>0</v>
      </c>
      <c r="L342" s="232">
        <f t="shared" ref="L342" si="272">S342*markup*difficulty*IF(Y342&lt;&gt;"",VLOOKUP(LEFT(Y342,2),cityindex,3,0),1)</f>
        <v>0</v>
      </c>
      <c r="M342" s="232">
        <f t="shared" ref="M342" si="273">W342*markup*difficulty*IF(Y342&lt;&gt;"",VLOOKUP(LEFT(Y342,2),cityindex,3,0),1)</f>
        <v>0</v>
      </c>
      <c r="N342" s="232"/>
      <c r="O342" s="232">
        <f t="shared" si="253"/>
        <v>0</v>
      </c>
      <c r="P342" s="233">
        <f t="shared" si="254"/>
        <v>0</v>
      </c>
      <c r="Q342" s="291">
        <f t="shared" si="255"/>
        <v>0</v>
      </c>
      <c r="S342" s="143">
        <f t="shared" si="232"/>
        <v>0</v>
      </c>
      <c r="X342" s="143">
        <f t="shared" si="233"/>
        <v>0</v>
      </c>
      <c r="Z342" s="576" t="s">
        <v>1382</v>
      </c>
      <c r="AA342" s="576" t="s">
        <v>309</v>
      </c>
      <c r="AB342" s="576" t="s">
        <v>1383</v>
      </c>
      <c r="AC342" s="613">
        <f>I342-[1]BUILDING!I303</f>
        <v>0</v>
      </c>
      <c r="AD342" s="604"/>
    </row>
    <row r="343" spans="4:30" x14ac:dyDescent="0.2">
      <c r="D343" s="228"/>
      <c r="E343" s="228"/>
      <c r="F343" s="228" t="s">
        <v>1399</v>
      </c>
      <c r="G343" s="228"/>
      <c r="H343" s="228"/>
      <c r="I343" s="230"/>
      <c r="J343" s="231" t="s">
        <v>1007</v>
      </c>
      <c r="K343" s="232">
        <f t="shared" si="260"/>
        <v>0</v>
      </c>
      <c r="L343" s="232">
        <f>S343*markup*difficulty*IF(Y343&lt;&gt;"",VLOOKUP(LEFT(Y343,2),cityindex,3,0),1)</f>
        <v>0</v>
      </c>
      <c r="M343" s="232">
        <f>W343*markup*difficulty*IF(Y343&lt;&gt;"",VLOOKUP(LEFT(Y343,2),cityindex,3,0),1)</f>
        <v>0</v>
      </c>
      <c r="N343" s="232"/>
      <c r="O343" s="232">
        <f t="shared" si="253"/>
        <v>0</v>
      </c>
      <c r="P343" s="233">
        <f t="shared" si="254"/>
        <v>0</v>
      </c>
      <c r="Q343" s="291">
        <f t="shared" si="255"/>
        <v>0</v>
      </c>
      <c r="S343" s="143">
        <f>U343*V343</f>
        <v>0</v>
      </c>
      <c r="X343" s="143">
        <f>SUM(R343,S343,W343)</f>
        <v>0</v>
      </c>
      <c r="Z343" s="573" t="s">
        <v>1397</v>
      </c>
      <c r="AA343" s="576"/>
      <c r="AB343" s="576"/>
      <c r="AC343" s="613">
        <f>I343-[1]BUILDING!I304</f>
        <v>0</v>
      </c>
      <c r="AD343" s="604"/>
    </row>
    <row r="344" spans="4:30" x14ac:dyDescent="0.2">
      <c r="D344" s="228"/>
      <c r="E344" s="228"/>
      <c r="F344" s="228" t="s">
        <v>1393</v>
      </c>
      <c r="G344" s="228"/>
      <c r="H344" s="228"/>
      <c r="I344" s="230">
        <f>AA344*AB344</f>
        <v>1060.5</v>
      </c>
      <c r="J344" s="231" t="s">
        <v>301</v>
      </c>
      <c r="K344" s="232">
        <f t="shared" si="260"/>
        <v>0.57255201490438323</v>
      </c>
      <c r="L344" s="232">
        <f>S344*markup*difficulty*IF(Y344&lt;&gt;"",VLOOKUP(LEFT(Y344,2),cityindex,3,0),1)</f>
        <v>2.8725248545544049</v>
      </c>
      <c r="M344" s="232">
        <f>W344*markup*difficulty*IF(Y344&lt;&gt;"",VLOOKUP(LEFT(Y344,2),cityindex,3,0),1)</f>
        <v>0</v>
      </c>
      <c r="N344" s="232"/>
      <c r="O344" s="232">
        <f t="shared" si="253"/>
        <v>3.4450768694587879</v>
      </c>
      <c r="P344" s="233">
        <f t="shared" si="254"/>
        <v>3654</v>
      </c>
      <c r="Q344" s="291">
        <f t="shared" si="255"/>
        <v>0</v>
      </c>
      <c r="R344" s="143">
        <v>0.42483245863222546</v>
      </c>
      <c r="S344" s="143">
        <f>U344*V344</f>
        <v>2.3072488791601642</v>
      </c>
      <c r="T344" s="143" t="s">
        <v>1394</v>
      </c>
      <c r="U344" s="143">
        <v>48.659477083748683</v>
      </c>
      <c r="V344" s="143">
        <v>4.7416228398614257E-2</v>
      </c>
      <c r="W344" s="143">
        <v>0</v>
      </c>
      <c r="X344" s="143">
        <f>SUM(R344,S344,W344)</f>
        <v>2.7320813377923896</v>
      </c>
      <c r="Y344" s="143" t="s">
        <v>1395</v>
      </c>
      <c r="Z344" s="576" t="s">
        <v>1392</v>
      </c>
      <c r="AA344" s="573">
        <v>101</v>
      </c>
      <c r="AB344" s="573">
        <v>10.5</v>
      </c>
      <c r="AC344" s="613">
        <f>I344-[1]BUILDING!I305</f>
        <v>-952</v>
      </c>
      <c r="AD344" s="604" t="s">
        <v>1665</v>
      </c>
    </row>
    <row r="345" spans="4:30" x14ac:dyDescent="0.2">
      <c r="D345" s="228"/>
      <c r="E345" s="228"/>
      <c r="F345" s="228" t="s">
        <v>1153</v>
      </c>
      <c r="G345" s="228"/>
      <c r="H345" s="228"/>
      <c r="I345" s="230">
        <f>AA345*AB345*Z345</f>
        <v>1060.5</v>
      </c>
      <c r="J345" s="231" t="s">
        <v>301</v>
      </c>
      <c r="K345" s="232">
        <f t="shared" si="260"/>
        <v>0.62531816631610104</v>
      </c>
      <c r="L345" s="232">
        <f t="shared" ref="L345" si="274">S345*markup*difficulty*IF(Y345&lt;&gt;"",VLOOKUP(LEFT(Y345,2),cityindex,3,0),1)</f>
        <v>1.4792730056799239</v>
      </c>
      <c r="M345" s="232">
        <f t="shared" ref="M345" si="275">W345*markup*difficulty*IF(Y345&lt;&gt;"",VLOOKUP(LEFT(Y345,2),cityindex,3,0),1)</f>
        <v>0</v>
      </c>
      <c r="N345" s="232"/>
      <c r="O345" s="232">
        <f t="shared" si="253"/>
        <v>2.1045911719960251</v>
      </c>
      <c r="P345" s="233">
        <f t="shared" si="254"/>
        <v>2232</v>
      </c>
      <c r="Q345" s="291">
        <f t="shared" si="255"/>
        <v>0</v>
      </c>
      <c r="R345" s="143">
        <v>0.46398483824710468</v>
      </c>
      <c r="S345" s="143">
        <f t="shared" ref="S345" si="276">U345*V345</f>
        <v>1.1881710888995372</v>
      </c>
      <c r="T345" s="143" t="s">
        <v>968</v>
      </c>
      <c r="U345" s="143">
        <v>50.790085122442285</v>
      </c>
      <c r="V345" s="143">
        <v>2.3393760534859347E-2</v>
      </c>
      <c r="W345" s="143">
        <v>0</v>
      </c>
      <c r="X345" s="143">
        <f t="shared" ref="X345" si="277">SUM(R345,S345,W345)</f>
        <v>1.6521559271466417</v>
      </c>
      <c r="Y345" s="143" t="s">
        <v>699</v>
      </c>
      <c r="Z345" s="573">
        <v>1</v>
      </c>
      <c r="AA345" s="573">
        <f t="shared" ref="AA345:AB345" si="278">AA344</f>
        <v>101</v>
      </c>
      <c r="AB345" s="579">
        <f t="shared" si="278"/>
        <v>10.5</v>
      </c>
      <c r="AC345" s="613">
        <f>I345-[1]BUILDING!I306</f>
        <v>-952</v>
      </c>
      <c r="AD345" s="604" t="s">
        <v>1665</v>
      </c>
    </row>
    <row r="346" spans="4:30" x14ac:dyDescent="0.2">
      <c r="D346" s="228"/>
      <c r="E346" s="228"/>
      <c r="F346" s="228" t="s">
        <v>1387</v>
      </c>
      <c r="G346" s="228"/>
      <c r="H346" s="228"/>
      <c r="I346" s="230">
        <f>AA346*Z346</f>
        <v>202</v>
      </c>
      <c r="J346" s="231" t="s">
        <v>309</v>
      </c>
      <c r="K346" s="232">
        <f t="shared" si="260"/>
        <v>0.42974365792396274</v>
      </c>
      <c r="L346" s="232">
        <f t="shared" ref="L346:L348" si="279">S346*markup*difficulty*IF(Y346&lt;&gt;"",VLOOKUP(LEFT(Y346,2),cityindex,3,0),1)</f>
        <v>1.0789572410253683</v>
      </c>
      <c r="M346" s="232">
        <f t="shared" ref="M346:M348" si="280">W346*markup*difficulty*IF(Y346&lt;&gt;"",VLOOKUP(LEFT(Y346,2),cityindex,3,0),1)</f>
        <v>0</v>
      </c>
      <c r="N346" s="232"/>
      <c r="O346" s="232">
        <f t="shared" si="253"/>
        <v>1.5087008989493311</v>
      </c>
      <c r="P346" s="233">
        <f t="shared" si="254"/>
        <v>305</v>
      </c>
      <c r="Q346" s="291">
        <f t="shared" si="255"/>
        <v>0</v>
      </c>
      <c r="R346" s="143">
        <v>0.31886894120516263</v>
      </c>
      <c r="S346" s="143">
        <f t="shared" ref="S346:S368" si="281">U346*V346</f>
        <v>0.86663232210872942</v>
      </c>
      <c r="T346" s="143" t="s">
        <v>968</v>
      </c>
      <c r="U346" s="143">
        <v>50.790085122442285</v>
      </c>
      <c r="V346" s="143">
        <v>1.7063021651164672E-2</v>
      </c>
      <c r="W346" s="143">
        <v>0</v>
      </c>
      <c r="X346" s="143">
        <f t="shared" ref="X346:X368" si="282">SUM(R346,S346,W346)</f>
        <v>1.1855012633138919</v>
      </c>
      <c r="Y346" s="143" t="s">
        <v>1388</v>
      </c>
      <c r="Z346" s="573">
        <f>Z345*2</f>
        <v>2</v>
      </c>
      <c r="AA346" s="573">
        <f>AA344</f>
        <v>101</v>
      </c>
      <c r="AB346" s="579">
        <v>2</v>
      </c>
      <c r="AC346" s="613">
        <f>I346-[1]BUILDING!I307</f>
        <v>-148</v>
      </c>
      <c r="AD346" s="604" t="s">
        <v>1665</v>
      </c>
    </row>
    <row r="347" spans="4:30" x14ac:dyDescent="0.2">
      <c r="D347" s="228"/>
      <c r="E347" s="228"/>
      <c r="F347" s="228" t="s">
        <v>1398</v>
      </c>
      <c r="G347" s="228"/>
      <c r="H347" s="228"/>
      <c r="I347" s="230">
        <f>AA344</f>
        <v>101</v>
      </c>
      <c r="J347" s="231" t="s">
        <v>301</v>
      </c>
      <c r="K347" s="232">
        <f t="shared" si="260"/>
        <v>3.5353042091720992</v>
      </c>
      <c r="L347" s="232">
        <f>S347*markup*difficulty*IF(Y347&lt;&gt;"",VLOOKUP(LEFT(Y347,2),cityindex,3,0),1)</f>
        <v>2.2710538826656133</v>
      </c>
      <c r="M347" s="232">
        <f>W347*markup*difficulty*IF(Y347&lt;&gt;"",VLOOKUP(LEFT(Y347,2),cityindex,3,0),1)</f>
        <v>0</v>
      </c>
      <c r="N347" s="232"/>
      <c r="O347" s="232">
        <f t="shared" si="253"/>
        <v>5.806358091837712</v>
      </c>
      <c r="P347" s="233">
        <f t="shared" si="254"/>
        <v>586</v>
      </c>
      <c r="Q347" s="291">
        <f t="shared" si="255"/>
        <v>0</v>
      </c>
      <c r="R347" s="143">
        <v>2.6231887061759083</v>
      </c>
      <c r="S347" s="143">
        <f>U347*V347</f>
        <v>1.824139664791657</v>
      </c>
      <c r="T347" s="143" t="s">
        <v>968</v>
      </c>
      <c r="U347" s="143">
        <v>50.790085122442285</v>
      </c>
      <c r="V347" s="143">
        <v>3.5915270872141858E-2</v>
      </c>
      <c r="W347" s="143">
        <v>0</v>
      </c>
      <c r="X347" s="143">
        <f>SUM(R347,S347,W347)</f>
        <v>4.4473283709675648</v>
      </c>
      <c r="Y347" s="143" t="s">
        <v>684</v>
      </c>
      <c r="Z347" s="573"/>
      <c r="AA347" s="573"/>
      <c r="AB347" s="579"/>
      <c r="AC347" s="613">
        <f>I347-[1]BUILDING!I308</f>
        <v>-74</v>
      </c>
      <c r="AD347" s="604" t="s">
        <v>1665</v>
      </c>
    </row>
    <row r="348" spans="4:30" x14ac:dyDescent="0.2">
      <c r="D348" s="228"/>
      <c r="E348" s="228"/>
      <c r="F348" s="228"/>
      <c r="G348" s="228"/>
      <c r="H348" s="228"/>
      <c r="I348" s="230"/>
      <c r="J348" s="231"/>
      <c r="K348" s="232">
        <f t="shared" si="260"/>
        <v>0</v>
      </c>
      <c r="L348" s="232">
        <f t="shared" si="279"/>
        <v>0</v>
      </c>
      <c r="M348" s="232">
        <f t="shared" si="280"/>
        <v>0</v>
      </c>
      <c r="N348" s="232"/>
      <c r="O348" s="232">
        <f t="shared" si="253"/>
        <v>0</v>
      </c>
      <c r="P348" s="233">
        <f t="shared" si="254"/>
        <v>0</v>
      </c>
      <c r="Q348" s="291">
        <f t="shared" si="255"/>
        <v>0</v>
      </c>
      <c r="S348" s="143">
        <f t="shared" si="281"/>
        <v>0</v>
      </c>
      <c r="X348" s="143">
        <f t="shared" si="282"/>
        <v>0</v>
      </c>
      <c r="Z348" s="573"/>
      <c r="AA348" s="573"/>
      <c r="AB348" s="573"/>
      <c r="AC348" s="613">
        <f>I348-[1]BUILDING!I309</f>
        <v>0</v>
      </c>
      <c r="AD348" s="604"/>
    </row>
    <row r="349" spans="4:30" x14ac:dyDescent="0.2">
      <c r="D349" s="228"/>
      <c r="E349" s="228" t="str">
        <f>_xlfn.CONCAT("Wall type - ",Z350)</f>
        <v>Wall type - E3</v>
      </c>
      <c r="F349" s="228"/>
      <c r="G349" s="228"/>
      <c r="H349" s="228"/>
      <c r="I349" s="230"/>
      <c r="J349" s="231"/>
      <c r="K349" s="232">
        <f t="shared" si="260"/>
        <v>0</v>
      </c>
      <c r="L349" s="232">
        <f t="shared" ref="L349" si="283">S349*markup*difficulty*IF(Y349&lt;&gt;"",VLOOKUP(LEFT(Y349,2),cityindex,3,0),1)</f>
        <v>0</v>
      </c>
      <c r="M349" s="232">
        <f t="shared" ref="M349" si="284">W349*markup*difficulty*IF(Y349&lt;&gt;"",VLOOKUP(LEFT(Y349,2),cityindex,3,0),1)</f>
        <v>0</v>
      </c>
      <c r="N349" s="232"/>
      <c r="O349" s="232">
        <f t="shared" si="253"/>
        <v>0</v>
      </c>
      <c r="P349" s="233">
        <f t="shared" si="254"/>
        <v>0</v>
      </c>
      <c r="Q349" s="291">
        <f t="shared" si="255"/>
        <v>0</v>
      </c>
      <c r="S349" s="143">
        <f t="shared" si="281"/>
        <v>0</v>
      </c>
      <c r="X349" s="143">
        <f t="shared" si="282"/>
        <v>0</v>
      </c>
      <c r="Z349" s="576" t="s">
        <v>1382</v>
      </c>
      <c r="AA349" s="576" t="s">
        <v>309</v>
      </c>
      <c r="AB349" s="576" t="s">
        <v>1383</v>
      </c>
      <c r="AC349" s="613">
        <f>I349-[1]BUILDING!I310</f>
        <v>0</v>
      </c>
      <c r="AD349" s="604"/>
    </row>
    <row r="350" spans="4:30" x14ac:dyDescent="0.2">
      <c r="D350" s="228"/>
      <c r="E350" s="228"/>
      <c r="F350" s="228" t="s">
        <v>1150</v>
      </c>
      <c r="G350" s="228"/>
      <c r="H350" s="228"/>
      <c r="I350" s="230">
        <f>AA350*AB350</f>
        <v>2257.5</v>
      </c>
      <c r="J350" s="231" t="s">
        <v>301</v>
      </c>
      <c r="K350" s="232">
        <f t="shared" si="260"/>
        <v>4.8462152128399252</v>
      </c>
      <c r="L350" s="232">
        <f t="shared" ref="L350:L351" si="285">S350*markup*difficulty*IF(Y350&lt;&gt;"",VLOOKUP(LEFT(Y350,2),cityindex,3,0),1)</f>
        <v>3.1386475007625889</v>
      </c>
      <c r="M350" s="232">
        <f t="shared" ref="M350:M351" si="286">W350*markup*difficulty*IF(Y350&lt;&gt;"",VLOOKUP(LEFT(Y350,2),cityindex,3,0),1)</f>
        <v>0</v>
      </c>
      <c r="N350" s="232"/>
      <c r="O350" s="232">
        <f t="shared" si="253"/>
        <v>7.9848627136025137</v>
      </c>
      <c r="P350" s="233">
        <f t="shared" si="254"/>
        <v>18026</v>
      </c>
      <c r="Q350" s="291">
        <f t="shared" si="255"/>
        <v>0</v>
      </c>
      <c r="R350" s="143">
        <v>3.5958820689426898</v>
      </c>
      <c r="S350" s="143">
        <f t="shared" si="281"/>
        <v>2.5210020086446496</v>
      </c>
      <c r="T350" s="143" t="s">
        <v>968</v>
      </c>
      <c r="U350" s="143">
        <v>50.790085122442285</v>
      </c>
      <c r="V350" s="143">
        <v>4.9635711430038754E-2</v>
      </c>
      <c r="W350" s="143">
        <v>0</v>
      </c>
      <c r="X350" s="143">
        <f t="shared" si="282"/>
        <v>6.1168840775873399</v>
      </c>
      <c r="Y350" s="143" t="s">
        <v>682</v>
      </c>
      <c r="Z350" s="573" t="s">
        <v>1396</v>
      </c>
      <c r="AA350" s="573">
        <v>215</v>
      </c>
      <c r="AB350" s="573">
        <v>10.5</v>
      </c>
      <c r="AC350" s="613">
        <f>I350-[1]BUILDING!I311</f>
        <v>-962.5</v>
      </c>
      <c r="AD350" s="604" t="s">
        <v>1665</v>
      </c>
    </row>
    <row r="351" spans="4:30" x14ac:dyDescent="0.2">
      <c r="D351" s="228"/>
      <c r="E351" s="228"/>
      <c r="F351" s="228" t="s">
        <v>1385</v>
      </c>
      <c r="G351" s="228"/>
      <c r="H351" s="228"/>
      <c r="I351" s="230">
        <f>AA351*AB351+3.33*AA350</f>
        <v>2973.45</v>
      </c>
      <c r="J351" s="231" t="s">
        <v>301</v>
      </c>
      <c r="K351" s="232">
        <f>R351*tax*markup*IF(Y351&lt;&gt;"",VLOOKUP(LEFT(Y351,2),cityindex,2,0),1)*1.5</f>
        <v>0.76108943664042084</v>
      </c>
      <c r="L351" s="232">
        <f t="shared" si="285"/>
        <v>0.508830109615244</v>
      </c>
      <c r="M351" s="232">
        <f t="shared" si="286"/>
        <v>0</v>
      </c>
      <c r="N351" s="232"/>
      <c r="O351" s="232">
        <f t="shared" si="253"/>
        <v>1.2699195462556649</v>
      </c>
      <c r="P351" s="233">
        <f t="shared" si="254"/>
        <v>3776</v>
      </c>
      <c r="Q351" s="291">
        <f t="shared" si="255"/>
        <v>0.24964644773841949</v>
      </c>
      <c r="R351" s="143">
        <v>0.3764845675619099</v>
      </c>
      <c r="S351" s="143">
        <f t="shared" si="281"/>
        <v>0.40869888322509551</v>
      </c>
      <c r="T351" s="143" t="s">
        <v>968</v>
      </c>
      <c r="U351" s="143">
        <v>50.790085122442285</v>
      </c>
      <c r="V351" s="143">
        <v>8.0468241437245871E-3</v>
      </c>
      <c r="W351" s="143">
        <v>0</v>
      </c>
      <c r="X351" s="143">
        <f t="shared" si="282"/>
        <v>0.78518345078700547</v>
      </c>
      <c r="Y351" s="143" t="s">
        <v>613</v>
      </c>
      <c r="Z351" s="576" t="s">
        <v>1392</v>
      </c>
      <c r="AA351" s="573">
        <f>AA350</f>
        <v>215</v>
      </c>
      <c r="AB351" s="579">
        <f>AB350</f>
        <v>10.5</v>
      </c>
      <c r="AC351" s="613">
        <f>I351-[1]BUILDING!I312</f>
        <v>-1178.9499999999998</v>
      </c>
      <c r="AD351" s="604" t="s">
        <v>1665</v>
      </c>
    </row>
    <row r="352" spans="4:30" x14ac:dyDescent="0.2">
      <c r="D352" s="228"/>
      <c r="E352" s="228"/>
      <c r="F352" s="228" t="s">
        <v>1153</v>
      </c>
      <c r="G352" s="228"/>
      <c r="H352" s="228"/>
      <c r="I352" s="230">
        <f>AA352*AB352*Z352</f>
        <v>2257.5</v>
      </c>
      <c r="J352" s="231" t="s">
        <v>301</v>
      </c>
      <c r="K352" s="232">
        <f t="shared" ref="K352:K373" si="287">R352*tax*markup*IF(Y352&lt;&gt;"",VLOOKUP(LEFT(Y352,2),cityindex,2,0),1)</f>
        <v>0.62531816631610104</v>
      </c>
      <c r="L352" s="232">
        <f t="shared" ref="L352" si="288">S352*markup*difficulty*IF(Y352&lt;&gt;"",VLOOKUP(LEFT(Y352,2),cityindex,3,0),1)</f>
        <v>1.4792730056799239</v>
      </c>
      <c r="M352" s="232">
        <f t="shared" ref="M352" si="289">W352*markup*difficulty*IF(Y352&lt;&gt;"",VLOOKUP(LEFT(Y352,2),cityindex,3,0),1)</f>
        <v>0</v>
      </c>
      <c r="N352" s="232"/>
      <c r="O352" s="232">
        <f t="shared" si="253"/>
        <v>2.1045911719960251</v>
      </c>
      <c r="P352" s="233">
        <f t="shared" si="254"/>
        <v>4751</v>
      </c>
      <c r="Q352" s="291">
        <f t="shared" si="255"/>
        <v>0</v>
      </c>
      <c r="R352" s="143">
        <v>0.46398483824710468</v>
      </c>
      <c r="S352" s="143">
        <f t="shared" si="281"/>
        <v>1.1881710888995372</v>
      </c>
      <c r="T352" s="143" t="s">
        <v>968</v>
      </c>
      <c r="U352" s="143">
        <v>50.790085122442285</v>
      </c>
      <c r="V352" s="143">
        <v>2.3393760534859347E-2</v>
      </c>
      <c r="W352" s="143">
        <v>0</v>
      </c>
      <c r="X352" s="143">
        <f t="shared" si="282"/>
        <v>1.6521559271466417</v>
      </c>
      <c r="Y352" s="143" t="s">
        <v>699</v>
      </c>
      <c r="Z352" s="573">
        <v>1</v>
      </c>
      <c r="AA352" s="573">
        <f t="shared" ref="AA352:AA353" si="290">AA351</f>
        <v>215</v>
      </c>
      <c r="AB352" s="579">
        <f t="shared" ref="AB352:AB353" si="291">AB351</f>
        <v>10.5</v>
      </c>
      <c r="AC352" s="613">
        <f>I352-[1]BUILDING!I313</f>
        <v>-962.5</v>
      </c>
      <c r="AD352" s="604" t="s">
        <v>1665</v>
      </c>
    </row>
    <row r="353" spans="4:30" x14ac:dyDescent="0.2">
      <c r="D353" s="228"/>
      <c r="E353" s="228"/>
      <c r="F353" s="228" t="s">
        <v>1387</v>
      </c>
      <c r="G353" s="228"/>
      <c r="H353" s="228"/>
      <c r="I353" s="230">
        <f>AA353*Z353</f>
        <v>215</v>
      </c>
      <c r="J353" s="231" t="s">
        <v>309</v>
      </c>
      <c r="K353" s="232">
        <f t="shared" si="287"/>
        <v>0.42974365792396274</v>
      </c>
      <c r="L353" s="232">
        <f t="shared" ref="L353:L368" si="292">S353*markup*difficulty*IF(Y353&lt;&gt;"",VLOOKUP(LEFT(Y353,2),cityindex,3,0),1)</f>
        <v>1.0789572410253683</v>
      </c>
      <c r="M353" s="232">
        <f t="shared" ref="M353:M368" si="293">W353*markup*difficulty*IF(Y353&lt;&gt;"",VLOOKUP(LEFT(Y353,2),cityindex,3,0),1)</f>
        <v>0</v>
      </c>
      <c r="N353" s="232"/>
      <c r="O353" s="232">
        <f t="shared" si="253"/>
        <v>1.5087008989493311</v>
      </c>
      <c r="P353" s="233">
        <f t="shared" si="254"/>
        <v>324</v>
      </c>
      <c r="Q353" s="291">
        <f t="shared" si="255"/>
        <v>0</v>
      </c>
      <c r="R353" s="143">
        <v>0.31886894120516263</v>
      </c>
      <c r="S353" s="143">
        <f t="shared" si="281"/>
        <v>0.86663232210872942</v>
      </c>
      <c r="T353" s="143" t="s">
        <v>968</v>
      </c>
      <c r="U353" s="143">
        <v>50.790085122442285</v>
      </c>
      <c r="V353" s="143">
        <v>1.7063021651164672E-2</v>
      </c>
      <c r="W353" s="143">
        <v>0</v>
      </c>
      <c r="X353" s="143">
        <f t="shared" si="282"/>
        <v>1.1855012633138919</v>
      </c>
      <c r="Y353" s="143" t="s">
        <v>1388</v>
      </c>
      <c r="Z353" s="573">
        <v>1</v>
      </c>
      <c r="AA353" s="573">
        <f t="shared" si="290"/>
        <v>215</v>
      </c>
      <c r="AB353" s="579">
        <f t="shared" si="291"/>
        <v>10.5</v>
      </c>
      <c r="AC353" s="613">
        <f>I353-[1]BUILDING!I314</f>
        <v>-65</v>
      </c>
      <c r="AD353" s="604" t="s">
        <v>1665</v>
      </c>
    </row>
    <row r="354" spans="4:30" x14ac:dyDescent="0.2">
      <c r="D354" s="228"/>
      <c r="E354" s="228"/>
      <c r="F354" s="228" t="s">
        <v>1398</v>
      </c>
      <c r="G354" s="228"/>
      <c r="H354" s="228"/>
      <c r="I354" s="230">
        <f>AA350</f>
        <v>215</v>
      </c>
      <c r="J354" s="231" t="s">
        <v>301</v>
      </c>
      <c r="K354" s="232">
        <f t="shared" si="287"/>
        <v>3.5353042091720992</v>
      </c>
      <c r="L354" s="232">
        <f>S354*markup*difficulty*IF(Y354&lt;&gt;"",VLOOKUP(LEFT(Y354,2),cityindex,3,0),1)</f>
        <v>2.2710538826656133</v>
      </c>
      <c r="M354" s="232">
        <f>W354*markup*difficulty*IF(Y354&lt;&gt;"",VLOOKUP(LEFT(Y354,2),cityindex,3,0),1)</f>
        <v>0</v>
      </c>
      <c r="N354" s="232"/>
      <c r="O354" s="232">
        <f t="shared" si="253"/>
        <v>5.806358091837712</v>
      </c>
      <c r="P354" s="233">
        <f t="shared" si="254"/>
        <v>1248</v>
      </c>
      <c r="Q354" s="291">
        <f t="shared" si="255"/>
        <v>0</v>
      </c>
      <c r="R354" s="143">
        <v>2.6231887061759083</v>
      </c>
      <c r="S354" s="143">
        <f>U354*V354</f>
        <v>1.824139664791657</v>
      </c>
      <c r="T354" s="143" t="s">
        <v>968</v>
      </c>
      <c r="U354" s="143">
        <v>50.790085122442285</v>
      </c>
      <c r="V354" s="143">
        <v>3.5915270872141858E-2</v>
      </c>
      <c r="W354" s="143">
        <v>0</v>
      </c>
      <c r="X354" s="143">
        <f>SUM(R354,S354,W354)</f>
        <v>4.4473283709675648</v>
      </c>
      <c r="Y354" s="143" t="s">
        <v>684</v>
      </c>
      <c r="Z354" s="573"/>
      <c r="AA354" s="579"/>
      <c r="AB354" s="579"/>
      <c r="AC354" s="613">
        <f>I354-[1]BUILDING!I315</f>
        <v>-65</v>
      </c>
      <c r="AD354" s="604" t="s">
        <v>1665</v>
      </c>
    </row>
    <row r="355" spans="4:30" x14ac:dyDescent="0.2">
      <c r="D355" s="228"/>
      <c r="E355" s="228"/>
      <c r="F355" s="228"/>
      <c r="G355" s="228"/>
      <c r="H355" s="228"/>
      <c r="I355" s="230"/>
      <c r="J355" s="231"/>
      <c r="K355" s="232">
        <f t="shared" si="287"/>
        <v>0</v>
      </c>
      <c r="L355" s="232">
        <f t="shared" ref="L355:L360" si="294">S355*markup*difficulty*IF(Y355&lt;&gt;"",VLOOKUP(LEFT(Y355,2),cityindex,3,0),1)</f>
        <v>0</v>
      </c>
      <c r="M355" s="232">
        <f t="shared" ref="M355:M360" si="295">W355*markup*difficulty*IF(Y355&lt;&gt;"",VLOOKUP(LEFT(Y355,2),cityindex,3,0),1)</f>
        <v>0</v>
      </c>
      <c r="N355" s="232"/>
      <c r="O355" s="232">
        <f t="shared" ref="O355:O360" si="296">SUM(K355:N355)*embed</f>
        <v>0</v>
      </c>
      <c r="P355" s="233">
        <f t="shared" ref="P355:P360" si="297">ROUND((O355*I355),0)</f>
        <v>0</v>
      </c>
      <c r="Q355" s="291">
        <f t="shared" ref="Q355:Q360" si="298">IF(O355=0,0,IF(X355=0,"manual",(O355/(R355*tax*markup*IF(Y355&lt;&gt;"",VLOOKUP(LEFT(Y355,2),cityindex,2,0),1)+S355*markup*difficulty*IF(Y355&lt;&gt;"",VLOOKUP(LEFT(Y355,2),cityindex,3,0),1)+W355*markup*difficulty*IF(Y355&lt;&gt;"",VLOOKUP(LEFT(Y355,2),cityindex,3,0),1)))-1))</f>
        <v>0</v>
      </c>
      <c r="S355" s="143">
        <f t="shared" ref="S355:S360" si="299">U355*V355</f>
        <v>0</v>
      </c>
      <c r="X355" s="143">
        <f t="shared" ref="X355:X360" si="300">SUM(R355,S355,W355)</f>
        <v>0</v>
      </c>
      <c r="Z355" s="573"/>
      <c r="AA355" s="573"/>
      <c r="AB355" s="573"/>
      <c r="AC355" s="613">
        <f>I355-[1]BUILDING!I316</f>
        <v>0</v>
      </c>
      <c r="AD355" s="604"/>
    </row>
    <row r="356" spans="4:30" x14ac:dyDescent="0.2">
      <c r="D356" s="228"/>
      <c r="E356" s="228" t="str">
        <f>_xlfn.CONCAT("Wall type - ",Z357)</f>
        <v>Wall type - F3</v>
      </c>
      <c r="F356" s="228"/>
      <c r="G356" s="228"/>
      <c r="H356" s="228"/>
      <c r="I356" s="230"/>
      <c r="J356" s="231"/>
      <c r="K356" s="232">
        <f t="shared" si="287"/>
        <v>0</v>
      </c>
      <c r="L356" s="232">
        <f t="shared" si="294"/>
        <v>0</v>
      </c>
      <c r="M356" s="232">
        <f t="shared" si="295"/>
        <v>0</v>
      </c>
      <c r="N356" s="232"/>
      <c r="O356" s="232">
        <f t="shared" si="296"/>
        <v>0</v>
      </c>
      <c r="P356" s="233">
        <f t="shared" si="297"/>
        <v>0</v>
      </c>
      <c r="Q356" s="291">
        <f t="shared" si="298"/>
        <v>0</v>
      </c>
      <c r="S356" s="143">
        <f t="shared" si="299"/>
        <v>0</v>
      </c>
      <c r="X356" s="143">
        <f t="shared" si="300"/>
        <v>0</v>
      </c>
      <c r="Z356" s="576" t="s">
        <v>1382</v>
      </c>
      <c r="AA356" s="576" t="s">
        <v>309</v>
      </c>
      <c r="AB356" s="576" t="s">
        <v>1383</v>
      </c>
      <c r="AC356" s="613">
        <f>I356-[1]BUILDING!I317</f>
        <v>0</v>
      </c>
      <c r="AD356" s="604"/>
    </row>
    <row r="357" spans="4:30" x14ac:dyDescent="0.2">
      <c r="D357" s="228"/>
      <c r="E357" s="228"/>
      <c r="F357" s="228" t="s">
        <v>1150</v>
      </c>
      <c r="G357" s="228"/>
      <c r="H357" s="228"/>
      <c r="I357" s="230">
        <f>AA357*AB357</f>
        <v>15477</v>
      </c>
      <c r="J357" s="231" t="s">
        <v>301</v>
      </c>
      <c r="K357" s="232">
        <f t="shared" si="287"/>
        <v>4.8462152128399252</v>
      </c>
      <c r="L357" s="232">
        <f t="shared" si="294"/>
        <v>3.1386475007625889</v>
      </c>
      <c r="M357" s="232">
        <f t="shared" si="295"/>
        <v>0</v>
      </c>
      <c r="N357" s="232"/>
      <c r="O357" s="232">
        <f t="shared" si="296"/>
        <v>7.9848627136025137</v>
      </c>
      <c r="P357" s="233">
        <f t="shared" si="297"/>
        <v>123582</v>
      </c>
      <c r="Q357" s="291">
        <f t="shared" si="298"/>
        <v>0</v>
      </c>
      <c r="R357" s="143">
        <v>3.5958820689426898</v>
      </c>
      <c r="S357" s="143">
        <f t="shared" si="299"/>
        <v>2.5210020086446496</v>
      </c>
      <c r="T357" s="143" t="s">
        <v>968</v>
      </c>
      <c r="U357" s="143">
        <v>50.790085122442285</v>
      </c>
      <c r="V357" s="143">
        <v>4.9635711430038754E-2</v>
      </c>
      <c r="W357" s="143">
        <v>0</v>
      </c>
      <c r="X357" s="143">
        <f t="shared" si="300"/>
        <v>6.1168840775873399</v>
      </c>
      <c r="Y357" s="143" t="s">
        <v>682</v>
      </c>
      <c r="Z357" s="573" t="s">
        <v>1733</v>
      </c>
      <c r="AA357" s="573">
        <v>1474</v>
      </c>
      <c r="AB357" s="573">
        <v>10.5</v>
      </c>
      <c r="AC357" s="613">
        <f>I357-[1]BUILDING!I318</f>
        <v>14963</v>
      </c>
      <c r="AD357" s="604" t="s">
        <v>1316</v>
      </c>
    </row>
    <row r="358" spans="4:30" x14ac:dyDescent="0.2">
      <c r="D358" s="228"/>
      <c r="E358" s="228"/>
      <c r="F358" s="228" t="s">
        <v>1385</v>
      </c>
      <c r="G358" s="228"/>
      <c r="H358" s="228"/>
      <c r="I358" s="230">
        <f>AA358*AB358+3.33*AA357</f>
        <v>20385.419999999998</v>
      </c>
      <c r="J358" s="231" t="s">
        <v>301</v>
      </c>
      <c r="K358" s="232">
        <f>R358*tax*markup*IF(Y358&lt;&gt;"",VLOOKUP(LEFT(Y358,2),cityindex,2,0),1)*1.5</f>
        <v>0.76108943664042084</v>
      </c>
      <c r="L358" s="232">
        <f t="shared" si="294"/>
        <v>0.508830109615244</v>
      </c>
      <c r="M358" s="232">
        <f t="shared" si="295"/>
        <v>0</v>
      </c>
      <c r="N358" s="232"/>
      <c r="O358" s="232">
        <f t="shared" si="296"/>
        <v>1.2699195462556649</v>
      </c>
      <c r="P358" s="233">
        <f t="shared" si="297"/>
        <v>25888</v>
      </c>
      <c r="Q358" s="291">
        <f t="shared" si="298"/>
        <v>0.24964644773841949</v>
      </c>
      <c r="R358" s="143">
        <v>0.3764845675619099</v>
      </c>
      <c r="S358" s="143">
        <f t="shared" si="299"/>
        <v>0.40869888322509551</v>
      </c>
      <c r="T358" s="143" t="s">
        <v>968</v>
      </c>
      <c r="U358" s="143">
        <v>50.790085122442285</v>
      </c>
      <c r="V358" s="143">
        <v>8.0468241437245871E-3</v>
      </c>
      <c r="W358" s="143">
        <v>0</v>
      </c>
      <c r="X358" s="143">
        <f t="shared" si="300"/>
        <v>0.78518345078700547</v>
      </c>
      <c r="Y358" s="143" t="s">
        <v>613</v>
      </c>
      <c r="Z358" s="576" t="s">
        <v>1392</v>
      </c>
      <c r="AA358" s="573">
        <f>AA357</f>
        <v>1474</v>
      </c>
      <c r="AB358" s="579">
        <f>AB357</f>
        <v>10.5</v>
      </c>
      <c r="AC358" s="613">
        <f>I358-[1]BUILDING!I319</f>
        <v>20246.419999999998</v>
      </c>
      <c r="AD358" s="604" t="s">
        <v>1316</v>
      </c>
    </row>
    <row r="359" spans="4:30" x14ac:dyDescent="0.2">
      <c r="D359" s="228"/>
      <c r="E359" s="228"/>
      <c r="F359" s="228" t="s">
        <v>1153</v>
      </c>
      <c r="G359" s="228"/>
      <c r="H359" s="228"/>
      <c r="I359" s="230">
        <f>AA359*AB359*Z359</f>
        <v>30954</v>
      </c>
      <c r="J359" s="231" t="s">
        <v>301</v>
      </c>
      <c r="K359" s="232">
        <f t="shared" ref="K359:K360" si="301">R359*tax*markup*IF(Y359&lt;&gt;"",VLOOKUP(LEFT(Y359,2),cityindex,2,0),1)</f>
        <v>0.62531816631610104</v>
      </c>
      <c r="L359" s="232">
        <f t="shared" si="294"/>
        <v>1.4792730056799239</v>
      </c>
      <c r="M359" s="232">
        <f t="shared" si="295"/>
        <v>0</v>
      </c>
      <c r="N359" s="232"/>
      <c r="O359" s="232">
        <f t="shared" si="296"/>
        <v>2.1045911719960251</v>
      </c>
      <c r="P359" s="233">
        <f t="shared" si="297"/>
        <v>65146</v>
      </c>
      <c r="Q359" s="291">
        <f t="shared" si="298"/>
        <v>0</v>
      </c>
      <c r="R359" s="143">
        <v>0.46398483824710468</v>
      </c>
      <c r="S359" s="143">
        <f t="shared" si="299"/>
        <v>1.1881710888995372</v>
      </c>
      <c r="T359" s="143" t="s">
        <v>968</v>
      </c>
      <c r="U359" s="143">
        <v>50.790085122442285</v>
      </c>
      <c r="V359" s="143">
        <v>2.3393760534859347E-2</v>
      </c>
      <c r="W359" s="143">
        <v>0</v>
      </c>
      <c r="X359" s="143">
        <f t="shared" si="300"/>
        <v>1.6521559271466417</v>
      </c>
      <c r="Y359" s="143" t="s">
        <v>699</v>
      </c>
      <c r="Z359" s="573">
        <v>2</v>
      </c>
      <c r="AA359" s="573">
        <f t="shared" ref="AA359:AB360" si="302">AA358</f>
        <v>1474</v>
      </c>
      <c r="AB359" s="579">
        <f t="shared" si="302"/>
        <v>10.5</v>
      </c>
      <c r="AC359" s="613">
        <f>I359-[1]BUILDING!I320</f>
        <v>30954</v>
      </c>
      <c r="AD359" s="604" t="s">
        <v>1316</v>
      </c>
    </row>
    <row r="360" spans="4:30" x14ac:dyDescent="0.2">
      <c r="D360" s="228"/>
      <c r="E360" s="228"/>
      <c r="F360" s="228" t="s">
        <v>1387</v>
      </c>
      <c r="G360" s="228"/>
      <c r="H360" s="228"/>
      <c r="I360" s="230">
        <f>AA360*Z360</f>
        <v>1474</v>
      </c>
      <c r="J360" s="231" t="s">
        <v>309</v>
      </c>
      <c r="K360" s="232">
        <f t="shared" si="301"/>
        <v>0.42974365792396274</v>
      </c>
      <c r="L360" s="232">
        <f t="shared" si="294"/>
        <v>1.0789572410253683</v>
      </c>
      <c r="M360" s="232">
        <f t="shared" si="295"/>
        <v>0</v>
      </c>
      <c r="N360" s="232"/>
      <c r="O360" s="232">
        <f t="shared" si="296"/>
        <v>1.5087008989493311</v>
      </c>
      <c r="P360" s="233">
        <f t="shared" si="297"/>
        <v>2224</v>
      </c>
      <c r="Q360" s="291">
        <f t="shared" si="298"/>
        <v>0</v>
      </c>
      <c r="R360" s="143">
        <v>0.31886894120516263</v>
      </c>
      <c r="S360" s="143">
        <f t="shared" si="299"/>
        <v>0.86663232210872942</v>
      </c>
      <c r="T360" s="143" t="s">
        <v>968</v>
      </c>
      <c r="U360" s="143">
        <v>50.790085122442285</v>
      </c>
      <c r="V360" s="143">
        <v>1.7063021651164672E-2</v>
      </c>
      <c r="W360" s="143">
        <v>0</v>
      </c>
      <c r="X360" s="143">
        <f t="shared" si="300"/>
        <v>1.1855012633138919</v>
      </c>
      <c r="Y360" s="143" t="s">
        <v>1388</v>
      </c>
      <c r="Z360" s="573">
        <v>1</v>
      </c>
      <c r="AA360" s="573">
        <f t="shared" si="302"/>
        <v>1474</v>
      </c>
      <c r="AB360" s="579">
        <f t="shared" si="302"/>
        <v>10.5</v>
      </c>
      <c r="AC360" s="613">
        <f>I360-[1]BUILDING!I321</f>
        <v>1474</v>
      </c>
      <c r="AD360" s="604" t="s">
        <v>1316</v>
      </c>
    </row>
    <row r="361" spans="4:30" x14ac:dyDescent="0.2">
      <c r="D361" s="228"/>
      <c r="E361" s="228"/>
      <c r="F361" s="228"/>
      <c r="G361" s="228"/>
      <c r="H361" s="228"/>
      <c r="I361" s="230"/>
      <c r="J361" s="231"/>
      <c r="K361" s="232">
        <f t="shared" si="287"/>
        <v>0</v>
      </c>
      <c r="L361" s="232">
        <f t="shared" si="292"/>
        <v>0</v>
      </c>
      <c r="M361" s="232">
        <f t="shared" si="293"/>
        <v>0</v>
      </c>
      <c r="N361" s="232"/>
      <c r="O361" s="232">
        <f t="shared" si="253"/>
        <v>0</v>
      </c>
      <c r="P361" s="233">
        <f t="shared" si="254"/>
        <v>0</v>
      </c>
      <c r="Q361" s="291">
        <f t="shared" si="255"/>
        <v>0</v>
      </c>
      <c r="S361" s="143">
        <f t="shared" si="281"/>
        <v>0</v>
      </c>
      <c r="X361" s="143">
        <f t="shared" si="282"/>
        <v>0</v>
      </c>
      <c r="Z361" s="573"/>
      <c r="AA361" s="573"/>
      <c r="AB361" s="573"/>
      <c r="AC361" s="613">
        <f>I361-[1]BUILDING!I316</f>
        <v>0</v>
      </c>
      <c r="AD361" s="604"/>
    </row>
    <row r="362" spans="4:30" x14ac:dyDescent="0.2">
      <c r="D362" s="228"/>
      <c r="E362" s="228" t="str">
        <f>_xlfn.CONCAT("Wall type - ",Z363)</f>
        <v>Wall type - J4</v>
      </c>
      <c r="F362" s="228"/>
      <c r="G362" s="228"/>
      <c r="H362" s="228"/>
      <c r="I362" s="230"/>
      <c r="J362" s="231"/>
      <c r="K362" s="232">
        <f>R362*tax*markup*IF(Y362&lt;&gt;"",VLOOKUP(LEFT(Y362,2),cityindex,2,0),1)</f>
        <v>0</v>
      </c>
      <c r="L362" s="232">
        <f t="shared" si="292"/>
        <v>0</v>
      </c>
      <c r="M362" s="232">
        <f t="shared" si="293"/>
        <v>0</v>
      </c>
      <c r="N362" s="232"/>
      <c r="O362" s="232">
        <f t="shared" ref="O362:O369" si="303">SUM(K362:N362)*embed</f>
        <v>0</v>
      </c>
      <c r="P362" s="233">
        <f t="shared" ref="P362:P369" si="304">ROUND((O362*I362),0)</f>
        <v>0</v>
      </c>
      <c r="Q362" s="291">
        <f t="shared" ref="Q362:Q369" si="305">IF(O362=0,0,IF(X362=0,"manual",(O362/(R362*tax*markup*IF(Y362&lt;&gt;"",VLOOKUP(LEFT(Y362,2),cityindex,2,0),1)+S362*markup*difficulty*IF(Y362&lt;&gt;"",VLOOKUP(LEFT(Y362,2),cityindex,3,0),1)+W362*markup*difficulty*IF(Y362&lt;&gt;"",VLOOKUP(LEFT(Y362,2),cityindex,3,0),1)))-1))</f>
        <v>0</v>
      </c>
      <c r="S362" s="143">
        <f t="shared" si="281"/>
        <v>0</v>
      </c>
      <c r="X362" s="143">
        <f t="shared" si="282"/>
        <v>0</v>
      </c>
      <c r="Z362" s="576" t="s">
        <v>1382</v>
      </c>
      <c r="AA362" s="576" t="s">
        <v>309</v>
      </c>
      <c r="AB362" s="576" t="s">
        <v>1383</v>
      </c>
      <c r="AC362" s="613"/>
      <c r="AD362" s="604" t="s">
        <v>1316</v>
      </c>
    </row>
    <row r="363" spans="4:30" x14ac:dyDescent="0.2">
      <c r="D363" s="228"/>
      <c r="E363" s="228"/>
      <c r="F363" s="228" t="s">
        <v>1150</v>
      </c>
      <c r="G363" s="228"/>
      <c r="H363" s="228"/>
      <c r="I363" s="230">
        <f>AA363*AB363</f>
        <v>592</v>
      </c>
      <c r="J363" s="231" t="s">
        <v>301</v>
      </c>
      <c r="K363" s="232">
        <f>R363*tax*markup*IF(Y363&lt;&gt;"",VLOOKUP(LEFT(Y363,2),cityindex,2,0),1)</f>
        <v>4.8462152128399252</v>
      </c>
      <c r="L363" s="232">
        <f t="shared" si="292"/>
        <v>3.1386475007625889</v>
      </c>
      <c r="M363" s="232">
        <f t="shared" si="293"/>
        <v>0</v>
      </c>
      <c r="N363" s="232"/>
      <c r="O363" s="232">
        <f t="shared" si="303"/>
        <v>7.9848627136025137</v>
      </c>
      <c r="P363" s="233">
        <f t="shared" si="304"/>
        <v>4727</v>
      </c>
      <c r="Q363" s="291">
        <f t="shared" si="305"/>
        <v>0</v>
      </c>
      <c r="R363" s="143">
        <v>3.5958820689426898</v>
      </c>
      <c r="S363" s="143">
        <f t="shared" si="281"/>
        <v>2.5210020086446496</v>
      </c>
      <c r="T363" s="143" t="s">
        <v>968</v>
      </c>
      <c r="U363" s="143">
        <v>50.790085122442285</v>
      </c>
      <c r="V363" s="143">
        <v>4.9635711430038754E-2</v>
      </c>
      <c r="W363" s="143">
        <v>0</v>
      </c>
      <c r="X363" s="143">
        <f t="shared" si="282"/>
        <v>6.1168840775873399</v>
      </c>
      <c r="Y363" s="143" t="s">
        <v>682</v>
      </c>
      <c r="Z363" s="573" t="s">
        <v>1732</v>
      </c>
      <c r="AA363" s="573">
        <v>37</v>
      </c>
      <c r="AB363" s="573">
        <v>16</v>
      </c>
      <c r="AC363" s="613"/>
      <c r="AD363" s="604" t="s">
        <v>1316</v>
      </c>
    </row>
    <row r="364" spans="4:30" x14ac:dyDescent="0.2">
      <c r="D364" s="228"/>
      <c r="E364" s="228"/>
      <c r="F364" s="228" t="s">
        <v>1385</v>
      </c>
      <c r="G364" s="228"/>
      <c r="H364" s="228"/>
      <c r="I364" s="230">
        <f t="shared" ref="I364" si="306">AA364*AB364</f>
        <v>592</v>
      </c>
      <c r="J364" s="231" t="s">
        <v>301</v>
      </c>
      <c r="K364" s="232">
        <f>R364*tax*markup*IF(Y364&lt;&gt;"",VLOOKUP(LEFT(Y364,2),cityindex,2,0),1)*1.5</f>
        <v>0.76108943664042084</v>
      </c>
      <c r="L364" s="232">
        <f t="shared" si="292"/>
        <v>0.508830109615244</v>
      </c>
      <c r="M364" s="232">
        <f t="shared" si="293"/>
        <v>0</v>
      </c>
      <c r="N364" s="232"/>
      <c r="O364" s="232">
        <f t="shared" si="303"/>
        <v>1.2699195462556649</v>
      </c>
      <c r="P364" s="233">
        <f t="shared" si="304"/>
        <v>752</v>
      </c>
      <c r="Q364" s="291">
        <f t="shared" si="305"/>
        <v>0.24964644773841949</v>
      </c>
      <c r="R364" s="143">
        <v>0.3764845675619099</v>
      </c>
      <c r="S364" s="143">
        <f t="shared" si="281"/>
        <v>0.40869888322509551</v>
      </c>
      <c r="T364" s="143" t="s">
        <v>968</v>
      </c>
      <c r="U364" s="143">
        <v>50.790085122442285</v>
      </c>
      <c r="V364" s="143">
        <v>8.0468241437245871E-3</v>
      </c>
      <c r="W364" s="143">
        <v>0</v>
      </c>
      <c r="X364" s="143">
        <f t="shared" si="282"/>
        <v>0.78518345078700547</v>
      </c>
      <c r="Y364" s="143" t="s">
        <v>613</v>
      </c>
      <c r="Z364" s="576" t="s">
        <v>1392</v>
      </c>
      <c r="AA364" s="573">
        <f>AA363</f>
        <v>37</v>
      </c>
      <c r="AB364" s="579">
        <f>AB363</f>
        <v>16</v>
      </c>
      <c r="AC364" s="613"/>
      <c r="AD364" s="604" t="s">
        <v>1316</v>
      </c>
    </row>
    <row r="365" spans="4:30" x14ac:dyDescent="0.2">
      <c r="D365" s="228"/>
      <c r="E365" s="228"/>
      <c r="F365" s="228" t="s">
        <v>1390</v>
      </c>
      <c r="G365" s="228"/>
      <c r="H365" s="228"/>
      <c r="I365" s="230">
        <f>AA365*AB365*Z365</f>
        <v>0</v>
      </c>
      <c r="J365" s="231"/>
      <c r="K365" s="232">
        <f>R365*tax*markup*IF(Y365&lt;&gt;"",VLOOKUP(LEFT(Y365,2),cityindex,2,0),1)</f>
        <v>0.5753047402843422</v>
      </c>
      <c r="L365" s="232">
        <f t="shared" si="292"/>
        <v>0.87411586667371399</v>
      </c>
      <c r="M365" s="232">
        <f t="shared" si="293"/>
        <v>0</v>
      </c>
      <c r="N365" s="232"/>
      <c r="O365" s="232">
        <f t="shared" si="303"/>
        <v>1.4494206069580562</v>
      </c>
      <c r="P365" s="233">
        <f t="shared" si="304"/>
        <v>0</v>
      </c>
      <c r="Q365" s="291">
        <f t="shared" si="305"/>
        <v>0</v>
      </c>
      <c r="R365" s="143">
        <v>0.42687497540042268</v>
      </c>
      <c r="S365" s="143">
        <f t="shared" si="281"/>
        <v>0.70210109772989071</v>
      </c>
      <c r="T365" s="143" t="s">
        <v>968</v>
      </c>
      <c r="U365" s="143">
        <v>50.790085122442285</v>
      </c>
      <c r="V365" s="143">
        <v>1.3823585765554425E-2</v>
      </c>
      <c r="W365" s="143">
        <v>0</v>
      </c>
      <c r="X365" s="143">
        <f t="shared" si="282"/>
        <v>1.1289760731303133</v>
      </c>
      <c r="Y365" s="143" t="s">
        <v>701</v>
      </c>
      <c r="Z365" s="573">
        <v>0</v>
      </c>
      <c r="AA365" s="573">
        <f t="shared" ref="AA365:AB365" si="307">AA364</f>
        <v>37</v>
      </c>
      <c r="AB365" s="579">
        <f t="shared" si="307"/>
        <v>16</v>
      </c>
      <c r="AC365" s="613"/>
      <c r="AD365" s="604" t="s">
        <v>1316</v>
      </c>
    </row>
    <row r="366" spans="4:30" x14ac:dyDescent="0.2">
      <c r="D366" s="228"/>
      <c r="E366" s="228"/>
      <c r="F366" s="228" t="s">
        <v>1153</v>
      </c>
      <c r="G366" s="228"/>
      <c r="H366" s="228"/>
      <c r="I366" s="230">
        <f>AA366*AB366*Z366</f>
        <v>592</v>
      </c>
      <c r="J366" s="231" t="s">
        <v>301</v>
      </c>
      <c r="K366" s="232">
        <f>R366*tax*markup*IF(Y366&lt;&gt;"",VLOOKUP(LEFT(Y366,2),cityindex,2,0),1)</f>
        <v>0.62531816631610104</v>
      </c>
      <c r="L366" s="232">
        <f t="shared" si="292"/>
        <v>1.4792730056799239</v>
      </c>
      <c r="M366" s="232">
        <f t="shared" si="293"/>
        <v>0</v>
      </c>
      <c r="N366" s="232"/>
      <c r="O366" s="232">
        <f t="shared" si="303"/>
        <v>2.1045911719960251</v>
      </c>
      <c r="P366" s="233">
        <f t="shared" si="304"/>
        <v>1246</v>
      </c>
      <c r="Q366" s="291">
        <f t="shared" si="305"/>
        <v>0</v>
      </c>
      <c r="R366" s="143">
        <v>0.46398483824710468</v>
      </c>
      <c r="S366" s="143">
        <f t="shared" si="281"/>
        <v>1.1881710888995372</v>
      </c>
      <c r="T366" s="143" t="s">
        <v>968</v>
      </c>
      <c r="U366" s="143">
        <v>50.790085122442285</v>
      </c>
      <c r="V366" s="143">
        <v>2.3393760534859347E-2</v>
      </c>
      <c r="W366" s="143">
        <v>0</v>
      </c>
      <c r="X366" s="143">
        <f t="shared" si="282"/>
        <v>1.6521559271466417</v>
      </c>
      <c r="Y366" s="143" t="s">
        <v>699</v>
      </c>
      <c r="Z366" s="573">
        <v>1</v>
      </c>
      <c r="AA366" s="573">
        <f t="shared" ref="AA366:AB366" si="308">AA365</f>
        <v>37</v>
      </c>
      <c r="AB366" s="579">
        <f t="shared" si="308"/>
        <v>16</v>
      </c>
      <c r="AC366" s="613"/>
      <c r="AD366" s="604" t="s">
        <v>1316</v>
      </c>
    </row>
    <row r="367" spans="4:30" x14ac:dyDescent="0.2">
      <c r="D367" s="228"/>
      <c r="E367" s="228"/>
      <c r="F367" s="228" t="s">
        <v>1386</v>
      </c>
      <c r="G367" s="228"/>
      <c r="H367" s="228"/>
      <c r="I367" s="230">
        <f>AA367*AB367</f>
        <v>4.625</v>
      </c>
      <c r="J367" s="231" t="s">
        <v>301</v>
      </c>
      <c r="K367" s="232">
        <f>R367*tax*markup*IF(Y367&lt;&gt;"",VLOOKUP(LEFT(Y367,2),cityindex,2,0),1)*1.6</f>
        <v>0.81182873241644904</v>
      </c>
      <c r="L367" s="232">
        <f t="shared" si="292"/>
        <v>0.508830109615244</v>
      </c>
      <c r="M367" s="232">
        <f t="shared" si="293"/>
        <v>0</v>
      </c>
      <c r="N367" s="232"/>
      <c r="O367" s="232">
        <f t="shared" si="303"/>
        <v>1.3206588420316931</v>
      </c>
      <c r="P367" s="233">
        <f t="shared" si="304"/>
        <v>6</v>
      </c>
      <c r="Q367" s="291">
        <f t="shared" si="305"/>
        <v>0.29957573728610365</v>
      </c>
      <c r="R367" s="143">
        <v>0.3764845675619099</v>
      </c>
      <c r="S367" s="143">
        <f t="shared" si="281"/>
        <v>0.40869888322509551</v>
      </c>
      <c r="T367" s="143" t="s">
        <v>968</v>
      </c>
      <c r="U367" s="143">
        <v>50.790085122442285</v>
      </c>
      <c r="V367" s="143">
        <v>8.0468241437245871E-3</v>
      </c>
      <c r="W367" s="143">
        <v>0</v>
      </c>
      <c r="X367" s="143">
        <f t="shared" si="282"/>
        <v>0.78518345078700547</v>
      </c>
      <c r="Y367" s="143" t="s">
        <v>613</v>
      </c>
      <c r="Z367" s="573"/>
      <c r="AA367" s="573">
        <f>AA366</f>
        <v>37</v>
      </c>
      <c r="AB367" s="579">
        <f>1.5/12</f>
        <v>0.125</v>
      </c>
      <c r="AC367" s="613"/>
      <c r="AD367" s="604" t="s">
        <v>1316</v>
      </c>
    </row>
    <row r="368" spans="4:30" x14ac:dyDescent="0.2">
      <c r="D368" s="228"/>
      <c r="E368" s="228"/>
      <c r="F368" s="228" t="s">
        <v>1387</v>
      </c>
      <c r="G368" s="228"/>
      <c r="H368" s="228"/>
      <c r="I368" s="230">
        <f>AA368*AB368</f>
        <v>74</v>
      </c>
      <c r="J368" s="231" t="s">
        <v>309</v>
      </c>
      <c r="K368" s="232">
        <f t="shared" ref="K368:K369" si="309">R368*tax*markup*IF(Y368&lt;&gt;"",VLOOKUP(LEFT(Y368,2),cityindex,2,0),1)</f>
        <v>0.42974365792396274</v>
      </c>
      <c r="L368" s="232">
        <f t="shared" si="292"/>
        <v>1.0789572410253683</v>
      </c>
      <c r="M368" s="232">
        <f t="shared" si="293"/>
        <v>0</v>
      </c>
      <c r="N368" s="232"/>
      <c r="O368" s="232">
        <f t="shared" si="303"/>
        <v>1.5087008989493311</v>
      </c>
      <c r="P368" s="233">
        <f t="shared" si="304"/>
        <v>112</v>
      </c>
      <c r="Q368" s="291">
        <f t="shared" si="305"/>
        <v>0</v>
      </c>
      <c r="R368" s="143">
        <v>0.31886894120516263</v>
      </c>
      <c r="S368" s="143">
        <f t="shared" si="281"/>
        <v>0.86663232210872942</v>
      </c>
      <c r="T368" s="143" t="s">
        <v>968</v>
      </c>
      <c r="U368" s="143">
        <v>50.790085122442285</v>
      </c>
      <c r="V368" s="143">
        <v>1.7063021651164672E-2</v>
      </c>
      <c r="W368" s="143">
        <v>0</v>
      </c>
      <c r="X368" s="143">
        <f t="shared" si="282"/>
        <v>1.1855012633138919</v>
      </c>
      <c r="Y368" s="143" t="s">
        <v>1388</v>
      </c>
      <c r="Z368" s="573">
        <f>Z366*2</f>
        <v>2</v>
      </c>
      <c r="AA368" s="573">
        <f>AA367</f>
        <v>37</v>
      </c>
      <c r="AB368" s="579">
        <v>2</v>
      </c>
      <c r="AC368" s="613"/>
      <c r="AD368" s="604" t="s">
        <v>1316</v>
      </c>
    </row>
    <row r="369" spans="1:30" x14ac:dyDescent="0.2">
      <c r="D369" s="228"/>
      <c r="E369" s="228"/>
      <c r="F369" s="228"/>
      <c r="G369" s="228"/>
      <c r="H369" s="228"/>
      <c r="I369" s="230"/>
      <c r="J369" s="231"/>
      <c r="K369" s="232">
        <f t="shared" si="309"/>
        <v>0</v>
      </c>
      <c r="L369" s="232">
        <f>S369*markup*difficulty*IF(Y369&lt;&gt;"",VLOOKUP(LEFT(Y369,2),cityindex,3,0),1)</f>
        <v>0</v>
      </c>
      <c r="M369" s="232">
        <f>W369*markup*difficulty*IF(Y369&lt;&gt;"",VLOOKUP(LEFT(Y369,2),cityindex,3,0),1)</f>
        <v>0</v>
      </c>
      <c r="N369" s="232"/>
      <c r="O369" s="232">
        <f t="shared" si="303"/>
        <v>0</v>
      </c>
      <c r="P369" s="233">
        <f t="shared" si="304"/>
        <v>0</v>
      </c>
      <c r="Q369" s="291">
        <f t="shared" si="305"/>
        <v>0</v>
      </c>
      <c r="S369" s="143">
        <f>U369*V369</f>
        <v>0</v>
      </c>
      <c r="X369" s="143">
        <f>SUM(R369,S369,W369)</f>
        <v>0</v>
      </c>
      <c r="Z369" s="573"/>
      <c r="AA369" s="573"/>
      <c r="AB369" s="579"/>
      <c r="AC369" s="613"/>
      <c r="AD369" s="604"/>
    </row>
    <row r="370" spans="1:30" x14ac:dyDescent="0.2">
      <c r="D370" s="228"/>
      <c r="E370" s="228" t="s">
        <v>1403</v>
      </c>
      <c r="F370" s="228"/>
      <c r="G370" s="228"/>
      <c r="H370" s="228"/>
      <c r="I370" s="230"/>
      <c r="J370" s="231"/>
      <c r="K370" s="232">
        <f t="shared" si="287"/>
        <v>0</v>
      </c>
      <c r="L370" s="232">
        <f>S370*markup*difficulty*IF(Y370&lt;&gt;"",VLOOKUP(LEFT(Y370,2),cityindex,3,0),1)</f>
        <v>0</v>
      </c>
      <c r="M370" s="232">
        <f>W370*markup*difficulty*IF(Y370&lt;&gt;"",VLOOKUP(LEFT(Y370,2),cityindex,3,0),1)</f>
        <v>0</v>
      </c>
      <c r="N370" s="232"/>
      <c r="O370" s="232">
        <f t="shared" si="253"/>
        <v>0</v>
      </c>
      <c r="P370" s="233">
        <f t="shared" si="254"/>
        <v>0</v>
      </c>
      <c r="Q370" s="291">
        <f t="shared" si="255"/>
        <v>0</v>
      </c>
      <c r="S370" s="143">
        <f>U370*V370</f>
        <v>0</v>
      </c>
      <c r="X370" s="143">
        <f>SUM(R370,S370,W370)</f>
        <v>0</v>
      </c>
      <c r="Z370" s="573"/>
      <c r="AA370" s="573"/>
      <c r="AB370" s="573"/>
      <c r="AC370" s="613">
        <f>I370-[1]BUILDING!I317</f>
        <v>0</v>
      </c>
      <c r="AD370" s="604"/>
    </row>
    <row r="371" spans="1:30" x14ac:dyDescent="0.2">
      <c r="D371" s="228"/>
      <c r="E371" s="228"/>
      <c r="F371" s="228" t="s">
        <v>1405</v>
      </c>
      <c r="G371" s="228"/>
      <c r="H371" s="228"/>
      <c r="I371" s="230">
        <v>514</v>
      </c>
      <c r="J371" s="231" t="s">
        <v>301</v>
      </c>
      <c r="K371" s="232">
        <f t="shared" si="287"/>
        <v>62.269590745815563</v>
      </c>
      <c r="L371" s="232">
        <f>S371*markup*difficulty*IF(Y371&lt;&gt;"",VLOOKUP(LEFT(Y371,2),cityindex,3,0),1)</f>
        <v>7.2491237491498932</v>
      </c>
      <c r="M371" s="232">
        <f>W371*markup*difficulty*IF(Y371&lt;&gt;"",VLOOKUP(LEFT(Y371,2),cityindex,3,0),1)</f>
        <v>0</v>
      </c>
      <c r="N371" s="232"/>
      <c r="O371" s="232">
        <f t="shared" si="253"/>
        <v>69.518714494965451</v>
      </c>
      <c r="P371" s="233">
        <f t="shared" si="254"/>
        <v>35733</v>
      </c>
      <c r="Q371" s="291">
        <f t="shared" si="255"/>
        <v>0</v>
      </c>
      <c r="R371" s="143">
        <v>46.203912737928569</v>
      </c>
      <c r="S371" s="143">
        <f>U371*V371</f>
        <v>5.822589356746902</v>
      </c>
      <c r="T371" s="143" t="s">
        <v>981</v>
      </c>
      <c r="U371" s="143">
        <v>47.073654544170012</v>
      </c>
      <c r="V371" s="143">
        <v>0.12369104147806216</v>
      </c>
      <c r="W371" s="143">
        <v>0</v>
      </c>
      <c r="X371" s="143">
        <f>SUM(R371,S371,W371)</f>
        <v>52.026502094675472</v>
      </c>
      <c r="Y371" s="143" t="s">
        <v>674</v>
      </c>
      <c r="Z371" s="573"/>
      <c r="AA371" s="573"/>
      <c r="AB371" s="573"/>
      <c r="AC371" s="613">
        <f>I371-[1]BUILDING!I318</f>
        <v>0</v>
      </c>
      <c r="AD371" s="604"/>
    </row>
    <row r="372" spans="1:30" x14ac:dyDescent="0.2">
      <c r="D372" s="228"/>
      <c r="E372" s="228"/>
      <c r="F372" s="228" t="s">
        <v>1406</v>
      </c>
      <c r="G372" s="228"/>
      <c r="H372" s="228"/>
      <c r="I372" s="230">
        <v>139</v>
      </c>
      <c r="J372" s="231" t="s">
        <v>301</v>
      </c>
      <c r="K372" s="232">
        <f t="shared" si="287"/>
        <v>69.178018122770524</v>
      </c>
      <c r="L372" s="232">
        <f>S372*markup*difficulty*IF(Y372&lt;&gt;"",VLOOKUP(LEFT(Y372,2),cityindex,3,0),1)</f>
        <v>7.2491237491498932</v>
      </c>
      <c r="M372" s="232">
        <f>W372*markup*difficulty*IF(Y372&lt;&gt;"",VLOOKUP(LEFT(Y372,2),cityindex,3,0),1)</f>
        <v>0</v>
      </c>
      <c r="N372" s="232"/>
      <c r="O372" s="232">
        <f t="shared" si="253"/>
        <v>76.427141871920412</v>
      </c>
      <c r="P372" s="233">
        <f t="shared" si="254"/>
        <v>10623</v>
      </c>
      <c r="Q372" s="291">
        <f t="shared" si="255"/>
        <v>0</v>
      </c>
      <c r="R372" s="143">
        <v>51.329952139473754</v>
      </c>
      <c r="S372" s="143">
        <f>U372*V372</f>
        <v>5.822589356746902</v>
      </c>
      <c r="T372" s="143" t="s">
        <v>981</v>
      </c>
      <c r="U372" s="143">
        <v>47.073654544170012</v>
      </c>
      <c r="V372" s="143">
        <v>0.12369104147806216</v>
      </c>
      <c r="W372" s="143">
        <v>0</v>
      </c>
      <c r="X372" s="143">
        <f>SUM(R372,S372,W372)</f>
        <v>57.152541496220657</v>
      </c>
      <c r="Y372" s="143" t="s">
        <v>1404</v>
      </c>
      <c r="Z372" s="573"/>
      <c r="AA372" s="573"/>
      <c r="AB372" s="573"/>
      <c r="AC372" s="613">
        <f>I372-[1]BUILDING!I319</f>
        <v>0</v>
      </c>
      <c r="AD372" s="604"/>
    </row>
    <row r="373" spans="1:30" x14ac:dyDescent="0.2">
      <c r="D373" s="228"/>
      <c r="E373" s="228"/>
      <c r="F373" s="228"/>
      <c r="G373" s="228"/>
      <c r="H373" s="228"/>
      <c r="I373" s="230"/>
      <c r="J373" s="231"/>
      <c r="K373" s="232">
        <f t="shared" si="287"/>
        <v>0</v>
      </c>
      <c r="L373" s="232">
        <f>S373*markup*difficulty*IF(Y373&lt;&gt;"",VLOOKUP(LEFT(Y373,2),cityindex,3,0),1)</f>
        <v>0</v>
      </c>
      <c r="M373" s="232">
        <f>W373*markup*difficulty*IF(Y373&lt;&gt;"",VLOOKUP(LEFT(Y373,2),cityindex,3,0),1)</f>
        <v>0</v>
      </c>
      <c r="N373" s="232"/>
      <c r="O373" s="232">
        <f t="shared" si="253"/>
        <v>0</v>
      </c>
      <c r="P373" s="233">
        <f t="shared" si="254"/>
        <v>0</v>
      </c>
      <c r="Q373" s="291">
        <f t="shared" si="255"/>
        <v>0</v>
      </c>
      <c r="S373" s="143">
        <f>U373*V373</f>
        <v>0</v>
      </c>
      <c r="X373" s="143">
        <f>SUM(R373,S373,W373)</f>
        <v>0</v>
      </c>
      <c r="Z373" s="573"/>
      <c r="AA373" s="573"/>
      <c r="AB373" s="573"/>
      <c r="AC373" s="613">
        <f>I373-[1]BUILDING!I320</f>
        <v>0</v>
      </c>
      <c r="AD373" s="604"/>
    </row>
    <row r="374" spans="1:30" x14ac:dyDescent="0.2">
      <c r="D374" s="228"/>
      <c r="E374" s="228" t="s">
        <v>1154</v>
      </c>
      <c r="F374" s="228"/>
      <c r="G374" s="228"/>
      <c r="H374" s="228"/>
      <c r="I374" s="230"/>
      <c r="J374" s="231"/>
      <c r="K374" s="232">
        <f t="shared" si="220"/>
        <v>0</v>
      </c>
      <c r="L374" s="232">
        <f t="shared" si="221"/>
        <v>0</v>
      </c>
      <c r="M374" s="232">
        <f t="shared" si="222"/>
        <v>0</v>
      </c>
      <c r="N374" s="232"/>
      <c r="O374" s="232">
        <f t="shared" si="223"/>
        <v>0</v>
      </c>
      <c r="P374" s="233">
        <f t="shared" si="224"/>
        <v>0</v>
      </c>
      <c r="Q374" s="291">
        <f t="shared" si="219"/>
        <v>0</v>
      </c>
      <c r="S374" s="143">
        <f t="shared" si="225"/>
        <v>0</v>
      </c>
      <c r="X374" s="143">
        <f t="shared" si="226"/>
        <v>0</v>
      </c>
      <c r="AC374" s="613">
        <f>I374-[1]BUILDING!I321</f>
        <v>0</v>
      </c>
      <c r="AD374" s="604"/>
    </row>
    <row r="375" spans="1:30" x14ac:dyDescent="0.2">
      <c r="D375" s="228"/>
      <c r="E375" s="228"/>
      <c r="F375" s="228" t="s">
        <v>702</v>
      </c>
      <c r="G375" s="228"/>
      <c r="H375" s="228"/>
      <c r="I375" s="230">
        <f>(I352+I345+I330+I322+I308+I338+I315+I359)-I371-I372-I377-I376-I379-I380</f>
        <v>39751</v>
      </c>
      <c r="J375" s="231" t="s">
        <v>301</v>
      </c>
      <c r="K375" s="232">
        <f t="shared" si="220"/>
        <v>0.23260709264703372</v>
      </c>
      <c r="L375" s="232">
        <f t="shared" si="221"/>
        <v>0.54191404938492305</v>
      </c>
      <c r="M375" s="232">
        <f t="shared" si="222"/>
        <v>0</v>
      </c>
      <c r="N375" s="232">
        <v>2.5</v>
      </c>
      <c r="O375" s="232">
        <f t="shared" si="223"/>
        <v>3.2745211420319569</v>
      </c>
      <c r="P375" s="233">
        <f t="shared" si="224"/>
        <v>130165</v>
      </c>
      <c r="Q375" s="291">
        <f t="shared" si="219"/>
        <v>3.2278008492334349</v>
      </c>
      <c r="R375" s="143">
        <v>0.17259400105514619</v>
      </c>
      <c r="S375" s="143">
        <f t="shared" si="225"/>
        <v>0.43527232882323136</v>
      </c>
      <c r="T375" s="143" t="s">
        <v>1069</v>
      </c>
      <c r="U375" s="143">
        <v>35.070891047405659</v>
      </c>
      <c r="V375" s="143">
        <v>1.2411213853530827E-2</v>
      </c>
      <c r="W375" s="143">
        <v>0</v>
      </c>
      <c r="X375" s="143">
        <f t="shared" si="226"/>
        <v>0.60786632987837752</v>
      </c>
      <c r="Y375" s="143" t="s">
        <v>712</v>
      </c>
      <c r="AC375" s="613">
        <f>I375-[1]BUILDING!I322</f>
        <v>3408.5</v>
      </c>
      <c r="AD375" s="604" t="s">
        <v>1647</v>
      </c>
    </row>
    <row r="376" spans="1:30" x14ac:dyDescent="0.2">
      <c r="A376" s="175"/>
      <c r="D376" s="228"/>
      <c r="E376" s="228"/>
      <c r="F376" s="228" t="s">
        <v>1419</v>
      </c>
      <c r="H376" s="228"/>
      <c r="I376" s="230">
        <f>80+241</f>
        <v>321</v>
      </c>
      <c r="J376" s="231" t="s">
        <v>301</v>
      </c>
      <c r="K376" s="232">
        <f>R376*tax*markup*IF(Y376&lt;&gt;"",VLOOKUP(LEFT(Y376,2),cityindex,2,0),1)</f>
        <v>3.257597363585524</v>
      </c>
      <c r="L376" s="232">
        <f>S376*markup*difficulty*IF(Y376&lt;&gt;"",VLOOKUP(LEFT(Y376,2),cityindex,3,0),1)</f>
        <v>2.2539640585640339</v>
      </c>
      <c r="M376" s="232">
        <f>W376*markup*difficulty*IF(Y376&lt;&gt;"",VLOOKUP(LEFT(Y376,2),cityindex,3,0),1)</f>
        <v>0</v>
      </c>
      <c r="N376" s="232"/>
      <c r="O376" s="232">
        <f>SUM(K376:N376)*embed</f>
        <v>5.5115614221495584</v>
      </c>
      <c r="P376" s="233">
        <f>ROUND((O376*I376),0)</f>
        <v>1769</v>
      </c>
      <c r="Q376" s="291">
        <f>IF(O376=0,0,IF(X376=0,"manual",(O376/(R376*tax*markup*IF(Y376&lt;&gt;"",VLOOKUP(LEFT(Y376,2),cityindex,2,0),1)+S376*markup*difficulty*IF(Y376&lt;&gt;"",VLOOKUP(LEFT(Y376,2),cityindex,3,0),1)+W376*markup*difficulty*IF(Y376&lt;&gt;"",VLOOKUP(LEFT(Y376,2),cityindex,3,0),1)))-1))</f>
        <v>0</v>
      </c>
      <c r="R376" s="227">
        <v>2.4171307779556277</v>
      </c>
      <c r="S376" s="227">
        <f>U376*V376</f>
        <v>1.8104128984450072</v>
      </c>
      <c r="T376" s="227" t="s">
        <v>968</v>
      </c>
      <c r="U376" s="227">
        <v>50.790085122442285</v>
      </c>
      <c r="V376" s="227">
        <v>3.5645006187340525E-2</v>
      </c>
      <c r="W376" s="227">
        <v>0</v>
      </c>
      <c r="X376" s="227">
        <f>SUM(R376,S376,W376)</f>
        <v>4.2275436764006349</v>
      </c>
      <c r="Y376" s="227" t="s">
        <v>1420</v>
      </c>
      <c r="Z376" s="143"/>
      <c r="AA376" s="143"/>
      <c r="AB376" s="143"/>
      <c r="AC376" s="613">
        <f>I376-[1]BUILDING!I323</f>
        <v>0</v>
      </c>
      <c r="AD376" s="604" t="s">
        <v>1313</v>
      </c>
    </row>
    <row r="377" spans="1:30" x14ac:dyDescent="0.2">
      <c r="D377" s="228"/>
      <c r="E377" s="228"/>
      <c r="F377" s="228" t="s">
        <v>1402</v>
      </c>
      <c r="G377" s="228"/>
      <c r="H377" s="228"/>
      <c r="I377" s="230">
        <f>(3*101)+20</f>
        <v>323</v>
      </c>
      <c r="J377" s="231" t="s">
        <v>301</v>
      </c>
      <c r="K377" s="232">
        <f t="shared" si="220"/>
        <v>13.217309659020279</v>
      </c>
      <c r="L377" s="232">
        <f t="shared" si="221"/>
        <v>8.6815825423752209</v>
      </c>
      <c r="M377" s="232">
        <f t="shared" si="222"/>
        <v>0</v>
      </c>
      <c r="N377" s="232"/>
      <c r="O377" s="232">
        <f t="shared" si="223"/>
        <v>21.898892201395498</v>
      </c>
      <c r="P377" s="233">
        <f t="shared" si="224"/>
        <v>7073</v>
      </c>
      <c r="Q377" s="291">
        <f t="shared" si="219"/>
        <v>0</v>
      </c>
      <c r="R377" s="143">
        <v>9.8072175326861455</v>
      </c>
      <c r="S377" s="143">
        <f t="shared" si="225"/>
        <v>6.9731586685744738</v>
      </c>
      <c r="T377" s="143" t="s">
        <v>1135</v>
      </c>
      <c r="U377" s="143">
        <v>48.145335525496407</v>
      </c>
      <c r="V377" s="143">
        <v>0.14483560229592099</v>
      </c>
      <c r="W377" s="143">
        <v>0</v>
      </c>
      <c r="X377" s="143">
        <f t="shared" si="226"/>
        <v>16.780376201260619</v>
      </c>
      <c r="Y377" s="143" t="s">
        <v>1155</v>
      </c>
      <c r="Z377" s="311" t="s">
        <v>1422</v>
      </c>
      <c r="AC377" s="613">
        <f>I377-[1]BUILDING!I324</f>
        <v>0</v>
      </c>
      <c r="AD377" s="604" t="s">
        <v>1313</v>
      </c>
    </row>
    <row r="378" spans="1:30" x14ac:dyDescent="0.2">
      <c r="D378" s="228"/>
      <c r="E378" s="228"/>
      <c r="G378" s="228" t="s">
        <v>1424</v>
      </c>
      <c r="H378" s="228"/>
      <c r="I378" s="230">
        <f>I377</f>
        <v>323</v>
      </c>
      <c r="J378" s="231" t="s">
        <v>301</v>
      </c>
      <c r="K378" s="232">
        <f>R378*tax*markup*IF(Y378&lt;&gt;"",VLOOKUP(LEFT(Y378,2),cityindex,2,0),1)</f>
        <v>1.2866782246157142</v>
      </c>
      <c r="L378" s="232">
        <f>S378*markup*difficulty*IF(Y378&lt;&gt;"",VLOOKUP(LEFT(Y378,2),cityindex,3,0),1)</f>
        <v>2.1049922799324929</v>
      </c>
      <c r="M378" s="232">
        <f>W378*markup*difficulty*IF(Y378&lt;&gt;"",VLOOKUP(LEFT(Y378,2),cityindex,3,0),1)</f>
        <v>0</v>
      </c>
      <c r="N378" s="232"/>
      <c r="O378" s="232">
        <f>SUM(K378:N378)*embed</f>
        <v>3.3916705045482072</v>
      </c>
      <c r="P378" s="233">
        <f>ROUND((O378*I378),0)</f>
        <v>1096</v>
      </c>
      <c r="Q378" s="291">
        <f>IF(O378=0,0,IF(X378=0,"manual",(O378/(R378*tax*markup*IF(Y378&lt;&gt;"",VLOOKUP(LEFT(Y378,2),cityindex,2,0),1)+S378*markup*difficulty*IF(Y378&lt;&gt;"",VLOOKUP(LEFT(Y378,2),cityindex,3,0),1)+W378*markup*difficulty*IF(Y378&lt;&gt;"",VLOOKUP(LEFT(Y378,2),cityindex,3,0),1)))-1))</f>
        <v>0</v>
      </c>
      <c r="R378" s="143">
        <v>0.9547126888084172</v>
      </c>
      <c r="S378" s="143">
        <f>U378*V378</f>
        <v>1.6907568513513997</v>
      </c>
      <c r="T378" s="143" t="s">
        <v>968</v>
      </c>
      <c r="U378" s="143">
        <v>50.790085122442285</v>
      </c>
      <c r="V378" s="143">
        <v>3.3289112378437735E-2</v>
      </c>
      <c r="W378" s="143">
        <v>0</v>
      </c>
      <c r="X378" s="143">
        <f>SUM(R378,S378,W378)</f>
        <v>2.6454695401598167</v>
      </c>
      <c r="Y378" s="143" t="s">
        <v>1425</v>
      </c>
      <c r="AC378" s="613">
        <f>I378-[1]BUILDING!I325</f>
        <v>0</v>
      </c>
      <c r="AD378" s="604" t="s">
        <v>1313</v>
      </c>
    </row>
    <row r="379" spans="1:30" x14ac:dyDescent="0.2">
      <c r="D379" s="228"/>
      <c r="E379" s="228"/>
      <c r="F379" s="228" t="s">
        <v>1426</v>
      </c>
      <c r="G379" s="228"/>
      <c r="H379" s="228"/>
      <c r="I379" s="230">
        <v>342</v>
      </c>
      <c r="J379" s="231" t="s">
        <v>301</v>
      </c>
      <c r="K379" s="232">
        <f>R379*tax*markup*IF(Y379&lt;&gt;"",VLOOKUP(LEFT(Y379,2),cityindex,2,0),1)</f>
        <v>12.418965880860268</v>
      </c>
      <c r="L379" s="232">
        <f>S379*markup*difficulty*IF(Y379&lt;&gt;"",VLOOKUP(LEFT(Y379,2),cityindex,3,0),1)</f>
        <v>3.3281138656573281</v>
      </c>
      <c r="M379" s="232">
        <f>W379*markup*difficulty*IF(Y379&lt;&gt;"",VLOOKUP(LEFT(Y379,2),cityindex,3,0),1)</f>
        <v>0</v>
      </c>
      <c r="N379" s="232"/>
      <c r="O379" s="232">
        <f>SUM(K379:N379)*embed</f>
        <v>15.747079746517596</v>
      </c>
      <c r="P379" s="233">
        <f>ROUND((O379*I379),0)</f>
        <v>5386</v>
      </c>
      <c r="Q379" s="291">
        <f>IF(O379=0,0,IF(X379=0,"manual",(O379/(R379*tax*markup*IF(Y379&lt;&gt;"",VLOOKUP(LEFT(Y379,2),cityindex,2,0),1)+S379*markup*difficulty*IF(Y379&lt;&gt;"",VLOOKUP(LEFT(Y379,2),cityindex,3,0),1)+W379*markup*difficulty*IF(Y379&lt;&gt;"",VLOOKUP(LEFT(Y379,2),cityindex,3,0),1)))-1))</f>
        <v>0</v>
      </c>
      <c r="R379" s="143">
        <v>9.2148480338798286</v>
      </c>
      <c r="S379" s="143">
        <f>U379*V379</f>
        <v>2.6731838278372111</v>
      </c>
      <c r="T379" s="143" t="s">
        <v>968</v>
      </c>
      <c r="U379" s="143">
        <v>50.790085122442285</v>
      </c>
      <c r="V379" s="143">
        <v>5.2632001332402346E-2</v>
      </c>
      <c r="W379" s="143">
        <v>0</v>
      </c>
      <c r="X379" s="143">
        <f>SUM(R379,S379,W379)</f>
        <v>11.888031861717039</v>
      </c>
      <c r="Y379" s="143" t="s">
        <v>719</v>
      </c>
      <c r="AC379" s="613">
        <f>I379-[1]BUILDING!I326</f>
        <v>0</v>
      </c>
      <c r="AD379" s="604" t="s">
        <v>1313</v>
      </c>
    </row>
    <row r="380" spans="1:30" x14ac:dyDescent="0.2">
      <c r="D380" s="228"/>
      <c r="E380" s="228"/>
      <c r="F380" s="228" t="s">
        <v>1585</v>
      </c>
      <c r="G380" s="228"/>
      <c r="H380" s="228"/>
      <c r="I380" s="230">
        <f>293*10</f>
        <v>2930</v>
      </c>
      <c r="J380" s="231" t="s">
        <v>301</v>
      </c>
      <c r="K380" s="232">
        <f>R380*tax*markup*IF(Y380&lt;&gt;"",VLOOKUP(LEFT(Y380,2),cityindex,2,0),1)+0.27</f>
        <v>0.50260709264703374</v>
      </c>
      <c r="L380" s="232">
        <f>S380*markup*difficulty*IF(Y380&lt;&gt;"",VLOOKUP(LEFT(Y380,2),cityindex,3,0),1)*4</f>
        <v>2.1676561975396922</v>
      </c>
      <c r="M380" s="232">
        <f>W380*markup*difficulty*IF(Y380&lt;&gt;"",VLOOKUP(LEFT(Y380,2),cityindex,3,0),1)</f>
        <v>0</v>
      </c>
      <c r="N380" s="232"/>
      <c r="O380" s="232">
        <f>SUM(K380:N380)*embed</f>
        <v>2.670263290186726</v>
      </c>
      <c r="P380" s="233">
        <f>ROUND((O380*I380),0)</f>
        <v>7824</v>
      </c>
      <c r="Q380" s="291">
        <f>IF(O380=0,0,IF(X380=0,"manual",(O380/(R380*tax*markup*IF(Y380&lt;&gt;"",VLOOKUP(LEFT(Y380,2),cityindex,2,0),1)+S380*markup*difficulty*IF(Y380&lt;&gt;"",VLOOKUP(LEFT(Y380,2),cityindex,3,0),1)+W380*markup*difficulty*IF(Y380&lt;&gt;"",VLOOKUP(LEFT(Y380,2),cityindex,3,0),1)))-1))</f>
        <v>2.4476312462966323</v>
      </c>
      <c r="R380" s="143">
        <v>0.17259400105514619</v>
      </c>
      <c r="S380" s="143">
        <f>U380*V380</f>
        <v>0.43527232882323136</v>
      </c>
      <c r="T380" s="143" t="s">
        <v>1069</v>
      </c>
      <c r="U380" s="143">
        <v>35.070891047405659</v>
      </c>
      <c r="V380" s="143">
        <v>1.2411213853530827E-2</v>
      </c>
      <c r="W380" s="143">
        <v>0</v>
      </c>
      <c r="X380" s="143">
        <f>SUM(R380,S380,W380)</f>
        <v>0.60786632987837752</v>
      </c>
      <c r="Y380" s="143" t="s">
        <v>712</v>
      </c>
      <c r="Z380" s="311" t="s">
        <v>1070</v>
      </c>
      <c r="AC380" s="613">
        <f>I380-[1]BUILDING!I327</f>
        <v>0</v>
      </c>
      <c r="AD380" s="604" t="s">
        <v>1313</v>
      </c>
    </row>
    <row r="381" spans="1:30" x14ac:dyDescent="0.2">
      <c r="D381" s="228"/>
      <c r="E381" s="228"/>
      <c r="F381" s="228"/>
      <c r="G381" s="228"/>
      <c r="H381" s="228"/>
      <c r="I381" s="230"/>
      <c r="J381" s="231"/>
      <c r="K381" s="232">
        <f>R381*tax*markup*IF(Y381&lt;&gt;"",VLOOKUP(LEFT(Y381,2),cityindex,2,0),1)</f>
        <v>0</v>
      </c>
      <c r="L381" s="232">
        <f>S381*markup*difficulty*IF(Y381&lt;&gt;"",VLOOKUP(LEFT(Y381,2),cityindex,3,0),1)</f>
        <v>0</v>
      </c>
      <c r="M381" s="232">
        <f>W381*markup*difficulty*IF(Y381&lt;&gt;"",VLOOKUP(LEFT(Y381,2),cityindex,3,0),1)</f>
        <v>0</v>
      </c>
      <c r="N381" s="232"/>
      <c r="O381" s="232">
        <f>SUM(K381:N381)*embed</f>
        <v>0</v>
      </c>
      <c r="P381" s="233">
        <f>ROUND((O381*I381),0)</f>
        <v>0</v>
      </c>
      <c r="Q381" s="291">
        <f>IF(O381=0,0,IF(X381=0,"manual",(O381/(R381*tax*markup*IF(Y381&lt;&gt;"",VLOOKUP(LEFT(Y381,2),cityindex,2,0),1)+S381*markup*difficulty*IF(Y381&lt;&gt;"",VLOOKUP(LEFT(Y381,2),cityindex,3,0),1)+W381*markup*difficulty*IF(Y381&lt;&gt;"",VLOOKUP(LEFT(Y381,2),cityindex,3,0),1)))-1))</f>
        <v>0</v>
      </c>
      <c r="S381" s="143">
        <f>U381*V381</f>
        <v>0</v>
      </c>
      <c r="X381" s="143">
        <f>SUM(R381,S381,W381)</f>
        <v>0</v>
      </c>
      <c r="AC381" s="613">
        <f>I381-[1]BUILDING!I328</f>
        <v>0</v>
      </c>
      <c r="AD381" s="604"/>
    </row>
    <row r="382" spans="1:30" x14ac:dyDescent="0.2">
      <c r="D382" s="228"/>
      <c r="E382" s="228" t="s">
        <v>1156</v>
      </c>
      <c r="F382" s="228"/>
      <c r="G382" s="228"/>
      <c r="H382" s="228"/>
      <c r="I382" s="230"/>
      <c r="J382" s="231"/>
      <c r="K382" s="232">
        <f t="shared" si="220"/>
        <v>0</v>
      </c>
      <c r="L382" s="232">
        <f t="shared" si="221"/>
        <v>0</v>
      </c>
      <c r="M382" s="232">
        <f t="shared" si="222"/>
        <v>0</v>
      </c>
      <c r="N382" s="232"/>
      <c r="O382" s="232">
        <f t="shared" si="223"/>
        <v>0</v>
      </c>
      <c r="P382" s="233">
        <f t="shared" si="224"/>
        <v>0</v>
      </c>
      <c r="Q382" s="291">
        <f t="shared" si="219"/>
        <v>0</v>
      </c>
      <c r="S382" s="143">
        <f t="shared" si="225"/>
        <v>0</v>
      </c>
      <c r="X382" s="143">
        <f t="shared" si="226"/>
        <v>0</v>
      </c>
      <c r="AC382" s="613">
        <f>I382-[1]BUILDING!I329</f>
        <v>0</v>
      </c>
      <c r="AD382" s="604"/>
    </row>
    <row r="383" spans="1:30" x14ac:dyDescent="0.2">
      <c r="D383" s="228"/>
      <c r="E383" s="228"/>
      <c r="F383" s="228" t="s">
        <v>724</v>
      </c>
      <c r="G383" s="228"/>
      <c r="H383" s="228"/>
      <c r="I383" s="230">
        <f>GFA-I385-I387-I389-I392</f>
        <v>20440</v>
      </c>
      <c r="J383" s="231" t="s">
        <v>301</v>
      </c>
      <c r="K383" s="232">
        <f>R383*tax*markup*IF(Y383&lt;&gt;"",VLOOKUP(LEFT(Y383,2),cityindex,2,0),1)</f>
        <v>5.9191158001523956</v>
      </c>
      <c r="L383" s="232">
        <f>S383*markup*difficulty*IF(Y383&lt;&gt;"",VLOOKUP(LEFT(Y383,2),cityindex,3,0),1)</f>
        <v>0.75327031624983665</v>
      </c>
      <c r="M383" s="232">
        <f>W383*markup*difficulty*IF(Y383&lt;&gt;"",VLOOKUP(LEFT(Y383,2),cityindex,3,0),1)</f>
        <v>0</v>
      </c>
      <c r="N383" s="232"/>
      <c r="O383" s="232">
        <f>SUM(K383:N383)*embed</f>
        <v>6.6723861164022322</v>
      </c>
      <c r="P383" s="233">
        <f>ROUND((O383*I383),0)</f>
        <v>136384</v>
      </c>
      <c r="Q383" s="291">
        <f>IF(O383=0,0,IF(X383=0,"manual",(O383/(R383*tax*markup*IF(Y383&lt;&gt;"",VLOOKUP(LEFT(Y383,2),cityindex,2,0),1)+S383*markup*difficulty*IF(Y383&lt;&gt;"",VLOOKUP(LEFT(Y383,2),cityindex,3,0),1)+W383*markup*difficulty*IF(Y383&lt;&gt;"",VLOOKUP(LEFT(Y383,2),cityindex,3,0),1)))-1))</f>
        <v>0</v>
      </c>
      <c r="R383" s="143">
        <v>4.391972175187508</v>
      </c>
      <c r="S383" s="143">
        <f>U383*V383</f>
        <v>0.60503639859424629</v>
      </c>
      <c r="T383" s="143" t="s">
        <v>1158</v>
      </c>
      <c r="U383" s="143">
        <v>50.790085122442285</v>
      </c>
      <c r="V383" s="143">
        <v>1.19124903440436E-2</v>
      </c>
      <c r="W383" s="143">
        <v>0</v>
      </c>
      <c r="X383" s="143">
        <f>SUM(R383,S383,W383)</f>
        <v>4.9970085737817547</v>
      </c>
      <c r="Y383" s="143" t="s">
        <v>725</v>
      </c>
      <c r="AC383" s="613">
        <f>I383-[1]BUILDING!I330</f>
        <v>0</v>
      </c>
      <c r="AD383" s="604" t="s">
        <v>1313</v>
      </c>
    </row>
    <row r="384" spans="1:30" x14ac:dyDescent="0.2">
      <c r="D384" s="228"/>
      <c r="E384" s="228"/>
      <c r="G384" s="228" t="s">
        <v>1161</v>
      </c>
      <c r="H384" s="228"/>
      <c r="I384" s="230">
        <v>2544</v>
      </c>
      <c r="J384" s="231" t="s">
        <v>309</v>
      </c>
      <c r="K384" s="232">
        <f>R384*tax*markup*IF(Y384&lt;&gt;"",VLOOKUP(LEFT(Y384,2),cityindex,2,0),1)</f>
        <v>1.0929671132742464</v>
      </c>
      <c r="L384" s="232">
        <f>S384*markup*difficulty*IF(Y384&lt;&gt;"",VLOOKUP(LEFT(Y384,2),cityindex,3,0),1)</f>
        <v>1.0910457941091263</v>
      </c>
      <c r="M384" s="232">
        <f>W384*markup*difficulty*IF(Y384&lt;&gt;"",VLOOKUP(LEFT(Y384,2),cityindex,3,0),1)</f>
        <v>0</v>
      </c>
      <c r="N384" s="232"/>
      <c r="O384" s="232">
        <f>SUM(K384:N384)*embed</f>
        <v>2.1840129073833729</v>
      </c>
      <c r="P384" s="233">
        <f>ROUND((O384*I384),0)</f>
        <v>5556</v>
      </c>
      <c r="Q384" s="291">
        <f>IF(O384=0,0,IF(X384=0,"manual",(O384/(R384*tax*markup*IF(Y384&lt;&gt;"",VLOOKUP(LEFT(Y384,2),cityindex,2,0),1)+S384*markup*difficulty*IF(Y384&lt;&gt;"",VLOOKUP(LEFT(Y384,2),cityindex,3,0),1)+W384*markup*difficulty*IF(Y384&lt;&gt;"",VLOOKUP(LEFT(Y384,2),cityindex,3,0),1)))-1))</f>
        <v>0</v>
      </c>
      <c r="R384" s="143">
        <v>0.81097942867951911</v>
      </c>
      <c r="S384" s="143">
        <f>U384*V384</f>
        <v>0.87634200330050305</v>
      </c>
      <c r="T384" s="143" t="s">
        <v>1135</v>
      </c>
      <c r="U384" s="143">
        <v>48.145335525496407</v>
      </c>
      <c r="V384" s="143">
        <v>1.8202012588247871E-2</v>
      </c>
      <c r="W384" s="143">
        <v>0</v>
      </c>
      <c r="X384" s="143">
        <f>SUM(R384,S384,W384)</f>
        <v>1.6873214319800223</v>
      </c>
      <c r="Y384" s="143" t="s">
        <v>746</v>
      </c>
      <c r="AC384" s="613">
        <f>I384-[1]BUILDING!I331</f>
        <v>0</v>
      </c>
      <c r="AD384" s="604" t="s">
        <v>1313</v>
      </c>
    </row>
    <row r="385" spans="4:33" x14ac:dyDescent="0.2">
      <c r="D385" s="228"/>
      <c r="E385" s="228"/>
      <c r="F385" s="228" t="s">
        <v>1401</v>
      </c>
      <c r="G385" s="228"/>
      <c r="H385" s="228"/>
      <c r="I385" s="230">
        <v>4798</v>
      </c>
      <c r="J385" s="231" t="s">
        <v>301</v>
      </c>
      <c r="K385" s="232">
        <f t="shared" ref="K385:K386" si="310">R385*tax*markup*IF(Y385&lt;&gt;"",VLOOKUP(LEFT(Y385,2),cityindex,2,0),1)</f>
        <v>6.575720067346543</v>
      </c>
      <c r="L385" s="232">
        <f t="shared" ref="L385:L386" si="311">S385*markup*difficulty*IF(Y385&lt;&gt;"",VLOOKUP(LEFT(Y385,2),cityindex,3,0),1)</f>
        <v>1.4802496457824101</v>
      </c>
      <c r="M385" s="232">
        <f t="shared" ref="M385:M386" si="312">W385*markup*difficulty*IF(Y385&lt;&gt;"",VLOOKUP(LEFT(Y385,2),cityindex,3,0),1)</f>
        <v>0</v>
      </c>
      <c r="N385" s="232"/>
      <c r="O385" s="232">
        <f t="shared" ref="O385:O386" si="313">SUM(K385:N385)*embed</f>
        <v>8.0559697131289525</v>
      </c>
      <c r="P385" s="233">
        <f t="shared" ref="P385:P386" si="314">ROUND((O385*I385),0)</f>
        <v>38653</v>
      </c>
      <c r="Q385" s="291">
        <f t="shared" ref="Q385:Q386" si="315">IF(O385=0,0,IF(X385=0,"manual",(O385/(R385*tax*markup*IF(Y385&lt;&gt;"",VLOOKUP(LEFT(Y385,2),cityindex,2,0),1)+S385*markup*difficulty*IF(Y385&lt;&gt;"",VLOOKUP(LEFT(Y385,2),cityindex,3,0),1)+W385*markup*difficulty*IF(Y385&lt;&gt;"",VLOOKUP(LEFT(Y385,2),cityindex,3,0),1)))-1))</f>
        <v>0</v>
      </c>
      <c r="R385" s="143">
        <v>4.8791712381880723</v>
      </c>
      <c r="S385" s="143">
        <f t="shared" ref="S385:S386" si="316">U385*V385</f>
        <v>1.1889555387810522</v>
      </c>
      <c r="T385" s="143" t="s">
        <v>1135</v>
      </c>
      <c r="U385" s="143">
        <v>48.145335525496407</v>
      </c>
      <c r="V385" s="143">
        <v>2.469513455049898E-2</v>
      </c>
      <c r="W385" s="143">
        <v>0</v>
      </c>
      <c r="X385" s="143">
        <f t="shared" ref="X385:X386" si="317">SUM(R385,S385,W385)</f>
        <v>6.0681267769691249</v>
      </c>
      <c r="Y385" s="143" t="s">
        <v>1159</v>
      </c>
      <c r="Z385" s="236"/>
      <c r="AC385" s="613">
        <f>I385-[1]BUILDING!I332</f>
        <v>0</v>
      </c>
      <c r="AD385" s="604" t="s">
        <v>1313</v>
      </c>
    </row>
    <row r="386" spans="4:33" x14ac:dyDescent="0.2">
      <c r="D386" s="228"/>
      <c r="E386" s="228"/>
      <c r="G386" s="228" t="s">
        <v>1161</v>
      </c>
      <c r="H386" s="228"/>
      <c r="I386" s="230">
        <v>1354</v>
      </c>
      <c r="J386" s="231" t="s">
        <v>309</v>
      </c>
      <c r="K386" s="232">
        <f t="shared" si="310"/>
        <v>1.0929671132742464</v>
      </c>
      <c r="L386" s="232">
        <f t="shared" si="311"/>
        <v>1.0910457941091263</v>
      </c>
      <c r="M386" s="232">
        <f t="shared" si="312"/>
        <v>0</v>
      </c>
      <c r="N386" s="232"/>
      <c r="O386" s="232">
        <f t="shared" si="313"/>
        <v>2.1840129073833729</v>
      </c>
      <c r="P386" s="233">
        <f t="shared" si="314"/>
        <v>2957</v>
      </c>
      <c r="Q386" s="291">
        <f t="shared" si="315"/>
        <v>0</v>
      </c>
      <c r="R386" s="143">
        <v>0.81097942867951911</v>
      </c>
      <c r="S386" s="143">
        <f t="shared" si="316"/>
        <v>0.87634200330050305</v>
      </c>
      <c r="T386" s="143" t="s">
        <v>1135</v>
      </c>
      <c r="U386" s="143">
        <v>48.145335525496407</v>
      </c>
      <c r="V386" s="143">
        <v>1.8202012588247871E-2</v>
      </c>
      <c r="W386" s="143">
        <v>0</v>
      </c>
      <c r="X386" s="143">
        <f t="shared" si="317"/>
        <v>1.6873214319800223</v>
      </c>
      <c r="Y386" s="143" t="s">
        <v>746</v>
      </c>
      <c r="AC386" s="613">
        <f>I386-[1]BUILDING!I333</f>
        <v>0</v>
      </c>
      <c r="AD386" s="604" t="s">
        <v>1313</v>
      </c>
    </row>
    <row r="387" spans="4:33" x14ac:dyDescent="0.2">
      <c r="D387" s="228"/>
      <c r="E387" s="228"/>
      <c r="F387" s="228" t="s">
        <v>733</v>
      </c>
      <c r="G387" s="228"/>
      <c r="H387" s="228"/>
      <c r="I387" s="230">
        <v>4833</v>
      </c>
      <c r="J387" s="231" t="s">
        <v>301</v>
      </c>
      <c r="K387" s="232">
        <f>R387*tax*markup*IF(Y387&lt;&gt;"",VLOOKUP(LEFT(Y387,2),cityindex,2,0),1)</f>
        <v>0.25724627932283012</v>
      </c>
      <c r="L387" s="232">
        <f>S387*markup*difficulty*IF(Y387&lt;&gt;"",VLOOKUP(LEFT(Y387,2),cityindex,3,0),1)</f>
        <v>0.58659655732728744</v>
      </c>
      <c r="M387" s="232">
        <f>W387*markup*difficulty*IF(Y387&lt;&gt;"",VLOOKUP(LEFT(Y387,2),cityindex,3,0),1)</f>
        <v>0</v>
      </c>
      <c r="N387" s="232"/>
      <c r="O387" s="232">
        <f>SUM(K387:N387)*embed</f>
        <v>0.84384283665011761</v>
      </c>
      <c r="P387" s="233">
        <f>ROUND((O387*I387),0)</f>
        <v>4078</v>
      </c>
      <c r="Q387" s="291">
        <f>IF(O387=0,0,IF(X387=0,"manual",(O387/(R387*tax*markup*IF(Y387&lt;&gt;"",VLOOKUP(LEFT(Y387,2),cityindex,2,0),1)+S387*markup*difficulty*IF(Y387&lt;&gt;"",VLOOKUP(LEFT(Y387,2),cityindex,3,0),1)+W387*markup*difficulty*IF(Y387&lt;&gt;"",VLOOKUP(LEFT(Y387,2),cityindex,3,0),1)))-1))</f>
        <v>0</v>
      </c>
      <c r="R387" s="143">
        <v>0.19087622866362824</v>
      </c>
      <c r="S387" s="143">
        <f>U387*V387</f>
        <v>0.47116189343557219</v>
      </c>
      <c r="T387" s="143" t="s">
        <v>965</v>
      </c>
      <c r="U387" s="143">
        <v>30.337316807306259</v>
      </c>
      <c r="V387" s="143">
        <v>1.5530770121440021E-2</v>
      </c>
      <c r="W387" s="143">
        <v>0</v>
      </c>
      <c r="X387" s="143">
        <f>SUM(R387,S387,W387)</f>
        <v>0.66203812209920043</v>
      </c>
      <c r="Y387" s="143" t="s">
        <v>734</v>
      </c>
      <c r="AC387" s="613">
        <f>I387-[1]BUILDING!I334</f>
        <v>0</v>
      </c>
      <c r="AD387" s="604" t="s">
        <v>1313</v>
      </c>
    </row>
    <row r="388" spans="4:33" x14ac:dyDescent="0.2">
      <c r="D388" s="228"/>
      <c r="E388" s="228"/>
      <c r="F388" s="228"/>
      <c r="G388" s="228" t="s">
        <v>1400</v>
      </c>
      <c r="H388" s="228"/>
      <c r="I388" s="230">
        <v>786</v>
      </c>
      <c r="J388" s="231" t="s">
        <v>309</v>
      </c>
      <c r="K388" s="232">
        <f>R388*tax*markup*IF(Y388&lt;&gt;"",VLOOKUP(LEFT(Y388,2),cityindex,2,0),1)</f>
        <v>1.0929671132742464</v>
      </c>
      <c r="L388" s="232">
        <f>S388*markup*difficulty*IF(Y388&lt;&gt;"",VLOOKUP(LEFT(Y388,2),cityindex,3,0),1)</f>
        <v>1.0910457941091263</v>
      </c>
      <c r="M388" s="232">
        <f>W388*markup*difficulty*IF(Y388&lt;&gt;"",VLOOKUP(LEFT(Y388,2),cityindex,3,0),1)</f>
        <v>0</v>
      </c>
      <c r="N388" s="232"/>
      <c r="O388" s="232">
        <f>SUM(K388:N388)*embed</f>
        <v>2.1840129073833729</v>
      </c>
      <c r="P388" s="233">
        <f>ROUND((O388*I388),0)</f>
        <v>1717</v>
      </c>
      <c r="Q388" s="291">
        <f>IF(O388=0,0,IF(X388=0,"manual",(O388/(R388*tax*markup*IF(Y388&lt;&gt;"",VLOOKUP(LEFT(Y388,2),cityindex,2,0),1)+S388*markup*difficulty*IF(Y388&lt;&gt;"",VLOOKUP(LEFT(Y388,2),cityindex,3,0),1)+W388*markup*difficulty*IF(Y388&lt;&gt;"",VLOOKUP(LEFT(Y388,2),cityindex,3,0),1)))-1))</f>
        <v>0</v>
      </c>
      <c r="R388" s="143">
        <v>0.81097942867951911</v>
      </c>
      <c r="S388" s="143">
        <f>U388*V388</f>
        <v>0.87634200330050305</v>
      </c>
      <c r="T388" s="143" t="s">
        <v>1135</v>
      </c>
      <c r="U388" s="143">
        <v>48.145335525496407</v>
      </c>
      <c r="V388" s="143">
        <v>1.8202012588247871E-2</v>
      </c>
      <c r="W388" s="143">
        <v>0</v>
      </c>
      <c r="X388" s="143">
        <f>SUM(R388,S388,W388)</f>
        <v>1.6873214319800223</v>
      </c>
      <c r="Y388" s="143" t="s">
        <v>746</v>
      </c>
      <c r="AC388" s="613">
        <f>I388-[1]BUILDING!I335</f>
        <v>0</v>
      </c>
      <c r="AD388" s="604" t="s">
        <v>1313</v>
      </c>
    </row>
    <row r="389" spans="4:33" x14ac:dyDescent="0.2">
      <c r="D389" s="228"/>
      <c r="E389" s="228"/>
      <c r="F389" s="228" t="s">
        <v>713</v>
      </c>
      <c r="G389" s="228"/>
      <c r="H389" s="228"/>
      <c r="I389" s="230">
        <f>623+730</f>
        <v>1353</v>
      </c>
      <c r="J389" s="231" t="s">
        <v>301</v>
      </c>
      <c r="K389" s="232">
        <f t="shared" si="220"/>
        <v>15.457447082095904</v>
      </c>
      <c r="L389" s="232">
        <f t="shared" si="221"/>
        <v>6.8297933839263498</v>
      </c>
      <c r="M389" s="232">
        <f t="shared" si="222"/>
        <v>0</v>
      </c>
      <c r="N389" s="232"/>
      <c r="O389" s="232">
        <f t="shared" si="223"/>
        <v>22.287240466022254</v>
      </c>
      <c r="P389" s="233">
        <f t="shared" si="224"/>
        <v>30155</v>
      </c>
      <c r="Q389" s="291">
        <f t="shared" si="219"/>
        <v>0</v>
      </c>
      <c r="R389" s="143">
        <v>11.469395054283389</v>
      </c>
      <c r="S389" s="143">
        <f t="shared" si="225"/>
        <v>5.4857778184147383</v>
      </c>
      <c r="T389" s="143" t="s">
        <v>1135</v>
      </c>
      <c r="U389" s="143">
        <v>48.145335525496407</v>
      </c>
      <c r="V389" s="143">
        <v>0.11394204149869566</v>
      </c>
      <c r="W389" s="143">
        <v>0</v>
      </c>
      <c r="X389" s="143">
        <f t="shared" si="226"/>
        <v>16.955172872698128</v>
      </c>
      <c r="Y389" s="143" t="s">
        <v>1157</v>
      </c>
      <c r="AC389" s="613">
        <f>I389-[1]BUILDING!I336</f>
        <v>0</v>
      </c>
      <c r="AD389" s="604" t="s">
        <v>1313</v>
      </c>
    </row>
    <row r="390" spans="4:33" x14ac:dyDescent="0.2">
      <c r="D390" s="228"/>
      <c r="E390" s="228"/>
      <c r="G390" s="228" t="s">
        <v>1160</v>
      </c>
      <c r="H390" s="228"/>
      <c r="I390" s="230">
        <f>101+266</f>
        <v>367</v>
      </c>
      <c r="J390" s="231" t="s">
        <v>309</v>
      </c>
      <c r="K390" s="232">
        <f t="shared" si="220"/>
        <v>6.9875103231361591</v>
      </c>
      <c r="L390" s="232">
        <f t="shared" si="221"/>
        <v>6.9513436522431258</v>
      </c>
      <c r="M390" s="232">
        <f t="shared" si="222"/>
        <v>0</v>
      </c>
      <c r="N390" s="232"/>
      <c r="O390" s="232">
        <f t="shared" si="223"/>
        <v>13.938853975379285</v>
      </c>
      <c r="P390" s="233">
        <f t="shared" si="224"/>
        <v>5116</v>
      </c>
      <c r="Q390" s="291">
        <f t="shared" si="219"/>
        <v>0</v>
      </c>
      <c r="R390" s="143">
        <v>5.1847187906442649</v>
      </c>
      <c r="S390" s="143">
        <f t="shared" si="225"/>
        <v>5.5834085560185747</v>
      </c>
      <c r="T390" s="143" t="s">
        <v>1135</v>
      </c>
      <c r="U390" s="143">
        <v>48.145335525496407</v>
      </c>
      <c r="V390" s="143">
        <v>0.11596987527611599</v>
      </c>
      <c r="W390" s="143">
        <v>0</v>
      </c>
      <c r="X390" s="143">
        <f t="shared" si="226"/>
        <v>10.76812734666284</v>
      </c>
      <c r="Y390" s="143" t="s">
        <v>747</v>
      </c>
      <c r="AC390" s="613">
        <f>I390-[1]BUILDING!I337</f>
        <v>0</v>
      </c>
      <c r="AD390" s="604" t="s">
        <v>1313</v>
      </c>
    </row>
    <row r="391" spans="4:33" x14ac:dyDescent="0.2">
      <c r="D391" s="228"/>
      <c r="E391" s="228"/>
      <c r="F391" s="228"/>
      <c r="G391" s="228" t="s">
        <v>1428</v>
      </c>
      <c r="H391" s="228"/>
      <c r="I391" s="230">
        <v>22</v>
      </c>
      <c r="J391" s="231" t="s">
        <v>301</v>
      </c>
      <c r="K391" s="232">
        <f>R391*tax*markup*IF(Y391&lt;&gt;"",VLOOKUP(LEFT(Y391,2),cityindex,2,0),1)</f>
        <v>13.400853975921848</v>
      </c>
      <c r="L391" s="232">
        <f>S391*markup*difficulty*IF(Y391&lt;&gt;"",VLOOKUP(LEFT(Y391,2),cityindex,3,0),1)</f>
        <v>16.036002815367969</v>
      </c>
      <c r="M391" s="232">
        <f>W391*markup*difficulty*IF(Y391&lt;&gt;"",VLOOKUP(LEFT(Y391,2),cityindex,3,0),1)</f>
        <v>0</v>
      </c>
      <c r="N391" s="232"/>
      <c r="O391" s="232">
        <f>SUM(K391:N391)*embed</f>
        <v>29.436856791289816</v>
      </c>
      <c r="P391" s="233">
        <f>ROUND((O391*I391),0)</f>
        <v>648</v>
      </c>
      <c r="Q391" s="291">
        <f>IF(O391=0,0,IF(X391=0,"manual",(O391/(R391*tax*markup*IF(Y391&lt;&gt;"",VLOOKUP(LEFT(Y391,2),cityindex,2,0),1)+S391*markup*difficulty*IF(Y391&lt;&gt;"",VLOOKUP(LEFT(Y391,2),cityindex,3,0),1)+W391*markup*difficulty*IF(Y391&lt;&gt;"",VLOOKUP(LEFT(Y391,2),cityindex,3,0),1)))-1))</f>
        <v>0</v>
      </c>
      <c r="R391" s="143">
        <v>9.9434070515201469</v>
      </c>
      <c r="S391" s="143">
        <f>U391*V391</f>
        <v>12.880323546480295</v>
      </c>
      <c r="T391" s="143" t="s">
        <v>1135</v>
      </c>
      <c r="U391" s="143">
        <v>48.145335525496407</v>
      </c>
      <c r="V391" s="143">
        <v>0.26753004015641846</v>
      </c>
      <c r="W391" s="143">
        <v>0</v>
      </c>
      <c r="X391" s="143">
        <f>SUM(R391,S391,W391)</f>
        <v>22.823730598000441</v>
      </c>
      <c r="Y391" s="143" t="s">
        <v>1427</v>
      </c>
      <c r="AC391" s="613">
        <f>I391-[1]BUILDING!I338</f>
        <v>0</v>
      </c>
      <c r="AD391" s="604" t="s">
        <v>1313</v>
      </c>
    </row>
    <row r="392" spans="4:33" x14ac:dyDescent="0.2">
      <c r="D392" s="228"/>
      <c r="E392" s="228"/>
      <c r="F392" s="228" t="s">
        <v>1432</v>
      </c>
      <c r="G392" s="228"/>
      <c r="H392" s="228"/>
      <c r="I392" s="230">
        <v>50</v>
      </c>
      <c r="J392" s="231" t="s">
        <v>301</v>
      </c>
      <c r="K392" s="232">
        <f>R392*tax*markup*IF(Y392&lt;&gt;"",VLOOKUP(LEFT(Y392,2),cityindex,2,0),1)</f>
        <v>16.92621638816485</v>
      </c>
      <c r="L392" s="232">
        <f>S392*markup*difficulty*IF(Y392&lt;&gt;"",VLOOKUP(LEFT(Y392,2),cityindex,3,0),1)</f>
        <v>1.6998995931513434</v>
      </c>
      <c r="M392" s="232">
        <f>W392*markup*difficulty*IF(Y392&lt;&gt;"",VLOOKUP(LEFT(Y392,2),cityindex,3,0),1)</f>
        <v>0</v>
      </c>
      <c r="N392" s="232"/>
      <c r="O392" s="232">
        <f>SUM(K392:N392)*embed</f>
        <v>18.626115981316193</v>
      </c>
      <c r="P392" s="233">
        <f>ROUND((O392*I392),0)</f>
        <v>931</v>
      </c>
      <c r="Q392" s="291">
        <f>IF(O392=0,0,IF(X392=0,"manual",(O392/(R392*tax*markup*IF(Y392&lt;&gt;"",VLOOKUP(LEFT(Y392,2),cityindex,2,0),1)+S392*markup*difficulty*IF(Y392&lt;&gt;"",VLOOKUP(LEFT(Y392,2),cityindex,3,0),1)+W392*markup*difficulty*IF(Y392&lt;&gt;"",VLOOKUP(LEFT(Y392,2),cityindex,3,0),1)))-1))</f>
        <v>0</v>
      </c>
      <c r="R392" s="143">
        <v>12.55921896410759</v>
      </c>
      <c r="S392" s="143">
        <f>U392*V392</f>
        <v>1.365381199318348</v>
      </c>
      <c r="T392" s="143" t="s">
        <v>1135</v>
      </c>
      <c r="U392" s="143">
        <v>48.145335525496407</v>
      </c>
      <c r="V392" s="143">
        <v>2.8359573869732008E-2</v>
      </c>
      <c r="W392" s="143">
        <v>0</v>
      </c>
      <c r="X392" s="143">
        <f>SUM(R392,S392,W392)</f>
        <v>13.924600163425938</v>
      </c>
      <c r="Y392" s="143" t="s">
        <v>731</v>
      </c>
      <c r="AC392" s="613">
        <f>I392-[1]BUILDING!I339</f>
        <v>0</v>
      </c>
      <c r="AD392" s="604" t="s">
        <v>1313</v>
      </c>
    </row>
    <row r="393" spans="4:33" x14ac:dyDescent="0.2">
      <c r="D393" s="228"/>
      <c r="E393" s="228"/>
      <c r="F393" s="228" t="s">
        <v>1171</v>
      </c>
      <c r="G393" s="228"/>
      <c r="H393" s="228"/>
      <c r="I393" s="230">
        <v>5387</v>
      </c>
      <c r="J393" s="231" t="s">
        <v>301</v>
      </c>
      <c r="K393" s="232">
        <f>R393*tax*markup*IF(Y393&lt;&gt;"",VLOOKUP(LEFT(Y393,2),cityindex,2,0),1)</f>
        <v>0.25724627932283012</v>
      </c>
      <c r="L393" s="232">
        <f>S393*markup*difficulty*IF(Y393&lt;&gt;"",VLOOKUP(LEFT(Y393,2),cityindex,3,0),1)</f>
        <v>0.58659655732728744</v>
      </c>
      <c r="M393" s="232">
        <f>W393*markup*difficulty*IF(Y393&lt;&gt;"",VLOOKUP(LEFT(Y393,2),cityindex,3,0),1)</f>
        <v>0</v>
      </c>
      <c r="N393" s="232"/>
      <c r="O393" s="232">
        <f>SUM(K393:N393)*embed</f>
        <v>0.84384283665011761</v>
      </c>
      <c r="P393" s="233">
        <f>ROUND((O393*I393),0)</f>
        <v>4546</v>
      </c>
      <c r="Q393" s="291">
        <f>IF(O393=0,0,IF(X393=0,"manual",(O393/(R393*tax*markup*IF(Y393&lt;&gt;"",VLOOKUP(LEFT(Y393,2),cityindex,2,0),1)+S393*markup*difficulty*IF(Y393&lt;&gt;"",VLOOKUP(LEFT(Y393,2),cityindex,3,0),1)+W393*markup*difficulty*IF(Y393&lt;&gt;"",VLOOKUP(LEFT(Y393,2),cityindex,3,0),1)))-1))</f>
        <v>0</v>
      </c>
      <c r="R393" s="143">
        <v>0.19087622866362824</v>
      </c>
      <c r="S393" s="143">
        <f>U393*V393</f>
        <v>0.47116189343557219</v>
      </c>
      <c r="T393" s="143" t="s">
        <v>965</v>
      </c>
      <c r="U393" s="143">
        <v>30.337316807306259</v>
      </c>
      <c r="V393" s="143">
        <v>1.5530770121440021E-2</v>
      </c>
      <c r="W393" s="143">
        <v>0</v>
      </c>
      <c r="X393" s="143">
        <f>SUM(R393,S393,W393)</f>
        <v>0.66203812209920043</v>
      </c>
      <c r="Y393" s="143" t="s">
        <v>734</v>
      </c>
      <c r="AC393" s="613">
        <f>I393-[1]BUILDING!I340</f>
        <v>0</v>
      </c>
      <c r="AD393" s="604" t="s">
        <v>1313</v>
      </c>
    </row>
    <row r="394" spans="4:33" x14ac:dyDescent="0.2">
      <c r="D394" s="228"/>
      <c r="E394" s="228"/>
      <c r="F394" s="228"/>
      <c r="G394" s="228"/>
      <c r="H394" s="228"/>
      <c r="I394" s="230"/>
      <c r="J394" s="231"/>
      <c r="K394" s="232">
        <f t="shared" si="220"/>
        <v>0</v>
      </c>
      <c r="L394" s="232">
        <f t="shared" si="221"/>
        <v>0</v>
      </c>
      <c r="M394" s="232">
        <f t="shared" si="222"/>
        <v>0</v>
      </c>
      <c r="N394" s="232"/>
      <c r="O394" s="232">
        <f t="shared" si="223"/>
        <v>0</v>
      </c>
      <c r="P394" s="233">
        <f t="shared" si="224"/>
        <v>0</v>
      </c>
      <c r="Q394" s="291">
        <f t="shared" si="219"/>
        <v>0</v>
      </c>
      <c r="S394" s="143">
        <f t="shared" si="225"/>
        <v>0</v>
      </c>
      <c r="X394" s="143">
        <f t="shared" si="226"/>
        <v>0</v>
      </c>
      <c r="AC394" s="613">
        <f>I394-[1]BUILDING!I341</f>
        <v>0</v>
      </c>
      <c r="AD394" s="604"/>
    </row>
    <row r="395" spans="4:33" x14ac:dyDescent="0.2">
      <c r="D395" s="228"/>
      <c r="E395" s="228" t="s">
        <v>1162</v>
      </c>
      <c r="F395" s="228"/>
      <c r="G395" s="228"/>
      <c r="H395" s="228"/>
      <c r="I395" s="230"/>
      <c r="J395" s="231"/>
      <c r="K395" s="232">
        <f t="shared" si="220"/>
        <v>0</v>
      </c>
      <c r="L395" s="232">
        <f t="shared" si="221"/>
        <v>0</v>
      </c>
      <c r="M395" s="232">
        <f t="shared" si="222"/>
        <v>0</v>
      </c>
      <c r="N395" s="232"/>
      <c r="O395" s="232">
        <f t="shared" si="223"/>
        <v>0</v>
      </c>
      <c r="P395" s="233">
        <f t="shared" si="224"/>
        <v>0</v>
      </c>
      <c r="Q395" s="291">
        <f t="shared" si="219"/>
        <v>0</v>
      </c>
      <c r="S395" s="143">
        <f t="shared" si="225"/>
        <v>0</v>
      </c>
      <c r="X395" s="143">
        <f t="shared" si="226"/>
        <v>0</v>
      </c>
      <c r="AC395" s="613">
        <f>I395-[1]BUILDING!I342</f>
        <v>0</v>
      </c>
      <c r="AD395" s="604"/>
    </row>
    <row r="396" spans="4:33" x14ac:dyDescent="0.2">
      <c r="D396" s="228"/>
      <c r="E396" s="228"/>
      <c r="F396" s="228" t="s">
        <v>1416</v>
      </c>
      <c r="G396" s="228"/>
      <c r="H396" s="228"/>
      <c r="I396" s="230">
        <f>GFA-I397-I398</f>
        <v>25528</v>
      </c>
      <c r="J396" s="231" t="s">
        <v>301</v>
      </c>
      <c r="K396" s="232">
        <f t="shared" si="220"/>
        <v>7.5411626217465511</v>
      </c>
      <c r="L396" s="232">
        <f t="shared" si="221"/>
        <v>1.1315127196313288</v>
      </c>
      <c r="M396" s="232">
        <f t="shared" si="222"/>
        <v>0</v>
      </c>
      <c r="N396" s="232"/>
      <c r="O396" s="232">
        <f t="shared" si="223"/>
        <v>8.6726753413778805</v>
      </c>
      <c r="P396" s="233">
        <f t="shared" si="224"/>
        <v>221396</v>
      </c>
      <c r="Q396" s="291">
        <f t="shared" si="219"/>
        <v>0</v>
      </c>
      <c r="R396" s="143">
        <v>5.5955276972993495</v>
      </c>
      <c r="S396" s="143">
        <f t="shared" si="225"/>
        <v>0.90884555793681021</v>
      </c>
      <c r="T396" s="143" t="s">
        <v>968</v>
      </c>
      <c r="U396" s="143">
        <v>50.790085122442285</v>
      </c>
      <c r="V396" s="143">
        <v>1.7894153076251185E-2</v>
      </c>
      <c r="W396" s="143">
        <v>0</v>
      </c>
      <c r="X396" s="143">
        <f t="shared" si="226"/>
        <v>6.5043732552361595</v>
      </c>
      <c r="Y396" s="143" t="s">
        <v>1163</v>
      </c>
      <c r="AC396" s="613">
        <f>I396-[1]BUILDING!I343</f>
        <v>0</v>
      </c>
      <c r="AD396" s="604" t="s">
        <v>1313</v>
      </c>
    </row>
    <row r="397" spans="4:33" x14ac:dyDescent="0.2">
      <c r="D397" s="228"/>
      <c r="E397" s="228"/>
      <c r="F397" s="228" t="s">
        <v>1411</v>
      </c>
      <c r="G397" s="228"/>
      <c r="H397" s="228"/>
      <c r="I397" s="230">
        <v>4669</v>
      </c>
      <c r="J397" s="231" t="s">
        <v>301</v>
      </c>
      <c r="K397" s="232">
        <f t="shared" ref="K397" si="318">R397*tax*markup*IF(Y397&lt;&gt;"",VLOOKUP(LEFT(Y397,2),cityindex,2,0),1)</f>
        <v>0.23260709264703372</v>
      </c>
      <c r="L397" s="232">
        <f t="shared" ref="L397" si="319">S397*markup*difficulty*IF(Y397&lt;&gt;"",VLOOKUP(LEFT(Y397,2),cityindex,3,0),1)</f>
        <v>0.54191404938492305</v>
      </c>
      <c r="M397" s="232">
        <f t="shared" ref="M397" si="320">W397*markup*difficulty*IF(Y397&lt;&gt;"",VLOOKUP(LEFT(Y397,2),cityindex,3,0),1)</f>
        <v>0</v>
      </c>
      <c r="N397" s="232">
        <v>3.5</v>
      </c>
      <c r="O397" s="232">
        <f t="shared" ref="O397" si="321">SUM(K397:N397)*embed</f>
        <v>4.2745211420319569</v>
      </c>
      <c r="P397" s="233">
        <f t="shared" ref="P397" si="322">ROUND((O397*I397),0)</f>
        <v>19958</v>
      </c>
      <c r="Q397" s="291">
        <f t="shared" ref="Q397" si="323">IF(O397=0,0,IF(X397=0,"manual",(O397/(R397*tax*markup*IF(Y397&lt;&gt;"",VLOOKUP(LEFT(Y397,2),cityindex,2,0),1)+S397*markup*difficulty*IF(Y397&lt;&gt;"",VLOOKUP(LEFT(Y397,2),cityindex,3,0),1)+W397*markup*difficulty*IF(Y397&lt;&gt;"",VLOOKUP(LEFT(Y397,2),cityindex,3,0),1)))-1))</f>
        <v>4.5189211889268091</v>
      </c>
      <c r="R397" s="143">
        <v>0.17259400105514619</v>
      </c>
      <c r="S397" s="143">
        <f t="shared" ref="S397" si="324">U397*V397</f>
        <v>0.43527232882323136</v>
      </c>
      <c r="T397" s="143" t="s">
        <v>1069</v>
      </c>
      <c r="U397" s="143">
        <v>35.070891047405659</v>
      </c>
      <c r="V397" s="143">
        <v>1.2411213853530827E-2</v>
      </c>
      <c r="W397" s="143">
        <v>0</v>
      </c>
      <c r="X397" s="143">
        <f t="shared" ref="X397" si="325">SUM(R397,S397,W397)</f>
        <v>0.60786632987837752</v>
      </c>
      <c r="Y397" s="143" t="s">
        <v>712</v>
      </c>
      <c r="AC397" s="613">
        <f>I397-[1]BUILDING!I344</f>
        <v>0</v>
      </c>
      <c r="AD397" s="604" t="s">
        <v>1313</v>
      </c>
    </row>
    <row r="398" spans="4:33" x14ac:dyDescent="0.2">
      <c r="D398" s="228"/>
      <c r="E398" s="228"/>
      <c r="F398" s="228" t="s">
        <v>1413</v>
      </c>
      <c r="G398" s="228"/>
      <c r="H398" s="228"/>
      <c r="I398" s="230">
        <v>1277</v>
      </c>
      <c r="J398" s="231" t="s">
        <v>301</v>
      </c>
      <c r="K398" s="232">
        <f>R398*tax*markup*IF(Y398&lt;&gt;"",VLOOKUP(LEFT(Y398,2),cityindex,2,0),1)</f>
        <v>1.8687238938456705</v>
      </c>
      <c r="L398" s="232">
        <f>S398*markup*difficulty*IF(Y398&lt;&gt;"",VLOOKUP(LEFT(Y398,2),cityindex,3,0),1)</f>
        <v>3.3172697162531426</v>
      </c>
      <c r="M398" s="232">
        <f>W398*markup*difficulty*IF(Y398&lt;&gt;"",VLOOKUP(LEFT(Y398,2),cityindex,3,0),1)</f>
        <v>0</v>
      </c>
      <c r="N398" s="232">
        <f>2.56+3.6</f>
        <v>6.16</v>
      </c>
      <c r="O398" s="232">
        <f>SUM(K398:N398)*embed</f>
        <v>11.345993610098812</v>
      </c>
      <c r="P398" s="233">
        <f>ROUND((O398*I398),0)</f>
        <v>14489</v>
      </c>
      <c r="Q398" s="291">
        <f>IF(O398=0,0,IF(X398=0,"manual",(O398/(R398*tax*markup*IF(Y398&lt;&gt;"",VLOOKUP(LEFT(Y398,2),cityindex,2,0),1)+S398*markup*difficulty*IF(Y398&lt;&gt;"",VLOOKUP(LEFT(Y398,2),cityindex,3,0),1)+W398*markup*difficulty*IF(Y398&lt;&gt;"",VLOOKUP(LEFT(Y398,2),cityindex,3,0),1)))-1))</f>
        <v>1.1878148071768697</v>
      </c>
      <c r="R398" s="143">
        <v>1.3865894201067885</v>
      </c>
      <c r="S398" s="143">
        <f>U398*V398</f>
        <v>2.6644736676732066</v>
      </c>
      <c r="T398" s="143" t="s">
        <v>968</v>
      </c>
      <c r="U398" s="143">
        <v>50.790085122442285</v>
      </c>
      <c r="V398" s="143">
        <v>5.2460508015488107E-2</v>
      </c>
      <c r="W398" s="143">
        <v>0</v>
      </c>
      <c r="X398" s="143">
        <f>SUM(R398,S398,W398)</f>
        <v>4.0510630877799949</v>
      </c>
      <c r="Y398" s="143" t="s">
        <v>1412</v>
      </c>
      <c r="AC398" s="613">
        <f>I398-[1]BUILDING!I345</f>
        <v>0</v>
      </c>
      <c r="AD398" s="604" t="s">
        <v>1313</v>
      </c>
    </row>
    <row r="399" spans="4:33" x14ac:dyDescent="0.2">
      <c r="D399" s="228"/>
      <c r="E399" s="228"/>
      <c r="F399" s="228" t="s">
        <v>1415</v>
      </c>
      <c r="G399" s="228"/>
      <c r="H399" s="228"/>
      <c r="I399" s="230">
        <v>767</v>
      </c>
      <c r="J399" s="231" t="s">
        <v>301</v>
      </c>
      <c r="K399" s="232">
        <f>R399*tax*markup*IF(Y399&lt;&gt;"",VLOOKUP(LEFT(Y399,2),cityindex,2,0),1)</f>
        <v>0.62531816631610104</v>
      </c>
      <c r="L399" s="232">
        <f>S399*markup*difficulty*IF(Y399&lt;&gt;"",VLOOKUP(LEFT(Y399,2),cityindex,3,0),1)</f>
        <v>1.941545819994771</v>
      </c>
      <c r="M399" s="232">
        <f>W399*markup*difficulty*IF(Y399&lt;&gt;"",VLOOKUP(LEFT(Y399,2),cityindex,3,0),1)</f>
        <v>0</v>
      </c>
      <c r="N399" s="232"/>
      <c r="O399" s="232">
        <f>SUM(K399:N399)*embed</f>
        <v>2.5668639863108722</v>
      </c>
      <c r="P399" s="233">
        <f>ROUND((O399*I399),0)</f>
        <v>1969</v>
      </c>
      <c r="Q399" s="291">
        <f>IF(O399=0,0,IF(X399=0,"manual",(O399/(R399*tax*markup*IF(Y399&lt;&gt;"",VLOOKUP(LEFT(Y399,2),cityindex,2,0),1)+S399*markup*difficulty*IF(Y399&lt;&gt;"",VLOOKUP(LEFT(Y399,2),cityindex,3,0),1)+W399*markup*difficulty*IF(Y399&lt;&gt;"",VLOOKUP(LEFT(Y399,2),cityindex,3,0),1)))-1))</f>
        <v>0</v>
      </c>
      <c r="R399" s="143">
        <v>0.46398483824710468</v>
      </c>
      <c r="S399" s="143">
        <f>U399*V399</f>
        <v>1.5594745542126673</v>
      </c>
      <c r="T399" s="143" t="s">
        <v>968</v>
      </c>
      <c r="U399" s="143">
        <v>50.790085122442285</v>
      </c>
      <c r="V399" s="143">
        <v>3.0704310702633426E-2</v>
      </c>
      <c r="W399" s="143">
        <v>0</v>
      </c>
      <c r="X399" s="143">
        <f>SUM(R399,S399,W399)</f>
        <v>2.0234593924597721</v>
      </c>
      <c r="Y399" s="143" t="s">
        <v>1414</v>
      </c>
      <c r="AC399" s="613">
        <f>I399-[1]BUILDING!I346</f>
        <v>0</v>
      </c>
      <c r="AD399" s="604" t="s">
        <v>1313</v>
      </c>
      <c r="AE399" s="236" t="s">
        <v>1782</v>
      </c>
      <c r="AG399" s="143" t="s">
        <v>1307</v>
      </c>
    </row>
    <row r="400" spans="4:33" x14ac:dyDescent="0.2">
      <c r="D400" s="228"/>
      <c r="E400" s="228"/>
      <c r="G400" s="228" t="s">
        <v>702</v>
      </c>
      <c r="H400" s="228"/>
      <c r="I400" s="230">
        <f>I399+I398</f>
        <v>2044</v>
      </c>
      <c r="J400" s="231" t="s">
        <v>301</v>
      </c>
      <c r="K400" s="232">
        <f t="shared" si="220"/>
        <v>0.23260709264703372</v>
      </c>
      <c r="L400" s="232">
        <f t="shared" si="221"/>
        <v>0.54191404938492305</v>
      </c>
      <c r="M400" s="232">
        <f t="shared" si="222"/>
        <v>0</v>
      </c>
      <c r="N400" s="232">
        <v>3.35</v>
      </c>
      <c r="O400" s="232">
        <f t="shared" si="223"/>
        <v>4.1245211420319565</v>
      </c>
      <c r="P400" s="233">
        <f t="shared" si="224"/>
        <v>8431</v>
      </c>
      <c r="Q400" s="291">
        <f t="shared" si="219"/>
        <v>4.325253137972803</v>
      </c>
      <c r="R400" s="143">
        <v>0.17259400105514619</v>
      </c>
      <c r="S400" s="143">
        <f t="shared" si="225"/>
        <v>0.43527232882323136</v>
      </c>
      <c r="T400" s="143" t="s">
        <v>1069</v>
      </c>
      <c r="U400" s="143">
        <v>35.070891047405659</v>
      </c>
      <c r="V400" s="143">
        <v>1.2411213853530827E-2</v>
      </c>
      <c r="W400" s="143">
        <v>0</v>
      </c>
      <c r="X400" s="143">
        <f t="shared" si="226"/>
        <v>0.60786632987837752</v>
      </c>
      <c r="Y400" s="143" t="s">
        <v>712</v>
      </c>
      <c r="AC400" s="613">
        <f>I400-[1]BUILDING!I347</f>
        <v>0</v>
      </c>
      <c r="AD400" s="604" t="s">
        <v>1313</v>
      </c>
    </row>
    <row r="401" spans="1:30" x14ac:dyDescent="0.2">
      <c r="D401" s="228"/>
      <c r="E401" s="228"/>
      <c r="F401" s="228"/>
      <c r="G401" s="228"/>
      <c r="H401" s="228"/>
      <c r="I401" s="230"/>
      <c r="J401" s="231"/>
      <c r="K401" s="232">
        <f>R401*tax*markup*IF(Y401&lt;&gt;"",VLOOKUP(LEFT(Y401,2),cityindex,2,0),1)</f>
        <v>0</v>
      </c>
      <c r="L401" s="232">
        <f>S401*markup*difficulty*IF(Y401&lt;&gt;"",VLOOKUP(LEFT(Y401,2),cityindex,3,0),1)</f>
        <v>0</v>
      </c>
      <c r="M401" s="232">
        <f>W401*markup*difficulty*IF(Y401&lt;&gt;"",VLOOKUP(LEFT(Y401,2),cityindex,3,0),1)</f>
        <v>0</v>
      </c>
      <c r="N401" s="232"/>
      <c r="O401" s="232">
        <f>SUM(K401:N401)*embed</f>
        <v>0</v>
      </c>
      <c r="P401" s="233">
        <f>ROUND((O401*I401),0)</f>
        <v>0</v>
      </c>
      <c r="Q401" s="291">
        <f>IF(O401=0,0,IF(X401=0,"manual",(O401/(R401*tax*markup*IF(Y401&lt;&gt;"",VLOOKUP(LEFT(Y401,2),cityindex,2,0),1)+S401*markup*difficulty*IF(Y401&lt;&gt;"",VLOOKUP(LEFT(Y401,2),cityindex,3,0),1)+W401*markup*difficulty*IF(Y401&lt;&gt;"",VLOOKUP(LEFT(Y401,2),cityindex,3,0),1)))-1))</f>
        <v>0</v>
      </c>
      <c r="S401" s="143">
        <f>U401*V401</f>
        <v>0</v>
      </c>
      <c r="X401" s="143">
        <f>SUM(R401,S401,W401)</f>
        <v>0</v>
      </c>
      <c r="AC401" s="613">
        <f>I401-[1]BUILDING!I348</f>
        <v>0</v>
      </c>
      <c r="AD401" s="604"/>
    </row>
    <row r="402" spans="1:30" ht="24.75" customHeight="1" x14ac:dyDescent="0.2">
      <c r="D402" s="217" t="str">
        <f>"TOTAL - " &amp; D293</f>
        <v>TOTAL - 09  FINISHES</v>
      </c>
      <c r="E402" s="217"/>
      <c r="F402" s="217"/>
      <c r="G402" s="217"/>
      <c r="H402" s="217"/>
      <c r="I402" s="218"/>
      <c r="J402" s="219"/>
      <c r="K402" s="220"/>
      <c r="L402" s="220"/>
      <c r="M402" s="220"/>
      <c r="N402" s="220"/>
      <c r="O402" s="221"/>
      <c r="P402" s="222">
        <f>SUM(P293:P401)</f>
        <v>1272458</v>
      </c>
      <c r="Q402" s="294" t="str">
        <f>_xlfn.CONCAT(TEXT(SUM(P402/GFA),"$#,##0.00"),"/SF")</f>
        <v>$40.43/SF</v>
      </c>
      <c r="S402" s="143">
        <f t="shared" si="156"/>
        <v>0</v>
      </c>
      <c r="X402" s="143">
        <f t="shared" si="157"/>
        <v>0</v>
      </c>
      <c r="Z402" s="314"/>
      <c r="AA402" s="315"/>
      <c r="AC402" s="613">
        <f>I402-[1]BUILDING!I349</f>
        <v>0</v>
      </c>
      <c r="AD402" s="604"/>
    </row>
    <row r="403" spans="1:30" x14ac:dyDescent="0.2">
      <c r="K403" s="149">
        <f>R403*tax*markup*IF(Y403&lt;&gt;"",VLOOKUP(LEFT(Y403,2),cityindex,2,0),1)</f>
        <v>0</v>
      </c>
      <c r="L403" s="149">
        <f>S403*markup*difficulty*IF(Y403&lt;&gt;"",VLOOKUP(LEFT(Y403,2),cityindex,3,0),1)</f>
        <v>0</v>
      </c>
      <c r="M403" s="149">
        <f>W403*markup*difficulty*IF(Y403&lt;&gt;"",VLOOKUP(LEFT(Y403,2),cityindex,3,0),1)</f>
        <v>0</v>
      </c>
      <c r="N403" s="149"/>
      <c r="O403" s="149">
        <f t="shared" ref="O403:O426" si="326">SUM(K403:N403)*embed</f>
        <v>0</v>
      </c>
      <c r="P403" s="216">
        <f t="shared" ref="P403:P426" si="327">ROUND((O403*I403),0)</f>
        <v>0</v>
      </c>
      <c r="Q403" s="291">
        <f>IF(O403=0,0,IF(X403=0,"manual",O403/((R403*tax*markup*IF(Y403&lt;&gt;"",VLOOKUP(LEFT(Y403,2),cityindex,2,0),1))+S403*markup*difficulty*IF(Y403&lt;&gt;"",VLOOKUP(LEFT(Y403,2),cityindex,3,0),1)+W403*markup*difficulty*IF(Y403&lt;&gt;"",VLOOKUP(LEFT(Y403,2),cityindex,3,0),1))))</f>
        <v>0</v>
      </c>
      <c r="S403" s="143">
        <f t="shared" si="156"/>
        <v>0</v>
      </c>
      <c r="X403" s="143">
        <f t="shared" si="157"/>
        <v>0</v>
      </c>
      <c r="AC403" s="613">
        <f>I403-[1]BUILDING!I350</f>
        <v>0</v>
      </c>
      <c r="AD403" s="604"/>
    </row>
    <row r="404" spans="1:30" x14ac:dyDescent="0.2">
      <c r="D404" s="214" t="s">
        <v>276</v>
      </c>
      <c r="E404" s="215"/>
      <c r="F404" s="215"/>
      <c r="G404" s="215"/>
      <c r="H404" s="215"/>
      <c r="K404" s="149">
        <f>R404*tax*markup*IF(Y404&lt;&gt;"",VLOOKUP(LEFT(Y404,2),cityindex,2,0),1)</f>
        <v>0</v>
      </c>
      <c r="L404" s="149">
        <f>S404*markup*difficulty*IF(Y404&lt;&gt;"",VLOOKUP(LEFT(Y404,2),cityindex,3,0),1)</f>
        <v>0</v>
      </c>
      <c r="M404" s="149">
        <f>W404*markup*difficulty*IF(Y404&lt;&gt;"",VLOOKUP(LEFT(Y404,2),cityindex,3,0),1)</f>
        <v>0</v>
      </c>
      <c r="N404" s="149"/>
      <c r="O404" s="149">
        <f t="shared" si="326"/>
        <v>0</v>
      </c>
      <c r="P404" s="216">
        <f t="shared" si="327"/>
        <v>0</v>
      </c>
      <c r="Q404" s="291">
        <f>IF(O404=0,0,IF(X404=0,"manual",O404/((R404*tax*markup*IF(Y404&lt;&gt;"",VLOOKUP(LEFT(Y404,2),cityindex,2,0),1))+S404*markup*difficulty*IF(Y404&lt;&gt;"",VLOOKUP(LEFT(Y404,2),cityindex,3,0),1)+W404*markup*difficulty*IF(Y404&lt;&gt;"",VLOOKUP(LEFT(Y404,2),cityindex,3,0),1))))</f>
        <v>0</v>
      </c>
      <c r="S404" s="143">
        <f t="shared" si="156"/>
        <v>0</v>
      </c>
      <c r="X404" s="143">
        <f t="shared" si="157"/>
        <v>0</v>
      </c>
      <c r="AC404" s="613">
        <f>I404-[1]BUILDING!I351</f>
        <v>0</v>
      </c>
      <c r="AD404" s="604"/>
    </row>
    <row r="405" spans="1:30" x14ac:dyDescent="0.2">
      <c r="D405" s="228"/>
      <c r="E405" s="228" t="s">
        <v>758</v>
      </c>
      <c r="F405" s="228"/>
      <c r="G405" s="228"/>
      <c r="H405" s="228"/>
      <c r="I405" s="230"/>
      <c r="J405" s="231"/>
      <c r="K405" s="232">
        <f>R405*tax*markup*IF(Y405&lt;&gt;"",VLOOKUP(LEFT(Y405,2),cityindex,2,0),1)</f>
        <v>0</v>
      </c>
      <c r="L405" s="232">
        <f>S405*markup*difficulty*IF(Y405&lt;&gt;"",VLOOKUP(LEFT(Y405,2),cityindex,3,0),1)</f>
        <v>0</v>
      </c>
      <c r="M405" s="232">
        <f>W405*markup*difficulty*IF(Y405&lt;&gt;"",VLOOKUP(LEFT(Y405,2),cityindex,3,0),1)</f>
        <v>0</v>
      </c>
      <c r="N405" s="232"/>
      <c r="O405" s="232">
        <f>SUM(K405:N405)*embed</f>
        <v>0</v>
      </c>
      <c r="P405" s="233">
        <f>ROUND((O405*I405),0)</f>
        <v>0</v>
      </c>
      <c r="Q405" s="291">
        <f>IF(O405=0,0,IF(X405=0,"manual",(O405/(R405*tax*markup*IF(Y405&lt;&gt;"",VLOOKUP(LEFT(Y405,2),cityindex,2,0),1)+S405*markup*difficulty*IF(Y405&lt;&gt;"",VLOOKUP(LEFT(Y405,2),cityindex,3,0),1)+W405*markup*difficulty*IF(Y405&lt;&gt;"",VLOOKUP(LEFT(Y405,2),cityindex,3,0),1)))-1))</f>
        <v>0</v>
      </c>
      <c r="S405" s="143">
        <f>U405*V405</f>
        <v>0</v>
      </c>
      <c r="X405" s="143">
        <f>SUM(R405,S405,W405)</f>
        <v>0</v>
      </c>
      <c r="AC405" s="613"/>
      <c r="AD405" s="604"/>
    </row>
    <row r="406" spans="1:30" ht="12.75" customHeight="1" x14ac:dyDescent="0.2">
      <c r="A406" s="143" t="s">
        <v>296</v>
      </c>
      <c r="B406" s="287"/>
      <c r="F406" s="143" t="s">
        <v>759</v>
      </c>
      <c r="I406" s="146">
        <v>2</v>
      </c>
      <c r="J406" s="147" t="s">
        <v>390</v>
      </c>
      <c r="K406" s="149">
        <f t="shared" ref="K406:K416" si="328">R406*tax*markup*IF(Y406&lt;&gt;"",VLOOKUP(LEFT(Y406,2),cityindex,2,0),1)</f>
        <v>1149.2038643465874</v>
      </c>
      <c r="L406" s="149">
        <f t="shared" ref="L406:L416" si="329">S406*markup*difficulty*IF(Y406&lt;&gt;"",VLOOKUP(LEFT(Y406,2),cityindex,3,0),1)</f>
        <v>167.34699866882241</v>
      </c>
      <c r="M406" s="149">
        <f t="shared" ref="M406:M416" si="330">W406*markup*difficulty*IF(Y406&lt;&gt;"",VLOOKUP(LEFT(Y406,2),cityindex,3,0),1)</f>
        <v>0</v>
      </c>
      <c r="N406" s="149"/>
      <c r="O406" s="149">
        <f t="shared" si="326"/>
        <v>1316.5508630154097</v>
      </c>
      <c r="P406" s="216">
        <f t="shared" si="327"/>
        <v>2633</v>
      </c>
      <c r="Q406" s="150">
        <f t="shared" ref="Q406:Q416" si="331">IF(O406=0,0,IF(X406=0,"manual",(O406/(R406*tax*markup*IF(Y406&lt;&gt;"",VLOOKUP(LEFT(Y406,2),cityindex,2,0),1)+S406*markup*difficulty*IF(Y406&lt;&gt;"",VLOOKUP(LEFT(Y406,2),cityindex,3,0),1)+W406*markup*difficulty*IF(Y406&lt;&gt;"",VLOOKUP(LEFT(Y406,2),cityindex,3,0),1)))-1))</f>
        <v>0</v>
      </c>
      <c r="R406" s="143">
        <v>852.70698635397912</v>
      </c>
      <c r="S406" s="143">
        <f t="shared" si="156"/>
        <v>134.41525997495773</v>
      </c>
      <c r="T406" s="143" t="s">
        <v>968</v>
      </c>
      <c r="U406" s="143">
        <v>50.790085122442285</v>
      </c>
      <c r="V406" s="143">
        <v>2.6464862118446133</v>
      </c>
      <c r="W406" s="143">
        <v>0</v>
      </c>
      <c r="X406" s="143">
        <f t="shared" si="157"/>
        <v>987.12224632893685</v>
      </c>
      <c r="Y406" s="143" t="s">
        <v>760</v>
      </c>
      <c r="Z406" s="143"/>
      <c r="AA406" s="143"/>
      <c r="AB406" s="143"/>
      <c r="AC406" s="613">
        <f>I406-[1]BUILDING!I353</f>
        <v>0</v>
      </c>
      <c r="AD406" s="604" t="s">
        <v>1313</v>
      </c>
    </row>
    <row r="407" spans="1:30" ht="12.75" customHeight="1" x14ac:dyDescent="0.2">
      <c r="A407" s="143" t="s">
        <v>296</v>
      </c>
      <c r="B407" s="287"/>
      <c r="F407" s="143" t="s">
        <v>761</v>
      </c>
      <c r="I407" s="146">
        <v>4</v>
      </c>
      <c r="J407" s="147" t="s">
        <v>390</v>
      </c>
      <c r="K407" s="149">
        <f t="shared" si="328"/>
        <v>1604.4079183460865</v>
      </c>
      <c r="L407" s="149">
        <f t="shared" si="329"/>
        <v>167.34699866882241</v>
      </c>
      <c r="M407" s="149">
        <f t="shared" si="330"/>
        <v>0</v>
      </c>
      <c r="N407" s="149"/>
      <c r="O407" s="149">
        <f t="shared" si="326"/>
        <v>1771.7549170149089</v>
      </c>
      <c r="P407" s="216">
        <f t="shared" si="327"/>
        <v>7087</v>
      </c>
      <c r="Q407" s="150">
        <f t="shared" si="331"/>
        <v>0</v>
      </c>
      <c r="R407" s="143">
        <v>1190.4674909122577</v>
      </c>
      <c r="S407" s="143">
        <f t="shared" si="156"/>
        <v>134.41525997495773</v>
      </c>
      <c r="T407" s="143" t="s">
        <v>968</v>
      </c>
      <c r="U407" s="143">
        <v>50.790085122442285</v>
      </c>
      <c r="V407" s="143">
        <v>2.6464862118446133</v>
      </c>
      <c r="W407" s="143">
        <v>0</v>
      </c>
      <c r="X407" s="143">
        <f t="shared" si="157"/>
        <v>1324.8827508872155</v>
      </c>
      <c r="Y407" s="143" t="s">
        <v>762</v>
      </c>
      <c r="Z407" s="143"/>
      <c r="AA407" s="143"/>
      <c r="AB407" s="143"/>
      <c r="AC407" s="613">
        <f>I407-[1]BUILDING!I354</f>
        <v>0</v>
      </c>
      <c r="AD407" s="604" t="s">
        <v>1313</v>
      </c>
    </row>
    <row r="408" spans="1:30" ht="12.75" customHeight="1" x14ac:dyDescent="0.2">
      <c r="A408" s="143" t="s">
        <v>296</v>
      </c>
      <c r="B408" s="287"/>
      <c r="F408" s="143" t="s">
        <v>765</v>
      </c>
      <c r="I408" s="146">
        <v>4</v>
      </c>
      <c r="J408" s="147" t="s">
        <v>390</v>
      </c>
      <c r="K408" s="149">
        <f t="shared" si="328"/>
        <v>139.07746319936189</v>
      </c>
      <c r="L408" s="149">
        <f t="shared" si="329"/>
        <v>77.376293754873274</v>
      </c>
      <c r="M408" s="149">
        <f t="shared" si="330"/>
        <v>0</v>
      </c>
      <c r="N408" s="149"/>
      <c r="O408" s="149">
        <f t="shared" si="326"/>
        <v>216.45375695423516</v>
      </c>
      <c r="P408" s="216">
        <f t="shared" si="327"/>
        <v>866</v>
      </c>
      <c r="Q408" s="150">
        <f t="shared" si="331"/>
        <v>0</v>
      </c>
      <c r="R408" s="143">
        <v>103.1952016467621</v>
      </c>
      <c r="S408" s="143">
        <f t="shared" si="156"/>
        <v>62.149633538050821</v>
      </c>
      <c r="T408" s="143" t="s">
        <v>968</v>
      </c>
      <c r="U408" s="143">
        <v>50.790085122442285</v>
      </c>
      <c r="V408" s="143">
        <v>1.2236568099506722</v>
      </c>
      <c r="W408" s="143">
        <v>0</v>
      </c>
      <c r="X408" s="143">
        <f t="shared" si="157"/>
        <v>165.34483518481292</v>
      </c>
      <c r="Y408" s="143" t="s">
        <v>766</v>
      </c>
      <c r="Z408" s="143"/>
      <c r="AA408" s="143"/>
      <c r="AB408" s="143"/>
      <c r="AC408" s="613">
        <f>I408-[1]BUILDING!I355</f>
        <v>0</v>
      </c>
      <c r="AD408" s="604" t="s">
        <v>1313</v>
      </c>
    </row>
    <row r="409" spans="1:30" ht="12.75" customHeight="1" x14ac:dyDescent="0.2">
      <c r="A409" s="143" t="s">
        <v>296</v>
      </c>
      <c r="B409" s="287"/>
      <c r="F409" s="143" t="s">
        <v>767</v>
      </c>
      <c r="I409" s="146">
        <v>8</v>
      </c>
      <c r="J409" s="147" t="s">
        <v>390</v>
      </c>
      <c r="K409" s="149">
        <f t="shared" si="328"/>
        <v>267.58250133533386</v>
      </c>
      <c r="L409" s="149">
        <f t="shared" si="329"/>
        <v>30.990184938670815</v>
      </c>
      <c r="M409" s="149">
        <f t="shared" si="330"/>
        <v>0</v>
      </c>
      <c r="N409" s="149"/>
      <c r="O409" s="149">
        <f t="shared" si="326"/>
        <v>298.5726862740047</v>
      </c>
      <c r="P409" s="216">
        <f t="shared" si="327"/>
        <v>2389</v>
      </c>
      <c r="Q409" s="150">
        <f t="shared" si="331"/>
        <v>0</v>
      </c>
      <c r="R409" s="143">
        <v>198.54568488111067</v>
      </c>
      <c r="S409" s="143">
        <f t="shared" si="156"/>
        <v>24.891714810177358</v>
      </c>
      <c r="T409" s="143" t="s">
        <v>968</v>
      </c>
      <c r="U409" s="143">
        <v>50.790085122442285</v>
      </c>
      <c r="V409" s="143">
        <v>0.49009003923048394</v>
      </c>
      <c r="W409" s="143">
        <v>0</v>
      </c>
      <c r="X409" s="143">
        <f t="shared" si="157"/>
        <v>223.43739969128802</v>
      </c>
      <c r="Y409" s="143" t="s">
        <v>768</v>
      </c>
      <c r="Z409" s="143"/>
      <c r="AA409" s="143"/>
      <c r="AB409" s="143"/>
      <c r="AC409" s="613">
        <f>I409-[1]BUILDING!I356</f>
        <v>0</v>
      </c>
      <c r="AD409" s="604" t="s">
        <v>1313</v>
      </c>
    </row>
    <row r="410" spans="1:30" ht="12.75" customHeight="1" x14ac:dyDescent="0.2">
      <c r="B410" s="287"/>
      <c r="D410" s="228"/>
      <c r="E410" s="228"/>
      <c r="F410" s="228" t="s">
        <v>1164</v>
      </c>
      <c r="H410" s="228"/>
      <c r="I410" s="230">
        <v>2</v>
      </c>
      <c r="J410" s="231" t="s">
        <v>390</v>
      </c>
      <c r="K410" s="232">
        <f t="shared" si="328"/>
        <v>343.76008872130581</v>
      </c>
      <c r="L410" s="232">
        <f t="shared" si="329"/>
        <v>49.584295901873304</v>
      </c>
      <c r="M410" s="232">
        <f t="shared" si="330"/>
        <v>0</v>
      </c>
      <c r="N410" s="232"/>
      <c r="O410" s="232">
        <f t="shared" si="326"/>
        <v>393.34438462317911</v>
      </c>
      <c r="P410" s="233">
        <f t="shared" si="327"/>
        <v>787</v>
      </c>
      <c r="Q410" s="150">
        <f t="shared" si="331"/>
        <v>0</v>
      </c>
      <c r="R410" s="143">
        <v>255.06930352082196</v>
      </c>
      <c r="S410" s="143">
        <f t="shared" si="156"/>
        <v>39.826743696283778</v>
      </c>
      <c r="T410" s="143" t="s">
        <v>968</v>
      </c>
      <c r="U410" s="143">
        <v>50.790085122442285</v>
      </c>
      <c r="V410" s="143">
        <v>0.78414406276877435</v>
      </c>
      <c r="W410" s="143">
        <v>0</v>
      </c>
      <c r="X410" s="143">
        <f t="shared" si="157"/>
        <v>294.89604721710572</v>
      </c>
      <c r="Y410" s="143" t="s">
        <v>1165</v>
      </c>
      <c r="Z410" s="143"/>
      <c r="AA410" s="143"/>
      <c r="AB410" s="143"/>
      <c r="AC410" s="613">
        <f>I410-[1]BUILDING!I357</f>
        <v>0</v>
      </c>
      <c r="AD410" s="604" t="s">
        <v>1313</v>
      </c>
    </row>
    <row r="411" spans="1:30" ht="12.75" customHeight="1" x14ac:dyDescent="0.2">
      <c r="A411" s="143" t="s">
        <v>296</v>
      </c>
      <c r="B411" s="287"/>
      <c r="F411" s="143" t="s">
        <v>771</v>
      </c>
      <c r="I411" s="146">
        <v>8</v>
      </c>
      <c r="J411" s="147" t="s">
        <v>390</v>
      </c>
      <c r="K411" s="149">
        <f t="shared" si="328"/>
        <v>72.965265544500525</v>
      </c>
      <c r="L411" s="149">
        <f t="shared" si="329"/>
        <v>24.792147950936652</v>
      </c>
      <c r="M411" s="149">
        <f t="shared" si="330"/>
        <v>0</v>
      </c>
      <c r="N411" s="149"/>
      <c r="O411" s="149">
        <f t="shared" si="326"/>
        <v>97.757413495437177</v>
      </c>
      <c r="P411" s="216">
        <f t="shared" si="327"/>
        <v>782</v>
      </c>
      <c r="Q411" s="150">
        <f t="shared" si="331"/>
        <v>0</v>
      </c>
      <c r="R411" s="143">
        <v>54.140082209299479</v>
      </c>
      <c r="S411" s="143">
        <f t="shared" si="156"/>
        <v>19.913371848141889</v>
      </c>
      <c r="T411" s="143" t="s">
        <v>968</v>
      </c>
      <c r="U411" s="143">
        <v>50.790085122442285</v>
      </c>
      <c r="V411" s="143">
        <v>0.39207203138438718</v>
      </c>
      <c r="W411" s="143">
        <v>0</v>
      </c>
      <c r="X411" s="143">
        <f t="shared" si="157"/>
        <v>74.053454057441371</v>
      </c>
      <c r="Y411" s="143" t="s">
        <v>772</v>
      </c>
      <c r="Z411" s="143"/>
      <c r="AA411" s="143"/>
      <c r="AB411" s="143"/>
      <c r="AC411" s="613">
        <f>I411-[1]BUILDING!I358</f>
        <v>0</v>
      </c>
      <c r="AD411" s="604" t="s">
        <v>1313</v>
      </c>
    </row>
    <row r="412" spans="1:30" ht="12.75" customHeight="1" x14ac:dyDescent="0.2">
      <c r="A412" s="143" t="s">
        <v>296</v>
      </c>
      <c r="B412" s="287"/>
      <c r="F412" s="143" t="s">
        <v>777</v>
      </c>
      <c r="I412" s="146">
        <v>8</v>
      </c>
      <c r="J412" s="147" t="s">
        <v>390</v>
      </c>
      <c r="K412" s="149">
        <f t="shared" si="328"/>
        <v>126.41898296862955</v>
      </c>
      <c r="L412" s="149">
        <f t="shared" si="329"/>
        <v>38.675750803461177</v>
      </c>
      <c r="M412" s="149">
        <f t="shared" si="330"/>
        <v>0</v>
      </c>
      <c r="N412" s="149"/>
      <c r="O412" s="149">
        <f t="shared" si="326"/>
        <v>165.09473377209073</v>
      </c>
      <c r="P412" s="216">
        <f t="shared" si="327"/>
        <v>1321</v>
      </c>
      <c r="Q412" s="150">
        <f t="shared" si="331"/>
        <v>0</v>
      </c>
      <c r="R412" s="143">
        <v>93.802634440675988</v>
      </c>
      <c r="S412" s="143">
        <f t="shared" si="156"/>
        <v>31.064860083101347</v>
      </c>
      <c r="T412" s="143" t="s">
        <v>968</v>
      </c>
      <c r="U412" s="143">
        <v>50.790085122442285</v>
      </c>
      <c r="V412" s="143">
        <v>0.61163236895964401</v>
      </c>
      <c r="W412" s="143">
        <v>0</v>
      </c>
      <c r="X412" s="143">
        <f t="shared" si="157"/>
        <v>124.86749452377734</v>
      </c>
      <c r="Y412" s="143" t="s">
        <v>778</v>
      </c>
      <c r="Z412" s="143"/>
      <c r="AA412" s="143"/>
      <c r="AB412" s="143"/>
      <c r="AC412" s="613">
        <f>I412-[1]BUILDING!I359</f>
        <v>0</v>
      </c>
      <c r="AD412" s="604" t="s">
        <v>1313</v>
      </c>
    </row>
    <row r="413" spans="1:30" ht="12.75" customHeight="1" x14ac:dyDescent="0.2">
      <c r="A413" s="143" t="s">
        <v>296</v>
      </c>
      <c r="B413" s="287"/>
      <c r="F413" s="143" t="s">
        <v>779</v>
      </c>
      <c r="I413" s="146">
        <v>8</v>
      </c>
      <c r="J413" s="147" t="s">
        <v>390</v>
      </c>
      <c r="K413" s="149">
        <f t="shared" si="328"/>
        <v>95.266431978450456</v>
      </c>
      <c r="L413" s="149">
        <f t="shared" si="329"/>
        <v>33.035537144623085</v>
      </c>
      <c r="M413" s="149">
        <f t="shared" si="330"/>
        <v>0</v>
      </c>
      <c r="N413" s="149"/>
      <c r="O413" s="149">
        <f t="shared" si="326"/>
        <v>128.30196912307355</v>
      </c>
      <c r="P413" s="216">
        <f t="shared" si="327"/>
        <v>1026</v>
      </c>
      <c r="Q413" s="150">
        <f t="shared" si="331"/>
        <v>0</v>
      </c>
      <c r="R413" s="143">
        <v>70.687503438938535</v>
      </c>
      <c r="S413" s="143">
        <f t="shared" si="156"/>
        <v>26.534567987649062</v>
      </c>
      <c r="T413" s="143" t="s">
        <v>968</v>
      </c>
      <c r="U413" s="143">
        <v>50.790085122442285</v>
      </c>
      <c r="V413" s="143">
        <v>0.52243598181969586</v>
      </c>
      <c r="W413" s="143">
        <v>0</v>
      </c>
      <c r="X413" s="143">
        <f t="shared" si="157"/>
        <v>97.222071426587604</v>
      </c>
      <c r="Y413" s="143" t="s">
        <v>780</v>
      </c>
      <c r="Z413" s="143"/>
      <c r="AA413" s="143"/>
      <c r="AB413" s="143"/>
      <c r="AC413" s="613">
        <f>I413-[1]BUILDING!I360</f>
        <v>0</v>
      </c>
      <c r="AD413" s="604" t="s">
        <v>1313</v>
      </c>
    </row>
    <row r="414" spans="1:30" ht="12.75" customHeight="1" x14ac:dyDescent="0.2">
      <c r="B414" s="287"/>
      <c r="D414" s="228"/>
      <c r="E414" s="228"/>
      <c r="F414" s="228" t="s">
        <v>1166</v>
      </c>
      <c r="H414" s="228"/>
      <c r="I414" s="230">
        <v>6</v>
      </c>
      <c r="J414" s="231" t="s">
        <v>390</v>
      </c>
      <c r="K414" s="232">
        <f t="shared" si="328"/>
        <v>426.058481040728</v>
      </c>
      <c r="L414" s="232">
        <f t="shared" si="329"/>
        <v>70.037817961396044</v>
      </c>
      <c r="M414" s="232">
        <f t="shared" si="330"/>
        <v>0</v>
      </c>
      <c r="N414" s="232"/>
      <c r="O414" s="232">
        <f t="shared" si="326"/>
        <v>496.09629900212406</v>
      </c>
      <c r="P414" s="233">
        <f t="shared" si="327"/>
        <v>2977</v>
      </c>
      <c r="Q414" s="150">
        <f t="shared" si="331"/>
        <v>0</v>
      </c>
      <c r="R414" s="143">
        <v>316.13454727230618</v>
      </c>
      <c r="S414" s="143">
        <f t="shared" si="156"/>
        <v>56.255275471000829</v>
      </c>
      <c r="T414" s="143" t="s">
        <v>968</v>
      </c>
      <c r="U414" s="143">
        <v>50.790085122442285</v>
      </c>
      <c r="V414" s="143">
        <v>1.1076034886608936</v>
      </c>
      <c r="W414" s="143">
        <v>0</v>
      </c>
      <c r="X414" s="143">
        <f t="shared" si="157"/>
        <v>372.38982274330704</v>
      </c>
      <c r="Y414" s="143" t="s">
        <v>1167</v>
      </c>
      <c r="Z414" s="143"/>
      <c r="AA414" s="143"/>
      <c r="AB414" s="143"/>
      <c r="AC414" s="613">
        <f>I414-[1]BUILDING!I361</f>
        <v>0</v>
      </c>
      <c r="AD414" s="604" t="s">
        <v>1313</v>
      </c>
    </row>
    <row r="415" spans="1:30" ht="12.75" customHeight="1" x14ac:dyDescent="0.2">
      <c r="A415" s="143" t="s">
        <v>296</v>
      </c>
      <c r="B415" s="287"/>
      <c r="F415" s="143" t="s">
        <v>1168</v>
      </c>
      <c r="I415" s="146">
        <v>8</v>
      </c>
      <c r="J415" s="147" t="s">
        <v>390</v>
      </c>
      <c r="K415" s="149">
        <f t="shared" si="328"/>
        <v>45.105800810588008</v>
      </c>
      <c r="L415" s="149">
        <f t="shared" si="329"/>
        <v>16.548758757250216</v>
      </c>
      <c r="M415" s="149">
        <f t="shared" si="330"/>
        <v>0</v>
      </c>
      <c r="N415" s="149"/>
      <c r="O415" s="149">
        <f t="shared" si="326"/>
        <v>61.65455956783822</v>
      </c>
      <c r="P415" s="216">
        <f t="shared" si="327"/>
        <v>493</v>
      </c>
      <c r="Q415" s="150">
        <f t="shared" si="331"/>
        <v>0</v>
      </c>
      <c r="R415" s="143">
        <v>33.46841467344705</v>
      </c>
      <c r="S415" s="143">
        <f t="shared" si="156"/>
        <v>13.29217570863471</v>
      </c>
      <c r="T415" s="143" t="s">
        <v>968</v>
      </c>
      <c r="U415" s="143">
        <v>50.790085122442285</v>
      </c>
      <c r="V415" s="143">
        <v>0.26170808094907844</v>
      </c>
      <c r="W415" s="143">
        <v>0</v>
      </c>
      <c r="X415" s="143">
        <f t="shared" si="157"/>
        <v>46.760590382081759</v>
      </c>
      <c r="Y415" s="143" t="s">
        <v>782</v>
      </c>
      <c r="Z415" s="143"/>
      <c r="AA415" s="143"/>
      <c r="AB415" s="143"/>
      <c r="AC415" s="613">
        <f>I415-[1]BUILDING!I362</f>
        <v>0</v>
      </c>
      <c r="AD415" s="604" t="s">
        <v>1313</v>
      </c>
    </row>
    <row r="416" spans="1:30" ht="12.75" customHeight="1" x14ac:dyDescent="0.2">
      <c r="A416" s="143" t="s">
        <v>296</v>
      </c>
      <c r="B416" s="287"/>
      <c r="F416" s="143" t="s">
        <v>790</v>
      </c>
      <c r="I416" s="146">
        <v>6</v>
      </c>
      <c r="J416" s="147" t="s">
        <v>390</v>
      </c>
      <c r="K416" s="149">
        <f t="shared" si="328"/>
        <v>182.89411868314207</v>
      </c>
      <c r="L416" s="149">
        <f t="shared" si="329"/>
        <v>5.5038568451079364</v>
      </c>
      <c r="M416" s="149">
        <f t="shared" si="330"/>
        <v>0</v>
      </c>
      <c r="N416" s="149"/>
      <c r="O416" s="149">
        <f t="shared" si="326"/>
        <v>188.39797552825002</v>
      </c>
      <c r="P416" s="216">
        <f t="shared" si="327"/>
        <v>1130</v>
      </c>
      <c r="Q416" s="150">
        <f t="shared" si="331"/>
        <v>0</v>
      </c>
      <c r="R416" s="143">
        <v>135.70707304647098</v>
      </c>
      <c r="S416" s="143">
        <f t="shared" si="156"/>
        <v>4.4207685502874989</v>
      </c>
      <c r="T416" s="143" t="s">
        <v>968</v>
      </c>
      <c r="U416" s="143">
        <v>50.790085122442285</v>
      </c>
      <c r="V416" s="143">
        <v>8.7039990967333947E-2</v>
      </c>
      <c r="W416" s="143">
        <v>0</v>
      </c>
      <c r="X416" s="143">
        <f t="shared" si="157"/>
        <v>140.12784159675849</v>
      </c>
      <c r="Y416" s="143" t="s">
        <v>793</v>
      </c>
      <c r="Z416" s="143"/>
      <c r="AA416" s="143"/>
      <c r="AB416" s="143"/>
      <c r="AC416" s="613">
        <f>I416-[1]BUILDING!I363</f>
        <v>0</v>
      </c>
      <c r="AD416" s="604" t="s">
        <v>1313</v>
      </c>
    </row>
    <row r="417" spans="1:30" ht="12.75" customHeight="1" x14ac:dyDescent="0.2">
      <c r="B417" s="287"/>
      <c r="D417" s="228"/>
      <c r="E417" s="228"/>
      <c r="F417" s="228"/>
      <c r="G417" s="228"/>
      <c r="H417" s="228"/>
      <c r="I417" s="230"/>
      <c r="J417" s="231"/>
      <c r="K417" s="232">
        <f>R417*tax*markup*IF(Y417&lt;&gt;"",VLOOKUP(LEFT(Y417,2),cityindex,2,0),1)</f>
        <v>0</v>
      </c>
      <c r="L417" s="232">
        <f>S417*markup*difficulty*IF(Y417&lt;&gt;"",VLOOKUP(LEFT(Y417,2),cityindex,3,0),1)</f>
        <v>0</v>
      </c>
      <c r="M417" s="232">
        <f>W417*markup*difficulty*IF(Y417&lt;&gt;"",VLOOKUP(LEFT(Y417,2),cityindex,3,0),1)</f>
        <v>0</v>
      </c>
      <c r="N417" s="232"/>
      <c r="O417" s="232">
        <f t="shared" ref="O417:O425" si="332">SUM(K417:N417)*embed</f>
        <v>0</v>
      </c>
      <c r="P417" s="233">
        <f t="shared" ref="P417:P425" si="333">ROUND((O417*I417),0)</f>
        <v>0</v>
      </c>
      <c r="Q417" s="150">
        <f t="shared" ref="Q417:Q425" si="334">IF(O417=0,0,IF(X417=0,"manual",(O417/(R417*tax*markup*IF(Y417&lt;&gt;"",VLOOKUP(LEFT(Y417,2),cityindex,2,0),1)+S417*markup*difficulty*IF(Y417&lt;&gt;"",VLOOKUP(LEFT(Y417,2),cityindex,3,0),1)+W417*markup*difficulty*IF(Y417&lt;&gt;"",VLOOKUP(LEFT(Y417,2),cityindex,3,0),1)))-1))</f>
        <v>0</v>
      </c>
      <c r="S417" s="143">
        <f t="shared" ref="S417:S421" si="335">U417*V417</f>
        <v>0</v>
      </c>
      <c r="X417" s="143">
        <f t="shared" ref="X417:X421" si="336">SUM(R417,S417,W417)</f>
        <v>0</v>
      </c>
      <c r="Z417" s="143"/>
      <c r="AA417" s="143"/>
      <c r="AB417" s="143"/>
      <c r="AC417" s="613">
        <f>I417-[1]BUILDING!I364</f>
        <v>0</v>
      </c>
      <c r="AD417" s="604"/>
    </row>
    <row r="418" spans="1:30" ht="12.75" customHeight="1" x14ac:dyDescent="0.2">
      <c r="B418" s="287"/>
      <c r="D418" s="228"/>
      <c r="E418" s="228" t="s">
        <v>1170</v>
      </c>
      <c r="F418" s="228"/>
      <c r="G418" s="228"/>
      <c r="H418" s="228"/>
      <c r="I418" s="230"/>
      <c r="J418" s="231"/>
      <c r="K418" s="232">
        <f>R418*tax*markup*IF(Y418&lt;&gt;"",VLOOKUP(LEFT(Y418,2),cityindex,2,0),1)</f>
        <v>0</v>
      </c>
      <c r="L418" s="232">
        <f>S418*markup*difficulty*IF(Y418&lt;&gt;"",VLOOKUP(LEFT(Y418,2),cityindex,3,0),1)</f>
        <v>0</v>
      </c>
      <c r="M418" s="232">
        <f>W418*markup*difficulty*IF(Y418&lt;&gt;"",VLOOKUP(LEFT(Y418,2),cityindex,3,0),1)</f>
        <v>0</v>
      </c>
      <c r="N418" s="232"/>
      <c r="O418" s="232">
        <f t="shared" si="332"/>
        <v>0</v>
      </c>
      <c r="P418" s="233">
        <f t="shared" si="333"/>
        <v>0</v>
      </c>
      <c r="Q418" s="150">
        <f t="shared" si="334"/>
        <v>0</v>
      </c>
      <c r="S418" s="143">
        <f t="shared" si="335"/>
        <v>0</v>
      </c>
      <c r="X418" s="143">
        <f t="shared" si="336"/>
        <v>0</v>
      </c>
      <c r="Z418" s="143"/>
      <c r="AA418" s="143"/>
      <c r="AB418" s="143"/>
      <c r="AC418" s="613">
        <f>I418-[1]BUILDING!I365</f>
        <v>0</v>
      </c>
      <c r="AD418" s="604"/>
    </row>
    <row r="419" spans="1:30" ht="12.75" customHeight="1" x14ac:dyDescent="0.2">
      <c r="B419" s="287"/>
      <c r="D419" s="228"/>
      <c r="E419" s="228"/>
      <c r="F419" s="228" t="s">
        <v>1430</v>
      </c>
      <c r="G419" s="228"/>
      <c r="H419" s="228"/>
      <c r="I419" s="230">
        <v>37</v>
      </c>
      <c r="J419" s="231" t="s">
        <v>309</v>
      </c>
      <c r="K419" s="232">
        <f>R419*tax*markup*IF(Y419&lt;&gt;"",VLOOKUP(LEFT(Y419,2),cityindex,2,0),1)</f>
        <v>12.566210181039789</v>
      </c>
      <c r="L419" s="232">
        <f>S419*markup*difficulty*IF(Y419&lt;&gt;"",VLOOKUP(LEFT(Y419,2),cityindex,3,0),1)</f>
        <v>2.7281747814548951</v>
      </c>
      <c r="M419" s="232">
        <f>W419*markup*difficulty*IF(Y419&lt;&gt;"",VLOOKUP(LEFT(Y419,2),cityindex,3,0),1)</f>
        <v>0</v>
      </c>
      <c r="N419" s="232"/>
      <c r="O419" s="232">
        <f t="shared" si="332"/>
        <v>15.294384962494684</v>
      </c>
      <c r="P419" s="233">
        <f t="shared" si="333"/>
        <v>566</v>
      </c>
      <c r="Q419" s="150">
        <f t="shared" si="334"/>
        <v>0</v>
      </c>
      <c r="R419" s="143">
        <v>9.3241030123559643</v>
      </c>
      <c r="S419" s="143">
        <f t="shared" si="335"/>
        <v>2.1913050453452971</v>
      </c>
      <c r="T419" s="143" t="s">
        <v>968</v>
      </c>
      <c r="U419" s="143">
        <v>50.790085122442285</v>
      </c>
      <c r="V419" s="143">
        <v>4.31443467767893E-2</v>
      </c>
      <c r="W419" s="143">
        <v>0</v>
      </c>
      <c r="X419" s="143">
        <f t="shared" si="336"/>
        <v>11.515408057701261</v>
      </c>
      <c r="Y419" s="143" t="s">
        <v>1169</v>
      </c>
      <c r="Z419" s="143"/>
      <c r="AA419" s="143"/>
      <c r="AB419" s="143"/>
      <c r="AC419" s="613">
        <f>I419-[1]BUILDING!I366</f>
        <v>0</v>
      </c>
      <c r="AD419" s="604" t="s">
        <v>1313</v>
      </c>
    </row>
    <row r="420" spans="1:30" ht="12.75" customHeight="1" x14ac:dyDescent="0.2">
      <c r="B420" s="287"/>
      <c r="D420" s="228"/>
      <c r="E420" s="228"/>
      <c r="F420" s="228"/>
      <c r="G420" s="228"/>
      <c r="H420" s="228"/>
      <c r="I420" s="230"/>
      <c r="J420" s="231"/>
      <c r="K420" s="232">
        <f>R420*tax*markup*IF(Y420&lt;&gt;"",VLOOKUP(LEFT(Y420,2),cityindex,2,0),1)</f>
        <v>0</v>
      </c>
      <c r="L420" s="232">
        <f>S420*markup*difficulty*IF(Y420&lt;&gt;"",VLOOKUP(LEFT(Y420,2),cityindex,3,0),1)</f>
        <v>0</v>
      </c>
      <c r="M420" s="232">
        <f>W420*markup*difficulty*IF(Y420&lt;&gt;"",VLOOKUP(LEFT(Y420,2),cityindex,3,0),1)</f>
        <v>0</v>
      </c>
      <c r="N420" s="232"/>
      <c r="O420" s="232">
        <f>SUM(K420:N420)*embed</f>
        <v>0</v>
      </c>
      <c r="P420" s="233">
        <f>ROUND((O420*I420),0)</f>
        <v>0</v>
      </c>
      <c r="Q420" s="150">
        <f>IF(O420=0,0,IF(X420=0,"manual",(O420/(R420*tax*markup*IF(Y420&lt;&gt;"",VLOOKUP(LEFT(Y420,2),cityindex,2,0),1)+S420*markup*difficulty*IF(Y420&lt;&gt;"",VLOOKUP(LEFT(Y420,2),cityindex,3,0),1)+W420*markup*difficulty*IF(Y420&lt;&gt;"",VLOOKUP(LEFT(Y420,2),cityindex,3,0),1)))-1))</f>
        <v>0</v>
      </c>
      <c r="S420" s="143">
        <f>U420*V420</f>
        <v>0</v>
      </c>
      <c r="X420" s="143">
        <f>SUM(R420,S420,W420)</f>
        <v>0</v>
      </c>
      <c r="Z420" s="143"/>
      <c r="AA420" s="143"/>
      <c r="AB420" s="143"/>
      <c r="AC420" s="613">
        <f>I420-[1]BUILDING!I367</f>
        <v>0</v>
      </c>
      <c r="AD420" s="604"/>
    </row>
    <row r="421" spans="1:30" x14ac:dyDescent="0.2">
      <c r="D421" s="228"/>
      <c r="E421" s="228" t="s">
        <v>378</v>
      </c>
      <c r="F421" s="228"/>
      <c r="G421" s="228"/>
      <c r="H421" s="228"/>
      <c r="I421" s="230"/>
      <c r="J421" s="231"/>
      <c r="K421" s="149">
        <f>R421*tax*markup*IF(Y421&lt;&gt;"",VLOOKUP(LEFT(Y421,2),cityindex,2,0),1)</f>
        <v>0</v>
      </c>
      <c r="L421" s="149">
        <f>S421*markup*difficulty*IF(Y421&lt;&gt;"",VLOOKUP(LEFT(Y421,2),cityindex,3,0),1)</f>
        <v>0</v>
      </c>
      <c r="M421" s="149">
        <f>W421*markup*difficulty*IF(Y421&lt;&gt;"",VLOOKUP(LEFT(Y421,2),cityindex,3,0),1)</f>
        <v>0</v>
      </c>
      <c r="N421" s="149"/>
      <c r="O421" s="149">
        <f t="shared" si="332"/>
        <v>0</v>
      </c>
      <c r="P421" s="216">
        <f t="shared" si="333"/>
        <v>0</v>
      </c>
      <c r="Q421" s="291">
        <f t="shared" si="334"/>
        <v>0</v>
      </c>
      <c r="S421" s="143">
        <f t="shared" si="335"/>
        <v>0</v>
      </c>
      <c r="X421" s="143">
        <f t="shared" si="336"/>
        <v>0</v>
      </c>
      <c r="AC421" s="613">
        <f>I421-[1]BUILDING!I368</f>
        <v>0</v>
      </c>
      <c r="AD421" s="604"/>
    </row>
    <row r="422" spans="1:30" ht="12.75" customHeight="1" x14ac:dyDescent="0.2">
      <c r="B422" s="287"/>
      <c r="D422" s="228"/>
      <c r="E422" s="228"/>
      <c r="F422" s="228" t="s">
        <v>1407</v>
      </c>
      <c r="G422" s="228"/>
      <c r="H422" s="228"/>
      <c r="I422" s="230">
        <f>I423*11</f>
        <v>418</v>
      </c>
      <c r="J422" s="231" t="s">
        <v>301</v>
      </c>
      <c r="K422" s="232">
        <f t="shared" ref="K422:K426" si="337">R422*tax*markup*IF(Y422&lt;&gt;"",VLOOKUP(LEFT(Y422,2),cityindex,2,0),1)</f>
        <v>155.92063604428273</v>
      </c>
      <c r="L422" s="232">
        <f t="shared" ref="L422:L426" si="338">S422*markup*difficulty*IF(Y422&lt;&gt;"",VLOOKUP(LEFT(Y422,2),cityindex,3,0),1)</f>
        <v>3.3483544917776462</v>
      </c>
      <c r="M422" s="232">
        <f t="shared" ref="M422:M426" si="339">W422*markup*difficulty*IF(Y422&lt;&gt;"",VLOOKUP(LEFT(Y422,2),cityindex,3,0),1)</f>
        <v>0</v>
      </c>
      <c r="N422" s="232"/>
      <c r="O422" s="232">
        <f>SUM(K422:N422)*embed</f>
        <v>159.26899053606039</v>
      </c>
      <c r="P422" s="233">
        <f>ROUND((O422*I422),0)</f>
        <v>66574</v>
      </c>
      <c r="Q422" s="150">
        <f>IF(O422=0,0,IF(X422=0,"manual",(O422/(R422*tax*markup*IF(Y422&lt;&gt;"",VLOOKUP(LEFT(Y422,2),cityindex,2,0),1)+S422*markup*difficulty*IF(Y422&lt;&gt;"",VLOOKUP(LEFT(Y422,2),cityindex,3,0),1)+W422*markup*difficulty*IF(Y422&lt;&gt;"",VLOOKUP(LEFT(Y422,2),cityindex,3,0),1)))-1))</f>
        <v>0</v>
      </c>
      <c r="R422" s="143">
        <v>115.69280246661118</v>
      </c>
      <c r="S422" s="143">
        <f>U422*V422</f>
        <v>2.6894413588575468</v>
      </c>
      <c r="T422" s="143" t="s">
        <v>968</v>
      </c>
      <c r="U422" s="143">
        <v>50.790085122442285</v>
      </c>
      <c r="V422" s="143">
        <v>5.2952093944595123E-2</v>
      </c>
      <c r="W422" s="143">
        <v>0</v>
      </c>
      <c r="X422" s="143">
        <f>SUM(R422,S422,W422)</f>
        <v>118.38224382546873</v>
      </c>
      <c r="Y422" s="143" t="s">
        <v>1408</v>
      </c>
      <c r="Z422" s="143"/>
      <c r="AA422" s="143"/>
      <c r="AB422" s="143"/>
      <c r="AC422" s="613">
        <f>I422-[1]BUILDING!I369</f>
        <v>0</v>
      </c>
      <c r="AD422" s="604" t="s">
        <v>1313</v>
      </c>
    </row>
    <row r="423" spans="1:30" ht="12.75" customHeight="1" x14ac:dyDescent="0.2">
      <c r="B423" s="287"/>
      <c r="D423" s="228"/>
      <c r="E423" s="228"/>
      <c r="G423" s="228" t="s">
        <v>1409</v>
      </c>
      <c r="H423" s="228"/>
      <c r="I423" s="230">
        <v>38</v>
      </c>
      <c r="J423" s="231" t="s">
        <v>309</v>
      </c>
      <c r="K423" s="232">
        <f t="shared" si="337"/>
        <v>91.418375600940394</v>
      </c>
      <c r="L423" s="232">
        <f t="shared" si="338"/>
        <v>77.208912574952009</v>
      </c>
      <c r="M423" s="232">
        <f t="shared" si="339"/>
        <v>18.679754672085782</v>
      </c>
      <c r="N423" s="232"/>
      <c r="O423" s="232">
        <f>SUM(K423:N423)*embed</f>
        <v>187.30704284797818</v>
      </c>
      <c r="P423" s="233">
        <f>ROUND((O423*I423),0)</f>
        <v>7118</v>
      </c>
      <c r="Q423" s="150">
        <f>IF(O423=0,0,IF(X423=0,"manual",(O423/(R423*tax*markup*IF(Y423&lt;&gt;"",VLOOKUP(LEFT(Y423,2),cityindex,2,0),1)+S423*markup*difficulty*IF(Y423&lt;&gt;"",VLOOKUP(LEFT(Y423,2),cityindex,3,0),1)+W423*markup*difficulty*IF(Y423&lt;&gt;"",VLOOKUP(LEFT(Y423,2),cityindex,3,0),1)))-1))</f>
        <v>0</v>
      </c>
      <c r="R423" s="143">
        <v>67.832253244620333</v>
      </c>
      <c r="S423" s="143">
        <f>U423*V423</f>
        <v>62.015190823254621</v>
      </c>
      <c r="T423" s="143" t="s">
        <v>981</v>
      </c>
      <c r="U423" s="143">
        <v>47.073654544170012</v>
      </c>
      <c r="V423" s="143">
        <v>1.3174076120447524</v>
      </c>
      <c r="W423" s="143">
        <v>15.003819013723518</v>
      </c>
      <c r="X423" s="143">
        <f>SUM(R423,S423,W423)</f>
        <v>144.85126308159849</v>
      </c>
      <c r="Y423" s="143" t="s">
        <v>1410</v>
      </c>
      <c r="Z423" s="143"/>
      <c r="AA423" s="143"/>
      <c r="AB423" s="143"/>
      <c r="AC423" s="613">
        <f>I423-[1]BUILDING!I370</f>
        <v>0</v>
      </c>
      <c r="AD423" s="604" t="s">
        <v>1313</v>
      </c>
    </row>
    <row r="424" spans="1:30" ht="12.75" customHeight="1" x14ac:dyDescent="0.2">
      <c r="A424" s="143" t="s">
        <v>296</v>
      </c>
      <c r="B424" s="287"/>
      <c r="F424" s="143" t="s">
        <v>1735</v>
      </c>
      <c r="J424" s="147" t="s">
        <v>1007</v>
      </c>
      <c r="K424" s="149">
        <f t="shared" ref="K424" si="340">R424*tax*markup*IF(Y424&lt;&gt;"",VLOOKUP(LEFT(Y424,2),cityindex,2,0),1)</f>
        <v>0</v>
      </c>
      <c r="L424" s="149">
        <f t="shared" ref="L424" si="341">S424*markup*difficulty*IF(Y424&lt;&gt;"",VLOOKUP(LEFT(Y424,2),cityindex,3,0),1)</f>
        <v>0</v>
      </c>
      <c r="M424" s="149">
        <f t="shared" ref="M424" si="342">W424*markup*difficulty*IF(Y424&lt;&gt;"",VLOOKUP(LEFT(Y424,2),cityindex,3,0),1)</f>
        <v>0</v>
      </c>
      <c r="N424" s="149"/>
      <c r="O424" s="149">
        <f>SUM(K424:N424)*embed</f>
        <v>0</v>
      </c>
      <c r="P424" s="216">
        <f>ROUND((O424*I424),0)</f>
        <v>0</v>
      </c>
      <c r="Q424" s="150">
        <f>IF(O424=0,0,IF(X424=0,"manual",(O424/(R424*tax*markup*IF(Y424&lt;&gt;"",VLOOKUP(LEFT(Y424,2),cityindex,2,0),1)+S424*markup*difficulty*IF(Y424&lt;&gt;"",VLOOKUP(LEFT(Y424,2),cityindex,3,0),1)+W424*markup*difficulty*IF(Y424&lt;&gt;"",VLOOKUP(LEFT(Y424,2),cityindex,3,0),1)))-1))</f>
        <v>0</v>
      </c>
      <c r="Z424" s="143"/>
      <c r="AA424" s="143"/>
      <c r="AB424" s="143"/>
      <c r="AC424" s="613">
        <f>I424-[1]BUILDING!I371</f>
        <v>0</v>
      </c>
      <c r="AD424" s="604"/>
    </row>
    <row r="425" spans="1:30" ht="12.75" customHeight="1" x14ac:dyDescent="0.2">
      <c r="A425" s="143" t="s">
        <v>296</v>
      </c>
      <c r="B425" s="287"/>
      <c r="F425" s="143" t="s">
        <v>800</v>
      </c>
      <c r="I425" s="146">
        <f>GFA/3000</f>
        <v>10.491333333333333</v>
      </c>
      <c r="J425" s="147" t="s">
        <v>390</v>
      </c>
      <c r="K425" s="149">
        <f t="shared" si="337"/>
        <v>423.69645132907687</v>
      </c>
      <c r="L425" s="149">
        <f t="shared" si="338"/>
        <v>46.276702240948076</v>
      </c>
      <c r="M425" s="149">
        <f t="shared" si="339"/>
        <v>0</v>
      </c>
      <c r="N425" s="149"/>
      <c r="O425" s="149">
        <f t="shared" si="332"/>
        <v>469.97315357002492</v>
      </c>
      <c r="P425" s="216">
        <f t="shared" si="333"/>
        <v>4931</v>
      </c>
      <c r="Q425" s="150">
        <f t="shared" si="334"/>
        <v>0</v>
      </c>
      <c r="R425" s="143">
        <v>314.38192591452321</v>
      </c>
      <c r="S425" s="143">
        <f>U425*V425</f>
        <v>37.170041960600862</v>
      </c>
      <c r="T425" s="143" t="s">
        <v>965</v>
      </c>
      <c r="U425" s="143">
        <v>30.337316807306259</v>
      </c>
      <c r="V425" s="143">
        <v>1.2252250980762098</v>
      </c>
      <c r="W425" s="143">
        <v>0</v>
      </c>
      <c r="X425" s="143">
        <f>SUM(R425,S425,W425)</f>
        <v>351.55196787512409</v>
      </c>
      <c r="Y425" s="143" t="s">
        <v>801</v>
      </c>
      <c r="Z425" s="143"/>
      <c r="AA425" s="143"/>
      <c r="AB425" s="143"/>
      <c r="AC425" s="613">
        <f>I425-[1]BUILDING!I372</f>
        <v>0</v>
      </c>
      <c r="AD425" s="604" t="s">
        <v>1313</v>
      </c>
    </row>
    <row r="426" spans="1:30" x14ac:dyDescent="0.2">
      <c r="K426" s="149">
        <f t="shared" si="337"/>
        <v>0</v>
      </c>
      <c r="L426" s="149">
        <f t="shared" si="338"/>
        <v>0</v>
      </c>
      <c r="M426" s="149">
        <f t="shared" si="339"/>
        <v>0</v>
      </c>
      <c r="N426" s="149"/>
      <c r="O426" s="149">
        <f t="shared" si="326"/>
        <v>0</v>
      </c>
      <c r="P426" s="216">
        <f t="shared" si="327"/>
        <v>0</v>
      </c>
      <c r="Q426" s="291">
        <f>IF(O426=0,0,IF(X426=0,"manual",O426/((R426*tax*markup*IF(Y426&lt;&gt;"",VLOOKUP(LEFT(Y426,2),cityindex,2,0),1))+S426*markup*difficulty*IF(Y426&lt;&gt;"",VLOOKUP(LEFT(Y426,2),cityindex,3,0),1)+W426*markup*difficulty*IF(Y426&lt;&gt;"",VLOOKUP(LEFT(Y426,2),cityindex,3,0),1))))</f>
        <v>0</v>
      </c>
      <c r="S426" s="143">
        <f t="shared" si="156"/>
        <v>0</v>
      </c>
      <c r="X426" s="143">
        <f t="shared" si="157"/>
        <v>0</v>
      </c>
      <c r="AC426" s="613">
        <f>I426-[1]BUILDING!I373</f>
        <v>0</v>
      </c>
      <c r="AD426" s="604"/>
    </row>
    <row r="427" spans="1:30" ht="24.75" customHeight="1" x14ac:dyDescent="0.2">
      <c r="D427" s="217" t="str">
        <f>"TOTAL - " &amp; D404</f>
        <v>TOTAL - 10  SPECIALTIES</v>
      </c>
      <c r="E427" s="217"/>
      <c r="F427" s="217"/>
      <c r="G427" s="217"/>
      <c r="H427" s="217"/>
      <c r="I427" s="218"/>
      <c r="J427" s="219"/>
      <c r="K427" s="220"/>
      <c r="L427" s="220"/>
      <c r="M427" s="220"/>
      <c r="N427" s="220"/>
      <c r="O427" s="221"/>
      <c r="P427" s="222">
        <f>SUM(P404:P426)</f>
        <v>100680</v>
      </c>
      <c r="Q427" s="294" t="str">
        <f>_xlfn.CONCAT(TEXT(SUM(P427/GFA),"$#,##0.00"),"/SF")</f>
        <v>$3.20/SF</v>
      </c>
      <c r="S427" s="143">
        <f t="shared" si="156"/>
        <v>0</v>
      </c>
      <c r="X427" s="143">
        <f t="shared" si="157"/>
        <v>0</v>
      </c>
      <c r="Z427" s="314"/>
      <c r="AA427" s="315"/>
      <c r="AC427" s="613">
        <f>I427-[1]BUILDING!I374</f>
        <v>0</v>
      </c>
      <c r="AD427" s="604"/>
    </row>
    <row r="428" spans="1:30" x14ac:dyDescent="0.2">
      <c r="K428" s="149">
        <f>R428*tax*markup*IF(Y428&lt;&gt;"",VLOOKUP(LEFT(Y428,2),cityindex,2,0),1)</f>
        <v>0</v>
      </c>
      <c r="L428" s="149">
        <f>S428*markup*difficulty*IF(Y428&lt;&gt;"",VLOOKUP(LEFT(Y428,2),cityindex,3,0),1)</f>
        <v>0</v>
      </c>
      <c r="M428" s="149">
        <f>W428*markup*difficulty*IF(Y428&lt;&gt;"",VLOOKUP(LEFT(Y428,2),cityindex,3,0),1)</f>
        <v>0</v>
      </c>
      <c r="N428" s="149"/>
      <c r="O428" s="149">
        <f>SUM(K428:N428)*embed</f>
        <v>0</v>
      </c>
      <c r="P428" s="216">
        <f>ROUND((O428*I428),0)</f>
        <v>0</v>
      </c>
      <c r="Q428" s="291">
        <f>IF(O428=0,0,IF(X428=0,"manual",O428/((R428*tax*markup*IF(Y428&lt;&gt;"",VLOOKUP(LEFT(Y428,2),cityindex,2,0),1))+S428*markup*difficulty*IF(Y428&lt;&gt;"",VLOOKUP(LEFT(Y428,2),cityindex,3,0),1)+W428*markup*difficulty*IF(Y428&lt;&gt;"",VLOOKUP(LEFT(Y428,2),cityindex,3,0),1))))</f>
        <v>0</v>
      </c>
      <c r="S428" s="143">
        <f t="shared" si="156"/>
        <v>0</v>
      </c>
      <c r="X428" s="143">
        <f t="shared" si="157"/>
        <v>0</v>
      </c>
      <c r="AC428" s="613">
        <f>I428-[1]BUILDING!I375</f>
        <v>0</v>
      </c>
      <c r="AD428" s="604"/>
    </row>
    <row r="429" spans="1:30" hidden="1" x14ac:dyDescent="0.2">
      <c r="D429" s="214" t="s">
        <v>277</v>
      </c>
      <c r="E429" s="215"/>
      <c r="F429" s="215"/>
      <c r="G429" s="215"/>
      <c r="H429" s="215"/>
      <c r="K429" s="149">
        <f>R429*tax*markup*IF(Y429&lt;&gt;"",VLOOKUP(LEFT(Y429,2),cityindex,2,0),1)</f>
        <v>0</v>
      </c>
      <c r="L429" s="149">
        <f>S429*markup*difficulty*IF(Y429&lt;&gt;"",VLOOKUP(LEFT(Y429,2),cityindex,3,0),1)</f>
        <v>0</v>
      </c>
      <c r="M429" s="149">
        <f>W429*markup*difficulty*IF(Y429&lt;&gt;"",VLOOKUP(LEFT(Y429,2),cityindex,3,0),1)</f>
        <v>0</v>
      </c>
      <c r="N429" s="149"/>
      <c r="O429" s="149">
        <f>SUM(K429:N429)*embed</f>
        <v>0</v>
      </c>
      <c r="P429" s="216">
        <f>ROUND((O429*I429),0)</f>
        <v>0</v>
      </c>
      <c r="Q429" s="291">
        <f>IF(O429=0,0,IF(X429=0,"manual",O429/((R429*tax*markup*IF(Y429&lt;&gt;"",VLOOKUP(LEFT(Y429,2),cityindex,2,0),1))+S429*markup*difficulty*IF(Y429&lt;&gt;"",VLOOKUP(LEFT(Y429,2),cityindex,3,0),1)+W429*markup*difficulty*IF(Y429&lt;&gt;"",VLOOKUP(LEFT(Y429,2),cityindex,3,0),1))))</f>
        <v>0</v>
      </c>
      <c r="S429" s="143">
        <f t="shared" si="156"/>
        <v>0</v>
      </c>
      <c r="X429" s="143">
        <f t="shared" si="157"/>
        <v>0</v>
      </c>
      <c r="AC429" s="613">
        <f>I429-[1]BUILDING!I376</f>
        <v>0</v>
      </c>
      <c r="AD429" s="604"/>
    </row>
    <row r="430" spans="1:30" hidden="1" x14ac:dyDescent="0.2">
      <c r="D430" s="228"/>
      <c r="E430" s="228"/>
      <c r="F430" s="228"/>
      <c r="G430" s="228"/>
      <c r="H430" s="228"/>
      <c r="I430" s="230"/>
      <c r="J430" s="231"/>
      <c r="K430" s="149">
        <f>R430*tax*markup*IF(Y430&lt;&gt;"",VLOOKUP(LEFT(Y430,2),cityindex,2,0),1)</f>
        <v>0</v>
      </c>
      <c r="L430" s="149">
        <f>S430*markup*difficulty*IF(Y430&lt;&gt;"",VLOOKUP(LEFT(Y430,2),cityindex,3,0),1)</f>
        <v>0</v>
      </c>
      <c r="M430" s="149">
        <f>W430*markup*difficulty*IF(Y430&lt;&gt;"",VLOOKUP(LEFT(Y430,2),cityindex,3,0),1)</f>
        <v>0</v>
      </c>
      <c r="N430" s="149"/>
      <c r="O430" s="149">
        <f>SUM(K430:N430)*embed</f>
        <v>0</v>
      </c>
      <c r="P430" s="216">
        <f>ROUND((O430*I430),0)</f>
        <v>0</v>
      </c>
      <c r="Q430" s="291">
        <f>IF(O430=0,0,IF(X430=0,"manual",(O430/(R430*tax*markup*IF(Y430&lt;&gt;"",VLOOKUP(LEFT(Y430,2),cityindex,2,0),1)+S430*markup*difficulty*IF(Y430&lt;&gt;"",VLOOKUP(LEFT(Y430,2),cityindex,3,0),1)+W430*markup*difficulty*IF(Y430&lt;&gt;"",VLOOKUP(LEFT(Y430,2),cityindex,3,0),1)))-1))</f>
        <v>0</v>
      </c>
      <c r="S430" s="143">
        <f t="shared" si="156"/>
        <v>0</v>
      </c>
      <c r="X430" s="143">
        <f t="shared" si="157"/>
        <v>0</v>
      </c>
      <c r="AC430" s="613">
        <f>I430-[1]BUILDING!I377</f>
        <v>0</v>
      </c>
      <c r="AD430" s="604"/>
    </row>
    <row r="431" spans="1:30" hidden="1" x14ac:dyDescent="0.2">
      <c r="K431" s="149">
        <f>R431*tax*markup*IF(Y431&lt;&gt;"",VLOOKUP(LEFT(Y431,2),cityindex,2,0),1)</f>
        <v>0</v>
      </c>
      <c r="L431" s="149">
        <f>S431*markup*difficulty*IF(Y431&lt;&gt;"",VLOOKUP(LEFT(Y431,2),cityindex,3,0),1)</f>
        <v>0</v>
      </c>
      <c r="M431" s="149">
        <f>W431*markup*difficulty*IF(Y431&lt;&gt;"",VLOOKUP(LEFT(Y431,2),cityindex,3,0),1)</f>
        <v>0</v>
      </c>
      <c r="N431" s="149"/>
      <c r="O431" s="149">
        <f>SUM(K431:N431)*embed</f>
        <v>0</v>
      </c>
      <c r="P431" s="216">
        <f>ROUND((O431*I431),0)</f>
        <v>0</v>
      </c>
      <c r="Q431" s="291">
        <f>IF(O431=0,0,IF(X431=0,"manual",O431/((R431*tax*markup*IF(Y431&lt;&gt;"",VLOOKUP(LEFT(Y431,2),cityindex,2,0),1))+S431*markup*difficulty*IF(Y431&lt;&gt;"",VLOOKUP(LEFT(Y431,2),cityindex,3,0),1)+W431*markup*difficulty*IF(Y431&lt;&gt;"",VLOOKUP(LEFT(Y431,2),cityindex,3,0),1))))</f>
        <v>0</v>
      </c>
      <c r="S431" s="143">
        <f t="shared" si="156"/>
        <v>0</v>
      </c>
      <c r="X431" s="143">
        <f t="shared" si="157"/>
        <v>0</v>
      </c>
      <c r="AC431" s="613">
        <f>I431-[1]BUILDING!I378</f>
        <v>0</v>
      </c>
      <c r="AD431" s="604"/>
    </row>
    <row r="432" spans="1:30" ht="24.75" hidden="1" customHeight="1" x14ac:dyDescent="0.2">
      <c r="D432" s="217" t="str">
        <f>"TOTAL - " &amp; D429</f>
        <v>TOTAL - 11  EQUIPMENT</v>
      </c>
      <c r="E432" s="217"/>
      <c r="F432" s="217"/>
      <c r="G432" s="217"/>
      <c r="H432" s="217"/>
      <c r="I432" s="218"/>
      <c r="J432" s="219"/>
      <c r="K432" s="220"/>
      <c r="L432" s="220"/>
      <c r="M432" s="220"/>
      <c r="N432" s="220"/>
      <c r="O432" s="221"/>
      <c r="P432" s="222">
        <f>SUM(P429:P431)</f>
        <v>0</v>
      </c>
      <c r="Q432" s="294" t="str">
        <f>_xlfn.CONCAT(TEXT(SUM(P432/GFA),"$#,##0.00"),"/SF")</f>
        <v>$0.00/SF</v>
      </c>
      <c r="S432" s="143">
        <f t="shared" si="156"/>
        <v>0</v>
      </c>
      <c r="X432" s="143">
        <f t="shared" si="157"/>
        <v>0</v>
      </c>
      <c r="Z432" s="314"/>
      <c r="AA432" s="315"/>
      <c r="AC432" s="613">
        <f>I432-[1]BUILDING!I379</f>
        <v>0</v>
      </c>
      <c r="AD432" s="604"/>
    </row>
    <row r="433" spans="1:30" hidden="1" x14ac:dyDescent="0.2">
      <c r="K433" s="149">
        <f t="shared" ref="K433:K447" si="343">R433*tax*markup*IF(Y433&lt;&gt;"",VLOOKUP(LEFT(Y433,2),cityindex,2,0),1)</f>
        <v>0</v>
      </c>
      <c r="L433" s="149">
        <f t="shared" ref="L433:L447" si="344">S433*markup*difficulty*IF(Y433&lt;&gt;"",VLOOKUP(LEFT(Y433,2),cityindex,3,0),1)</f>
        <v>0</v>
      </c>
      <c r="M433" s="149">
        <f t="shared" ref="M433:M447" si="345">W433*markup*difficulty*IF(Y433&lt;&gt;"",VLOOKUP(LEFT(Y433,2),cityindex,3,0),1)</f>
        <v>0</v>
      </c>
      <c r="N433" s="149"/>
      <c r="O433" s="149">
        <f t="shared" ref="O433:O447" si="346">SUM(K433:N433)*embed</f>
        <v>0</v>
      </c>
      <c r="P433" s="216">
        <f t="shared" ref="P433:P447" si="347">ROUND((O433*I433),0)</f>
        <v>0</v>
      </c>
      <c r="Q433" s="291">
        <f>IF(O433=0,0,IF(X433=0,"manual",O433/((R433*tax*markup*IF(Y433&lt;&gt;"",VLOOKUP(LEFT(Y433,2),cityindex,2,0),1))+S433*markup*difficulty*IF(Y433&lt;&gt;"",VLOOKUP(LEFT(Y433,2),cityindex,3,0),1)+W433*markup*difficulty*IF(Y433&lt;&gt;"",VLOOKUP(LEFT(Y433,2),cityindex,3,0),1))))</f>
        <v>0</v>
      </c>
      <c r="S433" s="143">
        <f t="shared" si="156"/>
        <v>0</v>
      </c>
      <c r="X433" s="143">
        <f t="shared" si="157"/>
        <v>0</v>
      </c>
      <c r="AC433" s="613">
        <f>I433-[1]BUILDING!I380</f>
        <v>0</v>
      </c>
      <c r="AD433" s="604"/>
    </row>
    <row r="434" spans="1:30" x14ac:dyDescent="0.2">
      <c r="D434" s="214" t="s">
        <v>278</v>
      </c>
      <c r="E434" s="215"/>
      <c r="F434" s="215"/>
      <c r="G434" s="215"/>
      <c r="H434" s="215"/>
      <c r="K434" s="149">
        <f t="shared" si="343"/>
        <v>0</v>
      </c>
      <c r="L434" s="149">
        <f t="shared" si="344"/>
        <v>0</v>
      </c>
      <c r="M434" s="149">
        <f t="shared" si="345"/>
        <v>0</v>
      </c>
      <c r="N434" s="149"/>
      <c r="O434" s="149">
        <f t="shared" si="346"/>
        <v>0</v>
      </c>
      <c r="P434" s="216">
        <f t="shared" si="347"/>
        <v>0</v>
      </c>
      <c r="Q434" s="291">
        <f>IF(O434=0,0,IF(X434=0,"manual",O434/((R434*tax*markup*IF(Y434&lt;&gt;"",VLOOKUP(LEFT(Y434,2),cityindex,2,0),1))+S434*markup*difficulty*IF(Y434&lt;&gt;"",VLOOKUP(LEFT(Y434,2),cityindex,3,0),1)+W434*markup*difficulty*IF(Y434&lt;&gt;"",VLOOKUP(LEFT(Y434,2),cityindex,3,0),1))))</f>
        <v>0</v>
      </c>
      <c r="S434" s="143">
        <f t="shared" ref="S434:S499" si="348">U434*V434</f>
        <v>0</v>
      </c>
      <c r="X434" s="143">
        <f t="shared" ref="X434:X499" si="349">SUM(R434,S434,W434)</f>
        <v>0</v>
      </c>
      <c r="AC434" s="613">
        <f>I434-[1]BUILDING!I381</f>
        <v>0</v>
      </c>
      <c r="AD434" s="604"/>
    </row>
    <row r="435" spans="1:30" x14ac:dyDescent="0.2">
      <c r="A435" s="175"/>
      <c r="D435" s="228"/>
      <c r="E435" s="228" t="s">
        <v>1417</v>
      </c>
      <c r="F435" s="228"/>
      <c r="H435" s="228"/>
      <c r="I435" s="230"/>
      <c r="J435" s="231"/>
      <c r="K435" s="232">
        <f t="shared" ref="K435:K437" si="350">R435*tax*markup*IF(Y435&lt;&gt;"",VLOOKUP(LEFT(Y435,2),cityindex,2,0),1)</f>
        <v>0</v>
      </c>
      <c r="L435" s="232">
        <f t="shared" ref="L435:L437" si="351">S435*markup*difficulty*IF(Y435&lt;&gt;"",VLOOKUP(LEFT(Y435,2),cityindex,3,0),1)</f>
        <v>0</v>
      </c>
      <c r="M435" s="232">
        <f t="shared" ref="M435:M437" si="352">W435*markup*difficulty*IF(Y435&lt;&gt;"",VLOOKUP(LEFT(Y435,2),cityindex,3,0),1)</f>
        <v>0</v>
      </c>
      <c r="N435" s="232"/>
      <c r="O435" s="232">
        <f t="shared" ref="O435:O445" si="353">SUM(K435:N435)*embed</f>
        <v>0</v>
      </c>
      <c r="P435" s="233">
        <f t="shared" ref="P435:P445" si="354">ROUND((O435*I435),0)</f>
        <v>0</v>
      </c>
      <c r="Q435" s="291">
        <f t="shared" ref="Q435:Q446" si="355">IF(O435=0,0,IF(X435=0,"manual",(O435/(R435*tax*markup*IF(Y435&lt;&gt;"",VLOOKUP(LEFT(Y435,2),cityindex,2,0),1)+S435*markup*difficulty*IF(Y435&lt;&gt;"",VLOOKUP(LEFT(Y435,2),cityindex,3,0),1)+W435*markup*difficulty*IF(Y435&lt;&gt;"",VLOOKUP(LEFT(Y435,2),cityindex,3,0),1)))-1))</f>
        <v>0</v>
      </c>
      <c r="R435" s="227"/>
      <c r="S435" s="227">
        <f t="shared" si="348"/>
        <v>0</v>
      </c>
      <c r="T435" s="227"/>
      <c r="U435" s="227"/>
      <c r="V435" s="227"/>
      <c r="W435" s="227"/>
      <c r="X435" s="227">
        <f t="shared" si="349"/>
        <v>0</v>
      </c>
      <c r="Y435" s="227"/>
      <c r="Z435" s="143"/>
      <c r="AA435" s="143"/>
      <c r="AB435" s="143"/>
      <c r="AC435" s="613">
        <f>I435-[1]BUILDING!I382</f>
        <v>0</v>
      </c>
      <c r="AD435" s="604"/>
    </row>
    <row r="436" spans="1:30" x14ac:dyDescent="0.2">
      <c r="A436" s="175"/>
      <c r="D436" s="228"/>
      <c r="E436" s="228"/>
      <c r="F436" s="228" t="s">
        <v>825</v>
      </c>
      <c r="G436" s="228"/>
      <c r="H436" s="228"/>
      <c r="I436" s="230">
        <f>124+20</f>
        <v>144</v>
      </c>
      <c r="J436" s="231" t="s">
        <v>309</v>
      </c>
      <c r="K436" s="232">
        <f>R436*tax*markup*IF(Y436&lt;&gt;"",VLOOKUP(LEFT(Y436,2),cityindex,2,0),1)</f>
        <v>87.995609912242855</v>
      </c>
      <c r="L436" s="232">
        <f>S436*markup*difficulty*IF(Y436&lt;&gt;"",VLOOKUP(LEFT(Y436,2),cityindex,3,0),1)</f>
        <v>37.623433614017507</v>
      </c>
      <c r="M436" s="232">
        <f>W436*markup*difficulty*IF(Y436&lt;&gt;"",VLOOKUP(LEFT(Y436,2),cityindex,3,0),1)</f>
        <v>0</v>
      </c>
      <c r="N436" s="232"/>
      <c r="O436" s="232">
        <f t="shared" si="353"/>
        <v>125.61904352626036</v>
      </c>
      <c r="P436" s="233">
        <f t="shared" si="354"/>
        <v>18089</v>
      </c>
      <c r="Q436" s="291">
        <f t="shared" si="355"/>
        <v>0</v>
      </c>
      <c r="R436" s="227">
        <v>65.292567897265059</v>
      </c>
      <c r="S436" s="227">
        <f>U436*V436</f>
        <v>30.219625392785144</v>
      </c>
      <c r="T436" s="227" t="s">
        <v>968</v>
      </c>
      <c r="U436" s="227">
        <v>50.790085122442285</v>
      </c>
      <c r="V436" s="227">
        <v>0.59499064275897806</v>
      </c>
      <c r="W436" s="227">
        <v>0</v>
      </c>
      <c r="X436" s="227">
        <f>SUM(R436,S436,W436)</f>
        <v>95.512193290050206</v>
      </c>
      <c r="Y436" s="227" t="s">
        <v>826</v>
      </c>
      <c r="Z436" s="143"/>
      <c r="AA436" s="143"/>
      <c r="AB436" s="143"/>
      <c r="AC436" s="613">
        <f>I436-[1]BUILDING!I383</f>
        <v>0</v>
      </c>
      <c r="AD436" s="604" t="s">
        <v>1313</v>
      </c>
    </row>
    <row r="437" spans="1:30" x14ac:dyDescent="0.2">
      <c r="A437" s="175"/>
      <c r="D437" s="228"/>
      <c r="E437" s="228"/>
      <c r="F437" s="228" t="s">
        <v>1418</v>
      </c>
      <c r="H437" s="228"/>
      <c r="I437" s="230">
        <f>I436/2.5</f>
        <v>57.6</v>
      </c>
      <c r="J437" s="231" t="s">
        <v>390</v>
      </c>
      <c r="K437" s="232">
        <f t="shared" si="350"/>
        <v>59.693503664656944</v>
      </c>
      <c r="L437" s="232">
        <f t="shared" si="351"/>
        <v>31.113358515470747</v>
      </c>
      <c r="M437" s="232">
        <f t="shared" si="352"/>
        <v>2.6619556455434976</v>
      </c>
      <c r="N437" s="232"/>
      <c r="O437" s="232">
        <f t="shared" si="353"/>
        <v>93.468817825671195</v>
      </c>
      <c r="P437" s="233">
        <f t="shared" si="354"/>
        <v>5384</v>
      </c>
      <c r="Q437" s="291">
        <f t="shared" si="355"/>
        <v>0</v>
      </c>
      <c r="R437" s="227">
        <v>44.292461236841639</v>
      </c>
      <c r="S437" s="227">
        <f t="shared" si="348"/>
        <v>24.990649410016662</v>
      </c>
      <c r="T437" s="227" t="s">
        <v>979</v>
      </c>
      <c r="U437" s="227">
        <v>39.536377033321841</v>
      </c>
      <c r="V437" s="227">
        <v>0.63209255084132199</v>
      </c>
      <c r="W437" s="227">
        <v>2.1381169843722869</v>
      </c>
      <c r="X437" s="227">
        <f t="shared" si="349"/>
        <v>71.421227631230593</v>
      </c>
      <c r="Y437" s="227" t="s">
        <v>409</v>
      </c>
      <c r="AA437" s="143"/>
      <c r="AB437" s="143"/>
      <c r="AC437" s="613">
        <f>I437-[1]BUILDING!I384</f>
        <v>0</v>
      </c>
      <c r="AD437" s="604" t="s">
        <v>1313</v>
      </c>
    </row>
    <row r="438" spans="1:30" x14ac:dyDescent="0.2">
      <c r="A438" s="175"/>
      <c r="D438" s="228"/>
      <c r="E438" s="228"/>
      <c r="F438" s="228"/>
      <c r="G438" s="228"/>
      <c r="H438" s="228"/>
      <c r="I438" s="230"/>
      <c r="J438" s="231"/>
      <c r="K438" s="232">
        <f t="shared" ref="K438:K443" si="356">R438*tax*markup*IF(Y438&lt;&gt;"",VLOOKUP(LEFT(Y438,2),cityindex,2,0),1)</f>
        <v>0</v>
      </c>
      <c r="L438" s="232">
        <f t="shared" ref="L438:L443" si="357">S438*markup*difficulty*IF(Y438&lt;&gt;"",VLOOKUP(LEFT(Y438,2),cityindex,3,0),1)</f>
        <v>0</v>
      </c>
      <c r="M438" s="232">
        <f t="shared" ref="M438:M443" si="358">W438*markup*difficulty*IF(Y438&lt;&gt;"",VLOOKUP(LEFT(Y438,2),cityindex,3,0),1)</f>
        <v>0</v>
      </c>
      <c r="N438" s="232"/>
      <c r="O438" s="232">
        <f t="shared" si="353"/>
        <v>0</v>
      </c>
      <c r="P438" s="233">
        <f t="shared" si="354"/>
        <v>0</v>
      </c>
      <c r="Q438" s="291">
        <f t="shared" si="355"/>
        <v>0</v>
      </c>
      <c r="R438" s="227"/>
      <c r="S438" s="227">
        <f t="shared" ref="S438:S443" si="359">U438*V438</f>
        <v>0</v>
      </c>
      <c r="T438" s="227"/>
      <c r="U438" s="227"/>
      <c r="V438" s="227"/>
      <c r="W438" s="227"/>
      <c r="X438" s="227">
        <f t="shared" ref="X438:X443" si="360">SUM(R438,S438,W438)</f>
        <v>0</v>
      </c>
      <c r="Y438" s="227"/>
      <c r="AA438" s="143"/>
      <c r="AB438" s="143"/>
      <c r="AC438" s="613">
        <f>I438-[1]BUILDING!I385</f>
        <v>0</v>
      </c>
      <c r="AD438" s="604"/>
    </row>
    <row r="439" spans="1:30" x14ac:dyDescent="0.2">
      <c r="A439" s="175"/>
      <c r="D439" s="228"/>
      <c r="E439" s="228" t="s">
        <v>1429</v>
      </c>
      <c r="F439" s="228"/>
      <c r="G439" s="228"/>
      <c r="H439" s="228"/>
      <c r="I439" s="230"/>
      <c r="J439" s="231"/>
      <c r="K439" s="232">
        <f t="shared" si="356"/>
        <v>0</v>
      </c>
      <c r="L439" s="232">
        <f t="shared" si="357"/>
        <v>0</v>
      </c>
      <c r="M439" s="232">
        <f t="shared" si="358"/>
        <v>0</v>
      </c>
      <c r="N439" s="232"/>
      <c r="O439" s="232">
        <f t="shared" si="353"/>
        <v>0</v>
      </c>
      <c r="P439" s="233">
        <f t="shared" si="354"/>
        <v>0</v>
      </c>
      <c r="Q439" s="291">
        <f t="shared" si="355"/>
        <v>0</v>
      </c>
      <c r="R439" s="227"/>
      <c r="S439" s="227">
        <f t="shared" si="359"/>
        <v>0</v>
      </c>
      <c r="T439" s="227"/>
      <c r="U439" s="227"/>
      <c r="V439" s="227"/>
      <c r="W439" s="227"/>
      <c r="X439" s="227">
        <f t="shared" si="360"/>
        <v>0</v>
      </c>
      <c r="Y439" s="227"/>
      <c r="AA439" s="143"/>
      <c r="AB439" s="143"/>
      <c r="AC439" s="613">
        <f>I439-[1]BUILDING!I386</f>
        <v>0</v>
      </c>
      <c r="AD439" s="604"/>
    </row>
    <row r="440" spans="1:30" x14ac:dyDescent="0.2">
      <c r="A440" s="175"/>
      <c r="D440" s="228"/>
      <c r="F440" s="228" t="s">
        <v>807</v>
      </c>
      <c r="G440" s="228"/>
      <c r="H440" s="228"/>
      <c r="I440" s="230">
        <f>85+53</f>
        <v>138</v>
      </c>
      <c r="J440" s="231" t="s">
        <v>309</v>
      </c>
      <c r="K440" s="232">
        <f t="shared" si="356"/>
        <v>344.80989755906455</v>
      </c>
      <c r="L440" s="232">
        <f t="shared" si="357"/>
        <v>50.756740120091074</v>
      </c>
      <c r="M440" s="232">
        <f t="shared" si="358"/>
        <v>0</v>
      </c>
      <c r="N440" s="232"/>
      <c r="O440" s="232">
        <f t="shared" si="353"/>
        <v>395.56663767915563</v>
      </c>
      <c r="P440" s="233">
        <f t="shared" si="354"/>
        <v>54588</v>
      </c>
      <c r="Q440" s="291">
        <f t="shared" si="355"/>
        <v>0</v>
      </c>
      <c r="R440" s="227">
        <v>255.84825959473147</v>
      </c>
      <c r="S440" s="227">
        <f t="shared" si="359"/>
        <v>40.768465959912504</v>
      </c>
      <c r="T440" s="227" t="s">
        <v>968</v>
      </c>
      <c r="U440" s="227">
        <v>50.790085122442285</v>
      </c>
      <c r="V440" s="227">
        <v>0.80268552142863825</v>
      </c>
      <c r="W440" s="227">
        <v>0</v>
      </c>
      <c r="X440" s="227">
        <f t="shared" si="360"/>
        <v>296.61672555464395</v>
      </c>
      <c r="Y440" s="227" t="s">
        <v>808</v>
      </c>
      <c r="AA440" s="143"/>
      <c r="AB440" s="143"/>
      <c r="AC440" s="613">
        <f>I440-[1]BUILDING!I387</f>
        <v>0</v>
      </c>
      <c r="AD440" s="604" t="s">
        <v>1313</v>
      </c>
    </row>
    <row r="441" spans="1:30" x14ac:dyDescent="0.2">
      <c r="A441" s="175"/>
      <c r="D441" s="228"/>
      <c r="G441" s="228" t="s">
        <v>827</v>
      </c>
      <c r="H441" s="228"/>
      <c r="I441" s="230">
        <f>I440</f>
        <v>138</v>
      </c>
      <c r="J441" s="231" t="s">
        <v>309</v>
      </c>
      <c r="K441" s="232">
        <f t="shared" si="356"/>
        <v>103.58285271992645</v>
      </c>
      <c r="L441" s="232">
        <f t="shared" si="357"/>
        <v>41.386208197069813</v>
      </c>
      <c r="M441" s="232">
        <f t="shared" si="358"/>
        <v>0</v>
      </c>
      <c r="N441" s="232"/>
      <c r="O441" s="232">
        <f t="shared" si="353"/>
        <v>144.96906091699626</v>
      </c>
      <c r="P441" s="233">
        <f t="shared" si="354"/>
        <v>20006</v>
      </c>
      <c r="Q441" s="291">
        <f t="shared" si="355"/>
        <v>0</v>
      </c>
      <c r="R441" s="227">
        <v>76.858271122310171</v>
      </c>
      <c r="S441" s="227">
        <f t="shared" si="359"/>
        <v>33.24193429483519</v>
      </c>
      <c r="T441" s="227" t="s">
        <v>968</v>
      </c>
      <c r="U441" s="227">
        <v>50.790085122442285</v>
      </c>
      <c r="V441" s="227">
        <v>0.65449652653066315</v>
      </c>
      <c r="W441" s="227">
        <v>0</v>
      </c>
      <c r="X441" s="227">
        <f t="shared" si="360"/>
        <v>110.10020541714536</v>
      </c>
      <c r="Y441" s="227" t="s">
        <v>828</v>
      </c>
      <c r="AA441" s="143"/>
      <c r="AB441" s="143"/>
      <c r="AC441" s="613">
        <f>I441-[1]BUILDING!I388</f>
        <v>0</v>
      </c>
      <c r="AD441" s="604" t="s">
        <v>1313</v>
      </c>
    </row>
    <row r="442" spans="1:30" x14ac:dyDescent="0.2">
      <c r="A442" s="175"/>
      <c r="D442" s="228"/>
      <c r="F442" s="228" t="s">
        <v>813</v>
      </c>
      <c r="G442" s="228"/>
      <c r="H442" s="228"/>
      <c r="I442" s="230">
        <f>61+45</f>
        <v>106</v>
      </c>
      <c r="J442" s="231" t="s">
        <v>309</v>
      </c>
      <c r="K442" s="232">
        <f t="shared" si="356"/>
        <v>231.42363327245408</v>
      </c>
      <c r="L442" s="232">
        <f t="shared" si="357"/>
        <v>48.459353105343887</v>
      </c>
      <c r="M442" s="232">
        <f t="shared" si="358"/>
        <v>0</v>
      </c>
      <c r="N442" s="232"/>
      <c r="O442" s="232">
        <f t="shared" si="353"/>
        <v>279.88298637779798</v>
      </c>
      <c r="P442" s="233">
        <f t="shared" si="354"/>
        <v>29668</v>
      </c>
      <c r="Q442" s="291">
        <f t="shared" si="355"/>
        <v>0</v>
      </c>
      <c r="R442" s="227">
        <v>171.71587654819115</v>
      </c>
      <c r="S442" s="227">
        <f t="shared" si="359"/>
        <v>38.923175185015168</v>
      </c>
      <c r="T442" s="227" t="s">
        <v>968</v>
      </c>
      <c r="U442" s="227">
        <v>50.790085122442285</v>
      </c>
      <c r="V442" s="227">
        <v>0.76635380884243565</v>
      </c>
      <c r="W442" s="227">
        <v>0</v>
      </c>
      <c r="X442" s="227">
        <f t="shared" si="360"/>
        <v>210.63905173320632</v>
      </c>
      <c r="Y442" s="227" t="s">
        <v>814</v>
      </c>
      <c r="AA442" s="143"/>
      <c r="AB442" s="143"/>
      <c r="AC442" s="613">
        <f>I442-[1]BUILDING!I389</f>
        <v>0</v>
      </c>
      <c r="AD442" s="604" t="s">
        <v>1313</v>
      </c>
    </row>
    <row r="443" spans="1:30" x14ac:dyDescent="0.2">
      <c r="A443" s="175"/>
      <c r="D443" s="228"/>
      <c r="E443" s="228"/>
      <c r="F443" s="228"/>
      <c r="G443" s="228"/>
      <c r="H443" s="228"/>
      <c r="I443" s="230"/>
      <c r="J443" s="231"/>
      <c r="K443" s="232">
        <f t="shared" si="356"/>
        <v>0</v>
      </c>
      <c r="L443" s="232">
        <f t="shared" si="357"/>
        <v>0</v>
      </c>
      <c r="M443" s="232">
        <f t="shared" si="358"/>
        <v>0</v>
      </c>
      <c r="N443" s="232"/>
      <c r="O443" s="232">
        <f t="shared" si="353"/>
        <v>0</v>
      </c>
      <c r="P443" s="233">
        <f t="shared" si="354"/>
        <v>0</v>
      </c>
      <c r="Q443" s="291">
        <f t="shared" si="355"/>
        <v>0</v>
      </c>
      <c r="R443" s="227"/>
      <c r="S443" s="227">
        <f t="shared" si="359"/>
        <v>0</v>
      </c>
      <c r="T443" s="227"/>
      <c r="U443" s="227"/>
      <c r="V443" s="227"/>
      <c r="W443" s="227"/>
      <c r="X443" s="227">
        <f t="shared" si="360"/>
        <v>0</v>
      </c>
      <c r="Y443" s="227"/>
      <c r="AA443" s="143"/>
      <c r="AB443" s="143"/>
      <c r="AC443" s="613">
        <f>I443-[1]BUILDING!I390</f>
        <v>0</v>
      </c>
      <c r="AD443" s="604"/>
    </row>
    <row r="444" spans="1:30" x14ac:dyDescent="0.2">
      <c r="A444" s="175"/>
      <c r="D444" s="228"/>
      <c r="E444" s="228" t="s">
        <v>1098</v>
      </c>
      <c r="F444" s="228"/>
      <c r="H444" s="228"/>
      <c r="I444" s="230"/>
      <c r="J444" s="231"/>
      <c r="K444" s="232">
        <f t="shared" ref="K444" si="361">R444*tax*markup*IF(Y444&lt;&gt;"",VLOOKUP(LEFT(Y444,2),cityindex,2,0),1)</f>
        <v>0</v>
      </c>
      <c r="L444" s="232">
        <f t="shared" ref="L444" si="362">S444*markup*difficulty*IF(Y444&lt;&gt;"",VLOOKUP(LEFT(Y444,2),cityindex,3,0),1)</f>
        <v>0</v>
      </c>
      <c r="M444" s="232">
        <f t="shared" ref="M444" si="363">W444*markup*difficulty*IF(Y444&lt;&gt;"",VLOOKUP(LEFT(Y444,2),cityindex,3,0),1)</f>
        <v>0</v>
      </c>
      <c r="N444" s="232"/>
      <c r="O444" s="232">
        <f t="shared" si="353"/>
        <v>0</v>
      </c>
      <c r="P444" s="233">
        <f t="shared" si="354"/>
        <v>0</v>
      </c>
      <c r="Q444" s="291">
        <f t="shared" si="355"/>
        <v>0</v>
      </c>
      <c r="R444" s="227"/>
      <c r="S444" s="227">
        <f t="shared" ref="S444" si="364">U444*V444</f>
        <v>0</v>
      </c>
      <c r="T444" s="227"/>
      <c r="U444" s="227"/>
      <c r="V444" s="227"/>
      <c r="W444" s="227"/>
      <c r="X444" s="227">
        <f t="shared" ref="X444" si="365">SUM(R444,S444,W444)</f>
        <v>0</v>
      </c>
      <c r="Y444" s="227"/>
      <c r="Z444" s="143"/>
      <c r="AA444" s="143"/>
      <c r="AB444" s="143"/>
      <c r="AC444" s="613">
        <f>I444-[1]BUILDING!I391</f>
        <v>0</v>
      </c>
      <c r="AD444" s="604"/>
    </row>
    <row r="445" spans="1:30" x14ac:dyDescent="0.2">
      <c r="A445" s="175"/>
      <c r="D445" s="228"/>
      <c r="E445" s="228"/>
      <c r="F445" s="228" t="s">
        <v>1421</v>
      </c>
      <c r="G445" s="228"/>
      <c r="H445" s="228"/>
      <c r="I445" s="230">
        <v>20</v>
      </c>
      <c r="J445" s="231" t="s">
        <v>309</v>
      </c>
      <c r="K445" s="232">
        <f>R445*tax*markup*IF(Y445&lt;&gt;"",VLOOKUP(LEFT(Y445,2),cityindex,2,0),1)</f>
        <v>87.995609912242855</v>
      </c>
      <c r="L445" s="232">
        <f>S445*markup*difficulty*IF(Y445&lt;&gt;"",VLOOKUP(LEFT(Y445,2),cityindex,3,0),1)</f>
        <v>37.623433614017507</v>
      </c>
      <c r="M445" s="232">
        <f>W445*markup*difficulty*IF(Y445&lt;&gt;"",VLOOKUP(LEFT(Y445,2),cityindex,3,0),1)</f>
        <v>0</v>
      </c>
      <c r="N445" s="232"/>
      <c r="O445" s="232">
        <f t="shared" si="353"/>
        <v>125.61904352626036</v>
      </c>
      <c r="P445" s="233">
        <f t="shared" si="354"/>
        <v>2512</v>
      </c>
      <c r="Q445" s="291">
        <f t="shared" si="355"/>
        <v>0</v>
      </c>
      <c r="R445" s="227">
        <v>65.292567897265059</v>
      </c>
      <c r="S445" s="227">
        <f>U445*V445</f>
        <v>30.219625392785144</v>
      </c>
      <c r="T445" s="227" t="s">
        <v>968</v>
      </c>
      <c r="U445" s="227">
        <v>50.790085122442285</v>
      </c>
      <c r="V445" s="227">
        <v>0.59499064275897806</v>
      </c>
      <c r="W445" s="227">
        <v>0</v>
      </c>
      <c r="X445" s="227">
        <f>SUM(R445,S445,W445)</f>
        <v>95.512193290050206</v>
      </c>
      <c r="Y445" s="227" t="s">
        <v>826</v>
      </c>
      <c r="Z445" s="143"/>
      <c r="AA445" s="143"/>
      <c r="AB445" s="143"/>
      <c r="AC445" s="613">
        <f>I445-[1]BUILDING!I392</f>
        <v>0</v>
      </c>
      <c r="AD445" s="604" t="s">
        <v>1313</v>
      </c>
    </row>
    <row r="446" spans="1:30" x14ac:dyDescent="0.2">
      <c r="D446" s="228"/>
      <c r="F446" s="228" t="s">
        <v>1423</v>
      </c>
      <c r="G446" s="228"/>
      <c r="H446" s="228"/>
      <c r="I446" s="230">
        <v>652</v>
      </c>
      <c r="J446" s="231" t="s">
        <v>301</v>
      </c>
      <c r="K446" s="232">
        <f t="shared" si="343"/>
        <v>13.358729882672357</v>
      </c>
      <c r="L446" s="232">
        <f t="shared" si="344"/>
        <v>1.4846477463542394</v>
      </c>
      <c r="M446" s="232">
        <f t="shared" si="345"/>
        <v>0</v>
      </c>
      <c r="N446" s="232"/>
      <c r="O446" s="232">
        <f t="shared" si="346"/>
        <v>14.843377629026596</v>
      </c>
      <c r="P446" s="233">
        <f t="shared" si="347"/>
        <v>9678</v>
      </c>
      <c r="Q446" s="291">
        <f t="shared" si="355"/>
        <v>0</v>
      </c>
      <c r="R446" s="143">
        <v>9.9121510579388072</v>
      </c>
      <c r="S446" s="143">
        <f>U446*V446</f>
        <v>1.1924881496821198</v>
      </c>
      <c r="T446" s="143" t="s">
        <v>968</v>
      </c>
      <c r="U446" s="143">
        <v>50.790085122442285</v>
      </c>
      <c r="V446" s="143">
        <v>2.3478758635811042E-2</v>
      </c>
      <c r="W446" s="143">
        <v>0</v>
      </c>
      <c r="X446" s="143">
        <f>SUM(R446,S446,W446)</f>
        <v>11.104639207620927</v>
      </c>
      <c r="Y446" s="143" t="s">
        <v>834</v>
      </c>
      <c r="AC446" s="613">
        <f>I446-[1]BUILDING!I393</f>
        <v>0</v>
      </c>
      <c r="AD446" s="604" t="s">
        <v>1313</v>
      </c>
    </row>
    <row r="447" spans="1:30" x14ac:dyDescent="0.2">
      <c r="K447" s="149">
        <f t="shared" si="343"/>
        <v>0</v>
      </c>
      <c r="L447" s="149">
        <f t="shared" si="344"/>
        <v>0</v>
      </c>
      <c r="M447" s="149">
        <f t="shared" si="345"/>
        <v>0</v>
      </c>
      <c r="N447" s="149"/>
      <c r="O447" s="149">
        <f t="shared" si="346"/>
        <v>0</v>
      </c>
      <c r="P447" s="216">
        <f t="shared" si="347"/>
        <v>0</v>
      </c>
      <c r="Q447" s="291">
        <f>IF(O447=0,0,IF(X447=0,"manual",O447/((R447*tax*markup*IF(Y447&lt;&gt;"",VLOOKUP(LEFT(Y447,2),cityindex,2,0),1))+S447*markup*difficulty*IF(Y447&lt;&gt;"",VLOOKUP(LEFT(Y447,2),cityindex,3,0),1)+W447*markup*difficulty*IF(Y447&lt;&gt;"",VLOOKUP(LEFT(Y447,2),cityindex,3,0),1))))</f>
        <v>0</v>
      </c>
      <c r="S447" s="143">
        <f t="shared" si="348"/>
        <v>0</v>
      </c>
      <c r="X447" s="143">
        <f t="shared" si="349"/>
        <v>0</v>
      </c>
      <c r="AC447" s="613">
        <f>I447-[1]BUILDING!I394</f>
        <v>0</v>
      </c>
      <c r="AD447" s="604"/>
    </row>
    <row r="448" spans="1:30" ht="24.75" customHeight="1" x14ac:dyDescent="0.2">
      <c r="D448" s="217" t="str">
        <f>"TOTAL - " &amp; D434</f>
        <v>TOTAL - 12  FURNISHINGS</v>
      </c>
      <c r="E448" s="217"/>
      <c r="F448" s="217"/>
      <c r="G448" s="217"/>
      <c r="H448" s="217"/>
      <c r="I448" s="218"/>
      <c r="J448" s="219"/>
      <c r="K448" s="220"/>
      <c r="L448" s="220"/>
      <c r="M448" s="220"/>
      <c r="N448" s="220"/>
      <c r="O448" s="221"/>
      <c r="P448" s="222">
        <f>SUM(P434:P447)</f>
        <v>139925</v>
      </c>
      <c r="Q448" s="294" t="str">
        <f>_xlfn.CONCAT(TEXT(SUM(P448/GFA),"$#,##0.00"),"/SF")</f>
        <v>$4.45/SF</v>
      </c>
      <c r="S448" s="143">
        <f t="shared" si="348"/>
        <v>0</v>
      </c>
      <c r="X448" s="143">
        <f t="shared" si="349"/>
        <v>0</v>
      </c>
      <c r="Z448" s="314"/>
      <c r="AA448" s="315"/>
      <c r="AC448" s="613">
        <f>I448-[1]BUILDING!I394</f>
        <v>0</v>
      </c>
      <c r="AD448" s="604"/>
    </row>
    <row r="449" spans="4:30" x14ac:dyDescent="0.2">
      <c r="K449" s="149">
        <f>R449*tax*markup*IF(Y449&lt;&gt;"",VLOOKUP(LEFT(Y449,2),cityindex,2,0),1)</f>
        <v>0</v>
      </c>
      <c r="L449" s="149">
        <f>S449*markup*difficulty*IF(Y449&lt;&gt;"",VLOOKUP(LEFT(Y449,2),cityindex,3,0),1)</f>
        <v>0</v>
      </c>
      <c r="M449" s="149">
        <f>W449*markup*difficulty*IF(Y449&lt;&gt;"",VLOOKUP(LEFT(Y449,2),cityindex,3,0),1)</f>
        <v>0</v>
      </c>
      <c r="N449" s="149"/>
      <c r="O449" s="149">
        <f>SUM(K449:N449)*embed</f>
        <v>0</v>
      </c>
      <c r="P449" s="216">
        <f>ROUND((O449*I449),0)</f>
        <v>0</v>
      </c>
      <c r="Q449" s="291">
        <f>IF(O449=0,0,IF(X449=0,"manual",O449/((R449*tax*markup*IF(Y449&lt;&gt;"",VLOOKUP(LEFT(Y449,2),cityindex,2,0),1))+S449*markup*difficulty*IF(Y449&lt;&gt;"",VLOOKUP(LEFT(Y449,2),cityindex,3,0),1)+W449*markup*difficulty*IF(Y449&lt;&gt;"",VLOOKUP(LEFT(Y449,2),cityindex,3,0),1))))</f>
        <v>0</v>
      </c>
      <c r="S449" s="143">
        <f t="shared" si="348"/>
        <v>0</v>
      </c>
      <c r="X449" s="143">
        <f t="shared" si="349"/>
        <v>0</v>
      </c>
      <c r="AC449" s="613"/>
      <c r="AD449" s="604"/>
    </row>
    <row r="450" spans="4:30" hidden="1" x14ac:dyDescent="0.2">
      <c r="D450" s="214" t="s">
        <v>279</v>
      </c>
      <c r="E450" s="215"/>
      <c r="F450" s="215"/>
      <c r="G450" s="215"/>
      <c r="H450" s="215"/>
      <c r="K450" s="149">
        <f>R450*tax*markup*IF(Y450&lt;&gt;"",VLOOKUP(LEFT(Y450,2),cityindex,2,0),1)</f>
        <v>0</v>
      </c>
      <c r="L450" s="149">
        <f>S450*markup*difficulty*IF(Y450&lt;&gt;"",VLOOKUP(LEFT(Y450,2),cityindex,3,0),1)</f>
        <v>0</v>
      </c>
      <c r="M450" s="149">
        <f>W450*markup*difficulty*IF(Y450&lt;&gt;"",VLOOKUP(LEFT(Y450,2),cityindex,3,0),1)</f>
        <v>0</v>
      </c>
      <c r="N450" s="149"/>
      <c r="O450" s="149">
        <f>SUM(K450:N450)*embed</f>
        <v>0</v>
      </c>
      <c r="P450" s="216">
        <f>ROUND((O450*I450),0)</f>
        <v>0</v>
      </c>
      <c r="Q450" s="291">
        <f>IF(O450=0,0,IF(X450=0,"manual",O450/((R450*tax*markup*IF(Y450&lt;&gt;"",VLOOKUP(LEFT(Y450,2),cityindex,2,0),1))+S450*markup*difficulty*IF(Y450&lt;&gt;"",VLOOKUP(LEFT(Y450,2),cityindex,3,0),1)+W450*markup*difficulty*IF(Y450&lt;&gt;"",VLOOKUP(LEFT(Y450,2),cityindex,3,0),1))))</f>
        <v>0</v>
      </c>
      <c r="S450" s="143">
        <f t="shared" si="348"/>
        <v>0</v>
      </c>
      <c r="X450" s="143">
        <f t="shared" si="349"/>
        <v>0</v>
      </c>
      <c r="AC450" s="613"/>
      <c r="AD450" s="604"/>
    </row>
    <row r="451" spans="4:30" hidden="1" x14ac:dyDescent="0.2">
      <c r="D451" s="228"/>
      <c r="E451" s="228"/>
      <c r="F451" s="228"/>
      <c r="G451" s="228"/>
      <c r="H451" s="228"/>
      <c r="I451" s="230"/>
      <c r="J451" s="231"/>
      <c r="K451" s="149">
        <f>R451*tax*markup*IF(Y451&lt;&gt;"",VLOOKUP(LEFT(Y451,2),cityindex,2,0),1)</f>
        <v>0</v>
      </c>
      <c r="L451" s="149">
        <f>S451*markup*difficulty*IF(Y451&lt;&gt;"",VLOOKUP(LEFT(Y451,2),cityindex,3,0),1)</f>
        <v>0</v>
      </c>
      <c r="M451" s="149">
        <f>W451*markup*difficulty*IF(Y451&lt;&gt;"",VLOOKUP(LEFT(Y451,2),cityindex,3,0),1)</f>
        <v>0</v>
      </c>
      <c r="N451" s="149"/>
      <c r="O451" s="149">
        <f>SUM(K451:N451)*embed</f>
        <v>0</v>
      </c>
      <c r="P451" s="216">
        <f>ROUND((O451*I451),0)</f>
        <v>0</v>
      </c>
      <c r="Q451" s="291">
        <f>IF(O451=0,0,IF(X451=0,"manual",(O451/(R451*tax*markup*IF(Y451&lt;&gt;"",VLOOKUP(LEFT(Y451,2),cityindex,2,0),1)+S451*markup*difficulty*IF(Y451&lt;&gt;"",VLOOKUP(LEFT(Y451,2),cityindex,3,0),1)+W451*markup*difficulty*IF(Y451&lt;&gt;"",VLOOKUP(LEFT(Y451,2),cityindex,3,0),1)))-1))</f>
        <v>0</v>
      </c>
      <c r="S451" s="143">
        <f t="shared" si="348"/>
        <v>0</v>
      </c>
      <c r="X451" s="143">
        <f t="shared" si="349"/>
        <v>0</v>
      </c>
      <c r="AC451" s="613"/>
      <c r="AD451" s="604"/>
    </row>
    <row r="452" spans="4:30" hidden="1" x14ac:dyDescent="0.2">
      <c r="K452" s="149">
        <f>R452*tax*markup*IF(Y452&lt;&gt;"",VLOOKUP(LEFT(Y452,2),cityindex,2,0),1)</f>
        <v>0</v>
      </c>
      <c r="L452" s="149">
        <f>S452*markup*difficulty*IF(Y452&lt;&gt;"",VLOOKUP(LEFT(Y452,2),cityindex,3,0),1)</f>
        <v>0</v>
      </c>
      <c r="M452" s="149">
        <f>W452*markup*difficulty*IF(Y452&lt;&gt;"",VLOOKUP(LEFT(Y452,2),cityindex,3,0),1)</f>
        <v>0</v>
      </c>
      <c r="N452" s="149"/>
      <c r="O452" s="149">
        <f>SUM(K452:N452)*embed</f>
        <v>0</v>
      </c>
      <c r="P452" s="216">
        <f>ROUND((O452*I452),0)</f>
        <v>0</v>
      </c>
      <c r="Q452" s="291">
        <f>IF(O452=0,0,IF(X452=0,"manual",O452/((R452*tax*markup*IF(Y452&lt;&gt;"",VLOOKUP(LEFT(Y452,2),cityindex,2,0),1))+S452*markup*difficulty*IF(Y452&lt;&gt;"",VLOOKUP(LEFT(Y452,2),cityindex,3,0),1)+W452*markup*difficulty*IF(Y452&lt;&gt;"",VLOOKUP(LEFT(Y452,2),cityindex,3,0),1))))</f>
        <v>0</v>
      </c>
      <c r="S452" s="143">
        <f t="shared" si="348"/>
        <v>0</v>
      </c>
      <c r="X452" s="143">
        <f t="shared" si="349"/>
        <v>0</v>
      </c>
      <c r="AC452" s="613"/>
      <c r="AD452" s="604"/>
    </row>
    <row r="453" spans="4:30" ht="24.75" hidden="1" customHeight="1" x14ac:dyDescent="0.2">
      <c r="D453" s="217" t="str">
        <f>"TOTAL - " &amp; D450</f>
        <v>TOTAL - 13  SPECIAL CONSTRUCTION</v>
      </c>
      <c r="E453" s="217"/>
      <c r="F453" s="217"/>
      <c r="G453" s="217"/>
      <c r="H453" s="217"/>
      <c r="I453" s="218"/>
      <c r="J453" s="219"/>
      <c r="K453" s="220"/>
      <c r="L453" s="220"/>
      <c r="M453" s="220"/>
      <c r="N453" s="220"/>
      <c r="O453" s="221"/>
      <c r="P453" s="222">
        <f>SUM(P450:P452)</f>
        <v>0</v>
      </c>
      <c r="Q453" s="294" t="str">
        <f>_xlfn.CONCAT(TEXT(SUM(P453/GFA),"$#,##0.00"),"/SF")</f>
        <v>$0.00/SF</v>
      </c>
      <c r="S453" s="143">
        <f t="shared" si="348"/>
        <v>0</v>
      </c>
      <c r="X453" s="143">
        <f t="shared" si="349"/>
        <v>0</v>
      </c>
      <c r="Z453" s="314"/>
      <c r="AA453" s="315"/>
      <c r="AC453" s="613"/>
      <c r="AD453" s="604"/>
    </row>
    <row r="454" spans="4:30" hidden="1" x14ac:dyDescent="0.2">
      <c r="K454" s="149">
        <f>R454*tax*markup*IF(Y454&lt;&gt;"",VLOOKUP(LEFT(Y454,2),cityindex,2,0),1)</f>
        <v>0</v>
      </c>
      <c r="L454" s="149">
        <f>S454*markup*difficulty*IF(Y454&lt;&gt;"",VLOOKUP(LEFT(Y454,2),cityindex,3,0),1)</f>
        <v>0</v>
      </c>
      <c r="M454" s="149">
        <f>W454*markup*difficulty*IF(Y454&lt;&gt;"",VLOOKUP(LEFT(Y454,2),cityindex,3,0),1)</f>
        <v>0</v>
      </c>
      <c r="N454" s="149"/>
      <c r="O454" s="149">
        <f>SUM(K454:N454)*embed</f>
        <v>0</v>
      </c>
      <c r="P454" s="216">
        <f>ROUND((O454*I454),0)</f>
        <v>0</v>
      </c>
      <c r="Q454" s="291">
        <f>IF(O454=0,0,IF(X454=0,"manual",O454/((R454*tax*markup*IF(Y454&lt;&gt;"",VLOOKUP(LEFT(Y454,2),cityindex,2,0),1))+S454*markup*difficulty*IF(Y454&lt;&gt;"",VLOOKUP(LEFT(Y454,2),cityindex,3,0),1)+W454*markup*difficulty*IF(Y454&lt;&gt;"",VLOOKUP(LEFT(Y454,2),cityindex,3,0),1))))</f>
        <v>0</v>
      </c>
      <c r="S454" s="143">
        <f t="shared" si="348"/>
        <v>0</v>
      </c>
      <c r="X454" s="143">
        <f t="shared" si="349"/>
        <v>0</v>
      </c>
      <c r="AC454" s="613"/>
      <c r="AD454" s="604"/>
    </row>
    <row r="455" spans="4:30" hidden="1" x14ac:dyDescent="0.2">
      <c r="D455" s="214" t="s">
        <v>280</v>
      </c>
      <c r="E455" s="215"/>
      <c r="F455" s="215"/>
      <c r="G455" s="215"/>
      <c r="H455" s="215"/>
      <c r="K455" s="149">
        <f>R455*tax*markup*IF(Y455&lt;&gt;"",VLOOKUP(LEFT(Y455,2),cityindex,2,0),1)</f>
        <v>0</v>
      </c>
      <c r="L455" s="149">
        <f>S455*markup*difficulty*IF(Y455&lt;&gt;"",VLOOKUP(LEFT(Y455,2),cityindex,3,0),1)</f>
        <v>0</v>
      </c>
      <c r="M455" s="149">
        <f>W455*markup*difficulty*IF(Y455&lt;&gt;"",VLOOKUP(LEFT(Y455,2),cityindex,3,0),1)</f>
        <v>0</v>
      </c>
      <c r="N455" s="149"/>
      <c r="O455" s="149">
        <f>SUM(K455:N455)*embed</f>
        <v>0</v>
      </c>
      <c r="P455" s="216">
        <f>ROUND((O455*I455),0)</f>
        <v>0</v>
      </c>
      <c r="Q455" s="291">
        <f>IF(O455=0,0,IF(X455=0,"manual",O455/((R455*tax*markup*IF(Y455&lt;&gt;"",VLOOKUP(LEFT(Y455,2),cityindex,2,0),1))+S455*markup*difficulty*IF(Y455&lt;&gt;"",VLOOKUP(LEFT(Y455,2),cityindex,3,0),1)+W455*markup*difficulty*IF(Y455&lt;&gt;"",VLOOKUP(LEFT(Y455,2),cityindex,3,0),1))))</f>
        <v>0</v>
      </c>
      <c r="S455" s="143">
        <f t="shared" si="348"/>
        <v>0</v>
      </c>
      <c r="X455" s="143">
        <f t="shared" si="349"/>
        <v>0</v>
      </c>
      <c r="AC455" s="613"/>
      <c r="AD455" s="604"/>
    </row>
    <row r="456" spans="4:30" hidden="1" x14ac:dyDescent="0.2">
      <c r="D456" s="228"/>
      <c r="E456" s="228"/>
      <c r="F456" s="228"/>
      <c r="G456" s="228"/>
      <c r="H456" s="228"/>
      <c r="I456" s="230"/>
      <c r="J456" s="231"/>
      <c r="K456" s="149">
        <f>R456*tax*markup*IF(Y456&lt;&gt;"",VLOOKUP(LEFT(Y456,2),cityindex,2,0),1)</f>
        <v>0</v>
      </c>
      <c r="L456" s="149">
        <f>S456*markup*difficulty*IF(Y456&lt;&gt;"",VLOOKUP(LEFT(Y456,2),cityindex,3,0),1)</f>
        <v>0</v>
      </c>
      <c r="M456" s="149">
        <f>W456*markup*difficulty*IF(Y456&lt;&gt;"",VLOOKUP(LEFT(Y456,2),cityindex,3,0),1)</f>
        <v>0</v>
      </c>
      <c r="N456" s="149"/>
      <c r="O456" s="149">
        <f>SUM(K456:N456)*embed</f>
        <v>0</v>
      </c>
      <c r="P456" s="216">
        <f>ROUND((O456*I456),0)</f>
        <v>0</v>
      </c>
      <c r="Q456" s="291">
        <f>IF(O456=0,0,IF(X456=0,"manual",(O456/(R456*tax*markup*IF(Y456&lt;&gt;"",VLOOKUP(LEFT(Y456,2),cityindex,2,0),1)+S456*markup*difficulty*IF(Y456&lt;&gt;"",VLOOKUP(LEFT(Y456,2),cityindex,3,0),1)+W456*markup*difficulty*IF(Y456&lt;&gt;"",VLOOKUP(LEFT(Y456,2),cityindex,3,0),1)))-1))</f>
        <v>0</v>
      </c>
      <c r="S456" s="143">
        <f t="shared" si="348"/>
        <v>0</v>
      </c>
      <c r="X456" s="143">
        <f t="shared" si="349"/>
        <v>0</v>
      </c>
      <c r="AC456" s="613"/>
      <c r="AD456" s="604"/>
    </row>
    <row r="457" spans="4:30" hidden="1" x14ac:dyDescent="0.2">
      <c r="K457" s="149">
        <f>R457*tax*markup*IF(Y457&lt;&gt;"",VLOOKUP(LEFT(Y457,2),cityindex,2,0),1)</f>
        <v>0</v>
      </c>
      <c r="L457" s="149">
        <f>S457*markup*difficulty*IF(Y457&lt;&gt;"",VLOOKUP(LEFT(Y457,2),cityindex,3,0),1)</f>
        <v>0</v>
      </c>
      <c r="M457" s="149">
        <f>W457*markup*difficulty*IF(Y457&lt;&gt;"",VLOOKUP(LEFT(Y457,2),cityindex,3,0),1)</f>
        <v>0</v>
      </c>
      <c r="N457" s="149"/>
      <c r="O457" s="149">
        <f>SUM(K457:N457)*embed</f>
        <v>0</v>
      </c>
      <c r="P457" s="216">
        <f>ROUND((O457*I457),0)</f>
        <v>0</v>
      </c>
      <c r="Q457" s="291">
        <f>IF(O457=0,0,IF(X457=0,"manual",O457/((R457*tax*markup*IF(Y457&lt;&gt;"",VLOOKUP(LEFT(Y457,2),cityindex,2,0),1))+S457*markup*difficulty*IF(Y457&lt;&gt;"",VLOOKUP(LEFT(Y457,2),cityindex,3,0),1)+W457*markup*difficulty*IF(Y457&lt;&gt;"",VLOOKUP(LEFT(Y457,2),cityindex,3,0),1))))</f>
        <v>0</v>
      </c>
      <c r="S457" s="143">
        <f t="shared" si="348"/>
        <v>0</v>
      </c>
      <c r="X457" s="143">
        <f t="shared" si="349"/>
        <v>0</v>
      </c>
      <c r="AC457" s="613"/>
      <c r="AD457" s="604"/>
    </row>
    <row r="458" spans="4:30" ht="24.75" hidden="1" customHeight="1" x14ac:dyDescent="0.2">
      <c r="D458" s="217" t="str">
        <f>"TOTAL - " &amp; D455</f>
        <v>TOTAL - 14  CONVEYING EQUIPMENT</v>
      </c>
      <c r="E458" s="217"/>
      <c r="F458" s="217"/>
      <c r="G458" s="217"/>
      <c r="H458" s="217"/>
      <c r="I458" s="218"/>
      <c r="J458" s="219"/>
      <c r="K458" s="220"/>
      <c r="L458" s="220"/>
      <c r="M458" s="220"/>
      <c r="N458" s="220"/>
      <c r="O458" s="221"/>
      <c r="P458" s="222">
        <f>SUM(P455:P457)</f>
        <v>0</v>
      </c>
      <c r="Q458" s="294" t="str">
        <f>_xlfn.CONCAT(TEXT(SUM(P458/GFA),"$#,##0.00"),"/SF")</f>
        <v>$0.00/SF</v>
      </c>
      <c r="S458" s="143">
        <f t="shared" si="348"/>
        <v>0</v>
      </c>
      <c r="X458" s="143">
        <f t="shared" si="349"/>
        <v>0</v>
      </c>
      <c r="Z458" s="314"/>
      <c r="AA458" s="315"/>
      <c r="AC458" s="613"/>
      <c r="AD458" s="604"/>
    </row>
    <row r="459" spans="4:30" hidden="1" x14ac:dyDescent="0.2">
      <c r="K459" s="149">
        <f>R459*tax*markup*IF(Y459&lt;&gt;"",VLOOKUP(LEFT(Y459,2),cityindex,2,0),1)</f>
        <v>0</v>
      </c>
      <c r="L459" s="149">
        <f>S459*markup*difficulty*IF(Y459&lt;&gt;"",VLOOKUP(LEFT(Y459,2),cityindex,3,0),1)</f>
        <v>0</v>
      </c>
      <c r="M459" s="149">
        <f t="shared" ref="M459:M467" si="366">W459*markup*difficulty*IF(Y459&lt;&gt;"",VLOOKUP(LEFT(Y459,2),cityindex,3,0),1)</f>
        <v>0</v>
      </c>
      <c r="N459" s="149"/>
      <c r="O459" s="149">
        <f t="shared" ref="O459:O467" si="367">SUM(K459:N459)*embed</f>
        <v>0</v>
      </c>
      <c r="P459" s="216">
        <f t="shared" ref="P459:P467" si="368">ROUND((O459*I459),0)</f>
        <v>0</v>
      </c>
      <c r="Q459" s="291">
        <f>IF(O459=0,0,IF(X459=0,"manual",O459/((R459*tax*markup*IF(Y459&lt;&gt;"",VLOOKUP(LEFT(Y459,2),cityindex,2,0),1))+S459*markup*difficulty*IF(Y459&lt;&gt;"",VLOOKUP(LEFT(Y459,2),cityindex,3,0),1)+W459*markup*difficulty*IF(Y459&lt;&gt;"",VLOOKUP(LEFT(Y459,2),cityindex,3,0),1))))</f>
        <v>0</v>
      </c>
      <c r="S459" s="143">
        <f t="shared" si="348"/>
        <v>0</v>
      </c>
      <c r="X459" s="143">
        <f t="shared" si="349"/>
        <v>0</v>
      </c>
      <c r="AC459" s="613"/>
      <c r="AD459" s="604"/>
    </row>
    <row r="460" spans="4:30" x14ac:dyDescent="0.2">
      <c r="D460" s="214" t="s">
        <v>281</v>
      </c>
      <c r="E460" s="215"/>
      <c r="F460" s="215"/>
      <c r="G460" s="215"/>
      <c r="H460" s="215"/>
      <c r="K460" s="149">
        <f>R460*tax*markup*IF(Y460&lt;&gt;"",VLOOKUP(LEFT(Y460,2),cityindex,2,0),1)</f>
        <v>0</v>
      </c>
      <c r="L460" s="149">
        <f>S460*markup*difficulty*IF(Y460&lt;&gt;"",VLOOKUP(LEFT(Y460,2),cityindex,3,0),1)</f>
        <v>0</v>
      </c>
      <c r="M460" s="149">
        <f t="shared" si="366"/>
        <v>0</v>
      </c>
      <c r="N460" s="149"/>
      <c r="O460" s="149">
        <f t="shared" si="367"/>
        <v>0</v>
      </c>
      <c r="P460" s="216">
        <f t="shared" si="368"/>
        <v>0</v>
      </c>
      <c r="Q460" s="291">
        <f>IF(O460=0,0,IF(X460=0,"manual",O460/((R460*tax*markup*IF(Y460&lt;&gt;"",VLOOKUP(LEFT(Y460,2),cityindex,2,0),1))+S460*markup*difficulty*IF(Y460&lt;&gt;"",VLOOKUP(LEFT(Y460,2),cityindex,3,0),1)+W460*markup*difficulty*IF(Y460&lt;&gt;"",VLOOKUP(LEFT(Y460,2),cityindex,3,0),1))))</f>
        <v>0</v>
      </c>
      <c r="S460" s="143">
        <f t="shared" si="348"/>
        <v>0</v>
      </c>
      <c r="X460" s="143">
        <f t="shared" si="349"/>
        <v>0</v>
      </c>
      <c r="AC460" s="613"/>
      <c r="AD460" s="604"/>
    </row>
    <row r="461" spans="4:30" x14ac:dyDescent="0.2">
      <c r="D461" s="228"/>
      <c r="E461" s="228" t="s">
        <v>1506</v>
      </c>
      <c r="F461" s="228"/>
      <c r="G461" s="228"/>
      <c r="H461" s="228"/>
      <c r="I461" s="295">
        <v>27800</v>
      </c>
      <c r="J461" s="231" t="s">
        <v>301</v>
      </c>
      <c r="K461" s="232">
        <v>4.93</v>
      </c>
      <c r="L461" s="232">
        <f>K461*0.3</f>
        <v>1.4789999999999999</v>
      </c>
      <c r="M461" s="232">
        <f t="shared" ref="M461:M466" si="369">W461*markup*difficulty*IF(Y461&lt;&gt;"",VLOOKUP(LEFT(Y461,2),cityindex,3,0),1)</f>
        <v>0</v>
      </c>
      <c r="N461" s="232"/>
      <c r="O461" s="232">
        <f t="shared" ref="O461:O466" si="370">SUM(K461:N461)*embed</f>
        <v>6.4089999999999998</v>
      </c>
      <c r="P461" s="233">
        <f t="shared" si="368"/>
        <v>178170</v>
      </c>
      <c r="Q461" s="150" t="str">
        <f t="shared" ref="Q461:Q466" si="371">IF(O461=0,0,IF(X461=0,"manual",(O461/(R461*tax*markup*IF(Y461&lt;&gt;"",VLOOKUP(LEFT(Y461,2),cityindex,2,0),1)+S461*markup*difficulty*IF(Y461&lt;&gt;"",VLOOKUP(LEFT(Y461,2),cityindex,3,0),1)+W461*markup*difficulty*IF(Y461&lt;&gt;"",VLOOKUP(LEFT(Y461,2),cityindex,3,0),1)))-1))</f>
        <v>manual</v>
      </c>
      <c r="S461" s="143">
        <f t="shared" si="348"/>
        <v>0</v>
      </c>
      <c r="X461" s="143">
        <f t="shared" si="349"/>
        <v>0</v>
      </c>
      <c r="AC461" s="613"/>
    </row>
    <row r="462" spans="4:30" x14ac:dyDescent="0.2">
      <c r="D462" s="228"/>
      <c r="E462" s="228" t="s">
        <v>1649</v>
      </c>
      <c r="F462" s="228"/>
      <c r="G462" s="228"/>
      <c r="H462" s="228"/>
      <c r="I462" s="295">
        <v>770</v>
      </c>
      <c r="J462" s="231" t="s">
        <v>301</v>
      </c>
      <c r="K462" s="232">
        <v>5.43</v>
      </c>
      <c r="L462" s="232">
        <f>K462*0.3</f>
        <v>1.6289999999999998</v>
      </c>
      <c r="M462" s="232">
        <f>W462*markup*difficulty*IF(Y462&lt;&gt;"",VLOOKUP(LEFT(Y462,2),cityindex,3,0),1)</f>
        <v>0</v>
      </c>
      <c r="N462" s="232"/>
      <c r="O462" s="232">
        <f>SUM(K462:N462)*embed</f>
        <v>7.0589999999999993</v>
      </c>
      <c r="P462" s="233">
        <f>ROUND((O462*I462),0)</f>
        <v>5435</v>
      </c>
      <c r="Q462" s="150" t="str">
        <f t="shared" si="371"/>
        <v>manual</v>
      </c>
      <c r="S462" s="143">
        <f>U462*V462</f>
        <v>0</v>
      </c>
      <c r="X462" s="143">
        <f>SUM(R462,S462,W462)</f>
        <v>0</v>
      </c>
      <c r="AC462" s="613"/>
    </row>
    <row r="463" spans="4:30" x14ac:dyDescent="0.2">
      <c r="D463" s="228"/>
      <c r="E463" s="228" t="s">
        <v>1586</v>
      </c>
      <c r="F463" s="228"/>
      <c r="G463" s="228"/>
      <c r="H463" s="228"/>
      <c r="I463" s="295">
        <v>180</v>
      </c>
      <c r="J463" s="231" t="s">
        <v>301</v>
      </c>
      <c r="K463" s="232">
        <v>11.26</v>
      </c>
      <c r="L463" s="232">
        <f>K463*0.2</f>
        <v>2.2520000000000002</v>
      </c>
      <c r="M463" s="232">
        <f>W463*markup*difficulty*IF(Y463&lt;&gt;"",VLOOKUP(LEFT(Y463,2),cityindex,3,0),1)</f>
        <v>0</v>
      </c>
      <c r="N463" s="232"/>
      <c r="O463" s="232">
        <f>SUM(K463:N463)*embed</f>
        <v>13.512</v>
      </c>
      <c r="P463" s="233">
        <f>ROUND((O463*I463),0)</f>
        <v>2432</v>
      </c>
      <c r="Q463" s="150" t="str">
        <f t="shared" si="371"/>
        <v>manual</v>
      </c>
      <c r="S463" s="143">
        <f>U463*V463</f>
        <v>0</v>
      </c>
      <c r="X463" s="143">
        <f>SUM(R463,S463,W463)</f>
        <v>0</v>
      </c>
      <c r="AC463" s="613"/>
    </row>
    <row r="464" spans="4:30" x14ac:dyDescent="0.2">
      <c r="D464" s="228"/>
      <c r="E464" s="228" t="s">
        <v>1650</v>
      </c>
      <c r="F464" s="228"/>
      <c r="G464" s="228"/>
      <c r="H464" s="228"/>
      <c r="I464" s="295">
        <v>1</v>
      </c>
      <c r="J464" s="231" t="s">
        <v>992</v>
      </c>
      <c r="K464" s="232">
        <v>8753</v>
      </c>
      <c r="L464" s="232">
        <f>K464*0.15</f>
        <v>1312.95</v>
      </c>
      <c r="M464" s="232">
        <f t="shared" si="369"/>
        <v>0</v>
      </c>
      <c r="N464" s="232"/>
      <c r="O464" s="232">
        <f t="shared" si="370"/>
        <v>10065.950000000001</v>
      </c>
      <c r="P464" s="233">
        <f t="shared" si="368"/>
        <v>10066</v>
      </c>
      <c r="Q464" s="150" t="str">
        <f t="shared" si="371"/>
        <v>manual</v>
      </c>
      <c r="S464" s="143">
        <f t="shared" si="348"/>
        <v>0</v>
      </c>
      <c r="X464" s="143">
        <f t="shared" si="349"/>
        <v>0</v>
      </c>
      <c r="AC464" s="613"/>
    </row>
    <row r="465" spans="4:29" ht="12.75" customHeight="1" x14ac:dyDescent="0.2">
      <c r="D465" s="228"/>
      <c r="E465" s="143" t="s">
        <v>993</v>
      </c>
      <c r="G465" s="228"/>
      <c r="H465" s="228"/>
      <c r="I465" s="295">
        <f>I461+I462+I463</f>
        <v>28750</v>
      </c>
      <c r="J465" s="231" t="s">
        <v>301</v>
      </c>
      <c r="K465" s="296">
        <v>0.35</v>
      </c>
      <c r="L465" s="296">
        <v>0.45</v>
      </c>
      <c r="M465" s="296">
        <f t="shared" si="369"/>
        <v>0</v>
      </c>
      <c r="N465" s="149"/>
      <c r="O465" s="232">
        <f t="shared" si="370"/>
        <v>0.8</v>
      </c>
      <c r="P465" s="233">
        <f t="shared" si="368"/>
        <v>23000</v>
      </c>
      <c r="Q465" s="297" t="str">
        <f t="shared" si="371"/>
        <v>manual</v>
      </c>
      <c r="S465" s="143">
        <f t="shared" si="348"/>
        <v>0</v>
      </c>
      <c r="X465" s="143">
        <f t="shared" si="349"/>
        <v>0</v>
      </c>
      <c r="AC465" s="613"/>
    </row>
    <row r="466" spans="4:29" ht="12.75" customHeight="1" x14ac:dyDescent="0.2">
      <c r="E466" s="143" t="s">
        <v>994</v>
      </c>
      <c r="G466" s="228"/>
      <c r="H466" s="228"/>
      <c r="I466" s="295">
        <f>I465</f>
        <v>28750</v>
      </c>
      <c r="J466" s="231" t="s">
        <v>301</v>
      </c>
      <c r="K466" s="296">
        <v>0</v>
      </c>
      <c r="L466" s="296">
        <v>0.35</v>
      </c>
      <c r="M466" s="296">
        <f t="shared" si="369"/>
        <v>0</v>
      </c>
      <c r="N466" s="149"/>
      <c r="O466" s="232">
        <f t="shared" si="370"/>
        <v>0.35</v>
      </c>
      <c r="P466" s="233">
        <f t="shared" si="368"/>
        <v>10063</v>
      </c>
      <c r="Q466" s="297" t="str">
        <f t="shared" si="371"/>
        <v>manual</v>
      </c>
      <c r="S466" s="143">
        <f t="shared" si="348"/>
        <v>0</v>
      </c>
      <c r="X466" s="143">
        <f t="shared" si="349"/>
        <v>0</v>
      </c>
      <c r="AC466" s="613"/>
    </row>
    <row r="467" spans="4:29" x14ac:dyDescent="0.2">
      <c r="K467" s="149">
        <f>R467*tax*markup*IF(Y467&lt;&gt;"",VLOOKUP(LEFT(Y467,2),cityindex,2,0),1)</f>
        <v>0</v>
      </c>
      <c r="L467" s="149">
        <f>S467*markup*difficulty*IF(Y467&lt;&gt;"",VLOOKUP(LEFT(Y467,2),cityindex,3,0),1)</f>
        <v>0</v>
      </c>
      <c r="M467" s="149">
        <f t="shared" si="366"/>
        <v>0</v>
      </c>
      <c r="N467" s="149"/>
      <c r="O467" s="149">
        <f t="shared" si="367"/>
        <v>0</v>
      </c>
      <c r="P467" s="216">
        <f t="shared" si="368"/>
        <v>0</v>
      </c>
      <c r="Q467" s="291">
        <f>IF(O467=0,0,IF(X467=0,"manual",O467/((R467*tax*markup*IF(Y467&lt;&gt;"",VLOOKUP(LEFT(Y467,2),cityindex,2,0),1))+S467*markup*difficulty*IF(Y467&lt;&gt;"",VLOOKUP(LEFT(Y467,2),cityindex,3,0),1)+W467*markup*difficulty*IF(Y467&lt;&gt;"",VLOOKUP(LEFT(Y467,2),cityindex,3,0),1))))</f>
        <v>0</v>
      </c>
      <c r="S467" s="143">
        <f t="shared" si="348"/>
        <v>0</v>
      </c>
      <c r="X467" s="143">
        <f t="shared" si="349"/>
        <v>0</v>
      </c>
      <c r="AC467" s="613"/>
    </row>
    <row r="468" spans="4:29" ht="24.75" customHeight="1" x14ac:dyDescent="0.2">
      <c r="D468" s="217" t="str">
        <f>"TOTAL - " &amp; D460</f>
        <v>TOTAL - 21  FIRE SUPPRESSION</v>
      </c>
      <c r="E468" s="217"/>
      <c r="F468" s="217"/>
      <c r="G468" s="217"/>
      <c r="H468" s="217"/>
      <c r="I468" s="218"/>
      <c r="J468" s="219"/>
      <c r="K468" s="220"/>
      <c r="L468" s="220"/>
      <c r="M468" s="220"/>
      <c r="N468" s="220"/>
      <c r="O468" s="221"/>
      <c r="P468" s="222">
        <f>SUM(P460:P467)</f>
        <v>229166</v>
      </c>
      <c r="Q468" s="294" t="str">
        <f>_xlfn.CONCAT(TEXT(SUM(P468/GFA),"$#,##0.00"),"/SF")</f>
        <v>$7.28/SF</v>
      </c>
      <c r="S468" s="143">
        <f t="shared" si="348"/>
        <v>0</v>
      </c>
      <c r="X468" s="143">
        <f t="shared" si="349"/>
        <v>0</v>
      </c>
      <c r="Z468" s="314"/>
      <c r="AA468" s="315"/>
      <c r="AC468" s="613"/>
    </row>
    <row r="469" spans="4:29" x14ac:dyDescent="0.2">
      <c r="K469" s="149">
        <f>R469*tax*markup*IF(Y469&lt;&gt;"",VLOOKUP(LEFT(Y469,2),cityindex,2,0),1)</f>
        <v>0</v>
      </c>
      <c r="L469" s="149">
        <f>S469*markup*difficulty*IF(Y469&lt;&gt;"",VLOOKUP(LEFT(Y469,2),cityindex,3,0),1)</f>
        <v>0</v>
      </c>
      <c r="M469" s="149">
        <f>W469*markup*difficulty*IF(Y469&lt;&gt;"",VLOOKUP(LEFT(Y469,2),cityindex,3,0),1)</f>
        <v>0</v>
      </c>
      <c r="N469" s="149"/>
      <c r="O469" s="149">
        <f>SUM(K469:N469)*embed</f>
        <v>0</v>
      </c>
      <c r="P469" s="216">
        <f>ROUND((O469*I469),0)</f>
        <v>0</v>
      </c>
      <c r="Q469" s="291">
        <f>IF(O469=0,0,IF(X469=0,"manual",O469/((R469*tax*markup*IF(Y469&lt;&gt;"",VLOOKUP(LEFT(Y469,2),cityindex,2,0),1))+S469*markup*difficulty*IF(Y469&lt;&gt;"",VLOOKUP(LEFT(Y469,2),cityindex,3,0),1)+W469*markup*difficulty*IF(Y469&lt;&gt;"",VLOOKUP(LEFT(Y469,2),cityindex,3,0),1))))</f>
        <v>0</v>
      </c>
      <c r="S469" s="143">
        <f t="shared" si="348"/>
        <v>0</v>
      </c>
      <c r="X469" s="143">
        <f t="shared" si="349"/>
        <v>0</v>
      </c>
    </row>
    <row r="470" spans="4:29" x14ac:dyDescent="0.2">
      <c r="D470" s="214" t="s">
        <v>282</v>
      </c>
      <c r="E470" s="215"/>
      <c r="F470" s="215"/>
      <c r="G470" s="215"/>
      <c r="H470" s="215"/>
      <c r="K470" s="149">
        <f>R470*tax*markup*IF(Y470&lt;&gt;"",VLOOKUP(LEFT(Y470,2),cityindex,2,0),1)</f>
        <v>0</v>
      </c>
      <c r="L470" s="149">
        <f>S470*markup*difficulty*IF(Y470&lt;&gt;"",VLOOKUP(LEFT(Y470,2),cityindex,3,0),1)</f>
        <v>0</v>
      </c>
      <c r="M470" s="149">
        <f>W470*markup*difficulty*IF(Y470&lt;&gt;"",VLOOKUP(LEFT(Y470,2),cityindex,3,0),1)</f>
        <v>0</v>
      </c>
      <c r="N470" s="149"/>
      <c r="O470" s="149">
        <f>SUM(K470:N470)*embed</f>
        <v>0</v>
      </c>
      <c r="P470" s="216">
        <f>ROUND((O470*I470),0)</f>
        <v>0</v>
      </c>
      <c r="Q470" s="291">
        <f>IF(O470=0,0,IF(X470=0,"manual",O470/((R470*tax*markup*IF(Y470&lt;&gt;"",VLOOKUP(LEFT(Y470,2),cityindex,2,0),1))+S470*markup*difficulty*IF(Y470&lt;&gt;"",VLOOKUP(LEFT(Y470,2),cityindex,3,0),1)+W470*markup*difficulty*IF(Y470&lt;&gt;"",VLOOKUP(LEFT(Y470,2),cityindex,3,0),1))))</f>
        <v>0</v>
      </c>
      <c r="S470" s="143">
        <f t="shared" si="348"/>
        <v>0</v>
      </c>
      <c r="X470" s="143">
        <f t="shared" si="349"/>
        <v>0</v>
      </c>
    </row>
    <row r="471" spans="4:29" x14ac:dyDescent="0.2">
      <c r="D471" s="228"/>
      <c r="E471" s="228" t="s">
        <v>995</v>
      </c>
      <c r="F471" s="228"/>
      <c r="G471" s="228"/>
      <c r="H471" s="228"/>
      <c r="I471" s="230"/>
      <c r="J471" s="231"/>
      <c r="K471" s="232">
        <f>R471*tax*markup*IF(Y471&lt;&gt;"",VLOOKUP(LEFT(Y471,2),cityindex,2,0),1)</f>
        <v>0</v>
      </c>
      <c r="L471" s="232">
        <f>S471*markup*difficulty*IF(Y471&lt;&gt;"",VLOOKUP(LEFT(Y471,2),cityindex,3,0),1)</f>
        <v>0</v>
      </c>
      <c r="M471" s="232">
        <f t="shared" ref="M471:M502" si="372">W471*markup*difficulty*IF(Y471&lt;&gt;"",VLOOKUP(LEFT(Y471,2),cityindex,3,0),1)</f>
        <v>0</v>
      </c>
      <c r="N471" s="232"/>
      <c r="O471" s="232">
        <f t="shared" ref="O471:O502" si="373">SUM(K471:N471)*embed</f>
        <v>0</v>
      </c>
      <c r="P471" s="233">
        <f t="shared" ref="P471:P535" si="374">ROUND((O471*I471),0)</f>
        <v>0</v>
      </c>
      <c r="Q471" s="298">
        <f t="shared" ref="Q471:Q502" si="375">IF(O471=0,0,IF(X471=0,"manual",(O471/(R471*tax*markup*IF(Y471&lt;&gt;"",VLOOKUP(LEFT(Y471,2),cityindex,2,0),1)+S471*markup*difficulty*IF(Y471&lt;&gt;"",VLOOKUP(LEFT(Y471,2),cityindex,3,0),1)+W471*markup*difficulty*IF(Y471&lt;&gt;"",VLOOKUP(LEFT(Y471,2),cityindex,3,0),1)))-1))</f>
        <v>0</v>
      </c>
      <c r="S471" s="143">
        <f t="shared" si="348"/>
        <v>0</v>
      </c>
      <c r="X471" s="143">
        <f t="shared" si="349"/>
        <v>0</v>
      </c>
    </row>
    <row r="472" spans="4:29" x14ac:dyDescent="0.2">
      <c r="F472" s="228" t="s">
        <v>996</v>
      </c>
      <c r="G472" s="228"/>
      <c r="H472" s="228"/>
      <c r="I472" s="230"/>
      <c r="J472" s="231"/>
      <c r="K472" s="232"/>
      <c r="L472" s="232"/>
      <c r="M472" s="232">
        <f t="shared" si="372"/>
        <v>0</v>
      </c>
      <c r="N472" s="232"/>
      <c r="O472" s="232">
        <f t="shared" si="373"/>
        <v>0</v>
      </c>
      <c r="P472" s="233">
        <f t="shared" si="374"/>
        <v>0</v>
      </c>
      <c r="Q472" s="298">
        <f t="shared" si="375"/>
        <v>0</v>
      </c>
      <c r="S472" s="143">
        <f t="shared" si="348"/>
        <v>0</v>
      </c>
      <c r="X472" s="143">
        <f t="shared" si="349"/>
        <v>0</v>
      </c>
    </row>
    <row r="473" spans="4:29" x14ac:dyDescent="0.2">
      <c r="F473" s="228"/>
      <c r="G473" s="228" t="s">
        <v>1462</v>
      </c>
      <c r="H473" s="228"/>
      <c r="I473" s="230">
        <v>8</v>
      </c>
      <c r="J473" s="231" t="s">
        <v>390</v>
      </c>
      <c r="K473" s="232">
        <v>1587</v>
      </c>
      <c r="L473" s="232">
        <f>K473*0.16</f>
        <v>253.92000000000002</v>
      </c>
      <c r="M473" s="232">
        <f t="shared" si="372"/>
        <v>0</v>
      </c>
      <c r="N473" s="232"/>
      <c r="O473" s="232">
        <f t="shared" si="373"/>
        <v>1840.92</v>
      </c>
      <c r="P473" s="233">
        <f t="shared" si="374"/>
        <v>14727</v>
      </c>
      <c r="Q473" s="298" t="str">
        <f t="shared" si="375"/>
        <v>manual</v>
      </c>
      <c r="S473" s="143">
        <f t="shared" si="348"/>
        <v>0</v>
      </c>
      <c r="X473" s="143">
        <f t="shared" si="349"/>
        <v>0</v>
      </c>
      <c r="Z473" s="311" t="s">
        <v>1463</v>
      </c>
    </row>
    <row r="474" spans="4:29" x14ac:dyDescent="0.2">
      <c r="F474" s="228"/>
      <c r="G474" s="228" t="s">
        <v>1464</v>
      </c>
      <c r="H474" s="228"/>
      <c r="I474" s="230">
        <v>6</v>
      </c>
      <c r="J474" s="231" t="s">
        <v>390</v>
      </c>
      <c r="K474" s="232">
        <v>1442</v>
      </c>
      <c r="L474" s="232">
        <f t="shared" ref="L474:L478" si="376">K474*0.16</f>
        <v>230.72</v>
      </c>
      <c r="M474" s="232">
        <f t="shared" si="372"/>
        <v>0</v>
      </c>
      <c r="N474" s="232"/>
      <c r="O474" s="232">
        <f t="shared" si="373"/>
        <v>1672.72</v>
      </c>
      <c r="P474" s="233">
        <f t="shared" si="374"/>
        <v>10036</v>
      </c>
      <c r="Q474" s="298" t="str">
        <f t="shared" si="375"/>
        <v>manual</v>
      </c>
      <c r="S474" s="143">
        <f t="shared" si="348"/>
        <v>0</v>
      </c>
      <c r="X474" s="143">
        <f t="shared" si="349"/>
        <v>0</v>
      </c>
      <c r="Z474" s="311" t="s">
        <v>1463</v>
      </c>
    </row>
    <row r="475" spans="4:29" x14ac:dyDescent="0.2">
      <c r="F475" s="228"/>
      <c r="G475" s="228" t="s">
        <v>1465</v>
      </c>
      <c r="H475" s="228"/>
      <c r="I475" s="230">
        <v>3</v>
      </c>
      <c r="J475" s="231" t="s">
        <v>390</v>
      </c>
      <c r="K475" s="232">
        <v>1551</v>
      </c>
      <c r="L475" s="232">
        <f t="shared" si="376"/>
        <v>248.16</v>
      </c>
      <c r="M475" s="232">
        <f t="shared" si="372"/>
        <v>0</v>
      </c>
      <c r="N475" s="232"/>
      <c r="O475" s="232">
        <f t="shared" si="373"/>
        <v>1799.16</v>
      </c>
      <c r="P475" s="233">
        <f t="shared" si="374"/>
        <v>5397</v>
      </c>
      <c r="Q475" s="298" t="str">
        <f t="shared" si="375"/>
        <v>manual</v>
      </c>
      <c r="S475" s="143">
        <f t="shared" si="348"/>
        <v>0</v>
      </c>
      <c r="X475" s="143">
        <f t="shared" si="349"/>
        <v>0</v>
      </c>
      <c r="Z475" s="311" t="s">
        <v>1463</v>
      </c>
    </row>
    <row r="476" spans="4:29" x14ac:dyDescent="0.2">
      <c r="F476" s="228"/>
      <c r="G476" s="228" t="s">
        <v>1466</v>
      </c>
      <c r="H476" s="228"/>
      <c r="I476" s="230">
        <v>1</v>
      </c>
      <c r="J476" s="231" t="s">
        <v>390</v>
      </c>
      <c r="K476" s="232">
        <v>3482</v>
      </c>
      <c r="L476" s="232">
        <f t="shared" si="376"/>
        <v>557.12</v>
      </c>
      <c r="M476" s="232">
        <f t="shared" si="372"/>
        <v>0</v>
      </c>
      <c r="N476" s="232"/>
      <c r="O476" s="232">
        <f t="shared" si="373"/>
        <v>4039.12</v>
      </c>
      <c r="P476" s="233">
        <f t="shared" si="374"/>
        <v>4039</v>
      </c>
      <c r="Q476" s="298" t="str">
        <f t="shared" si="375"/>
        <v>manual</v>
      </c>
      <c r="S476" s="143">
        <f t="shared" si="348"/>
        <v>0</v>
      </c>
      <c r="X476" s="143">
        <f t="shared" si="349"/>
        <v>0</v>
      </c>
      <c r="Z476" s="311" t="s">
        <v>1463</v>
      </c>
    </row>
    <row r="477" spans="4:29" x14ac:dyDescent="0.2">
      <c r="F477" s="228"/>
      <c r="G477" s="228" t="s">
        <v>1467</v>
      </c>
      <c r="H477" s="228"/>
      <c r="I477" s="230">
        <v>4</v>
      </c>
      <c r="J477" s="231" t="s">
        <v>390</v>
      </c>
      <c r="K477" s="232">
        <v>1581</v>
      </c>
      <c r="L477" s="232">
        <f t="shared" si="376"/>
        <v>252.96</v>
      </c>
      <c r="M477" s="232">
        <f t="shared" si="372"/>
        <v>0</v>
      </c>
      <c r="N477" s="232"/>
      <c r="O477" s="232">
        <f t="shared" si="373"/>
        <v>1833.96</v>
      </c>
      <c r="P477" s="233">
        <f t="shared" si="374"/>
        <v>7336</v>
      </c>
      <c r="Q477" s="298" t="str">
        <f t="shared" si="375"/>
        <v>manual</v>
      </c>
      <c r="S477" s="143">
        <f t="shared" si="348"/>
        <v>0</v>
      </c>
      <c r="X477" s="143">
        <f t="shared" si="349"/>
        <v>0</v>
      </c>
      <c r="Z477" s="311" t="s">
        <v>1463</v>
      </c>
    </row>
    <row r="478" spans="4:29" x14ac:dyDescent="0.2">
      <c r="F478" s="228"/>
      <c r="G478" s="228" t="s">
        <v>1468</v>
      </c>
      <c r="H478" s="228"/>
      <c r="I478" s="230">
        <v>3</v>
      </c>
      <c r="J478" s="231" t="s">
        <v>390</v>
      </c>
      <c r="K478" s="232">
        <v>3560</v>
      </c>
      <c r="L478" s="232">
        <f t="shared" si="376"/>
        <v>569.6</v>
      </c>
      <c r="M478" s="232">
        <f t="shared" si="372"/>
        <v>0</v>
      </c>
      <c r="N478" s="232"/>
      <c r="O478" s="232">
        <f t="shared" si="373"/>
        <v>4129.6000000000004</v>
      </c>
      <c r="P478" s="233">
        <f t="shared" si="374"/>
        <v>12389</v>
      </c>
      <c r="Q478" s="298" t="str">
        <f t="shared" si="375"/>
        <v>manual</v>
      </c>
      <c r="S478" s="143">
        <f t="shared" si="348"/>
        <v>0</v>
      </c>
      <c r="X478" s="143">
        <f t="shared" si="349"/>
        <v>0</v>
      </c>
      <c r="Z478" s="311" t="s">
        <v>1463</v>
      </c>
    </row>
    <row r="479" spans="4:29" x14ac:dyDescent="0.2">
      <c r="D479" s="228"/>
      <c r="E479" s="228"/>
      <c r="F479" s="228"/>
      <c r="G479" s="228"/>
      <c r="H479" s="228"/>
      <c r="I479" s="230"/>
      <c r="J479" s="231"/>
      <c r="K479" s="232">
        <f>R479*tax*markup*IF(Y479&lt;&gt;"",VLOOKUP(LEFT(Y479,2),cityindex,2,0),1)</f>
        <v>0</v>
      </c>
      <c r="L479" s="232">
        <f>S479*markup*difficulty*IF(Y479&lt;&gt;"",VLOOKUP(LEFT(Y479,2),cityindex,3,0),1)</f>
        <v>0</v>
      </c>
      <c r="M479" s="232">
        <f t="shared" si="372"/>
        <v>0</v>
      </c>
      <c r="N479" s="232"/>
      <c r="O479" s="232">
        <f t="shared" si="373"/>
        <v>0</v>
      </c>
      <c r="P479" s="233">
        <f t="shared" si="374"/>
        <v>0</v>
      </c>
      <c r="Q479" s="298">
        <f t="shared" si="375"/>
        <v>0</v>
      </c>
      <c r="S479" s="143">
        <f t="shared" si="348"/>
        <v>0</v>
      </c>
      <c r="X479" s="143">
        <f t="shared" si="349"/>
        <v>0</v>
      </c>
    </row>
    <row r="480" spans="4:29" x14ac:dyDescent="0.2">
      <c r="F480" s="228" t="s">
        <v>997</v>
      </c>
      <c r="G480" s="228"/>
      <c r="I480" s="230"/>
      <c r="J480" s="231"/>
      <c r="K480" s="232"/>
      <c r="L480" s="232"/>
      <c r="M480" s="232">
        <f t="shared" si="372"/>
        <v>0</v>
      </c>
      <c r="N480" s="232"/>
      <c r="O480" s="232">
        <f t="shared" si="373"/>
        <v>0</v>
      </c>
      <c r="P480" s="233">
        <f t="shared" si="374"/>
        <v>0</v>
      </c>
      <c r="Q480" s="298">
        <f t="shared" si="375"/>
        <v>0</v>
      </c>
      <c r="S480" s="143">
        <f t="shared" si="348"/>
        <v>0</v>
      </c>
      <c r="X480" s="143">
        <f t="shared" si="349"/>
        <v>0</v>
      </c>
    </row>
    <row r="481" spans="4:24" x14ac:dyDescent="0.2">
      <c r="F481" s="228"/>
      <c r="G481" s="228" t="s">
        <v>998</v>
      </c>
      <c r="I481" s="230">
        <v>8</v>
      </c>
      <c r="J481" s="231" t="s">
        <v>390</v>
      </c>
      <c r="K481" s="232">
        <v>575</v>
      </c>
      <c r="L481" s="232">
        <v>61</v>
      </c>
      <c r="M481" s="232">
        <f t="shared" si="372"/>
        <v>0</v>
      </c>
      <c r="N481" s="232"/>
      <c r="O481" s="232">
        <f t="shared" si="373"/>
        <v>636</v>
      </c>
      <c r="P481" s="233">
        <f t="shared" si="374"/>
        <v>5088</v>
      </c>
      <c r="Q481" s="298" t="str">
        <f t="shared" si="375"/>
        <v>manual</v>
      </c>
      <c r="S481" s="143">
        <f t="shared" si="348"/>
        <v>0</v>
      </c>
      <c r="X481" s="143">
        <f t="shared" si="349"/>
        <v>0</v>
      </c>
    </row>
    <row r="482" spans="4:24" x14ac:dyDescent="0.2">
      <c r="F482" s="228"/>
      <c r="G482" s="228" t="s">
        <v>1469</v>
      </c>
      <c r="I482" s="230">
        <v>6</v>
      </c>
      <c r="J482" s="231" t="s">
        <v>390</v>
      </c>
      <c r="K482" s="232">
        <v>531</v>
      </c>
      <c r="L482" s="232">
        <v>79</v>
      </c>
      <c r="M482" s="232">
        <f t="shared" si="372"/>
        <v>0</v>
      </c>
      <c r="N482" s="232"/>
      <c r="O482" s="232">
        <f t="shared" si="373"/>
        <v>610</v>
      </c>
      <c r="P482" s="233">
        <f t="shared" si="374"/>
        <v>3660</v>
      </c>
      <c r="Q482" s="298" t="str">
        <f t="shared" si="375"/>
        <v>manual</v>
      </c>
      <c r="S482" s="143">
        <f t="shared" si="348"/>
        <v>0</v>
      </c>
      <c r="X482" s="143">
        <f t="shared" si="349"/>
        <v>0</v>
      </c>
    </row>
    <row r="483" spans="4:24" x14ac:dyDescent="0.2">
      <c r="F483" s="228"/>
      <c r="G483" s="228" t="s">
        <v>999</v>
      </c>
      <c r="I483" s="230">
        <v>3</v>
      </c>
      <c r="J483" s="231" t="s">
        <v>390</v>
      </c>
      <c r="K483" s="232">
        <v>592</v>
      </c>
      <c r="L483" s="232">
        <v>61</v>
      </c>
      <c r="M483" s="232">
        <f t="shared" si="372"/>
        <v>0</v>
      </c>
      <c r="N483" s="232"/>
      <c r="O483" s="232">
        <f t="shared" si="373"/>
        <v>653</v>
      </c>
      <c r="P483" s="233">
        <f t="shared" si="374"/>
        <v>1959</v>
      </c>
      <c r="Q483" s="298" t="str">
        <f t="shared" si="375"/>
        <v>manual</v>
      </c>
      <c r="S483" s="143">
        <f t="shared" si="348"/>
        <v>0</v>
      </c>
      <c r="X483" s="143">
        <f t="shared" si="349"/>
        <v>0</v>
      </c>
    </row>
    <row r="484" spans="4:24" x14ac:dyDescent="0.2">
      <c r="D484" s="228"/>
      <c r="E484" s="228"/>
      <c r="F484" s="228"/>
      <c r="G484" s="228"/>
      <c r="H484" s="228"/>
      <c r="I484" s="230"/>
      <c r="J484" s="231"/>
      <c r="K484" s="232">
        <f>R484*tax*markup*IF(Y484&lt;&gt;"",VLOOKUP(LEFT(Y484,2),cityindex,2,0),1)</f>
        <v>0</v>
      </c>
      <c r="L484" s="232">
        <f>S484*markup*difficulty*IF(Y484&lt;&gt;"",VLOOKUP(LEFT(Y484,2),cityindex,3,0),1)</f>
        <v>0</v>
      </c>
      <c r="M484" s="232">
        <f t="shared" si="372"/>
        <v>0</v>
      </c>
      <c r="N484" s="232"/>
      <c r="O484" s="232">
        <f t="shared" si="373"/>
        <v>0</v>
      </c>
      <c r="P484" s="233">
        <f t="shared" si="374"/>
        <v>0</v>
      </c>
      <c r="Q484" s="298">
        <f t="shared" si="375"/>
        <v>0</v>
      </c>
      <c r="S484" s="143">
        <f t="shared" si="348"/>
        <v>0</v>
      </c>
      <c r="X484" s="143">
        <f t="shared" si="349"/>
        <v>0</v>
      </c>
    </row>
    <row r="485" spans="4:24" x14ac:dyDescent="0.2">
      <c r="F485" s="228" t="s">
        <v>1470</v>
      </c>
      <c r="G485" s="228"/>
      <c r="I485" s="230"/>
      <c r="J485" s="231"/>
      <c r="K485" s="232"/>
      <c r="L485" s="232"/>
      <c r="M485" s="232">
        <f t="shared" si="372"/>
        <v>0</v>
      </c>
      <c r="N485" s="232"/>
      <c r="O485" s="232">
        <f t="shared" si="373"/>
        <v>0</v>
      </c>
      <c r="P485" s="233">
        <f t="shared" si="374"/>
        <v>0</v>
      </c>
      <c r="Q485" s="298">
        <f t="shared" si="375"/>
        <v>0</v>
      </c>
      <c r="S485" s="143">
        <f t="shared" si="348"/>
        <v>0</v>
      </c>
      <c r="X485" s="143">
        <f t="shared" si="349"/>
        <v>0</v>
      </c>
    </row>
    <row r="486" spans="4:24" x14ac:dyDescent="0.2">
      <c r="F486" s="228"/>
      <c r="G486" s="228" t="s">
        <v>1471</v>
      </c>
      <c r="I486" s="230">
        <v>6</v>
      </c>
      <c r="J486" s="231" t="s">
        <v>390</v>
      </c>
      <c r="K486" s="232">
        <f>831.37*1.15</f>
        <v>956.07549999999992</v>
      </c>
      <c r="L486" s="232">
        <f>K486*0.15</f>
        <v>143.41132499999998</v>
      </c>
      <c r="M486" s="232">
        <f t="shared" si="372"/>
        <v>0</v>
      </c>
      <c r="N486" s="232"/>
      <c r="O486" s="232">
        <f t="shared" si="373"/>
        <v>1099.486825</v>
      </c>
      <c r="P486" s="233">
        <f t="shared" si="374"/>
        <v>6597</v>
      </c>
      <c r="Q486" s="298" t="str">
        <f t="shared" si="375"/>
        <v>manual</v>
      </c>
      <c r="S486" s="143">
        <f t="shared" si="348"/>
        <v>0</v>
      </c>
      <c r="X486" s="143">
        <f t="shared" si="349"/>
        <v>0</v>
      </c>
    </row>
    <row r="487" spans="4:24" x14ac:dyDescent="0.2">
      <c r="F487" s="228"/>
      <c r="G487" s="228" t="s">
        <v>1472</v>
      </c>
      <c r="I487" s="230">
        <v>9</v>
      </c>
      <c r="J487" s="231" t="s">
        <v>390</v>
      </c>
      <c r="K487" s="232">
        <v>511</v>
      </c>
      <c r="L487" s="232">
        <v>71</v>
      </c>
      <c r="M487" s="232">
        <f t="shared" si="372"/>
        <v>0</v>
      </c>
      <c r="N487" s="232"/>
      <c r="O487" s="232">
        <f t="shared" si="373"/>
        <v>582</v>
      </c>
      <c r="P487" s="233">
        <f t="shared" si="374"/>
        <v>5238</v>
      </c>
      <c r="Q487" s="298" t="str">
        <f t="shared" si="375"/>
        <v>manual</v>
      </c>
      <c r="S487" s="143">
        <f t="shared" si="348"/>
        <v>0</v>
      </c>
      <c r="X487" s="143">
        <f t="shared" si="349"/>
        <v>0</v>
      </c>
    </row>
    <row r="488" spans="4:24" x14ac:dyDescent="0.2">
      <c r="F488" s="228"/>
      <c r="G488" s="228" t="s">
        <v>1000</v>
      </c>
      <c r="I488" s="230">
        <v>4</v>
      </c>
      <c r="J488" s="231" t="s">
        <v>390</v>
      </c>
      <c r="K488" s="232">
        <v>317.26</v>
      </c>
      <c r="L488" s="232">
        <v>48.05</v>
      </c>
      <c r="M488" s="232">
        <f t="shared" si="372"/>
        <v>0</v>
      </c>
      <c r="N488" s="232"/>
      <c r="O488" s="232">
        <f t="shared" si="373"/>
        <v>365.31</v>
      </c>
      <c r="P488" s="233">
        <f t="shared" si="374"/>
        <v>1461</v>
      </c>
      <c r="Q488" s="298" t="str">
        <f t="shared" si="375"/>
        <v>manual</v>
      </c>
      <c r="S488" s="143">
        <f t="shared" si="348"/>
        <v>0</v>
      </c>
      <c r="X488" s="143">
        <f t="shared" si="349"/>
        <v>0</v>
      </c>
    </row>
    <row r="489" spans="4:24" x14ac:dyDescent="0.2">
      <c r="F489" s="228"/>
      <c r="G489" s="228" t="s">
        <v>1473</v>
      </c>
      <c r="I489" s="230">
        <v>11</v>
      </c>
      <c r="J489" s="231" t="s">
        <v>390</v>
      </c>
      <c r="K489" s="232">
        <v>354.47</v>
      </c>
      <c r="L489" s="232">
        <v>101.36</v>
      </c>
      <c r="M489" s="232">
        <f t="shared" si="372"/>
        <v>0</v>
      </c>
      <c r="N489" s="232"/>
      <c r="O489" s="232">
        <f t="shared" si="373"/>
        <v>455.83000000000004</v>
      </c>
      <c r="P489" s="233">
        <f t="shared" si="374"/>
        <v>5014</v>
      </c>
      <c r="Q489" s="298" t="str">
        <f t="shared" si="375"/>
        <v>manual</v>
      </c>
      <c r="S489" s="143">
        <f t="shared" si="348"/>
        <v>0</v>
      </c>
      <c r="X489" s="143">
        <f t="shared" si="349"/>
        <v>0</v>
      </c>
    </row>
    <row r="490" spans="4:24" x14ac:dyDescent="0.2">
      <c r="D490" s="228"/>
      <c r="F490" s="228"/>
      <c r="G490" s="228" t="s">
        <v>1474</v>
      </c>
      <c r="H490" s="228"/>
      <c r="I490" s="230">
        <v>9</v>
      </c>
      <c r="J490" s="231" t="s">
        <v>390</v>
      </c>
      <c r="K490" s="232">
        <v>353</v>
      </c>
      <c r="L490" s="232">
        <f>K490*0.15</f>
        <v>52.949999999999996</v>
      </c>
      <c r="M490" s="232">
        <f t="shared" si="372"/>
        <v>0</v>
      </c>
      <c r="N490" s="232"/>
      <c r="O490" s="232">
        <f t="shared" si="373"/>
        <v>405.95</v>
      </c>
      <c r="P490" s="233">
        <f t="shared" si="374"/>
        <v>3654</v>
      </c>
      <c r="Q490" s="298" t="str">
        <f t="shared" si="375"/>
        <v>manual</v>
      </c>
      <c r="S490" s="143">
        <f t="shared" si="348"/>
        <v>0</v>
      </c>
      <c r="X490" s="143">
        <f t="shared" si="349"/>
        <v>0</v>
      </c>
    </row>
    <row r="491" spans="4:24" x14ac:dyDescent="0.2">
      <c r="E491" s="228"/>
      <c r="G491" s="228" t="s">
        <v>1475</v>
      </c>
      <c r="H491" s="228"/>
      <c r="I491" s="230">
        <v>10</v>
      </c>
      <c r="J491" s="231" t="s">
        <v>390</v>
      </c>
      <c r="K491" s="232">
        <v>348</v>
      </c>
      <c r="L491" s="232">
        <v>122</v>
      </c>
      <c r="M491" s="232">
        <f t="shared" si="372"/>
        <v>0</v>
      </c>
      <c r="N491" s="232"/>
      <c r="O491" s="232">
        <f t="shared" si="373"/>
        <v>470</v>
      </c>
      <c r="P491" s="233">
        <f t="shared" si="374"/>
        <v>4700</v>
      </c>
      <c r="Q491" s="298" t="str">
        <f t="shared" si="375"/>
        <v>manual</v>
      </c>
      <c r="S491" s="143">
        <f t="shared" si="348"/>
        <v>0</v>
      </c>
      <c r="X491" s="143">
        <f t="shared" si="349"/>
        <v>0</v>
      </c>
    </row>
    <row r="492" spans="4:24" x14ac:dyDescent="0.2">
      <c r="D492" s="228"/>
      <c r="E492" s="228"/>
      <c r="F492" s="228"/>
      <c r="G492" s="228" t="s">
        <v>1476</v>
      </c>
      <c r="H492" s="228"/>
      <c r="I492" s="230">
        <v>5</v>
      </c>
      <c r="J492" s="231" t="s">
        <v>390</v>
      </c>
      <c r="K492" s="232">
        <f>432</f>
        <v>432</v>
      </c>
      <c r="L492" s="232">
        <f>K492*0.15</f>
        <v>64.8</v>
      </c>
      <c r="M492" s="232">
        <f t="shared" si="372"/>
        <v>0</v>
      </c>
      <c r="N492" s="232"/>
      <c r="O492" s="232">
        <f t="shared" si="373"/>
        <v>496.8</v>
      </c>
      <c r="P492" s="233">
        <f t="shared" si="374"/>
        <v>2484</v>
      </c>
      <c r="Q492" s="298" t="str">
        <f t="shared" si="375"/>
        <v>manual</v>
      </c>
      <c r="S492" s="143">
        <f t="shared" si="348"/>
        <v>0</v>
      </c>
      <c r="X492" s="143">
        <f t="shared" si="349"/>
        <v>0</v>
      </c>
    </row>
    <row r="493" spans="4:24" x14ac:dyDescent="0.2">
      <c r="D493" s="228"/>
      <c r="E493" s="228"/>
      <c r="F493" s="228"/>
      <c r="G493" s="228" t="s">
        <v>1477</v>
      </c>
      <c r="H493" s="228"/>
      <c r="I493" s="230">
        <v>1</v>
      </c>
      <c r="J493" s="231" t="s">
        <v>390</v>
      </c>
      <c r="K493" s="232">
        <v>1352</v>
      </c>
      <c r="L493" s="232">
        <f>K493*0.15</f>
        <v>202.79999999999998</v>
      </c>
      <c r="M493" s="232">
        <f t="shared" si="372"/>
        <v>0</v>
      </c>
      <c r="N493" s="232"/>
      <c r="O493" s="232">
        <f t="shared" si="373"/>
        <v>1554.8</v>
      </c>
      <c r="P493" s="233">
        <f t="shared" si="374"/>
        <v>1555</v>
      </c>
      <c r="Q493" s="298" t="str">
        <f t="shared" si="375"/>
        <v>manual</v>
      </c>
      <c r="S493" s="143">
        <f t="shared" si="348"/>
        <v>0</v>
      </c>
      <c r="X493" s="143">
        <f t="shared" si="349"/>
        <v>0</v>
      </c>
    </row>
    <row r="494" spans="4:24" x14ac:dyDescent="0.2">
      <c r="D494" s="228"/>
      <c r="E494" s="228"/>
      <c r="F494" s="228"/>
      <c r="G494" s="228"/>
      <c r="H494" s="228"/>
      <c r="I494" s="230"/>
      <c r="J494" s="231"/>
      <c r="K494" s="232">
        <f>R494*tax*markup*IF(Y494&lt;&gt;"",VLOOKUP(LEFT(Y494,2),cityindex,2,0),1)</f>
        <v>0</v>
      </c>
      <c r="L494" s="232">
        <f>S494*markup*difficulty*IF(Y494&lt;&gt;"",VLOOKUP(LEFT(Y494,2),cityindex,3,0),1)</f>
        <v>0</v>
      </c>
      <c r="M494" s="232">
        <f t="shared" si="372"/>
        <v>0</v>
      </c>
      <c r="N494" s="232"/>
      <c r="O494" s="232">
        <f t="shared" si="373"/>
        <v>0</v>
      </c>
      <c r="P494" s="233">
        <f t="shared" si="374"/>
        <v>0</v>
      </c>
      <c r="Q494" s="298">
        <f t="shared" si="375"/>
        <v>0</v>
      </c>
      <c r="S494" s="143">
        <f t="shared" si="348"/>
        <v>0</v>
      </c>
      <c r="X494" s="143">
        <f t="shared" si="349"/>
        <v>0</v>
      </c>
    </row>
    <row r="495" spans="4:24" x14ac:dyDescent="0.2">
      <c r="E495" s="228" t="s">
        <v>1013</v>
      </c>
      <c r="F495" s="228"/>
      <c r="G495" s="228"/>
      <c r="H495" s="228"/>
      <c r="I495" s="230"/>
      <c r="J495" s="231"/>
      <c r="K495" s="232">
        <f>R495*tax*markup*IF(Y495&lt;&gt;"",VLOOKUP(LEFT(Y495,2),cityindex,2,0),1)</f>
        <v>0</v>
      </c>
      <c r="L495" s="232">
        <f>S495*markup*difficulty*IF(Y495&lt;&gt;"",VLOOKUP(LEFT(Y495,2),cityindex,3,0),1)</f>
        <v>0</v>
      </c>
      <c r="M495" s="232">
        <f t="shared" si="372"/>
        <v>0</v>
      </c>
      <c r="N495" s="232"/>
      <c r="O495" s="232">
        <f t="shared" si="373"/>
        <v>0</v>
      </c>
      <c r="P495" s="233">
        <f t="shared" si="374"/>
        <v>0</v>
      </c>
      <c r="Q495" s="298">
        <f t="shared" si="375"/>
        <v>0</v>
      </c>
      <c r="S495" s="143">
        <f t="shared" si="348"/>
        <v>0</v>
      </c>
      <c r="X495" s="143">
        <f t="shared" si="349"/>
        <v>0</v>
      </c>
    </row>
    <row r="496" spans="4:24" x14ac:dyDescent="0.2">
      <c r="E496" s="228"/>
      <c r="F496" s="228" t="s">
        <v>1651</v>
      </c>
      <c r="G496" s="228"/>
      <c r="H496" s="228"/>
      <c r="I496" s="230">
        <v>1</v>
      </c>
      <c r="J496" s="231" t="s">
        <v>390</v>
      </c>
      <c r="K496" s="232">
        <v>2353</v>
      </c>
      <c r="L496" s="232">
        <f>K496*0.15</f>
        <v>352.95</v>
      </c>
      <c r="M496" s="232">
        <f t="shared" si="372"/>
        <v>0</v>
      </c>
      <c r="N496" s="232"/>
      <c r="O496" s="232">
        <f t="shared" si="373"/>
        <v>2705.95</v>
      </c>
      <c r="P496" s="233">
        <f t="shared" si="374"/>
        <v>2706</v>
      </c>
      <c r="Q496" s="298" t="str">
        <f t="shared" si="375"/>
        <v>manual</v>
      </c>
      <c r="S496" s="143">
        <f t="shared" si="348"/>
        <v>0</v>
      </c>
      <c r="X496" s="143">
        <f t="shared" si="349"/>
        <v>0</v>
      </c>
    </row>
    <row r="497" spans="4:29" x14ac:dyDescent="0.2">
      <c r="E497" s="228"/>
      <c r="F497" s="228"/>
      <c r="G497" s="228" t="s">
        <v>1478</v>
      </c>
      <c r="H497" s="228"/>
      <c r="I497" s="230">
        <v>1</v>
      </c>
      <c r="J497" s="231" t="s">
        <v>390</v>
      </c>
      <c r="K497" s="232">
        <v>863</v>
      </c>
      <c r="L497" s="232">
        <v>119</v>
      </c>
      <c r="M497" s="232">
        <f t="shared" si="372"/>
        <v>0</v>
      </c>
      <c r="N497" s="232"/>
      <c r="O497" s="232">
        <f t="shared" si="373"/>
        <v>982</v>
      </c>
      <c r="P497" s="233">
        <f t="shared" si="374"/>
        <v>982</v>
      </c>
      <c r="Q497" s="298" t="str">
        <f t="shared" si="375"/>
        <v>manual</v>
      </c>
      <c r="S497" s="143">
        <f t="shared" si="348"/>
        <v>0</v>
      </c>
      <c r="X497" s="143">
        <f t="shared" si="349"/>
        <v>0</v>
      </c>
    </row>
    <row r="498" spans="4:29" x14ac:dyDescent="0.2">
      <c r="E498" s="228"/>
      <c r="F498" s="228"/>
      <c r="G498" s="228" t="s">
        <v>1652</v>
      </c>
      <c r="H498" s="228"/>
      <c r="I498" s="230">
        <v>1</v>
      </c>
      <c r="J498" s="231" t="s">
        <v>390</v>
      </c>
      <c r="K498" s="232">
        <v>183</v>
      </c>
      <c r="L498" s="232">
        <v>26</v>
      </c>
      <c r="M498" s="232">
        <f t="shared" si="372"/>
        <v>0</v>
      </c>
      <c r="N498" s="232"/>
      <c r="O498" s="232">
        <f t="shared" si="373"/>
        <v>209</v>
      </c>
      <c r="P498" s="233">
        <f t="shared" si="374"/>
        <v>209</v>
      </c>
      <c r="Q498" s="298" t="str">
        <f t="shared" si="375"/>
        <v>manual</v>
      </c>
      <c r="S498" s="143">
        <f t="shared" si="348"/>
        <v>0</v>
      </c>
      <c r="X498" s="143">
        <f t="shared" si="349"/>
        <v>0</v>
      </c>
    </row>
    <row r="499" spans="4:29" x14ac:dyDescent="0.2">
      <c r="D499" s="228"/>
      <c r="E499" s="228"/>
      <c r="F499" s="228"/>
      <c r="G499" s="228" t="s">
        <v>1479</v>
      </c>
      <c r="H499" s="228"/>
      <c r="I499" s="230">
        <v>1</v>
      </c>
      <c r="J499" s="231" t="s">
        <v>390</v>
      </c>
      <c r="K499" s="232">
        <v>1452</v>
      </c>
      <c r="L499" s="232">
        <f>K499*0.15</f>
        <v>217.79999999999998</v>
      </c>
      <c r="M499" s="232">
        <f t="shared" si="372"/>
        <v>0</v>
      </c>
      <c r="N499" s="232"/>
      <c r="O499" s="232">
        <f t="shared" si="373"/>
        <v>1669.8</v>
      </c>
      <c r="P499" s="233">
        <f t="shared" si="374"/>
        <v>1670</v>
      </c>
      <c r="Q499" s="298" t="str">
        <f t="shared" si="375"/>
        <v>manual</v>
      </c>
      <c r="S499" s="143">
        <f t="shared" si="348"/>
        <v>0</v>
      </c>
      <c r="X499" s="143">
        <f t="shared" si="349"/>
        <v>0</v>
      </c>
    </row>
    <row r="500" spans="4:29" x14ac:dyDescent="0.2">
      <c r="E500" s="228"/>
      <c r="F500" s="228"/>
      <c r="G500" s="228"/>
      <c r="H500" s="228"/>
      <c r="I500" s="230"/>
      <c r="J500" s="231"/>
      <c r="K500" s="232">
        <f>R500*tax*markup*IF(Y500&lt;&gt;"",VLOOKUP(LEFT(Y500,2),cityindex,2,0),1)</f>
        <v>0</v>
      </c>
      <c r="L500" s="232">
        <f>S500*markup*difficulty*IF(Y500&lt;&gt;"",VLOOKUP(LEFT(Y500,2),cityindex,3,0),1)</f>
        <v>0</v>
      </c>
      <c r="M500" s="232">
        <f t="shared" si="372"/>
        <v>0</v>
      </c>
      <c r="N500" s="232"/>
      <c r="O500" s="232">
        <f t="shared" si="373"/>
        <v>0</v>
      </c>
      <c r="P500" s="233">
        <f t="shared" si="374"/>
        <v>0</v>
      </c>
      <c r="Q500" s="298">
        <f t="shared" si="375"/>
        <v>0</v>
      </c>
      <c r="S500" s="143">
        <f t="shared" ref="S500:S502" si="377">U500*V500</f>
        <v>0</v>
      </c>
      <c r="X500" s="143">
        <f t="shared" ref="X500:X502" si="378">SUM(R500,S500,W500)</f>
        <v>0</v>
      </c>
    </row>
    <row r="501" spans="4:29" x14ac:dyDescent="0.2">
      <c r="E501" s="228"/>
      <c r="F501" s="228" t="s">
        <v>1480</v>
      </c>
      <c r="G501" s="228"/>
      <c r="H501" s="228"/>
      <c r="I501" s="230">
        <v>1</v>
      </c>
      <c r="J501" s="231" t="s">
        <v>390</v>
      </c>
      <c r="K501" s="232">
        <v>2153</v>
      </c>
      <c r="L501" s="232">
        <f>K501*0.15</f>
        <v>322.95</v>
      </c>
      <c r="M501" s="232">
        <f t="shared" si="372"/>
        <v>0</v>
      </c>
      <c r="N501" s="232"/>
      <c r="O501" s="232">
        <f t="shared" si="373"/>
        <v>2475.9499999999998</v>
      </c>
      <c r="P501" s="233">
        <f t="shared" si="374"/>
        <v>2476</v>
      </c>
      <c r="Q501" s="298" t="str">
        <f t="shared" si="375"/>
        <v>manual</v>
      </c>
      <c r="S501" s="143">
        <f t="shared" si="377"/>
        <v>0</v>
      </c>
      <c r="X501" s="143">
        <f t="shared" si="378"/>
        <v>0</v>
      </c>
    </row>
    <row r="502" spans="4:29" x14ac:dyDescent="0.2">
      <c r="E502" s="228"/>
      <c r="F502" s="228"/>
      <c r="G502" s="228" t="s">
        <v>1481</v>
      </c>
      <c r="H502" s="228"/>
      <c r="I502" s="230">
        <v>1</v>
      </c>
      <c r="J502" s="231" t="s">
        <v>390</v>
      </c>
      <c r="K502" s="232">
        <v>863</v>
      </c>
      <c r="L502" s="232">
        <v>119</v>
      </c>
      <c r="M502" s="232">
        <f t="shared" si="372"/>
        <v>0</v>
      </c>
      <c r="N502" s="232"/>
      <c r="O502" s="232">
        <f t="shared" si="373"/>
        <v>982</v>
      </c>
      <c r="P502" s="233">
        <f t="shared" si="374"/>
        <v>982</v>
      </c>
      <c r="Q502" s="298" t="str">
        <f t="shared" si="375"/>
        <v>manual</v>
      </c>
      <c r="S502" s="143">
        <f t="shared" si="377"/>
        <v>0</v>
      </c>
      <c r="X502" s="143">
        <f t="shared" si="378"/>
        <v>0</v>
      </c>
    </row>
    <row r="503" spans="4:29" x14ac:dyDescent="0.2">
      <c r="E503" s="228"/>
      <c r="F503" s="228"/>
      <c r="G503" s="228" t="s">
        <v>1652</v>
      </c>
      <c r="H503" s="228"/>
      <c r="I503" s="230">
        <v>1</v>
      </c>
      <c r="J503" s="231" t="s">
        <v>390</v>
      </c>
      <c r="K503" s="232">
        <v>183</v>
      </c>
      <c r="L503" s="232">
        <v>34</v>
      </c>
      <c r="M503" s="232">
        <v>0</v>
      </c>
      <c r="N503" s="232"/>
      <c r="O503" s="232">
        <v>217</v>
      </c>
      <c r="P503" s="233">
        <v>217</v>
      </c>
      <c r="Q503" s="298" t="s">
        <v>1482</v>
      </c>
      <c r="S503" s="143">
        <v>0</v>
      </c>
      <c r="X503" s="143">
        <v>0</v>
      </c>
    </row>
    <row r="504" spans="4:29" x14ac:dyDescent="0.2">
      <c r="D504" s="228"/>
      <c r="E504" s="228"/>
      <c r="F504" s="228"/>
      <c r="G504" s="228" t="s">
        <v>1479</v>
      </c>
      <c r="H504" s="228"/>
      <c r="I504" s="230">
        <v>1</v>
      </c>
      <c r="J504" s="231" t="s">
        <v>390</v>
      </c>
      <c r="K504" s="232">
        <v>1452</v>
      </c>
      <c r="L504" s="232">
        <f>K504*0.15</f>
        <v>217.79999999999998</v>
      </c>
      <c r="M504" s="232">
        <f t="shared" ref="M504:M532" si="379">W504*markup*difficulty*IF(Y504&lt;&gt;"",VLOOKUP(LEFT(Y504,2),cityindex,3,0),1)</f>
        <v>0</v>
      </c>
      <c r="N504" s="232"/>
      <c r="O504" s="232">
        <f t="shared" ref="O504:O536" si="380">SUM(K504:N504)*embed</f>
        <v>1669.8</v>
      </c>
      <c r="P504" s="233">
        <f t="shared" si="374"/>
        <v>1670</v>
      </c>
      <c r="Q504" s="298" t="str">
        <f t="shared" ref="Q504:Q536" si="381">IF(O504=0,0,IF(X504=0,"manual",(O504/(R504*tax*markup*IF(Y504&lt;&gt;"",VLOOKUP(LEFT(Y504,2),cityindex,2,0),1)+S504*markup*difficulty*IF(Y504&lt;&gt;"",VLOOKUP(LEFT(Y504,2),cityindex,3,0),1)+W504*markup*difficulty*IF(Y504&lt;&gt;"",VLOOKUP(LEFT(Y504,2),cityindex,3,0),1)))-1))</f>
        <v>manual</v>
      </c>
      <c r="S504" s="143">
        <f t="shared" ref="S504:S555" si="382">U504*V504</f>
        <v>0</v>
      </c>
      <c r="X504" s="143">
        <f t="shared" ref="X504:X555" si="383">SUM(R504,S504,W504)</f>
        <v>0</v>
      </c>
    </row>
    <row r="505" spans="4:29" x14ac:dyDescent="0.2">
      <c r="D505" s="228"/>
      <c r="E505" s="228"/>
      <c r="F505" s="228"/>
      <c r="G505" s="228"/>
      <c r="H505" s="228"/>
      <c r="I505" s="230"/>
      <c r="J505" s="231"/>
      <c r="K505" s="232">
        <f>R505*tax*markup*IF(Y505&lt;&gt;"",VLOOKUP(LEFT(Y505,2),cityindex,2,0),1)</f>
        <v>0</v>
      </c>
      <c r="L505" s="232">
        <f>S505*markup*difficulty*IF(Y505&lt;&gt;"",VLOOKUP(LEFT(Y505,2),cityindex,3,0),1)</f>
        <v>0</v>
      </c>
      <c r="M505" s="232">
        <f t="shared" si="379"/>
        <v>0</v>
      </c>
      <c r="N505" s="232"/>
      <c r="O505" s="232">
        <f t="shared" si="380"/>
        <v>0</v>
      </c>
      <c r="P505" s="233">
        <f t="shared" si="374"/>
        <v>0</v>
      </c>
      <c r="Q505" s="298">
        <f t="shared" si="381"/>
        <v>0</v>
      </c>
      <c r="S505" s="143">
        <f t="shared" si="382"/>
        <v>0</v>
      </c>
      <c r="X505" s="143">
        <f t="shared" si="383"/>
        <v>0</v>
      </c>
    </row>
    <row r="506" spans="4:29" x14ac:dyDescent="0.2">
      <c r="E506" s="228"/>
      <c r="F506" s="228" t="s">
        <v>1483</v>
      </c>
      <c r="G506" s="228"/>
      <c r="H506" s="228"/>
      <c r="I506" s="230">
        <v>1</v>
      </c>
      <c r="J506" s="231" t="s">
        <v>390</v>
      </c>
      <c r="K506" s="232">
        <v>565</v>
      </c>
      <c r="L506" s="232">
        <v>137</v>
      </c>
      <c r="M506" s="232">
        <f t="shared" si="379"/>
        <v>0</v>
      </c>
      <c r="N506" s="232"/>
      <c r="O506" s="232">
        <f t="shared" si="380"/>
        <v>702</v>
      </c>
      <c r="P506" s="233">
        <f t="shared" si="374"/>
        <v>702</v>
      </c>
      <c r="Q506" s="298" t="str">
        <f t="shared" si="381"/>
        <v>manual</v>
      </c>
      <c r="S506" s="143">
        <f t="shared" si="382"/>
        <v>0</v>
      </c>
      <c r="X506" s="143">
        <f t="shared" si="383"/>
        <v>0</v>
      </c>
      <c r="AB506" s="236"/>
    </row>
    <row r="507" spans="4:29" x14ac:dyDescent="0.2">
      <c r="E507" s="228"/>
      <c r="F507" s="228" t="s">
        <v>1653</v>
      </c>
      <c r="H507" s="228"/>
      <c r="I507" s="230">
        <v>1</v>
      </c>
      <c r="J507" s="231" t="s">
        <v>390</v>
      </c>
      <c r="K507" s="232">
        <v>2080</v>
      </c>
      <c r="L507" s="232">
        <v>423</v>
      </c>
      <c r="M507" s="232">
        <f t="shared" si="379"/>
        <v>0</v>
      </c>
      <c r="N507" s="232"/>
      <c r="O507" s="232">
        <f>SUM(K507:N507)*embed</f>
        <v>2503</v>
      </c>
      <c r="P507" s="233">
        <f t="shared" si="374"/>
        <v>2503</v>
      </c>
      <c r="Q507" s="298" t="str">
        <f t="shared" si="381"/>
        <v>manual</v>
      </c>
      <c r="S507" s="143">
        <f t="shared" si="382"/>
        <v>0</v>
      </c>
      <c r="X507" s="143">
        <f t="shared" si="383"/>
        <v>0</v>
      </c>
      <c r="Z507" s="311" t="s">
        <v>1578</v>
      </c>
      <c r="AB507" s="236" t="s">
        <v>1574</v>
      </c>
    </row>
    <row r="508" spans="4:29" x14ac:dyDescent="0.2">
      <c r="E508" s="228"/>
      <c r="F508" s="228" t="s">
        <v>1654</v>
      </c>
      <c r="H508" s="228"/>
      <c r="I508" s="230">
        <v>1</v>
      </c>
      <c r="J508" s="231" t="s">
        <v>390</v>
      </c>
      <c r="K508" s="232">
        <v>2580</v>
      </c>
      <c r="L508" s="232">
        <v>423</v>
      </c>
      <c r="M508" s="232">
        <f t="shared" ref="M508" si="384">W508*markup*difficulty*IF(Y508&lt;&gt;"",VLOOKUP(LEFT(Y508,2),cityindex,3,0),1)</f>
        <v>0</v>
      </c>
      <c r="N508" s="232"/>
      <c r="O508" s="232">
        <f>SUM(K508:N508)*embed</f>
        <v>3003</v>
      </c>
      <c r="P508" s="233">
        <f t="shared" ref="P508" si="385">ROUND((O508*I508),0)</f>
        <v>3003</v>
      </c>
      <c r="Q508" s="298" t="str">
        <f t="shared" ref="Q508" si="386">IF(O508=0,0,IF(X508=0,"manual",(O508/(R508*tax*markup*IF(Y508&lt;&gt;"",VLOOKUP(LEFT(Y508,2),cityindex,2,0),1)+S508*markup*difficulty*IF(Y508&lt;&gt;"",VLOOKUP(LEFT(Y508,2),cityindex,3,0),1)+W508*markup*difficulty*IF(Y508&lt;&gt;"",VLOOKUP(LEFT(Y508,2),cityindex,3,0),1)))-1))</f>
        <v>manual</v>
      </c>
      <c r="S508" s="143">
        <f t="shared" ref="S508" si="387">U508*V508</f>
        <v>0</v>
      </c>
      <c r="X508" s="143">
        <f t="shared" ref="X508" si="388">SUM(R508,S508,W508)</f>
        <v>0</v>
      </c>
      <c r="Z508" s="311" t="s">
        <v>1578</v>
      </c>
      <c r="AB508" s="236" t="s">
        <v>1574</v>
      </c>
    </row>
    <row r="509" spans="4:29" x14ac:dyDescent="0.2">
      <c r="D509" s="228"/>
      <c r="E509" s="228"/>
      <c r="F509" s="228"/>
      <c r="G509" s="228"/>
      <c r="H509" s="228"/>
      <c r="I509" s="230"/>
      <c r="J509" s="231"/>
      <c r="K509" s="232">
        <f>R509*tax*markup*IF(Y509&lt;&gt;"",VLOOKUP(LEFT(Y509,2),cityindex,2,0),1)</f>
        <v>0</v>
      </c>
      <c r="L509" s="232">
        <f>S509*markup*difficulty*IF(Y509&lt;&gt;"",VLOOKUP(LEFT(Y509,2),cityindex,3,0),1)</f>
        <v>0</v>
      </c>
      <c r="M509" s="232">
        <f t="shared" si="379"/>
        <v>0</v>
      </c>
      <c r="N509" s="232"/>
      <c r="O509" s="232">
        <f t="shared" si="380"/>
        <v>0</v>
      </c>
      <c r="P509" s="233">
        <f t="shared" si="374"/>
        <v>0</v>
      </c>
      <c r="Q509" s="298">
        <f t="shared" si="381"/>
        <v>0</v>
      </c>
      <c r="S509" s="143">
        <f t="shared" si="382"/>
        <v>0</v>
      </c>
      <c r="X509" s="143">
        <f t="shared" si="383"/>
        <v>0</v>
      </c>
    </row>
    <row r="510" spans="4:29" x14ac:dyDescent="0.2">
      <c r="E510" s="228" t="s">
        <v>1484</v>
      </c>
      <c r="F510" s="228"/>
      <c r="G510" s="228"/>
      <c r="H510" s="228"/>
      <c r="I510" s="230"/>
      <c r="J510" s="231"/>
      <c r="K510" s="232"/>
      <c r="L510" s="232"/>
      <c r="M510" s="232">
        <f t="shared" si="379"/>
        <v>0</v>
      </c>
      <c r="N510" s="232"/>
      <c r="O510" s="232">
        <f t="shared" si="380"/>
        <v>0</v>
      </c>
      <c r="P510" s="233">
        <f t="shared" si="374"/>
        <v>0</v>
      </c>
      <c r="Q510" s="298">
        <f t="shared" si="381"/>
        <v>0</v>
      </c>
      <c r="S510" s="143">
        <f t="shared" si="382"/>
        <v>0</v>
      </c>
      <c r="X510" s="143">
        <f t="shared" si="383"/>
        <v>0</v>
      </c>
      <c r="AB510" s="236" t="s">
        <v>1575</v>
      </c>
      <c r="AC510" s="333">
        <f>SUM(P496:P531)/GFA</f>
        <v>1.808699243820296</v>
      </c>
    </row>
    <row r="511" spans="4:29" x14ac:dyDescent="0.2">
      <c r="E511" s="228"/>
      <c r="F511" s="228" t="s">
        <v>1485</v>
      </c>
      <c r="G511" s="228"/>
      <c r="H511" s="228"/>
      <c r="I511" s="230"/>
      <c r="J511" s="231"/>
      <c r="K511" s="232"/>
      <c r="L511" s="232"/>
      <c r="M511" s="232">
        <f t="shared" si="379"/>
        <v>0</v>
      </c>
      <c r="N511" s="232"/>
      <c r="O511" s="232">
        <f t="shared" si="380"/>
        <v>0</v>
      </c>
      <c r="P511" s="233">
        <f t="shared" si="374"/>
        <v>0</v>
      </c>
      <c r="Q511" s="298">
        <f t="shared" si="381"/>
        <v>0</v>
      </c>
      <c r="S511" s="143">
        <f t="shared" si="382"/>
        <v>0</v>
      </c>
      <c r="X511" s="143">
        <f t="shared" si="383"/>
        <v>0</v>
      </c>
      <c r="AB511" s="236"/>
    </row>
    <row r="512" spans="4:29" x14ac:dyDescent="0.2">
      <c r="E512" s="228"/>
      <c r="F512" s="228"/>
      <c r="G512" s="228" t="s">
        <v>1659</v>
      </c>
      <c r="H512" s="228"/>
      <c r="I512" s="230"/>
      <c r="J512" s="231"/>
      <c r="K512" s="232"/>
      <c r="L512" s="232"/>
      <c r="M512" s="232">
        <f t="shared" si="379"/>
        <v>0</v>
      </c>
      <c r="N512" s="232"/>
      <c r="O512" s="232">
        <f t="shared" si="380"/>
        <v>0</v>
      </c>
      <c r="P512" s="233">
        <f t="shared" si="374"/>
        <v>0</v>
      </c>
      <c r="Q512" s="298">
        <f t="shared" si="381"/>
        <v>0</v>
      </c>
      <c r="S512" s="143">
        <f t="shared" si="382"/>
        <v>0</v>
      </c>
      <c r="X512" s="143">
        <f t="shared" si="383"/>
        <v>0</v>
      </c>
    </row>
    <row r="513" spans="4:24" x14ac:dyDescent="0.2">
      <c r="E513" s="228"/>
      <c r="F513" s="228"/>
      <c r="G513" s="228"/>
      <c r="H513" s="228" t="s">
        <v>1486</v>
      </c>
      <c r="I513" s="230">
        <v>78</v>
      </c>
      <c r="J513" s="231" t="s">
        <v>309</v>
      </c>
      <c r="K513" s="232">
        <v>5.31</v>
      </c>
      <c r="L513" s="232">
        <v>6.57</v>
      </c>
      <c r="M513" s="232">
        <f t="shared" si="379"/>
        <v>0</v>
      </c>
      <c r="N513" s="232"/>
      <c r="O513" s="232">
        <f t="shared" si="380"/>
        <v>11.879999999999999</v>
      </c>
      <c r="P513" s="233">
        <f t="shared" si="374"/>
        <v>927</v>
      </c>
      <c r="Q513" s="298" t="str">
        <f t="shared" si="381"/>
        <v>manual</v>
      </c>
      <c r="S513" s="143">
        <f t="shared" si="382"/>
        <v>0</v>
      </c>
      <c r="X513" s="143">
        <f t="shared" si="383"/>
        <v>0</v>
      </c>
    </row>
    <row r="514" spans="4:24" x14ac:dyDescent="0.2">
      <c r="E514" s="228"/>
      <c r="F514" s="228"/>
      <c r="G514" s="228"/>
      <c r="H514" s="228" t="s">
        <v>1487</v>
      </c>
      <c r="I514" s="230">
        <v>548</v>
      </c>
      <c r="J514" s="231" t="s">
        <v>309</v>
      </c>
      <c r="K514" s="232">
        <v>8.94</v>
      </c>
      <c r="L514" s="232">
        <v>6.89</v>
      </c>
      <c r="M514" s="232">
        <f t="shared" si="379"/>
        <v>0</v>
      </c>
      <c r="N514" s="232"/>
      <c r="O514" s="232">
        <f t="shared" si="380"/>
        <v>15.829999999999998</v>
      </c>
      <c r="P514" s="233">
        <f t="shared" si="374"/>
        <v>8675</v>
      </c>
      <c r="Q514" s="298" t="str">
        <f t="shared" si="381"/>
        <v>manual</v>
      </c>
      <c r="S514" s="143">
        <f t="shared" si="382"/>
        <v>0</v>
      </c>
      <c r="X514" s="143">
        <f t="shared" si="383"/>
        <v>0</v>
      </c>
    </row>
    <row r="515" spans="4:24" x14ac:dyDescent="0.2">
      <c r="E515" s="228"/>
      <c r="F515" s="228"/>
      <c r="G515" s="228"/>
      <c r="H515" s="228" t="s">
        <v>1488</v>
      </c>
      <c r="I515" s="230">
        <v>24</v>
      </c>
      <c r="J515" s="231" t="s">
        <v>309</v>
      </c>
      <c r="K515" s="232">
        <v>12</v>
      </c>
      <c r="L515" s="232">
        <v>7.72</v>
      </c>
      <c r="M515" s="232">
        <f t="shared" si="379"/>
        <v>0</v>
      </c>
      <c r="N515" s="232"/>
      <c r="O515" s="232">
        <f t="shared" si="380"/>
        <v>19.72</v>
      </c>
      <c r="P515" s="233">
        <f t="shared" si="374"/>
        <v>473</v>
      </c>
      <c r="Q515" s="298" t="str">
        <f t="shared" si="381"/>
        <v>manual</v>
      </c>
      <c r="S515" s="143">
        <f t="shared" si="382"/>
        <v>0</v>
      </c>
      <c r="X515" s="143">
        <f t="shared" si="383"/>
        <v>0</v>
      </c>
    </row>
    <row r="516" spans="4:24" x14ac:dyDescent="0.2">
      <c r="E516" s="228"/>
      <c r="F516" s="228"/>
      <c r="G516" s="228"/>
      <c r="H516" s="228" t="s">
        <v>1489</v>
      </c>
      <c r="I516" s="230">
        <v>152</v>
      </c>
      <c r="J516" s="231" t="s">
        <v>309</v>
      </c>
      <c r="K516" s="232">
        <v>15.19</v>
      </c>
      <c r="L516" s="232">
        <v>9.1300000000000008</v>
      </c>
      <c r="M516" s="232">
        <f t="shared" si="379"/>
        <v>0</v>
      </c>
      <c r="N516" s="232"/>
      <c r="O516" s="232">
        <f t="shared" si="380"/>
        <v>24.32</v>
      </c>
      <c r="P516" s="233">
        <f t="shared" si="374"/>
        <v>3697</v>
      </c>
      <c r="Q516" s="298" t="str">
        <f t="shared" si="381"/>
        <v>manual</v>
      </c>
      <c r="S516" s="143">
        <f t="shared" si="382"/>
        <v>0</v>
      </c>
      <c r="X516" s="143">
        <f t="shared" si="383"/>
        <v>0</v>
      </c>
    </row>
    <row r="517" spans="4:24" x14ac:dyDescent="0.2">
      <c r="E517" s="228"/>
      <c r="F517" s="228"/>
      <c r="G517" s="228"/>
      <c r="H517" s="228" t="s">
        <v>499</v>
      </c>
      <c r="I517" s="230">
        <v>30</v>
      </c>
      <c r="J517" s="231" t="s">
        <v>309</v>
      </c>
      <c r="K517" s="232">
        <v>20</v>
      </c>
      <c r="L517" s="232">
        <v>10.210000000000001</v>
      </c>
      <c r="M517" s="232">
        <f t="shared" si="379"/>
        <v>0</v>
      </c>
      <c r="N517" s="232"/>
      <c r="O517" s="232">
        <f t="shared" si="380"/>
        <v>30.21</v>
      </c>
      <c r="P517" s="233">
        <f t="shared" si="374"/>
        <v>906</v>
      </c>
      <c r="Q517" s="298" t="str">
        <f t="shared" si="381"/>
        <v>manual</v>
      </c>
      <c r="S517" s="143">
        <f t="shared" si="382"/>
        <v>0</v>
      </c>
      <c r="X517" s="143">
        <f t="shared" si="383"/>
        <v>0</v>
      </c>
    </row>
    <row r="518" spans="4:24" x14ac:dyDescent="0.2">
      <c r="E518" s="228"/>
      <c r="F518" s="228"/>
      <c r="G518" s="228"/>
      <c r="H518" s="228" t="s">
        <v>382</v>
      </c>
      <c r="I518" s="230">
        <v>28</v>
      </c>
      <c r="J518" s="231" t="s">
        <v>309</v>
      </c>
      <c r="K518" s="232">
        <v>29.76</v>
      </c>
      <c r="L518" s="232">
        <v>11.6</v>
      </c>
      <c r="M518" s="232">
        <f t="shared" si="379"/>
        <v>0</v>
      </c>
      <c r="N518" s="232"/>
      <c r="O518" s="232">
        <f t="shared" si="380"/>
        <v>41.36</v>
      </c>
      <c r="P518" s="233">
        <f t="shared" si="374"/>
        <v>1158</v>
      </c>
      <c r="Q518" s="298" t="str">
        <f t="shared" si="381"/>
        <v>manual</v>
      </c>
      <c r="S518" s="143">
        <f t="shared" si="382"/>
        <v>0</v>
      </c>
      <c r="X518" s="143">
        <f t="shared" si="383"/>
        <v>0</v>
      </c>
    </row>
    <row r="519" spans="4:24" x14ac:dyDescent="0.2">
      <c r="E519" s="228"/>
      <c r="F519" s="228"/>
      <c r="G519" s="228"/>
      <c r="H519" s="228" t="s">
        <v>1490</v>
      </c>
      <c r="I519" s="230">
        <v>220</v>
      </c>
      <c r="J519" s="231" t="s">
        <v>309</v>
      </c>
      <c r="K519" s="232">
        <v>44.33</v>
      </c>
      <c r="L519" s="232">
        <v>15.49</v>
      </c>
      <c r="M519" s="232">
        <f t="shared" si="379"/>
        <v>0</v>
      </c>
      <c r="N519" s="232"/>
      <c r="O519" s="232">
        <f t="shared" si="380"/>
        <v>59.82</v>
      </c>
      <c r="P519" s="233">
        <f t="shared" si="374"/>
        <v>13160</v>
      </c>
      <c r="Q519" s="298" t="str">
        <f t="shared" si="381"/>
        <v>manual</v>
      </c>
      <c r="S519" s="143">
        <f t="shared" si="382"/>
        <v>0</v>
      </c>
      <c r="X519" s="143">
        <f t="shared" si="383"/>
        <v>0</v>
      </c>
    </row>
    <row r="520" spans="4:24" x14ac:dyDescent="0.2">
      <c r="D520" s="228"/>
      <c r="E520" s="228"/>
      <c r="F520" s="228"/>
      <c r="G520" s="228"/>
      <c r="H520" s="228"/>
      <c r="I520" s="230"/>
      <c r="J520" s="231"/>
      <c r="K520" s="232">
        <f>R520*tax*markup*IF(Y520&lt;&gt;"",VLOOKUP(LEFT(Y520,2),cityindex,2,0),1)</f>
        <v>0</v>
      </c>
      <c r="L520" s="232">
        <f>S520*markup*difficulty*IF(Y520&lt;&gt;"",VLOOKUP(LEFT(Y520,2),cityindex,3,0),1)</f>
        <v>0</v>
      </c>
      <c r="M520" s="232">
        <f t="shared" si="379"/>
        <v>0</v>
      </c>
      <c r="N520" s="232"/>
      <c r="O520" s="232">
        <f t="shared" si="380"/>
        <v>0</v>
      </c>
      <c r="P520" s="233">
        <f t="shared" si="374"/>
        <v>0</v>
      </c>
      <c r="Q520" s="298">
        <f t="shared" si="381"/>
        <v>0</v>
      </c>
      <c r="S520" s="143">
        <f t="shared" si="382"/>
        <v>0</v>
      </c>
      <c r="X520" s="143">
        <f t="shared" si="383"/>
        <v>0</v>
      </c>
    </row>
    <row r="521" spans="4:24" x14ac:dyDescent="0.2">
      <c r="E521" s="228"/>
      <c r="F521" s="228"/>
      <c r="G521" s="228" t="s">
        <v>1660</v>
      </c>
      <c r="H521" s="228"/>
      <c r="I521" s="230"/>
      <c r="J521" s="231"/>
      <c r="K521" s="232"/>
      <c r="L521" s="232"/>
      <c r="M521" s="232">
        <f t="shared" si="379"/>
        <v>0</v>
      </c>
      <c r="N521" s="232"/>
      <c r="O521" s="232">
        <f t="shared" si="380"/>
        <v>0</v>
      </c>
      <c r="P521" s="233">
        <f t="shared" si="374"/>
        <v>0</v>
      </c>
      <c r="Q521" s="298">
        <f t="shared" si="381"/>
        <v>0</v>
      </c>
      <c r="S521" s="143">
        <f t="shared" si="382"/>
        <v>0</v>
      </c>
      <c r="X521" s="143">
        <f t="shared" si="383"/>
        <v>0</v>
      </c>
    </row>
    <row r="522" spans="4:24" x14ac:dyDescent="0.2">
      <c r="E522" s="228"/>
      <c r="F522" s="228"/>
      <c r="G522" s="228"/>
      <c r="H522" s="228" t="s">
        <v>1486</v>
      </c>
      <c r="I522" s="230">
        <v>143</v>
      </c>
      <c r="J522" s="231" t="s">
        <v>309</v>
      </c>
      <c r="K522" s="232">
        <v>5.31</v>
      </c>
      <c r="L522" s="232">
        <v>6.57</v>
      </c>
      <c r="M522" s="232">
        <f t="shared" si="379"/>
        <v>0</v>
      </c>
      <c r="N522" s="232"/>
      <c r="O522" s="232">
        <f t="shared" si="380"/>
        <v>11.879999999999999</v>
      </c>
      <c r="P522" s="233">
        <f t="shared" si="374"/>
        <v>1699</v>
      </c>
      <c r="Q522" s="298" t="str">
        <f t="shared" si="381"/>
        <v>manual</v>
      </c>
      <c r="S522" s="143">
        <f t="shared" si="382"/>
        <v>0</v>
      </c>
      <c r="X522" s="143">
        <f t="shared" si="383"/>
        <v>0</v>
      </c>
    </row>
    <row r="523" spans="4:24" x14ac:dyDescent="0.2">
      <c r="E523" s="228"/>
      <c r="F523" s="228"/>
      <c r="G523" s="228"/>
      <c r="H523" s="228" t="s">
        <v>1487</v>
      </c>
      <c r="I523" s="230">
        <v>106</v>
      </c>
      <c r="J523" s="231" t="s">
        <v>309</v>
      </c>
      <c r="K523" s="232">
        <v>8.94</v>
      </c>
      <c r="L523" s="232">
        <v>6.89</v>
      </c>
      <c r="M523" s="232">
        <f t="shared" si="379"/>
        <v>0</v>
      </c>
      <c r="N523" s="232"/>
      <c r="O523" s="232">
        <f t="shared" si="380"/>
        <v>15.829999999999998</v>
      </c>
      <c r="P523" s="233">
        <f t="shared" si="374"/>
        <v>1678</v>
      </c>
      <c r="Q523" s="298" t="str">
        <f t="shared" si="381"/>
        <v>manual</v>
      </c>
      <c r="S523" s="143">
        <f t="shared" si="382"/>
        <v>0</v>
      </c>
      <c r="X523" s="143">
        <f t="shared" si="383"/>
        <v>0</v>
      </c>
    </row>
    <row r="524" spans="4:24" x14ac:dyDescent="0.2">
      <c r="E524" s="228"/>
      <c r="F524" s="228"/>
      <c r="G524" s="228"/>
      <c r="H524" s="228" t="s">
        <v>1488</v>
      </c>
      <c r="I524" s="230">
        <v>91</v>
      </c>
      <c r="J524" s="231" t="s">
        <v>309</v>
      </c>
      <c r="K524" s="232">
        <v>12</v>
      </c>
      <c r="L524" s="232">
        <v>7.72</v>
      </c>
      <c r="M524" s="232">
        <f t="shared" si="379"/>
        <v>0</v>
      </c>
      <c r="N524" s="232"/>
      <c r="O524" s="232">
        <f t="shared" si="380"/>
        <v>19.72</v>
      </c>
      <c r="P524" s="233">
        <f t="shared" si="374"/>
        <v>1795</v>
      </c>
      <c r="Q524" s="298" t="str">
        <f t="shared" si="381"/>
        <v>manual</v>
      </c>
      <c r="S524" s="143">
        <f t="shared" si="382"/>
        <v>0</v>
      </c>
      <c r="X524" s="143">
        <f t="shared" si="383"/>
        <v>0</v>
      </c>
    </row>
    <row r="525" spans="4:24" x14ac:dyDescent="0.2">
      <c r="E525" s="228"/>
      <c r="F525" s="228"/>
      <c r="G525" s="228"/>
      <c r="H525" s="228" t="s">
        <v>1489</v>
      </c>
      <c r="I525" s="230">
        <v>17</v>
      </c>
      <c r="J525" s="231" t="s">
        <v>309</v>
      </c>
      <c r="K525" s="232">
        <v>15.19</v>
      </c>
      <c r="L525" s="232">
        <v>9.1300000000000008</v>
      </c>
      <c r="M525" s="232">
        <f t="shared" si="379"/>
        <v>0</v>
      </c>
      <c r="N525" s="232"/>
      <c r="O525" s="232">
        <f t="shared" si="380"/>
        <v>24.32</v>
      </c>
      <c r="P525" s="233">
        <f t="shared" si="374"/>
        <v>413</v>
      </c>
      <c r="Q525" s="298" t="str">
        <f t="shared" si="381"/>
        <v>manual</v>
      </c>
      <c r="S525" s="143">
        <f t="shared" si="382"/>
        <v>0</v>
      </c>
      <c r="X525" s="143">
        <f t="shared" si="383"/>
        <v>0</v>
      </c>
    </row>
    <row r="526" spans="4:24" x14ac:dyDescent="0.2">
      <c r="D526" s="228"/>
      <c r="E526" s="228"/>
      <c r="F526" s="228"/>
      <c r="G526" s="228"/>
      <c r="H526" s="228"/>
      <c r="I526" s="230"/>
      <c r="J526" s="231"/>
      <c r="K526" s="232">
        <f>R526*tax*markup*IF(Y526&lt;&gt;"",VLOOKUP(LEFT(Y526,2),cityindex,2,0),1)</f>
        <v>0</v>
      </c>
      <c r="L526" s="232">
        <f>S526*markup*difficulty*IF(Y526&lt;&gt;"",VLOOKUP(LEFT(Y526,2),cityindex,3,0),1)</f>
        <v>0</v>
      </c>
      <c r="M526" s="232">
        <f t="shared" si="379"/>
        <v>0</v>
      </c>
      <c r="N526" s="232"/>
      <c r="O526" s="232">
        <f t="shared" si="380"/>
        <v>0</v>
      </c>
      <c r="P526" s="233">
        <f t="shared" si="374"/>
        <v>0</v>
      </c>
      <c r="Q526" s="298">
        <f t="shared" si="381"/>
        <v>0</v>
      </c>
      <c r="S526" s="143">
        <f t="shared" si="382"/>
        <v>0</v>
      </c>
      <c r="X526" s="143">
        <f t="shared" si="383"/>
        <v>0</v>
      </c>
    </row>
    <row r="527" spans="4:24" x14ac:dyDescent="0.2">
      <c r="E527" s="228"/>
      <c r="F527" s="228"/>
      <c r="G527" s="228" t="s">
        <v>1491</v>
      </c>
      <c r="H527" s="228"/>
      <c r="I527" s="230"/>
      <c r="J527" s="231"/>
      <c r="K527" s="232"/>
      <c r="L527" s="232"/>
      <c r="M527" s="232">
        <f t="shared" si="379"/>
        <v>0</v>
      </c>
      <c r="N527" s="232"/>
      <c r="O527" s="232">
        <f t="shared" si="380"/>
        <v>0</v>
      </c>
      <c r="P527" s="233">
        <f t="shared" si="374"/>
        <v>0</v>
      </c>
      <c r="Q527" s="298">
        <f t="shared" si="381"/>
        <v>0</v>
      </c>
      <c r="S527" s="143">
        <f t="shared" si="382"/>
        <v>0</v>
      </c>
      <c r="X527" s="143">
        <f t="shared" si="383"/>
        <v>0</v>
      </c>
    </row>
    <row r="528" spans="4:24" x14ac:dyDescent="0.2">
      <c r="E528" s="228"/>
      <c r="F528" s="228"/>
      <c r="G528" s="228"/>
      <c r="H528" s="228" t="s">
        <v>1486</v>
      </c>
      <c r="I528" s="230">
        <v>143</v>
      </c>
      <c r="J528" s="231" t="s">
        <v>309</v>
      </c>
      <c r="K528" s="232">
        <v>9.69</v>
      </c>
      <c r="L528" s="232">
        <v>4.07</v>
      </c>
      <c r="M528" s="232">
        <f t="shared" si="379"/>
        <v>0</v>
      </c>
      <c r="N528" s="232"/>
      <c r="O528" s="232">
        <f t="shared" si="380"/>
        <v>13.76</v>
      </c>
      <c r="P528" s="233">
        <f t="shared" si="374"/>
        <v>1968</v>
      </c>
      <c r="Q528" s="298" t="str">
        <f t="shared" si="381"/>
        <v>manual</v>
      </c>
      <c r="S528" s="143">
        <f t="shared" si="382"/>
        <v>0</v>
      </c>
      <c r="X528" s="143">
        <f t="shared" si="383"/>
        <v>0</v>
      </c>
    </row>
    <row r="529" spans="4:29" x14ac:dyDescent="0.2">
      <c r="E529" s="228"/>
      <c r="F529" s="228"/>
      <c r="G529" s="228"/>
      <c r="H529" s="228" t="s">
        <v>1487</v>
      </c>
      <c r="I529" s="230">
        <v>106</v>
      </c>
      <c r="J529" s="231" t="s">
        <v>309</v>
      </c>
      <c r="K529" s="232">
        <v>10.23</v>
      </c>
      <c r="L529" s="232">
        <v>4.26</v>
      </c>
      <c r="M529" s="232">
        <f t="shared" si="379"/>
        <v>0</v>
      </c>
      <c r="N529" s="232"/>
      <c r="O529" s="232">
        <f t="shared" si="380"/>
        <v>14.49</v>
      </c>
      <c r="P529" s="233">
        <f t="shared" si="374"/>
        <v>1536</v>
      </c>
      <c r="Q529" s="298" t="str">
        <f t="shared" si="381"/>
        <v>manual</v>
      </c>
      <c r="S529" s="143">
        <f t="shared" si="382"/>
        <v>0</v>
      </c>
      <c r="X529" s="143">
        <f t="shared" si="383"/>
        <v>0</v>
      </c>
    </row>
    <row r="530" spans="4:29" x14ac:dyDescent="0.2">
      <c r="E530" s="228"/>
      <c r="F530" s="228"/>
      <c r="G530" s="228"/>
      <c r="H530" s="228" t="s">
        <v>1488</v>
      </c>
      <c r="I530" s="230">
        <v>91</v>
      </c>
      <c r="J530" s="231" t="s">
        <v>309</v>
      </c>
      <c r="K530" s="232">
        <v>11.18</v>
      </c>
      <c r="L530" s="232">
        <v>4.4400000000000004</v>
      </c>
      <c r="M530" s="232">
        <f t="shared" si="379"/>
        <v>0</v>
      </c>
      <c r="N530" s="232"/>
      <c r="O530" s="232">
        <f t="shared" si="380"/>
        <v>15.620000000000001</v>
      </c>
      <c r="P530" s="233">
        <f t="shared" si="374"/>
        <v>1421</v>
      </c>
      <c r="Q530" s="298" t="str">
        <f t="shared" si="381"/>
        <v>manual</v>
      </c>
      <c r="S530" s="143">
        <f t="shared" si="382"/>
        <v>0</v>
      </c>
      <c r="X530" s="143">
        <f t="shared" si="383"/>
        <v>0</v>
      </c>
    </row>
    <row r="531" spans="4:29" x14ac:dyDescent="0.2">
      <c r="E531" s="228"/>
      <c r="F531" s="228"/>
      <c r="G531" s="228"/>
      <c r="H531" s="228" t="s">
        <v>1489</v>
      </c>
      <c r="I531" s="230">
        <v>17</v>
      </c>
      <c r="J531" s="231" t="s">
        <v>309</v>
      </c>
      <c r="K531" s="232">
        <v>13.1</v>
      </c>
      <c r="L531" s="232">
        <v>4.62</v>
      </c>
      <c r="M531" s="232">
        <f t="shared" si="379"/>
        <v>0</v>
      </c>
      <c r="N531" s="232"/>
      <c r="O531" s="232">
        <f t="shared" si="380"/>
        <v>17.72</v>
      </c>
      <c r="P531" s="233">
        <f t="shared" si="374"/>
        <v>301</v>
      </c>
      <c r="Q531" s="298" t="str">
        <f t="shared" si="381"/>
        <v>manual</v>
      </c>
      <c r="S531" s="143">
        <f t="shared" si="382"/>
        <v>0</v>
      </c>
      <c r="X531" s="143">
        <f t="shared" si="383"/>
        <v>0</v>
      </c>
    </row>
    <row r="532" spans="4:29" x14ac:dyDescent="0.2">
      <c r="D532" s="228"/>
      <c r="E532" s="228"/>
      <c r="F532" s="228"/>
      <c r="G532" s="228"/>
      <c r="H532" s="228"/>
      <c r="I532" s="230"/>
      <c r="J532" s="231"/>
      <c r="K532" s="232">
        <f>R532*tax*markup*IF(Y532&lt;&gt;"",VLOOKUP(LEFT(Y532,2),cityindex,2,0),1)</f>
        <v>0</v>
      </c>
      <c r="L532" s="232">
        <f>S532*markup*difficulty*IF(Y532&lt;&gt;"",VLOOKUP(LEFT(Y532,2),cityindex,3,0),1)</f>
        <v>0</v>
      </c>
      <c r="M532" s="232">
        <f t="shared" si="379"/>
        <v>0</v>
      </c>
      <c r="N532" s="232"/>
      <c r="O532" s="232">
        <f t="shared" si="380"/>
        <v>0</v>
      </c>
      <c r="P532" s="233">
        <f t="shared" si="374"/>
        <v>0</v>
      </c>
      <c r="Q532" s="298">
        <f t="shared" si="381"/>
        <v>0</v>
      </c>
      <c r="S532" s="143">
        <f t="shared" si="382"/>
        <v>0</v>
      </c>
      <c r="X532" s="143">
        <f t="shared" si="383"/>
        <v>0</v>
      </c>
    </row>
    <row r="533" spans="4:29" x14ac:dyDescent="0.2">
      <c r="E533" s="228" t="s">
        <v>1492</v>
      </c>
      <c r="F533" s="228"/>
      <c r="G533" s="228"/>
      <c r="H533" s="228"/>
      <c r="I533" s="230"/>
      <c r="J533" s="231"/>
      <c r="K533" s="232"/>
      <c r="L533" s="232"/>
      <c r="M533" s="232"/>
      <c r="N533" s="232"/>
      <c r="O533" s="232">
        <f t="shared" si="380"/>
        <v>0</v>
      </c>
      <c r="P533" s="233">
        <f t="shared" si="374"/>
        <v>0</v>
      </c>
      <c r="Q533" s="298">
        <f t="shared" si="381"/>
        <v>0</v>
      </c>
      <c r="S533" s="143">
        <f t="shared" si="382"/>
        <v>0</v>
      </c>
      <c r="X533" s="143">
        <f t="shared" si="383"/>
        <v>0</v>
      </c>
      <c r="AB533" s="236" t="s">
        <v>1576</v>
      </c>
      <c r="AC533" s="333">
        <f>SUM(P534:P556)/GFA</f>
        <v>3.2884603164516744</v>
      </c>
    </row>
    <row r="534" spans="4:29" x14ac:dyDescent="0.2">
      <c r="E534" s="228"/>
      <c r="F534" s="228" t="s">
        <v>1493</v>
      </c>
      <c r="G534" s="228"/>
      <c r="H534" s="228"/>
      <c r="I534" s="230"/>
      <c r="J534" s="231"/>
      <c r="K534" s="232"/>
      <c r="L534" s="232"/>
      <c r="M534" s="232"/>
      <c r="N534" s="232"/>
      <c r="O534" s="232">
        <f t="shared" si="380"/>
        <v>0</v>
      </c>
      <c r="P534" s="233">
        <f t="shared" si="374"/>
        <v>0</v>
      </c>
      <c r="Q534" s="298">
        <f t="shared" si="381"/>
        <v>0</v>
      </c>
      <c r="S534" s="143">
        <f t="shared" si="382"/>
        <v>0</v>
      </c>
      <c r="X534" s="143">
        <f t="shared" si="383"/>
        <v>0</v>
      </c>
    </row>
    <row r="535" spans="4:29" x14ac:dyDescent="0.2">
      <c r="E535" s="228"/>
      <c r="F535" s="228"/>
      <c r="G535" s="228" t="s">
        <v>382</v>
      </c>
      <c r="H535" s="228"/>
      <c r="I535" s="230">
        <v>51</v>
      </c>
      <c r="J535" s="231" t="s">
        <v>309</v>
      </c>
      <c r="K535" s="232">
        <v>11.73</v>
      </c>
      <c r="L535" s="232">
        <v>14.96</v>
      </c>
      <c r="M535" s="232"/>
      <c r="N535" s="232"/>
      <c r="O535" s="232">
        <f t="shared" si="380"/>
        <v>26.69</v>
      </c>
      <c r="P535" s="233">
        <f t="shared" si="374"/>
        <v>1361</v>
      </c>
      <c r="Q535" s="298" t="str">
        <f t="shared" si="381"/>
        <v>manual</v>
      </c>
      <c r="S535" s="143">
        <f t="shared" si="382"/>
        <v>0</v>
      </c>
      <c r="X535" s="143">
        <f t="shared" si="383"/>
        <v>0</v>
      </c>
    </row>
    <row r="536" spans="4:29" x14ac:dyDescent="0.2">
      <c r="E536" s="228"/>
      <c r="F536" s="228"/>
      <c r="G536" s="228" t="s">
        <v>384</v>
      </c>
      <c r="H536" s="228"/>
      <c r="I536" s="230">
        <v>68</v>
      </c>
      <c r="J536" s="231" t="s">
        <v>309</v>
      </c>
      <c r="K536" s="232">
        <v>20.85</v>
      </c>
      <c r="L536" s="232">
        <v>15.65</v>
      </c>
      <c r="M536" s="232"/>
      <c r="N536" s="232"/>
      <c r="O536" s="232">
        <f t="shared" si="380"/>
        <v>36.5</v>
      </c>
      <c r="P536" s="233">
        <f t="shared" ref="P536:P570" si="389">ROUND((O536*I536),0)</f>
        <v>2482</v>
      </c>
      <c r="Q536" s="298" t="str">
        <f t="shared" si="381"/>
        <v>manual</v>
      </c>
      <c r="S536" s="143">
        <f t="shared" si="382"/>
        <v>0</v>
      </c>
      <c r="X536" s="143">
        <f t="shared" si="383"/>
        <v>0</v>
      </c>
    </row>
    <row r="537" spans="4:29" x14ac:dyDescent="0.2">
      <c r="E537" s="228"/>
      <c r="F537" s="228"/>
      <c r="G537" s="228" t="s">
        <v>599</v>
      </c>
      <c r="H537" s="228"/>
      <c r="I537" s="230">
        <v>287</v>
      </c>
      <c r="J537" s="231" t="s">
        <v>309</v>
      </c>
      <c r="K537" s="232">
        <v>26.84</v>
      </c>
      <c r="L537" s="232">
        <v>17.11</v>
      </c>
      <c r="M537" s="232"/>
      <c r="N537" s="232"/>
      <c r="O537" s="232">
        <f t="shared" ref="O537:O554" si="390">SUM(K537:N537)*embed</f>
        <v>43.95</v>
      </c>
      <c r="P537" s="233">
        <f t="shared" si="389"/>
        <v>12614</v>
      </c>
      <c r="Q537" s="298" t="str">
        <f t="shared" ref="Q537:Q554" si="391">IF(O537=0,0,IF(X537=0,"manual",(O537/(R537*tax*markup*IF(Y537&lt;&gt;"",VLOOKUP(LEFT(Y537,2),cityindex,2,0),1)+S537*markup*difficulty*IF(Y537&lt;&gt;"",VLOOKUP(LEFT(Y537,2),cityindex,3,0),1)+W537*markup*difficulty*IF(Y537&lt;&gt;"",VLOOKUP(LEFT(Y537,2),cityindex,3,0),1)))-1))</f>
        <v>manual</v>
      </c>
      <c r="S537" s="143">
        <f t="shared" si="382"/>
        <v>0</v>
      </c>
      <c r="X537" s="143">
        <f t="shared" si="383"/>
        <v>0</v>
      </c>
    </row>
    <row r="538" spans="4:29" x14ac:dyDescent="0.2">
      <c r="E538" s="228"/>
      <c r="F538" s="228"/>
      <c r="G538" s="228" t="s">
        <v>1494</v>
      </c>
      <c r="H538" s="228"/>
      <c r="I538" s="230">
        <f>0.5*SUM(I535:I537)</f>
        <v>203</v>
      </c>
      <c r="J538" s="231" t="s">
        <v>333</v>
      </c>
      <c r="K538" s="232"/>
      <c r="L538" s="232">
        <v>39.81</v>
      </c>
      <c r="M538" s="232">
        <v>41.68</v>
      </c>
      <c r="N538" s="232"/>
      <c r="O538" s="232">
        <f t="shared" si="390"/>
        <v>81.490000000000009</v>
      </c>
      <c r="P538" s="233">
        <f t="shared" si="389"/>
        <v>16542</v>
      </c>
      <c r="Q538" s="298" t="str">
        <f t="shared" si="391"/>
        <v>manual</v>
      </c>
      <c r="S538" s="143">
        <f t="shared" si="382"/>
        <v>0</v>
      </c>
      <c r="X538" s="143">
        <f t="shared" si="383"/>
        <v>0</v>
      </c>
    </row>
    <row r="539" spans="4:29" x14ac:dyDescent="0.2">
      <c r="D539" s="228"/>
      <c r="E539" s="228"/>
      <c r="F539" s="228"/>
      <c r="G539" s="228" t="s">
        <v>1495</v>
      </c>
      <c r="H539" s="228"/>
      <c r="I539" s="230">
        <f>(SUM(I535:I537)*1.1)*3</f>
        <v>1339.8000000000002</v>
      </c>
      <c r="J539" s="231" t="s">
        <v>301</v>
      </c>
      <c r="K539" s="232">
        <f>R539*tax*markup*IF(Y539&lt;&gt;"",VLOOKUP(LEFT(Y539,2),cityindex,2,0),1)</f>
        <v>0</v>
      </c>
      <c r="L539" s="232">
        <f>S539*markup*difficulty*IF(Y539&lt;&gt;"",VLOOKUP(LEFT(Y539,2),cityindex,3,0),1)</f>
        <v>0</v>
      </c>
      <c r="M539" s="232">
        <f>W539*markup*difficulty*IF(Y539&lt;&gt;"",VLOOKUP(LEFT(Y539,2),cityindex,3,0),1)</f>
        <v>0</v>
      </c>
      <c r="N539" s="232">
        <v>15</v>
      </c>
      <c r="O539" s="232">
        <f t="shared" si="390"/>
        <v>15</v>
      </c>
      <c r="P539" s="233">
        <f t="shared" si="389"/>
        <v>20097</v>
      </c>
      <c r="Q539" s="298" t="str">
        <f t="shared" si="391"/>
        <v>manual</v>
      </c>
      <c r="S539" s="143">
        <f t="shared" si="382"/>
        <v>0</v>
      </c>
      <c r="X539" s="143">
        <f t="shared" si="383"/>
        <v>0</v>
      </c>
    </row>
    <row r="540" spans="4:29" x14ac:dyDescent="0.2">
      <c r="D540" s="228"/>
      <c r="E540" s="228"/>
      <c r="F540" s="228"/>
      <c r="G540" s="228"/>
      <c r="H540" s="228"/>
      <c r="I540" s="230"/>
      <c r="J540" s="231"/>
      <c r="K540" s="232">
        <f>R540*tax*markup*IF(Y540&lt;&gt;"",VLOOKUP(LEFT(Y540,2),cityindex,2,0),1)</f>
        <v>0</v>
      </c>
      <c r="L540" s="232">
        <f>S540*markup*difficulty*IF(Y540&lt;&gt;"",VLOOKUP(LEFT(Y540,2),cityindex,3,0),1)</f>
        <v>0</v>
      </c>
      <c r="M540" s="232">
        <f>W540*markup*difficulty*IF(Y540&lt;&gt;"",VLOOKUP(LEFT(Y540,2),cityindex,3,0),1)</f>
        <v>0</v>
      </c>
      <c r="N540" s="232"/>
      <c r="O540" s="232">
        <f t="shared" si="390"/>
        <v>0</v>
      </c>
      <c r="P540" s="233">
        <f t="shared" si="389"/>
        <v>0</v>
      </c>
      <c r="Q540" s="298">
        <f t="shared" si="391"/>
        <v>0</v>
      </c>
      <c r="S540" s="143">
        <f t="shared" si="382"/>
        <v>0</v>
      </c>
      <c r="X540" s="143">
        <f t="shared" si="383"/>
        <v>0</v>
      </c>
    </row>
    <row r="541" spans="4:29" x14ac:dyDescent="0.2">
      <c r="E541" s="228"/>
      <c r="F541" s="228" t="s">
        <v>1496</v>
      </c>
      <c r="G541" s="228"/>
      <c r="H541" s="228"/>
      <c r="I541" s="230"/>
      <c r="J541" s="231"/>
      <c r="K541" s="232"/>
      <c r="L541" s="232"/>
      <c r="M541" s="232"/>
      <c r="N541" s="232"/>
      <c r="O541" s="232">
        <f t="shared" si="390"/>
        <v>0</v>
      </c>
      <c r="P541" s="233">
        <f t="shared" si="389"/>
        <v>0</v>
      </c>
      <c r="Q541" s="298">
        <f t="shared" si="391"/>
        <v>0</v>
      </c>
      <c r="S541" s="143">
        <f t="shared" si="382"/>
        <v>0</v>
      </c>
      <c r="X541" s="143">
        <f t="shared" si="383"/>
        <v>0</v>
      </c>
    </row>
    <row r="542" spans="4:29" x14ac:dyDescent="0.2">
      <c r="E542" s="228"/>
      <c r="F542" s="228"/>
      <c r="G542" s="228" t="s">
        <v>1497</v>
      </c>
      <c r="H542" s="228"/>
      <c r="I542" s="230">
        <v>68</v>
      </c>
      <c r="J542" s="231" t="s">
        <v>309</v>
      </c>
      <c r="K542" s="232">
        <v>14.74</v>
      </c>
      <c r="L542" s="232">
        <v>15.98</v>
      </c>
      <c r="M542" s="232"/>
      <c r="N542" s="232"/>
      <c r="O542" s="232">
        <f t="shared" si="390"/>
        <v>30.72</v>
      </c>
      <c r="P542" s="233">
        <f t="shared" si="389"/>
        <v>2089</v>
      </c>
      <c r="Q542" s="298" t="str">
        <f t="shared" si="391"/>
        <v>manual</v>
      </c>
      <c r="S542" s="143">
        <f t="shared" si="382"/>
        <v>0</v>
      </c>
      <c r="X542" s="143">
        <f t="shared" si="383"/>
        <v>0</v>
      </c>
    </row>
    <row r="543" spans="4:29" x14ac:dyDescent="0.2">
      <c r="E543" s="228"/>
      <c r="F543" s="228"/>
      <c r="G543" s="228" t="s">
        <v>1498</v>
      </c>
      <c r="H543" s="228"/>
      <c r="I543" s="230">
        <v>76</v>
      </c>
      <c r="J543" s="231" t="s">
        <v>309</v>
      </c>
      <c r="K543" s="232">
        <v>24.26</v>
      </c>
      <c r="L543" s="232">
        <v>19.28</v>
      </c>
      <c r="M543" s="232"/>
      <c r="N543" s="232"/>
      <c r="O543" s="232">
        <f t="shared" si="390"/>
        <v>43.540000000000006</v>
      </c>
      <c r="P543" s="233">
        <f t="shared" si="389"/>
        <v>3309</v>
      </c>
      <c r="Q543" s="298" t="str">
        <f t="shared" si="391"/>
        <v>manual</v>
      </c>
      <c r="S543" s="143">
        <f t="shared" si="382"/>
        <v>0</v>
      </c>
      <c r="X543" s="143">
        <f t="shared" si="383"/>
        <v>0</v>
      </c>
    </row>
    <row r="544" spans="4:29" x14ac:dyDescent="0.2">
      <c r="E544" s="228"/>
      <c r="F544" s="228"/>
      <c r="G544" s="228" t="s">
        <v>1502</v>
      </c>
      <c r="H544" s="228"/>
      <c r="I544" s="230">
        <v>383</v>
      </c>
      <c r="J544" s="231" t="s">
        <v>309</v>
      </c>
      <c r="K544" s="232">
        <v>32.51</v>
      </c>
      <c r="L544" s="232">
        <v>17.62</v>
      </c>
      <c r="M544" s="232"/>
      <c r="N544" s="232"/>
      <c r="O544" s="232">
        <f t="shared" ref="O544" si="392">SUM(K544:N544)*embed</f>
        <v>50.129999999999995</v>
      </c>
      <c r="P544" s="233">
        <f t="shared" ref="P544" si="393">ROUND((O544*I544),0)</f>
        <v>19200</v>
      </c>
      <c r="Q544" s="298" t="str">
        <f t="shared" ref="Q544" si="394">IF(O544=0,0,IF(X544=0,"manual",(O544/(R544*tax*markup*IF(Y544&lt;&gt;"",VLOOKUP(LEFT(Y544,2),cityindex,2,0),1)+S544*markup*difficulty*IF(Y544&lt;&gt;"",VLOOKUP(LEFT(Y544,2),cityindex,3,0),1)+W544*markup*difficulty*IF(Y544&lt;&gt;"",VLOOKUP(LEFT(Y544,2),cityindex,3,0),1)))-1))</f>
        <v>manual</v>
      </c>
      <c r="S544" s="143">
        <f t="shared" ref="S544" si="395">U544*V544</f>
        <v>0</v>
      </c>
      <c r="X544" s="143">
        <f t="shared" ref="X544" si="396">SUM(R544,S544,W544)</f>
        <v>0</v>
      </c>
    </row>
    <row r="545" spans="4:30" x14ac:dyDescent="0.2">
      <c r="D545" s="228"/>
      <c r="E545" s="228"/>
      <c r="F545" s="228"/>
      <c r="G545" s="228"/>
      <c r="H545" s="228"/>
      <c r="I545" s="230"/>
      <c r="J545" s="231"/>
      <c r="K545" s="232">
        <f>R545*tax*markup*IF(Y545&lt;&gt;"",VLOOKUP(LEFT(Y545,2),cityindex,2,0),1)</f>
        <v>0</v>
      </c>
      <c r="L545" s="232">
        <f>S545*markup*difficulty*IF(Y545&lt;&gt;"",VLOOKUP(LEFT(Y545,2),cityindex,3,0),1)</f>
        <v>0</v>
      </c>
      <c r="M545" s="232">
        <f>W545*markup*difficulty*IF(Y545&lt;&gt;"",VLOOKUP(LEFT(Y545,2),cityindex,3,0),1)</f>
        <v>0</v>
      </c>
      <c r="N545" s="232"/>
      <c r="O545" s="232">
        <f t="shared" si="390"/>
        <v>0</v>
      </c>
      <c r="P545" s="233">
        <f t="shared" si="389"/>
        <v>0</v>
      </c>
      <c r="Q545" s="298">
        <f t="shared" si="391"/>
        <v>0</v>
      </c>
      <c r="S545" s="143">
        <f t="shared" si="382"/>
        <v>0</v>
      </c>
      <c r="X545" s="143">
        <f t="shared" si="383"/>
        <v>0</v>
      </c>
    </row>
    <row r="546" spans="4:30" x14ac:dyDescent="0.2">
      <c r="E546" s="228"/>
      <c r="F546" s="228" t="s">
        <v>1499</v>
      </c>
      <c r="G546" s="228"/>
      <c r="H546" s="228"/>
      <c r="I546" s="230">
        <v>8</v>
      </c>
      <c r="J546" s="231" t="s">
        <v>390</v>
      </c>
      <c r="K546" s="232">
        <v>623.86</v>
      </c>
      <c r="L546" s="232">
        <v>78.14</v>
      </c>
      <c r="M546" s="232"/>
      <c r="N546" s="232"/>
      <c r="O546" s="232">
        <f t="shared" si="390"/>
        <v>702</v>
      </c>
      <c r="P546" s="233">
        <f t="shared" si="389"/>
        <v>5616</v>
      </c>
      <c r="Q546" s="298" t="str">
        <f t="shared" si="391"/>
        <v>manual</v>
      </c>
      <c r="S546" s="143">
        <f t="shared" si="382"/>
        <v>0</v>
      </c>
      <c r="X546" s="143">
        <f t="shared" si="383"/>
        <v>0</v>
      </c>
    </row>
    <row r="547" spans="4:30" x14ac:dyDescent="0.2">
      <c r="E547" s="228"/>
      <c r="F547" s="228" t="s">
        <v>1500</v>
      </c>
      <c r="G547" s="228"/>
      <c r="H547" s="228"/>
      <c r="I547" s="230">
        <v>1</v>
      </c>
      <c r="J547" s="231" t="s">
        <v>390</v>
      </c>
      <c r="K547" s="232">
        <v>387</v>
      </c>
      <c r="L547" s="232">
        <v>49</v>
      </c>
      <c r="M547" s="232"/>
      <c r="N547" s="232"/>
      <c r="O547" s="232">
        <f t="shared" si="390"/>
        <v>436</v>
      </c>
      <c r="P547" s="233">
        <f t="shared" si="389"/>
        <v>436</v>
      </c>
      <c r="Q547" s="298" t="str">
        <f t="shared" si="391"/>
        <v>manual</v>
      </c>
      <c r="S547" s="143">
        <f t="shared" si="382"/>
        <v>0</v>
      </c>
      <c r="X547" s="143">
        <f t="shared" si="383"/>
        <v>0</v>
      </c>
    </row>
    <row r="548" spans="4:30" x14ac:dyDescent="0.2">
      <c r="D548" s="228"/>
      <c r="E548" s="228"/>
      <c r="F548" s="228"/>
      <c r="G548" s="228"/>
      <c r="H548" s="228"/>
      <c r="I548" s="230"/>
      <c r="J548" s="231"/>
      <c r="K548" s="232"/>
      <c r="L548" s="232"/>
      <c r="M548" s="232"/>
      <c r="N548" s="232"/>
      <c r="O548" s="232">
        <f t="shared" si="390"/>
        <v>0</v>
      </c>
      <c r="P548" s="233">
        <f t="shared" si="389"/>
        <v>0</v>
      </c>
      <c r="Q548" s="298">
        <f t="shared" si="391"/>
        <v>0</v>
      </c>
      <c r="S548" s="143">
        <f t="shared" si="382"/>
        <v>0</v>
      </c>
      <c r="X548" s="143">
        <f t="shared" si="383"/>
        <v>0</v>
      </c>
    </row>
    <row r="549" spans="4:30" x14ac:dyDescent="0.2">
      <c r="E549" s="228" t="s">
        <v>1501</v>
      </c>
      <c r="F549" s="228"/>
      <c r="G549" s="228"/>
      <c r="H549" s="228"/>
      <c r="I549" s="230"/>
      <c r="J549" s="231"/>
      <c r="K549" s="232"/>
      <c r="L549" s="232"/>
      <c r="M549" s="232"/>
      <c r="N549" s="232"/>
      <c r="O549" s="232">
        <f t="shared" si="390"/>
        <v>0</v>
      </c>
      <c r="P549" s="233">
        <f t="shared" si="389"/>
        <v>0</v>
      </c>
      <c r="Q549" s="298">
        <f t="shared" si="391"/>
        <v>0</v>
      </c>
      <c r="S549" s="143">
        <f t="shared" si="382"/>
        <v>0</v>
      </c>
      <c r="X549" s="143">
        <f t="shared" si="383"/>
        <v>0</v>
      </c>
    </row>
    <row r="550" spans="4:30" x14ac:dyDescent="0.2">
      <c r="E550" s="228"/>
      <c r="F550" s="228" t="s">
        <v>1496</v>
      </c>
      <c r="G550" s="228"/>
      <c r="H550" s="228"/>
      <c r="I550" s="230"/>
      <c r="J550" s="231"/>
      <c r="K550" s="232"/>
      <c r="L550" s="232"/>
      <c r="M550" s="232"/>
      <c r="N550" s="232"/>
      <c r="O550" s="232">
        <f t="shared" si="390"/>
        <v>0</v>
      </c>
      <c r="P550" s="233">
        <f t="shared" si="389"/>
        <v>0</v>
      </c>
      <c r="Q550" s="298">
        <f t="shared" si="391"/>
        <v>0</v>
      </c>
      <c r="S550" s="143">
        <f t="shared" si="382"/>
        <v>0</v>
      </c>
      <c r="X550" s="143">
        <f t="shared" si="383"/>
        <v>0</v>
      </c>
    </row>
    <row r="551" spans="4:30" x14ac:dyDescent="0.2">
      <c r="E551" s="228"/>
      <c r="F551" s="228"/>
      <c r="G551" s="228" t="s">
        <v>1497</v>
      </c>
      <c r="H551" s="228"/>
      <c r="I551" s="230">
        <v>173</v>
      </c>
      <c r="J551" s="231" t="s">
        <v>309</v>
      </c>
      <c r="K551" s="232">
        <v>14.74</v>
      </c>
      <c r="L551" s="232">
        <v>15.98</v>
      </c>
      <c r="M551" s="232"/>
      <c r="N551" s="232"/>
      <c r="O551" s="232">
        <f t="shared" si="390"/>
        <v>30.72</v>
      </c>
      <c r="P551" s="233">
        <f t="shared" si="389"/>
        <v>5315</v>
      </c>
      <c r="Q551" s="298" t="str">
        <f t="shared" si="391"/>
        <v>manual</v>
      </c>
      <c r="S551" s="143">
        <f t="shared" si="382"/>
        <v>0</v>
      </c>
      <c r="X551" s="143">
        <f t="shared" si="383"/>
        <v>0</v>
      </c>
    </row>
    <row r="552" spans="4:30" x14ac:dyDescent="0.2">
      <c r="E552" s="228"/>
      <c r="F552" s="228"/>
      <c r="G552" s="228" t="s">
        <v>1498</v>
      </c>
      <c r="H552" s="228"/>
      <c r="I552" s="230">
        <v>286</v>
      </c>
      <c r="J552" s="231" t="s">
        <v>309</v>
      </c>
      <c r="K552" s="232">
        <v>24.26</v>
      </c>
      <c r="L552" s="232">
        <v>19.28</v>
      </c>
      <c r="M552" s="232"/>
      <c r="N552" s="232"/>
      <c r="O552" s="232">
        <f t="shared" si="390"/>
        <v>43.540000000000006</v>
      </c>
      <c r="P552" s="233">
        <f t="shared" si="389"/>
        <v>12452</v>
      </c>
      <c r="Q552" s="298" t="str">
        <f t="shared" si="391"/>
        <v>manual</v>
      </c>
      <c r="S552" s="143">
        <f t="shared" si="382"/>
        <v>0</v>
      </c>
      <c r="X552" s="143">
        <f t="shared" si="383"/>
        <v>0</v>
      </c>
    </row>
    <row r="553" spans="4:30" x14ac:dyDescent="0.2">
      <c r="D553" s="228"/>
      <c r="E553" s="228"/>
      <c r="F553" s="228"/>
      <c r="G553" s="228"/>
      <c r="H553" s="228"/>
      <c r="I553" s="230"/>
      <c r="J553" s="231"/>
      <c r="K553" s="232">
        <f>R553*tax*markup*IF(Y553&lt;&gt;"",VLOOKUP(LEFT(Y553,2),cityindex,2,0),1)</f>
        <v>0</v>
      </c>
      <c r="L553" s="232">
        <f>S553*markup*difficulty*IF(Y553&lt;&gt;"",VLOOKUP(LEFT(Y553,2),cityindex,3,0),1)</f>
        <v>0</v>
      </c>
      <c r="M553" s="232">
        <f>W553*markup*difficulty*IF(Y553&lt;&gt;"",VLOOKUP(LEFT(Y553,2),cityindex,3,0),1)</f>
        <v>0</v>
      </c>
      <c r="N553" s="232"/>
      <c r="O553" s="232">
        <f t="shared" si="390"/>
        <v>0</v>
      </c>
      <c r="P553" s="233">
        <f t="shared" si="389"/>
        <v>0</v>
      </c>
      <c r="Q553" s="298">
        <f t="shared" si="391"/>
        <v>0</v>
      </c>
      <c r="S553" s="143">
        <f t="shared" si="382"/>
        <v>0</v>
      </c>
      <c r="X553" s="143">
        <f t="shared" si="383"/>
        <v>0</v>
      </c>
    </row>
    <row r="554" spans="4:30" x14ac:dyDescent="0.2">
      <c r="E554" s="228"/>
      <c r="F554" s="228" t="s">
        <v>1503</v>
      </c>
      <c r="G554" s="228"/>
      <c r="H554" s="228"/>
      <c r="I554" s="230"/>
      <c r="J554" s="231"/>
      <c r="K554" s="232"/>
      <c r="L554" s="232"/>
      <c r="M554" s="232"/>
      <c r="N554" s="232"/>
      <c r="O554" s="232">
        <f t="shared" si="390"/>
        <v>0</v>
      </c>
      <c r="P554" s="233">
        <f t="shared" si="389"/>
        <v>0</v>
      </c>
      <c r="Q554" s="298">
        <f t="shared" si="391"/>
        <v>0</v>
      </c>
      <c r="S554" s="143">
        <f t="shared" si="382"/>
        <v>0</v>
      </c>
      <c r="X554" s="143">
        <f t="shared" si="383"/>
        <v>0</v>
      </c>
    </row>
    <row r="555" spans="4:30" ht="12.75" customHeight="1" x14ac:dyDescent="0.2">
      <c r="E555" s="228"/>
      <c r="F555" s="228"/>
      <c r="G555" s="228" t="s">
        <v>1504</v>
      </c>
      <c r="H555" s="228"/>
      <c r="I555" s="230">
        <v>2</v>
      </c>
      <c r="J555" s="231" t="s">
        <v>390</v>
      </c>
      <c r="K555" s="307">
        <v>168</v>
      </c>
      <c r="L555" s="307">
        <v>49</v>
      </c>
      <c r="M555" s="307"/>
      <c r="N555" s="232"/>
      <c r="O555" s="232">
        <f t="shared" ref="O555:O560" si="397">SUM(K555:N555)*embed</f>
        <v>217</v>
      </c>
      <c r="P555" s="233">
        <f t="shared" si="389"/>
        <v>434</v>
      </c>
      <c r="Q555" s="297" t="str">
        <f t="shared" ref="Q555" si="398">IF(O555=0,0,IF(X555=0,"manual",(O555/(R555*tax*markup*IF(Y555&lt;&gt;"",VLOOKUP(LEFT(Y555,2),cityindex,2,0),1)+S555*markup*difficulty*IF(Y555&lt;&gt;"",VLOOKUP(LEFT(Y555,2),cityindex,3,0),1)+W555*markup*difficulty*IF(Y555&lt;&gt;"",VLOOKUP(LEFT(Y555,2),cityindex,3,0),1)))-1))</f>
        <v>manual</v>
      </c>
      <c r="S555" s="143">
        <f t="shared" si="382"/>
        <v>0</v>
      </c>
      <c r="X555" s="143">
        <f t="shared" si="383"/>
        <v>0</v>
      </c>
    </row>
    <row r="556" spans="4:30" ht="12.75" customHeight="1" x14ac:dyDescent="0.2">
      <c r="E556" s="228"/>
      <c r="F556" s="228"/>
      <c r="G556" s="228" t="s">
        <v>1505</v>
      </c>
      <c r="H556" s="228"/>
      <c r="I556" s="230">
        <v>6</v>
      </c>
      <c r="J556" s="231" t="s">
        <v>390</v>
      </c>
      <c r="K556" s="307">
        <v>205</v>
      </c>
      <c r="L556" s="307">
        <v>54</v>
      </c>
      <c r="M556" s="307"/>
      <c r="N556" s="232"/>
      <c r="O556" s="232">
        <f t="shared" ref="O556" si="399">SUM(K556:N556)*embed</f>
        <v>259</v>
      </c>
      <c r="P556" s="233">
        <f t="shared" si="389"/>
        <v>1554</v>
      </c>
      <c r="Q556" s="297"/>
    </row>
    <row r="557" spans="4:30" ht="12.75" customHeight="1" x14ac:dyDescent="0.2">
      <c r="D557" s="228"/>
      <c r="E557" s="228"/>
      <c r="F557" s="228"/>
      <c r="G557" s="228"/>
      <c r="I557" s="230"/>
      <c r="J557" s="231"/>
      <c r="K557" s="307"/>
      <c r="L557" s="307"/>
      <c r="M557" s="307"/>
      <c r="N557" s="232"/>
      <c r="O557" s="232"/>
      <c r="P557" s="233"/>
      <c r="Q557" s="297"/>
    </row>
    <row r="558" spans="4:30" s="299" customFormat="1" x14ac:dyDescent="0.2">
      <c r="E558" s="299" t="s">
        <v>1001</v>
      </c>
      <c r="J558" s="300"/>
      <c r="O558" s="232">
        <f t="shared" si="397"/>
        <v>0</v>
      </c>
      <c r="P558" s="233">
        <f t="shared" si="389"/>
        <v>0</v>
      </c>
      <c r="Z558" s="321"/>
      <c r="AA558" s="321"/>
      <c r="AB558" s="321"/>
      <c r="AC558" s="321"/>
      <c r="AD558" s="602"/>
    </row>
    <row r="559" spans="4:30" s="299" customFormat="1" x14ac:dyDescent="0.2">
      <c r="F559" s="299" t="s">
        <v>1002</v>
      </c>
      <c r="I559" s="301">
        <f>43*4</f>
        <v>172</v>
      </c>
      <c r="J559" s="300" t="s">
        <v>309</v>
      </c>
      <c r="K559" s="302">
        <v>10.925249107611506</v>
      </c>
      <c r="L559" s="302">
        <v>12.789254504000001</v>
      </c>
      <c r="O559" s="232">
        <f t="shared" si="397"/>
        <v>23.714503611611505</v>
      </c>
      <c r="P559" s="233">
        <f t="shared" si="389"/>
        <v>4079</v>
      </c>
      <c r="Z559" s="321"/>
      <c r="AA559" s="321"/>
      <c r="AB559" s="321"/>
      <c r="AC559" s="321"/>
      <c r="AD559" s="602"/>
    </row>
    <row r="560" spans="4:30" s="299" customFormat="1" x14ac:dyDescent="0.2">
      <c r="F560" s="299" t="s">
        <v>1003</v>
      </c>
      <c r="I560" s="301">
        <f>43*4</f>
        <v>172</v>
      </c>
      <c r="J560" s="300" t="s">
        <v>309</v>
      </c>
      <c r="K560" s="302">
        <v>1.37</v>
      </c>
      <c r="L560" s="302">
        <v>4.22</v>
      </c>
      <c r="O560" s="232">
        <f t="shared" si="397"/>
        <v>5.59</v>
      </c>
      <c r="P560" s="233">
        <f t="shared" si="389"/>
        <v>961</v>
      </c>
      <c r="Z560" s="321"/>
      <c r="AA560" s="321"/>
      <c r="AB560" s="321"/>
      <c r="AC560" s="321"/>
      <c r="AD560" s="602"/>
    </row>
    <row r="561" spans="4:30" s="299" customFormat="1" x14ac:dyDescent="0.2">
      <c r="F561" s="299" t="s">
        <v>1004</v>
      </c>
      <c r="I561" s="301">
        <v>4</v>
      </c>
      <c r="J561" s="300" t="s">
        <v>390</v>
      </c>
      <c r="K561" s="302">
        <v>200</v>
      </c>
      <c r="L561" s="302">
        <v>100</v>
      </c>
      <c r="O561" s="232">
        <f t="shared" ref="O561:O570" si="400">SUM(K561:N561)*embed</f>
        <v>300</v>
      </c>
      <c r="P561" s="233">
        <f t="shared" si="389"/>
        <v>1200</v>
      </c>
      <c r="Z561" s="321"/>
      <c r="AA561" s="321"/>
      <c r="AB561" s="321"/>
      <c r="AC561" s="321"/>
      <c r="AD561" s="602"/>
    </row>
    <row r="562" spans="4:30" ht="12.75" customHeight="1" x14ac:dyDescent="0.2">
      <c r="D562" s="228"/>
      <c r="E562" s="228"/>
      <c r="F562" s="228" t="s">
        <v>1005</v>
      </c>
      <c r="G562" s="228"/>
      <c r="H562" s="228"/>
      <c r="I562" s="301">
        <v>4</v>
      </c>
      <c r="J562" s="147" t="s">
        <v>390</v>
      </c>
      <c r="K562" s="307">
        <v>250</v>
      </c>
      <c r="L562" s="302">
        <v>100</v>
      </c>
      <c r="M562" s="307">
        <f>W562*markup*difficulty*IF(Y562&lt;&gt;"",VLOOKUP(LEFT(Y562,2),cityindex,3,0),1)</f>
        <v>0</v>
      </c>
      <c r="N562" s="232"/>
      <c r="O562" s="232">
        <f t="shared" si="400"/>
        <v>350</v>
      </c>
      <c r="P562" s="233">
        <f t="shared" si="389"/>
        <v>1400</v>
      </c>
      <c r="Q562" s="297" t="str">
        <f>IF(O562=0,0,IF(X562=0,"manual",(O562/(R562*tax*markup*IF(Y562&lt;&gt;"",VLOOKUP(LEFT(Y562,2),cityindex,2,0),1)+S562*markup*difficulty*IF(Y562&lt;&gt;"",VLOOKUP(LEFT(Y562,2),cityindex,3,0),1)+W562*markup*difficulty*IF(Y562&lt;&gt;"",VLOOKUP(LEFT(Y562,2),cityindex,3,0),1)))-1))</f>
        <v>manual</v>
      </c>
      <c r="S562" s="143">
        <f>U562*V562</f>
        <v>0</v>
      </c>
      <c r="X562" s="143">
        <f>SUM(R562,S562,W562)</f>
        <v>0</v>
      </c>
    </row>
    <row r="563" spans="4:30" ht="12.75" customHeight="1" x14ac:dyDescent="0.2">
      <c r="D563" s="228"/>
      <c r="E563" s="228"/>
      <c r="F563" s="228"/>
      <c r="G563" s="228"/>
      <c r="H563" s="228"/>
      <c r="I563" s="230"/>
      <c r="J563" s="231"/>
      <c r="K563" s="307">
        <f>R563*tax*markup*IF(Y563&lt;&gt;"",VLOOKUP(LEFT(Y563,2),cityindex,2,0),1)</f>
        <v>0</v>
      </c>
      <c r="L563" s="307">
        <f>S563*markup*difficulty*IF(Y563&lt;&gt;"",VLOOKUP(LEFT(Y563,2),cityindex,3,0),1)</f>
        <v>0</v>
      </c>
      <c r="M563" s="307">
        <f>W563*markup*difficulty*IF(Y563&lt;&gt;"",VLOOKUP(LEFT(Y563,2),cityindex,3,0),1)</f>
        <v>0</v>
      </c>
      <c r="N563" s="232"/>
      <c r="O563" s="232">
        <f t="shared" ref="O563:O566" si="401">SUM(K563:N563)*embed</f>
        <v>0</v>
      </c>
      <c r="P563" s="233">
        <f t="shared" si="389"/>
        <v>0</v>
      </c>
      <c r="Q563" s="297">
        <f>IF(O563=0,0,IF(X563=0,"manual",(O563/(R563*tax*markup*IF(Y563&lt;&gt;"",VLOOKUP(LEFT(Y563,2),cityindex,2,0),1)+S563*markup*difficulty*IF(Y563&lt;&gt;"",VLOOKUP(LEFT(Y563,2),cityindex,3,0),1)+W563*markup*difficulty*IF(Y563&lt;&gt;"",VLOOKUP(LEFT(Y563,2),cityindex,3,0),1)))-1))</f>
        <v>0</v>
      </c>
      <c r="S563" s="143">
        <f t="shared" ref="S563:S570" si="402">U563*V563</f>
        <v>0</v>
      </c>
      <c r="X563" s="143">
        <f t="shared" ref="X563:X570" si="403">SUM(R563,S563,W563)</f>
        <v>0</v>
      </c>
    </row>
    <row r="564" spans="4:30" x14ac:dyDescent="0.2">
      <c r="D564" s="228"/>
      <c r="E564" s="143" t="s">
        <v>378</v>
      </c>
      <c r="I564" s="295">
        <v>1</v>
      </c>
      <c r="J564" s="231" t="s">
        <v>992</v>
      </c>
      <c r="K564" s="307">
        <f>Z564*0.05*0.1</f>
        <v>1317.0100000000002</v>
      </c>
      <c r="L564" s="307">
        <f>Z564*0.95*0.1</f>
        <v>25023.190000000002</v>
      </c>
      <c r="M564" s="307"/>
      <c r="N564" s="232"/>
      <c r="O564" s="232">
        <f t="shared" si="401"/>
        <v>26340.200000000004</v>
      </c>
      <c r="P564" s="233">
        <f t="shared" si="389"/>
        <v>26340</v>
      </c>
      <c r="Q564" s="308" t="e">
        <f>SUM(#REF!)</f>
        <v>#REF!</v>
      </c>
      <c r="S564" s="143">
        <f t="shared" si="402"/>
        <v>0</v>
      </c>
      <c r="X564" s="143">
        <f t="shared" si="403"/>
        <v>0</v>
      </c>
      <c r="Z564" s="322">
        <f>SUM(P470:P563)</f>
        <v>263402</v>
      </c>
    </row>
    <row r="565" spans="4:30" x14ac:dyDescent="0.2">
      <c r="D565" s="228"/>
      <c r="F565" s="228" t="s">
        <v>1006</v>
      </c>
      <c r="H565" s="228"/>
      <c r="I565" s="309"/>
      <c r="J565" s="231" t="s">
        <v>1007</v>
      </c>
      <c r="K565" s="307">
        <f t="shared" ref="K565:K570" si="404">R565*tax*markup*IF(Y565&lt;&gt;"",VLOOKUP(LEFT(Y565,2),cityindex,2,0),1)</f>
        <v>0</v>
      </c>
      <c r="L565" s="307">
        <f t="shared" ref="L565:L570" si="405">S565*markup*difficulty*IF(Y565&lt;&gt;"",VLOOKUP(LEFT(Y565,2),cityindex,3,0),1)</f>
        <v>0</v>
      </c>
      <c r="M565" s="307">
        <f t="shared" ref="M565:M570" si="406">W565*markup*difficulty*IF(Y565&lt;&gt;"",VLOOKUP(LEFT(Y565,2),cityindex,3,0),1)</f>
        <v>0</v>
      </c>
      <c r="N565" s="232"/>
      <c r="O565" s="232">
        <f t="shared" si="401"/>
        <v>0</v>
      </c>
      <c r="P565" s="233">
        <f t="shared" si="389"/>
        <v>0</v>
      </c>
      <c r="Q565" s="297">
        <f>IF(O565=0,0,IF(X565=0,"manual",(O565/(R565*tax*markup*IF(Y565&lt;&gt;"",VLOOKUP(LEFT(Y565,2),cityindex,2,0),1)+S565*markup*difficulty*IF(Y565&lt;&gt;"",VLOOKUP(LEFT(Y565,2),cityindex,3,0),1)+W565*markup*difficulty*IF(Y565&lt;&gt;"",VLOOKUP(LEFT(Y565,2),cityindex,3,0),1)))-1))</f>
        <v>0</v>
      </c>
      <c r="S565" s="143">
        <f t="shared" si="402"/>
        <v>0</v>
      </c>
      <c r="X565" s="143">
        <f t="shared" si="403"/>
        <v>0</v>
      </c>
    </row>
    <row r="566" spans="4:30" x14ac:dyDescent="0.2">
      <c r="D566" s="228"/>
      <c r="F566" s="228" t="s">
        <v>1008</v>
      </c>
      <c r="H566" s="228"/>
      <c r="I566" s="309"/>
      <c r="J566" s="231" t="s">
        <v>1007</v>
      </c>
      <c r="K566" s="307">
        <f t="shared" si="404"/>
        <v>0</v>
      </c>
      <c r="L566" s="307">
        <f t="shared" si="405"/>
        <v>0</v>
      </c>
      <c r="M566" s="307">
        <f t="shared" si="406"/>
        <v>0</v>
      </c>
      <c r="N566" s="232"/>
      <c r="O566" s="232">
        <f t="shared" si="401"/>
        <v>0</v>
      </c>
      <c r="P566" s="233">
        <f t="shared" si="389"/>
        <v>0</v>
      </c>
      <c r="Q566" s="297">
        <f>IF(O566=0,0,IF(X566=0,"manual",(O566/(R566*tax*markup*IF(Y566&lt;&gt;"",VLOOKUP(LEFT(Y566,2),cityindex,2,0),1)+S566*markup*difficulty*IF(Y566&lt;&gt;"",VLOOKUP(LEFT(Y566,2),cityindex,3,0),1)+W566*markup*difficulty*IF(Y566&lt;&gt;"",VLOOKUP(LEFT(Y566,2),cityindex,3,0),1)))-1))</f>
        <v>0</v>
      </c>
      <c r="S566" s="143">
        <f t="shared" si="402"/>
        <v>0</v>
      </c>
      <c r="X566" s="143">
        <f t="shared" si="403"/>
        <v>0</v>
      </c>
    </row>
    <row r="567" spans="4:30" x14ac:dyDescent="0.2">
      <c r="D567" s="228"/>
      <c r="F567" s="228" t="s">
        <v>1009</v>
      </c>
      <c r="H567" s="228"/>
      <c r="I567" s="309"/>
      <c r="J567" s="231" t="s">
        <v>1007</v>
      </c>
      <c r="K567" s="307">
        <f t="shared" si="404"/>
        <v>0</v>
      </c>
      <c r="L567" s="307">
        <f t="shared" si="405"/>
        <v>0</v>
      </c>
      <c r="M567" s="307">
        <f t="shared" si="406"/>
        <v>0</v>
      </c>
      <c r="N567" s="232"/>
      <c r="O567" s="232">
        <f t="shared" si="400"/>
        <v>0</v>
      </c>
      <c r="P567" s="233">
        <f t="shared" si="389"/>
        <v>0</v>
      </c>
      <c r="Q567" s="297">
        <f>IF(O567=0,0,IF(X567=0,"manual",(O567/(R567*tax*markup*IF(Y567&lt;&gt;"",VLOOKUP(LEFT(Y567,2),cityindex,2,0),1)+S567*markup*difficulty*IF(Y567&lt;&gt;"",VLOOKUP(LEFT(Y567,2),cityindex,3,0),1)+W567*markup*difficulty*IF(Y567&lt;&gt;"",VLOOKUP(LEFT(Y567,2),cityindex,3,0),1)))-1))</f>
        <v>0</v>
      </c>
      <c r="S567" s="143">
        <f t="shared" si="402"/>
        <v>0</v>
      </c>
      <c r="X567" s="143">
        <f t="shared" si="403"/>
        <v>0</v>
      </c>
    </row>
    <row r="568" spans="4:30" x14ac:dyDescent="0.2">
      <c r="D568" s="228"/>
      <c r="F568" s="228" t="s">
        <v>1010</v>
      </c>
      <c r="H568" s="228"/>
      <c r="I568" s="309"/>
      <c r="J568" s="231" t="s">
        <v>1007</v>
      </c>
      <c r="K568" s="307">
        <f t="shared" si="404"/>
        <v>0</v>
      </c>
      <c r="L568" s="307">
        <f t="shared" si="405"/>
        <v>0</v>
      </c>
      <c r="M568" s="307">
        <f t="shared" si="406"/>
        <v>0</v>
      </c>
      <c r="N568" s="232"/>
      <c r="O568" s="232">
        <f t="shared" si="400"/>
        <v>0</v>
      </c>
      <c r="P568" s="233">
        <f t="shared" si="389"/>
        <v>0</v>
      </c>
      <c r="Q568" s="297">
        <f>IF(O568=0,0,IF(X568=0,"manual",(O568/(R568*tax*markup*IF(Y568&lt;&gt;"",VLOOKUP(LEFT(Y568,2),cityindex,2,0),1)+S568*markup*difficulty*IF(Y568&lt;&gt;"",VLOOKUP(LEFT(Y568,2),cityindex,3,0),1)+W568*markup*difficulty*IF(Y568&lt;&gt;"",VLOOKUP(LEFT(Y568,2),cityindex,3,0),1)))-1))</f>
        <v>0</v>
      </c>
      <c r="S568" s="143">
        <f t="shared" si="402"/>
        <v>0</v>
      </c>
      <c r="X568" s="143">
        <f t="shared" si="403"/>
        <v>0</v>
      </c>
    </row>
    <row r="569" spans="4:30" x14ac:dyDescent="0.2">
      <c r="D569" s="228"/>
      <c r="F569" s="228" t="s">
        <v>1011</v>
      </c>
      <c r="H569" s="228"/>
      <c r="I569" s="309"/>
      <c r="J569" s="231" t="s">
        <v>1007</v>
      </c>
      <c r="K569" s="307">
        <f t="shared" si="404"/>
        <v>0</v>
      </c>
      <c r="L569" s="307">
        <f t="shared" si="405"/>
        <v>0</v>
      </c>
      <c r="M569" s="307">
        <f t="shared" si="406"/>
        <v>0</v>
      </c>
      <c r="N569" s="232"/>
      <c r="O569" s="232">
        <f t="shared" si="400"/>
        <v>0</v>
      </c>
      <c r="P569" s="233">
        <f t="shared" si="389"/>
        <v>0</v>
      </c>
      <c r="Q569" s="297">
        <f>IF(O569=0,0,IF(X569=0,"manual",(O569/(R569*tax*markup*IF(Y569&lt;&gt;"",VLOOKUP(LEFT(Y569,2),cityindex,2,0),1)+S569*markup*difficulty*IF(Y569&lt;&gt;"",VLOOKUP(LEFT(Y569,2),cityindex,3,0),1)+W569*markup*difficulty*IF(Y569&lt;&gt;"",VLOOKUP(LEFT(Y569,2),cityindex,3,0),1)))-1))</f>
        <v>0</v>
      </c>
      <c r="S569" s="143">
        <f t="shared" si="402"/>
        <v>0</v>
      </c>
      <c r="X569" s="143">
        <f t="shared" si="403"/>
        <v>0</v>
      </c>
    </row>
    <row r="570" spans="4:30" x14ac:dyDescent="0.2">
      <c r="F570" s="143" t="s">
        <v>1012</v>
      </c>
      <c r="J570" s="231" t="s">
        <v>1007</v>
      </c>
      <c r="K570" s="149">
        <f t="shared" si="404"/>
        <v>0</v>
      </c>
      <c r="L570" s="149">
        <f t="shared" si="405"/>
        <v>0</v>
      </c>
      <c r="M570" s="149">
        <f t="shared" si="406"/>
        <v>0</v>
      </c>
      <c r="N570" s="149"/>
      <c r="O570" s="149">
        <f t="shared" si="400"/>
        <v>0</v>
      </c>
      <c r="P570" s="216">
        <f t="shared" si="389"/>
        <v>0</v>
      </c>
      <c r="Q570" s="298">
        <f>IF(O570=0,0,IF(X570=0,"manual",O570/((R570*tax*markup*IF(Y570&lt;&gt;"",VLOOKUP(LEFT(Y570,2),cityindex,2,0),1))+S570*markup*difficulty*IF(Y570&lt;&gt;"",VLOOKUP(LEFT(Y570,2),cityindex,3,0),1)+W570*markup*difficulty*IF(Y570&lt;&gt;"",VLOOKUP(LEFT(Y570,2),cityindex,3,0),1))))</f>
        <v>0</v>
      </c>
      <c r="S570" s="143">
        <f t="shared" si="402"/>
        <v>0</v>
      </c>
      <c r="X570" s="143">
        <f t="shared" si="403"/>
        <v>0</v>
      </c>
      <c r="Z570" s="316"/>
    </row>
    <row r="571" spans="4:30" x14ac:dyDescent="0.2">
      <c r="K571" s="149">
        <f t="shared" ref="K571" si="407">R571*tax*markup*IF(Y571&lt;&gt;"",VLOOKUP(LEFT(Y571,2),cityindex,2,0),1)</f>
        <v>0</v>
      </c>
      <c r="L571" s="149">
        <f t="shared" ref="L571" si="408">S571*markup*difficulty*IF(Y571&lt;&gt;"",VLOOKUP(LEFT(Y571,2),cityindex,3,0),1)</f>
        <v>0</v>
      </c>
      <c r="M571" s="149">
        <f t="shared" ref="M571" si="409">W571*markup*difficulty*IF(Y571&lt;&gt;"",VLOOKUP(LEFT(Y571,2),cityindex,3,0),1)</f>
        <v>0</v>
      </c>
      <c r="N571" s="149"/>
      <c r="O571" s="149">
        <f t="shared" ref="O571" si="410">SUM(K571:N571)*embed</f>
        <v>0</v>
      </c>
      <c r="P571" s="216">
        <f t="shared" ref="P571" si="411">ROUND((O571*I571),0)</f>
        <v>0</v>
      </c>
      <c r="Q571" s="291">
        <f>IF(O571=0,0,IF(X571=0,"manual",O571/((R571*tax*markup*IF(Y571&lt;&gt;"",VLOOKUP(LEFT(Y571,2),cityindex,2,0),1))+S571*markup*difficulty*IF(Y571&lt;&gt;"",VLOOKUP(LEFT(Y571,2),cityindex,3,0),1)+W571*markup*difficulty*IF(Y571&lt;&gt;"",VLOOKUP(LEFT(Y571,2),cityindex,3,0),1))))</f>
        <v>0</v>
      </c>
      <c r="S571" s="143">
        <f t="shared" ref="S571:S574" si="412">U571*V571</f>
        <v>0</v>
      </c>
      <c r="X571" s="143">
        <f t="shared" ref="X571:X574" si="413">SUM(R571,S571,W571)</f>
        <v>0</v>
      </c>
    </row>
    <row r="572" spans="4:30" ht="24.75" customHeight="1" x14ac:dyDescent="0.2">
      <c r="D572" s="217" t="str">
        <f>"TOTAL - " &amp; D470</f>
        <v>TOTAL - 22  PLUMBING</v>
      </c>
      <c r="E572" s="217"/>
      <c r="F572" s="217"/>
      <c r="G572" s="217"/>
      <c r="H572" s="217"/>
      <c r="I572" s="218"/>
      <c r="J572" s="219"/>
      <c r="K572" s="220"/>
      <c r="L572" s="220"/>
      <c r="M572" s="220"/>
      <c r="N572" s="220"/>
      <c r="O572" s="221"/>
      <c r="P572" s="222">
        <f>SUM(P470:P571)</f>
        <v>289742</v>
      </c>
      <c r="Q572" s="294" t="str">
        <f>_xlfn.CONCAT(TEXT(SUM(P572/GFA),"$#,##0.00"),"/SF")</f>
        <v>$9.21/SF</v>
      </c>
      <c r="S572" s="143">
        <f t="shared" si="412"/>
        <v>0</v>
      </c>
      <c r="X572" s="143">
        <f t="shared" si="413"/>
        <v>0</v>
      </c>
      <c r="Z572" s="314"/>
      <c r="AA572" s="315"/>
    </row>
    <row r="573" spans="4:30" x14ac:dyDescent="0.2">
      <c r="K573" s="149">
        <f>R573*tax*markup*IF(Y573&lt;&gt;"",VLOOKUP(LEFT(Y573,2),cityindex,2,0),1)</f>
        <v>0</v>
      </c>
      <c r="L573" s="149">
        <f>S573*markup*difficulty*IF(Y573&lt;&gt;"",VLOOKUP(LEFT(Y573,2),cityindex,3,0),1)</f>
        <v>0</v>
      </c>
      <c r="M573" s="149">
        <f>W573*markup*difficulty*IF(Y573&lt;&gt;"",VLOOKUP(LEFT(Y573,2),cityindex,3,0),1)</f>
        <v>0</v>
      </c>
      <c r="N573" s="149"/>
      <c r="O573" s="149">
        <f t="shared" ref="O573:O574" si="414">SUM(K573:N573)*embed</f>
        <v>0</v>
      </c>
      <c r="P573" s="216">
        <f t="shared" ref="P573:P591" si="415">ROUND((O573*I573),0)</f>
        <v>0</v>
      </c>
      <c r="Q573" s="291">
        <f>IF(O573=0,0,IF(X573=0,"manual",O573/((R573*tax*markup*IF(Y573&lt;&gt;"",VLOOKUP(LEFT(Y573,2),cityindex,2,0),1))+S573*markup*difficulty*IF(Y573&lt;&gt;"",VLOOKUP(LEFT(Y573,2),cityindex,3,0),1)+W573*markup*difficulty*IF(Y573&lt;&gt;"",VLOOKUP(LEFT(Y573,2),cityindex,3,0),1))))</f>
        <v>0</v>
      </c>
      <c r="S573" s="143">
        <f t="shared" si="412"/>
        <v>0</v>
      </c>
      <c r="X573" s="143">
        <f t="shared" si="413"/>
        <v>0</v>
      </c>
    </row>
    <row r="574" spans="4:30" x14ac:dyDescent="0.2">
      <c r="D574" s="214" t="s">
        <v>283</v>
      </c>
      <c r="E574" s="215"/>
      <c r="F574" s="215"/>
      <c r="G574" s="215"/>
      <c r="H574" s="215"/>
      <c r="K574" s="149">
        <f>R574*tax*markup*IF(Y574&lt;&gt;"",VLOOKUP(LEFT(Y574,2),cityindex,2,0),1)</f>
        <v>0</v>
      </c>
      <c r="L574" s="149">
        <f>S574*markup*difficulty*IF(Y574&lt;&gt;"",VLOOKUP(LEFT(Y574,2),cityindex,3,0),1)</f>
        <v>0</v>
      </c>
      <c r="M574" s="149">
        <f>W574*markup*difficulty*IF(Y574&lt;&gt;"",VLOOKUP(LEFT(Y574,2),cityindex,3,0),1)</f>
        <v>0</v>
      </c>
      <c r="N574" s="149"/>
      <c r="O574" s="149">
        <f t="shared" si="414"/>
        <v>0</v>
      </c>
      <c r="P574" s="216">
        <f t="shared" si="415"/>
        <v>0</v>
      </c>
      <c r="Q574" s="291">
        <f>IF(O574=0,0,IF(X574=0,"manual",O574/((R574*tax*markup*IF(Y574&lt;&gt;"",VLOOKUP(LEFT(Y574,2),cityindex,2,0),1))+S574*markup*difficulty*IF(Y574&lt;&gt;"",VLOOKUP(LEFT(Y574,2),cityindex,3,0),1)+W574*markup*difficulty*IF(Y574&lt;&gt;"",VLOOKUP(LEFT(Y574,2),cityindex,3,0),1))))</f>
        <v>0</v>
      </c>
      <c r="S574" s="143">
        <f t="shared" si="412"/>
        <v>0</v>
      </c>
      <c r="X574" s="143">
        <f t="shared" si="413"/>
        <v>0</v>
      </c>
    </row>
    <row r="575" spans="4:30" s="584" customFormat="1" x14ac:dyDescent="0.2">
      <c r="D575" s="299"/>
      <c r="E575" s="299" t="s">
        <v>1013</v>
      </c>
      <c r="F575" s="299"/>
      <c r="G575" s="299"/>
      <c r="H575" s="299"/>
      <c r="I575" s="299"/>
      <c r="J575" s="300"/>
      <c r="K575" s="299"/>
      <c r="L575" s="299"/>
      <c r="M575" s="299"/>
      <c r="N575" s="299"/>
      <c r="O575" s="149">
        <f t="shared" ref="O575:O591" si="416">SUM(K575:N575)*embed</f>
        <v>0</v>
      </c>
      <c r="P575" s="216">
        <f t="shared" si="415"/>
        <v>0</v>
      </c>
      <c r="AC575" s="614"/>
      <c r="AD575" s="602"/>
    </row>
    <row r="576" spans="4:30" s="584" customFormat="1" x14ac:dyDescent="0.2">
      <c r="D576" s="299"/>
      <c r="E576" s="299"/>
      <c r="F576" s="299" t="s">
        <v>1507</v>
      </c>
      <c r="G576" s="299"/>
      <c r="H576" s="299"/>
      <c r="I576" s="299"/>
      <c r="J576" s="300"/>
      <c r="K576" s="299"/>
      <c r="L576" s="299"/>
      <c r="M576" s="299"/>
      <c r="N576" s="299"/>
      <c r="O576" s="149">
        <f t="shared" si="416"/>
        <v>0</v>
      </c>
      <c r="P576" s="216">
        <f t="shared" si="415"/>
        <v>0</v>
      </c>
      <c r="AC576" s="614"/>
      <c r="AD576" s="602"/>
    </row>
    <row r="577" spans="4:30" s="584" customFormat="1" x14ac:dyDescent="0.2">
      <c r="D577" s="299"/>
      <c r="E577" s="299"/>
      <c r="F577" s="299"/>
      <c r="G577" s="299" t="s">
        <v>1657</v>
      </c>
      <c r="H577" s="299"/>
      <c r="I577" s="301">
        <v>1</v>
      </c>
      <c r="J577" s="300" t="s">
        <v>390</v>
      </c>
      <c r="K577" s="302">
        <f>25.5*3554</f>
        <v>90627</v>
      </c>
      <c r="L577" s="302">
        <f>K577*0.1</f>
        <v>9062.7000000000007</v>
      </c>
      <c r="M577" s="302">
        <v>290</v>
      </c>
      <c r="N577" s="299"/>
      <c r="O577" s="149">
        <f t="shared" si="416"/>
        <v>99979.7</v>
      </c>
      <c r="P577" s="216">
        <f t="shared" si="415"/>
        <v>99980</v>
      </c>
      <c r="Z577" s="638">
        <f>P577/25.5</f>
        <v>3920.7843137254904</v>
      </c>
      <c r="AA577" s="639" t="s">
        <v>1573</v>
      </c>
      <c r="AC577" s="614"/>
      <c r="AD577" s="602"/>
    </row>
    <row r="578" spans="4:30" s="584" customFormat="1" x14ac:dyDescent="0.2">
      <c r="D578" s="299"/>
      <c r="E578" s="299"/>
      <c r="F578" s="299"/>
      <c r="G578" s="299" t="s">
        <v>1661</v>
      </c>
      <c r="H578" s="299"/>
      <c r="I578" s="301">
        <v>1</v>
      </c>
      <c r="J578" s="300" t="s">
        <v>390</v>
      </c>
      <c r="K578" s="302">
        <f>22.5*3354</f>
        <v>75465</v>
      </c>
      <c r="L578" s="302">
        <f t="shared" ref="L578:L579" si="417">K578*0.1</f>
        <v>7546.5</v>
      </c>
      <c r="M578" s="302">
        <v>220</v>
      </c>
      <c r="N578" s="299"/>
      <c r="O578" s="149">
        <f t="shared" si="416"/>
        <v>83231.5</v>
      </c>
      <c r="P578" s="216">
        <f t="shared" si="415"/>
        <v>83232</v>
      </c>
      <c r="Z578" s="638">
        <f>P578/22.5</f>
        <v>3699.2</v>
      </c>
      <c r="AA578" s="639" t="s">
        <v>1573</v>
      </c>
      <c r="AC578" s="614"/>
      <c r="AD578" s="602"/>
    </row>
    <row r="579" spans="4:30" s="584" customFormat="1" x14ac:dyDescent="0.2">
      <c r="D579" s="299"/>
      <c r="E579" s="299"/>
      <c r="F579" s="299"/>
      <c r="G579" s="299" t="s">
        <v>1662</v>
      </c>
      <c r="H579" s="299"/>
      <c r="I579" s="301">
        <v>1</v>
      </c>
      <c r="J579" s="300" t="s">
        <v>390</v>
      </c>
      <c r="K579" s="302">
        <f>15.5*3254</f>
        <v>50437</v>
      </c>
      <c r="L579" s="302">
        <f t="shared" si="417"/>
        <v>5043.7000000000007</v>
      </c>
      <c r="M579" s="302">
        <v>180</v>
      </c>
      <c r="N579" s="299"/>
      <c r="O579" s="149">
        <f t="shared" si="416"/>
        <v>55660.7</v>
      </c>
      <c r="P579" s="216">
        <f t="shared" si="415"/>
        <v>55661</v>
      </c>
      <c r="Z579" s="638">
        <f>P579/15.5</f>
        <v>3591.0322580645161</v>
      </c>
      <c r="AA579" s="639" t="s">
        <v>1573</v>
      </c>
      <c r="AC579" s="614"/>
      <c r="AD579" s="602"/>
    </row>
    <row r="580" spans="4:30" s="584" customFormat="1" x14ac:dyDescent="0.2">
      <c r="D580" s="303"/>
      <c r="E580" s="303"/>
      <c r="F580" s="303"/>
      <c r="G580" s="303"/>
      <c r="H580" s="303"/>
      <c r="I580" s="304"/>
      <c r="J580" s="305"/>
      <c r="K580" s="306">
        <f>R580*tax*markup*IF(Y580&lt;&gt;"",VLOOKUP(LEFT(Y580,2),cityindex,2,0),1)</f>
        <v>0</v>
      </c>
      <c r="L580" s="306">
        <f>S580*markup*difficulty*IF(Y580&lt;&gt;"",VLOOKUP(LEFT(Y580,2),cityindex,3,0),1)</f>
        <v>0</v>
      </c>
      <c r="M580" s="306">
        <f>W580*markup*difficulty*IF(Y580&lt;&gt;"",VLOOKUP(LEFT(Y580,2),cityindex,3,0),1)</f>
        <v>0</v>
      </c>
      <c r="N580" s="303"/>
      <c r="O580" s="149">
        <f t="shared" si="416"/>
        <v>0</v>
      </c>
      <c r="P580" s="216">
        <f t="shared" si="415"/>
        <v>0</v>
      </c>
      <c r="Q580" s="584">
        <f>IF(O580=0,0,IF(X580=0,"manual",(O580/(R580*tax*markup*IF(Y580&lt;&gt;"",VLOOKUP(LEFT(Y580,2),cityindex,2,0),1)+S580*markup*difficulty*IF(Y580&lt;&gt;"",VLOOKUP(LEFT(Y580,2),cityindex,3,0),1)+W580*markup*difficulty*IF(Y580&lt;&gt;"",VLOOKUP(LEFT(Y580,2),cityindex,3,0),1)))-1))</f>
        <v>0</v>
      </c>
      <c r="S580" s="584">
        <f>U580*V580</f>
        <v>0</v>
      </c>
      <c r="X580" s="584">
        <f>SUM(R580,S580,W580)</f>
        <v>0</v>
      </c>
      <c r="AC580" s="614"/>
      <c r="AD580" s="602"/>
    </row>
    <row r="581" spans="4:30" s="584" customFormat="1" x14ac:dyDescent="0.2">
      <c r="D581" s="299"/>
      <c r="E581" s="299"/>
      <c r="F581" s="299" t="s">
        <v>1508</v>
      </c>
      <c r="G581" s="299"/>
      <c r="H581" s="299"/>
      <c r="I581" s="301">
        <v>1</v>
      </c>
      <c r="J581" s="300" t="s">
        <v>390</v>
      </c>
      <c r="K581" s="302">
        <v>2370</v>
      </c>
      <c r="L581" s="302">
        <v>470</v>
      </c>
      <c r="M581" s="299"/>
      <c r="N581" s="299"/>
      <c r="O581" s="149">
        <f t="shared" si="416"/>
        <v>2840</v>
      </c>
      <c r="P581" s="216">
        <f t="shared" si="415"/>
        <v>2840</v>
      </c>
      <c r="AC581" s="614"/>
      <c r="AD581" s="602"/>
    </row>
    <row r="582" spans="4:30" s="584" customFormat="1" x14ac:dyDescent="0.2">
      <c r="D582" s="299"/>
      <c r="E582" s="299"/>
      <c r="F582" s="299"/>
      <c r="G582" s="299" t="s">
        <v>1655</v>
      </c>
      <c r="H582" s="299"/>
      <c r="I582" s="301"/>
      <c r="J582" s="300"/>
      <c r="K582" s="302"/>
      <c r="L582" s="302"/>
      <c r="M582" s="299"/>
      <c r="N582" s="299"/>
      <c r="O582" s="149">
        <f t="shared" si="416"/>
        <v>0</v>
      </c>
      <c r="P582" s="216">
        <f t="shared" si="415"/>
        <v>0</v>
      </c>
      <c r="AC582" s="614"/>
      <c r="AD582" s="602"/>
    </row>
    <row r="583" spans="4:30" s="584" customFormat="1" x14ac:dyDescent="0.2">
      <c r="D583" s="303"/>
      <c r="E583" s="303"/>
      <c r="F583" s="303"/>
      <c r="G583" s="303"/>
      <c r="H583" s="303"/>
      <c r="I583" s="304"/>
      <c r="J583" s="305"/>
      <c r="K583" s="306">
        <f>R583*tax*markup*IF(Y583&lt;&gt;"",VLOOKUP(LEFT(Y583,2),cityindex,2,0),1)</f>
        <v>0</v>
      </c>
      <c r="L583" s="306">
        <f>S583*markup*difficulty*IF(Y583&lt;&gt;"",VLOOKUP(LEFT(Y583,2),cityindex,3,0),1)</f>
        <v>0</v>
      </c>
      <c r="M583" s="303">
        <f>W583*markup*difficulty*IF(Y583&lt;&gt;"",VLOOKUP(LEFT(Y583,2),cityindex,3,0),1)</f>
        <v>0</v>
      </c>
      <c r="N583" s="303"/>
      <c r="O583" s="149">
        <f t="shared" si="416"/>
        <v>0</v>
      </c>
      <c r="P583" s="216">
        <f t="shared" si="415"/>
        <v>0</v>
      </c>
      <c r="Q583" s="584">
        <f>IF(O583=0,0,IF(X583=0,"manual",(O583/(R583*tax*markup*IF(Y583&lt;&gt;"",VLOOKUP(LEFT(Y583,2),cityindex,2,0),1)+S583*markup*difficulty*IF(Y583&lt;&gt;"",VLOOKUP(LEFT(Y583,2),cityindex,3,0),1)+W583*markup*difficulty*IF(Y583&lt;&gt;"",VLOOKUP(LEFT(Y583,2),cityindex,3,0),1)))-1))</f>
        <v>0</v>
      </c>
      <c r="S583" s="584">
        <f>U583*V583</f>
        <v>0</v>
      </c>
      <c r="X583" s="584">
        <f>SUM(R583,S583,W583)</f>
        <v>0</v>
      </c>
      <c r="AC583" s="614"/>
      <c r="AD583" s="602"/>
    </row>
    <row r="584" spans="4:30" s="584" customFormat="1" x14ac:dyDescent="0.2">
      <c r="D584" s="299"/>
      <c r="E584" s="299"/>
      <c r="F584" s="299" t="s">
        <v>1509</v>
      </c>
      <c r="G584" s="299"/>
      <c r="H584" s="299"/>
      <c r="I584" s="301"/>
      <c r="J584" s="300"/>
      <c r="K584" s="299"/>
      <c r="L584" s="299"/>
      <c r="M584" s="299"/>
      <c r="N584" s="299"/>
      <c r="O584" s="149">
        <f t="shared" si="416"/>
        <v>0</v>
      </c>
      <c r="P584" s="216">
        <f t="shared" si="415"/>
        <v>0</v>
      </c>
      <c r="Z584" s="641" t="s">
        <v>1858</v>
      </c>
      <c r="AA584" s="640" t="s">
        <v>1857</v>
      </c>
      <c r="AC584" s="614"/>
      <c r="AD584" s="602"/>
    </row>
    <row r="585" spans="4:30" s="584" customFormat="1" x14ac:dyDescent="0.2">
      <c r="D585" s="303"/>
      <c r="E585" s="303"/>
      <c r="F585" s="303"/>
      <c r="G585" s="303" t="s">
        <v>1527</v>
      </c>
      <c r="H585" s="303"/>
      <c r="I585" s="304">
        <v>1</v>
      </c>
      <c r="J585" s="300" t="s">
        <v>390</v>
      </c>
      <c r="K585" s="302">
        <v>997</v>
      </c>
      <c r="L585" s="302">
        <f t="shared" ref="L585:L588" si="418">K585*0.15</f>
        <v>149.54999999999998</v>
      </c>
      <c r="M585" s="303">
        <f t="shared" ref="M585:M590" si="419">W585*markup*difficulty*IF(Y585&lt;&gt;"",VLOOKUP(LEFT(Y585,2),cityindex,3,0),1)</f>
        <v>0</v>
      </c>
      <c r="N585" s="303"/>
      <c r="O585" s="149">
        <f t="shared" si="416"/>
        <v>1146.55</v>
      </c>
      <c r="P585" s="216">
        <f t="shared" si="415"/>
        <v>1147</v>
      </c>
      <c r="Q585" s="584" t="str">
        <f t="shared" ref="Q585:Q590" si="420">IF(O585=0,0,IF(X585=0,"manual",(O585/(R585*tax*markup*IF(Y585&lt;&gt;"",VLOOKUP(LEFT(Y585,2),cityindex,2,0),1)+S585*markup*difficulty*IF(Y585&lt;&gt;"",VLOOKUP(LEFT(Y585,2),cityindex,3,0),1)+W585*markup*difficulty*IF(Y585&lt;&gt;"",VLOOKUP(LEFT(Y585,2),cityindex,3,0),1)))-1))</f>
        <v>manual</v>
      </c>
      <c r="S585" s="584">
        <f t="shared" ref="S585:S590" si="421">U585*V585</f>
        <v>0</v>
      </c>
      <c r="X585" s="584">
        <f t="shared" ref="X585:X590" si="422">SUM(R585,S585,W585)</f>
        <v>0</v>
      </c>
      <c r="Z585" s="642">
        <v>1</v>
      </c>
      <c r="AA585" s="640">
        <v>1</v>
      </c>
      <c r="AC585" s="614"/>
      <c r="AD585" s="602"/>
    </row>
    <row r="586" spans="4:30" s="584" customFormat="1" x14ac:dyDescent="0.2">
      <c r="D586" s="303"/>
      <c r="E586" s="303"/>
      <c r="F586" s="303"/>
      <c r="G586" s="303" t="s">
        <v>1528</v>
      </c>
      <c r="H586" s="303"/>
      <c r="I586" s="304">
        <v>9</v>
      </c>
      <c r="J586" s="300" t="s">
        <v>390</v>
      </c>
      <c r="K586" s="302">
        <v>1443</v>
      </c>
      <c r="L586" s="302">
        <f t="shared" si="418"/>
        <v>216.45</v>
      </c>
      <c r="M586" s="303">
        <f t="shared" si="419"/>
        <v>0</v>
      </c>
      <c r="N586" s="303"/>
      <c r="O586" s="149">
        <f t="shared" si="416"/>
        <v>1659.45</v>
      </c>
      <c r="P586" s="216">
        <f t="shared" si="415"/>
        <v>14935</v>
      </c>
      <c r="Q586" s="584" t="str">
        <f t="shared" si="420"/>
        <v>manual</v>
      </c>
      <c r="S586" s="584">
        <f t="shared" si="421"/>
        <v>0</v>
      </c>
      <c r="X586" s="584">
        <f t="shared" si="422"/>
        <v>0</v>
      </c>
      <c r="Z586" s="642">
        <v>6</v>
      </c>
      <c r="AA586" s="640">
        <v>9</v>
      </c>
      <c r="AC586" s="614"/>
      <c r="AD586" s="602"/>
    </row>
    <row r="587" spans="4:30" s="584" customFormat="1" x14ac:dyDescent="0.2">
      <c r="D587" s="303"/>
      <c r="E587" s="303"/>
      <c r="F587" s="303"/>
      <c r="G587" s="303" t="s">
        <v>1529</v>
      </c>
      <c r="H587" s="303"/>
      <c r="I587" s="304">
        <v>6</v>
      </c>
      <c r="J587" s="300" t="s">
        <v>390</v>
      </c>
      <c r="K587" s="302">
        <v>1784</v>
      </c>
      <c r="L587" s="302">
        <f t="shared" si="418"/>
        <v>267.59999999999997</v>
      </c>
      <c r="M587" s="303">
        <f t="shared" si="419"/>
        <v>0</v>
      </c>
      <c r="N587" s="303"/>
      <c r="O587" s="149">
        <f t="shared" si="416"/>
        <v>2051.6</v>
      </c>
      <c r="P587" s="216">
        <f t="shared" si="415"/>
        <v>12310</v>
      </c>
      <c r="Q587" s="584" t="str">
        <f t="shared" si="420"/>
        <v>manual</v>
      </c>
      <c r="S587" s="584">
        <f t="shared" si="421"/>
        <v>0</v>
      </c>
      <c r="X587" s="584">
        <f t="shared" si="422"/>
        <v>0</v>
      </c>
      <c r="Z587" s="642">
        <v>4</v>
      </c>
      <c r="AA587" s="640">
        <v>6</v>
      </c>
      <c r="AC587" s="614"/>
      <c r="AD587" s="602"/>
    </row>
    <row r="588" spans="4:30" s="584" customFormat="1" x14ac:dyDescent="0.2">
      <c r="D588" s="303"/>
      <c r="E588" s="303"/>
      <c r="F588" s="303"/>
      <c r="G588" s="303" t="s">
        <v>1530</v>
      </c>
      <c r="H588" s="303"/>
      <c r="I588" s="304">
        <v>5</v>
      </c>
      <c r="J588" s="300" t="s">
        <v>390</v>
      </c>
      <c r="K588" s="302">
        <v>1992</v>
      </c>
      <c r="L588" s="302">
        <f t="shared" si="418"/>
        <v>298.8</v>
      </c>
      <c r="M588" s="303">
        <f t="shared" si="419"/>
        <v>0</v>
      </c>
      <c r="N588" s="303"/>
      <c r="O588" s="149">
        <f t="shared" si="416"/>
        <v>2290.8000000000002</v>
      </c>
      <c r="P588" s="216">
        <f t="shared" si="415"/>
        <v>11454</v>
      </c>
      <c r="Q588" s="584" t="str">
        <f t="shared" si="420"/>
        <v>manual</v>
      </c>
      <c r="S588" s="584">
        <f t="shared" si="421"/>
        <v>0</v>
      </c>
      <c r="X588" s="584">
        <f t="shared" si="422"/>
        <v>0</v>
      </c>
      <c r="Z588" s="642">
        <v>6</v>
      </c>
      <c r="AA588" s="640">
        <v>5</v>
      </c>
      <c r="AC588" s="614"/>
      <c r="AD588" s="602"/>
    </row>
    <row r="589" spans="4:30" s="584" customFormat="1" x14ac:dyDescent="0.2">
      <c r="D589" s="303"/>
      <c r="E589" s="303"/>
      <c r="F589" s="303"/>
      <c r="G589" s="303" t="s">
        <v>1656</v>
      </c>
      <c r="H589" s="303"/>
      <c r="I589" s="304">
        <v>2</v>
      </c>
      <c r="J589" s="300" t="s">
        <v>390</v>
      </c>
      <c r="K589" s="302">
        <v>2390</v>
      </c>
      <c r="L589" s="302">
        <f>K589*0.15</f>
        <v>358.5</v>
      </c>
      <c r="M589" s="303">
        <f t="shared" si="419"/>
        <v>0</v>
      </c>
      <c r="N589" s="303"/>
      <c r="O589" s="149">
        <f t="shared" si="416"/>
        <v>2748.5</v>
      </c>
      <c r="P589" s="216">
        <f t="shared" si="415"/>
        <v>5497</v>
      </c>
      <c r="Q589" s="584" t="str">
        <f t="shared" si="420"/>
        <v>manual</v>
      </c>
      <c r="S589" s="584">
        <f t="shared" si="421"/>
        <v>0</v>
      </c>
      <c r="X589" s="584">
        <f t="shared" si="422"/>
        <v>0</v>
      </c>
      <c r="Z589" s="642">
        <v>2</v>
      </c>
      <c r="AA589" s="640">
        <v>2</v>
      </c>
      <c r="AC589" s="614"/>
      <c r="AD589" s="602"/>
    </row>
    <row r="590" spans="4:30" s="584" customFormat="1" x14ac:dyDescent="0.2">
      <c r="D590" s="303"/>
      <c r="E590" s="303"/>
      <c r="F590" s="303"/>
      <c r="G590" s="303"/>
      <c r="H590" s="303"/>
      <c r="I590" s="304"/>
      <c r="J590" s="305"/>
      <c r="K590" s="306">
        <f>R590*tax*markup*IF(Y590&lt;&gt;"",VLOOKUP(LEFT(Y590,2),cityindex,2,0),1)</f>
        <v>0</v>
      </c>
      <c r="L590" s="306">
        <f>S590*markup*difficulty*IF(Y590&lt;&gt;"",VLOOKUP(LEFT(Y590,2),cityindex,3,0),1)</f>
        <v>0</v>
      </c>
      <c r="M590" s="303">
        <f t="shared" si="419"/>
        <v>0</v>
      </c>
      <c r="N590" s="303"/>
      <c r="O590" s="149">
        <f t="shared" si="416"/>
        <v>0</v>
      </c>
      <c r="P590" s="216">
        <f t="shared" si="415"/>
        <v>0</v>
      </c>
      <c r="Q590" s="584">
        <f t="shared" si="420"/>
        <v>0</v>
      </c>
      <c r="S590" s="584">
        <f t="shared" si="421"/>
        <v>0</v>
      </c>
      <c r="X590" s="584">
        <f t="shared" si="422"/>
        <v>0</v>
      </c>
      <c r="AC590" s="614"/>
      <c r="AD590" s="602"/>
    </row>
    <row r="591" spans="4:30" s="584" customFormat="1" x14ac:dyDescent="0.2">
      <c r="D591" s="299"/>
      <c r="E591" s="299"/>
      <c r="F591" s="299" t="s">
        <v>1860</v>
      </c>
      <c r="G591" s="299"/>
      <c r="H591" s="299"/>
      <c r="I591" s="301">
        <v>8</v>
      </c>
      <c r="J591" s="300" t="s">
        <v>390</v>
      </c>
      <c r="K591" s="302">
        <v>191.21</v>
      </c>
      <c r="L591" s="302">
        <v>107.74</v>
      </c>
      <c r="M591" s="299"/>
      <c r="N591" s="299">
        <v>15</v>
      </c>
      <c r="O591" s="149">
        <f t="shared" si="416"/>
        <v>313.95</v>
      </c>
      <c r="P591" s="216">
        <f t="shared" si="415"/>
        <v>2512</v>
      </c>
      <c r="AA591" s="640" t="s">
        <v>1859</v>
      </c>
      <c r="AC591" s="614"/>
      <c r="AD591" s="602"/>
    </row>
    <row r="592" spans="4:30" x14ac:dyDescent="0.2">
      <c r="D592" s="228"/>
      <c r="E592" s="228"/>
      <c r="F592" s="299" t="s">
        <v>1526</v>
      </c>
      <c r="G592" s="228"/>
      <c r="H592" s="228"/>
      <c r="I592" s="230">
        <v>2</v>
      </c>
      <c r="J592" s="300" t="s">
        <v>390</v>
      </c>
      <c r="K592" s="302">
        <v>251.21</v>
      </c>
      <c r="L592" s="302">
        <v>107.74</v>
      </c>
      <c r="M592" s="232">
        <f>W592*markup*difficulty*IF(Y592&lt;&gt;"",VLOOKUP(LEFT(Y592,2),cityindex,3,0),1)</f>
        <v>0</v>
      </c>
      <c r="N592" s="232">
        <v>15</v>
      </c>
      <c r="O592" s="232">
        <f t="shared" ref="O592:O597" si="423">SUM(K592:N592)*embed</f>
        <v>373.95</v>
      </c>
      <c r="P592" s="233">
        <f>ROUND((O592*I592),0)</f>
        <v>748</v>
      </c>
      <c r="Q592" s="291" t="str">
        <f>IF(O592=0,0,IF(X592=0,"manual",(O592/(R592*tax*markup*IF(Y592&lt;&gt;"",VLOOKUP(LEFT(Y592,2),cityindex,2,0),1)+S592*markup*difficulty*IF(Y592&lt;&gt;"",VLOOKUP(LEFT(Y592,2),cityindex,3,0),1)+W592*markup*difficulty*IF(Y592&lt;&gt;"",VLOOKUP(LEFT(Y592,2),cityindex,3,0),1)))-1))</f>
        <v>manual</v>
      </c>
      <c r="S592" s="143">
        <f>U592*V592</f>
        <v>0</v>
      </c>
      <c r="X592" s="143">
        <f>SUM(R592,S592,W592)</f>
        <v>0</v>
      </c>
    </row>
    <row r="593" spans="4:30" x14ac:dyDescent="0.2">
      <c r="D593" s="228"/>
      <c r="E593" s="228"/>
      <c r="F593" s="228"/>
      <c r="G593" s="228"/>
      <c r="H593" s="228"/>
      <c r="I593" s="230"/>
      <c r="J593" s="231"/>
      <c r="K593" s="232">
        <f>R593*tax*markup*IF(Y593&lt;&gt;"",VLOOKUP(LEFT(Y593,2),cityindex,2,0),1)</f>
        <v>0</v>
      </c>
      <c r="L593" s="232">
        <f>S593*markup*difficulty*IF(Y593&lt;&gt;"",VLOOKUP(LEFT(Y593,2),cityindex,3,0),1)</f>
        <v>0</v>
      </c>
      <c r="M593" s="232">
        <f>W593*markup*difficulty*IF(Y593&lt;&gt;"",VLOOKUP(LEFT(Y593,2),cityindex,3,0),1)</f>
        <v>0</v>
      </c>
      <c r="N593" s="232"/>
      <c r="O593" s="232">
        <f t="shared" si="423"/>
        <v>0</v>
      </c>
      <c r="P593" s="233">
        <f>ROUND((O593*I593),0)</f>
        <v>0</v>
      </c>
      <c r="Q593" s="291">
        <f>IF(O593=0,0,IF(X593=0,"manual",(O593/(R593*tax*markup*IF(Y593&lt;&gt;"",VLOOKUP(LEFT(Y593,2),cityindex,2,0),1)+S593*markup*difficulty*IF(Y593&lt;&gt;"",VLOOKUP(LEFT(Y593,2),cityindex,3,0),1)+W593*markup*difficulty*IF(Y593&lt;&gt;"",VLOOKUP(LEFT(Y593,2),cityindex,3,0),1)))-1))</f>
        <v>0</v>
      </c>
      <c r="S593" s="143">
        <f>U593*V593</f>
        <v>0</v>
      </c>
      <c r="X593" s="143">
        <f>SUM(R593,S593,W593)</f>
        <v>0</v>
      </c>
    </row>
    <row r="594" spans="4:30" s="584" customFormat="1" x14ac:dyDescent="0.2">
      <c r="D594" s="299"/>
      <c r="E594" s="228"/>
      <c r="F594" s="299" t="s">
        <v>1016</v>
      </c>
      <c r="G594" s="299"/>
      <c r="H594" s="299"/>
      <c r="I594" s="299"/>
      <c r="J594" s="300"/>
      <c r="K594" s="299"/>
      <c r="L594" s="299"/>
      <c r="M594" s="299"/>
      <c r="N594" s="299"/>
      <c r="O594" s="232">
        <f t="shared" si="423"/>
        <v>0</v>
      </c>
      <c r="P594" s="233">
        <f t="shared" ref="P594:P596" si="424">ROUND((O594*I594),0)</f>
        <v>0</v>
      </c>
      <c r="AC594" s="614"/>
      <c r="AD594" s="602"/>
    </row>
    <row r="595" spans="4:30" s="584" customFormat="1" x14ac:dyDescent="0.2">
      <c r="D595" s="299"/>
      <c r="E595" s="228"/>
      <c r="F595" s="299"/>
      <c r="G595" s="299" t="s">
        <v>1017</v>
      </c>
      <c r="H595" s="299"/>
      <c r="I595" s="301">
        <v>2</v>
      </c>
      <c r="J595" s="300" t="s">
        <v>390</v>
      </c>
      <c r="K595" s="302">
        <v>640</v>
      </c>
      <c r="L595" s="302">
        <v>230</v>
      </c>
      <c r="M595" s="299"/>
      <c r="N595" s="299"/>
      <c r="O595" s="232">
        <f t="shared" si="423"/>
        <v>870</v>
      </c>
      <c r="P595" s="233">
        <f t="shared" si="424"/>
        <v>1740</v>
      </c>
      <c r="AC595" s="614"/>
      <c r="AD595" s="602"/>
    </row>
    <row r="596" spans="4:30" s="584" customFormat="1" x14ac:dyDescent="0.2">
      <c r="D596" s="299"/>
      <c r="E596" s="228"/>
      <c r="F596" s="299"/>
      <c r="G596" s="299" t="s">
        <v>1510</v>
      </c>
      <c r="H596" s="299"/>
      <c r="I596" s="301">
        <v>138.60000000000002</v>
      </c>
      <c r="J596" s="300" t="s">
        <v>309</v>
      </c>
      <c r="K596" s="302">
        <v>14.79938521875</v>
      </c>
      <c r="L596" s="302">
        <v>15.473939229787502</v>
      </c>
      <c r="M596" s="299"/>
      <c r="N596" s="299"/>
      <c r="O596" s="232">
        <f t="shared" si="423"/>
        <v>30.273324448537501</v>
      </c>
      <c r="P596" s="233">
        <f t="shared" si="424"/>
        <v>4196</v>
      </c>
      <c r="AC596" s="614"/>
      <c r="AD596" s="602"/>
    </row>
    <row r="597" spans="4:30" s="584" customFormat="1" x14ac:dyDescent="0.2">
      <c r="D597" s="303"/>
      <c r="E597" s="228"/>
      <c r="F597" s="303"/>
      <c r="G597" s="303"/>
      <c r="H597" s="303"/>
      <c r="I597" s="304"/>
      <c r="J597" s="305"/>
      <c r="K597" s="306">
        <f>R597*tax*markup*IF(Y597&lt;&gt;"",VLOOKUP(LEFT(Y597,2),cityindex,2,0),1)</f>
        <v>0</v>
      </c>
      <c r="L597" s="306">
        <f>S597*markup*difficulty*IF(Y597&lt;&gt;"",VLOOKUP(LEFT(Y597,2),cityindex,3,0),1)</f>
        <v>0</v>
      </c>
      <c r="M597" s="303">
        <f>W597*markup*difficulty*IF(Y597&lt;&gt;"",VLOOKUP(LEFT(Y597,2),cityindex,3,0),1)</f>
        <v>0</v>
      </c>
      <c r="N597" s="303"/>
      <c r="O597" s="232">
        <f t="shared" si="423"/>
        <v>0</v>
      </c>
      <c r="P597" s="233">
        <f>ROUND((O597*I597),0)</f>
        <v>0</v>
      </c>
      <c r="Q597" s="584">
        <f>IF(O597=0,0,IF(X597=0,"manual",(O597/(R597*tax*markup*IF(Y597&lt;&gt;"",VLOOKUP(LEFT(Y597,2),cityindex,2,0),1)+S597*markup*difficulty*IF(Y597&lt;&gt;"",VLOOKUP(LEFT(Y597,2),cityindex,3,0),1)+W597*markup*difficulty*IF(Y597&lt;&gt;"",VLOOKUP(LEFT(Y597,2),cityindex,3,0),1)))-1))</f>
        <v>0</v>
      </c>
      <c r="S597" s="584">
        <f>U597*V597</f>
        <v>0</v>
      </c>
      <c r="X597" s="584">
        <f>SUM(R597,S597,W597)</f>
        <v>0</v>
      </c>
      <c r="AC597" s="614"/>
      <c r="AD597" s="602"/>
    </row>
    <row r="598" spans="4:30" x14ac:dyDescent="0.2">
      <c r="D598" s="228"/>
      <c r="E598" s="228"/>
      <c r="F598" s="228" t="s">
        <v>1511</v>
      </c>
      <c r="G598" s="228"/>
      <c r="H598" s="228"/>
      <c r="I598" s="230">
        <v>1</v>
      </c>
      <c r="J598" s="231" t="s">
        <v>390</v>
      </c>
      <c r="K598" s="232">
        <v>883</v>
      </c>
      <c r="L598" s="232">
        <f>K598*0.15</f>
        <v>132.44999999999999</v>
      </c>
      <c r="M598" s="232">
        <f t="shared" ref="M598" si="425">W598*markup*difficulty*IF(Y598&lt;&gt;"",VLOOKUP(LEFT(Y598,2),cityindex,3,0),1)</f>
        <v>0</v>
      </c>
      <c r="N598" s="232"/>
      <c r="O598" s="232">
        <f t="shared" ref="O598" si="426">SUM(K598:N598)*embed</f>
        <v>1015.45</v>
      </c>
      <c r="P598" s="233">
        <f t="shared" ref="P598:P613" si="427">ROUND((O598*I598),0)</f>
        <v>1015</v>
      </c>
      <c r="Q598" s="297" t="str">
        <f t="shared" ref="Q598" si="428">IF(O598=0,0,IF(X598=0,"manual",(O598/(R598*tax*markup*IF(Y598&lt;&gt;"",VLOOKUP(LEFT(Y598,2),cityindex,2,0),1)+S598*markup*difficulty*IF(Y598&lt;&gt;"",VLOOKUP(LEFT(Y598,2),cityindex,3,0),1)+W598*markup*difficulty*IF(Y598&lt;&gt;"",VLOOKUP(LEFT(Y598,2),cityindex,3,0),1)))-1))</f>
        <v>manual</v>
      </c>
      <c r="S598" s="143">
        <f t="shared" ref="S598:S604" si="429">U598*V598</f>
        <v>0</v>
      </c>
      <c r="X598" s="143">
        <f t="shared" ref="X598:X604" si="430">SUM(R598,S598,W598)</f>
        <v>0</v>
      </c>
      <c r="Z598" s="316"/>
    </row>
    <row r="599" spans="4:30" x14ac:dyDescent="0.2">
      <c r="D599" s="228"/>
      <c r="E599" s="228"/>
      <c r="F599" s="228"/>
      <c r="G599" s="228"/>
      <c r="H599" s="228"/>
      <c r="I599" s="230"/>
      <c r="J599" s="231"/>
      <c r="K599" s="232">
        <f>R599*tax*markup*IF(Y599&lt;&gt;"",VLOOKUP(LEFT(Y599,2),cityindex,2,0),1)</f>
        <v>0</v>
      </c>
      <c r="L599" s="232">
        <f>S599*markup*difficulty*IF(Y599&lt;&gt;"",VLOOKUP(LEFT(Y599,2),cityindex,3,0),1)</f>
        <v>0</v>
      </c>
      <c r="M599" s="232">
        <f t="shared" ref="M599:M604" si="431">W599*markup*difficulty*IF(Y599&lt;&gt;"",VLOOKUP(LEFT(Y599,2),cityindex,3,0),1)</f>
        <v>0</v>
      </c>
      <c r="N599" s="232"/>
      <c r="O599" s="232">
        <f t="shared" ref="O599:O613" si="432">SUM(K599:N599)*embed</f>
        <v>0</v>
      </c>
      <c r="P599" s="233">
        <f t="shared" si="427"/>
        <v>0</v>
      </c>
      <c r="Q599" s="297">
        <f t="shared" ref="Q599:Q604" si="433">IF(O599=0,0,IF(X599=0,"manual",(O599/(R599*tax*markup*IF(Y599&lt;&gt;"",VLOOKUP(LEFT(Y599,2),cityindex,2,0),1)+S599*markup*difficulty*IF(Y599&lt;&gt;"",VLOOKUP(LEFT(Y599,2),cityindex,3,0),1)+W599*markup*difficulty*IF(Y599&lt;&gt;"",VLOOKUP(LEFT(Y599,2),cityindex,3,0),1)))-1))</f>
        <v>0</v>
      </c>
      <c r="S599" s="143">
        <f t="shared" si="429"/>
        <v>0</v>
      </c>
      <c r="X599" s="143">
        <f t="shared" si="430"/>
        <v>0</v>
      </c>
      <c r="Z599" s="316"/>
    </row>
    <row r="600" spans="4:30" x14ac:dyDescent="0.2">
      <c r="D600" s="228"/>
      <c r="E600" s="228"/>
      <c r="F600" s="228" t="s">
        <v>1512</v>
      </c>
      <c r="G600" s="228"/>
      <c r="H600" s="228"/>
      <c r="I600" s="230"/>
      <c r="J600" s="231"/>
      <c r="K600" s="232">
        <f>R600*tax*markup*IF(Y600&lt;&gt;"",VLOOKUP(LEFT(Y600,2),cityindex,2,0),1)</f>
        <v>0</v>
      </c>
      <c r="L600" s="232">
        <f>S600*markup*difficulty*IF(Y600&lt;&gt;"",VLOOKUP(LEFT(Y600,2),cityindex,3,0),1)</f>
        <v>0</v>
      </c>
      <c r="M600" s="232">
        <f t="shared" si="431"/>
        <v>0</v>
      </c>
      <c r="N600" s="232"/>
      <c r="O600" s="232">
        <f t="shared" si="432"/>
        <v>0</v>
      </c>
      <c r="P600" s="233">
        <f t="shared" si="427"/>
        <v>0</v>
      </c>
      <c r="Q600" s="297">
        <f t="shared" si="433"/>
        <v>0</v>
      </c>
      <c r="S600" s="143">
        <f t="shared" si="429"/>
        <v>0</v>
      </c>
      <c r="X600" s="143">
        <f t="shared" si="430"/>
        <v>0</v>
      </c>
      <c r="Z600" s="316"/>
    </row>
    <row r="601" spans="4:30" x14ac:dyDescent="0.2">
      <c r="D601" s="228"/>
      <c r="E601" s="228"/>
      <c r="F601" s="228"/>
      <c r="G601" s="228" t="s">
        <v>1861</v>
      </c>
      <c r="H601" s="228"/>
      <c r="I601" s="230">
        <v>3</v>
      </c>
      <c r="J601" s="231" t="s">
        <v>390</v>
      </c>
      <c r="K601" s="232">
        <v>438</v>
      </c>
      <c r="L601" s="232">
        <v>924</v>
      </c>
      <c r="M601" s="232">
        <f t="shared" si="431"/>
        <v>0</v>
      </c>
      <c r="N601" s="232"/>
      <c r="O601" s="232">
        <f t="shared" si="432"/>
        <v>1362</v>
      </c>
      <c r="P601" s="233">
        <f t="shared" si="427"/>
        <v>4086</v>
      </c>
      <c r="Q601" s="297" t="str">
        <f t="shared" si="433"/>
        <v>manual</v>
      </c>
      <c r="S601" s="143">
        <f t="shared" si="429"/>
        <v>0</v>
      </c>
      <c r="X601" s="143">
        <f t="shared" si="430"/>
        <v>0</v>
      </c>
      <c r="Z601" s="316"/>
    </row>
    <row r="602" spans="4:30" x14ac:dyDescent="0.2">
      <c r="D602" s="228"/>
      <c r="E602" s="228"/>
      <c r="F602" s="228"/>
      <c r="G602" s="228" t="s">
        <v>1513</v>
      </c>
      <c r="H602" s="228"/>
      <c r="I602" s="230">
        <v>1</v>
      </c>
      <c r="J602" s="231" t="s">
        <v>390</v>
      </c>
      <c r="K602" s="232">
        <v>341</v>
      </c>
      <c r="L602" s="232">
        <v>841</v>
      </c>
      <c r="M602" s="232">
        <f t="shared" si="431"/>
        <v>0</v>
      </c>
      <c r="N602" s="232"/>
      <c r="O602" s="232">
        <f t="shared" si="432"/>
        <v>1182</v>
      </c>
      <c r="P602" s="233">
        <f t="shared" si="427"/>
        <v>1182</v>
      </c>
      <c r="Q602" s="297" t="str">
        <f t="shared" si="433"/>
        <v>manual</v>
      </c>
      <c r="S602" s="143">
        <f t="shared" si="429"/>
        <v>0</v>
      </c>
      <c r="X602" s="143">
        <f t="shared" si="430"/>
        <v>0</v>
      </c>
      <c r="Z602" s="316"/>
    </row>
    <row r="603" spans="4:30" x14ac:dyDescent="0.2">
      <c r="D603" s="228"/>
      <c r="E603" s="228"/>
      <c r="F603" s="228"/>
      <c r="G603" s="228" t="s">
        <v>1514</v>
      </c>
      <c r="H603" s="228"/>
      <c r="I603" s="230">
        <f>SUM(I585:I589)</f>
        <v>23</v>
      </c>
      <c r="J603" s="231" t="s">
        <v>390</v>
      </c>
      <c r="K603" s="232">
        <v>113</v>
      </c>
      <c r="L603" s="232">
        <v>552</v>
      </c>
      <c r="M603" s="232">
        <f t="shared" si="431"/>
        <v>0</v>
      </c>
      <c r="N603" s="232"/>
      <c r="O603" s="232">
        <f t="shared" si="432"/>
        <v>665</v>
      </c>
      <c r="P603" s="233">
        <f t="shared" si="427"/>
        <v>15295</v>
      </c>
      <c r="Q603" s="297" t="str">
        <f t="shared" si="433"/>
        <v>manual</v>
      </c>
      <c r="S603" s="143">
        <f t="shared" si="429"/>
        <v>0</v>
      </c>
      <c r="X603" s="143">
        <f t="shared" si="430"/>
        <v>0</v>
      </c>
      <c r="Z603" s="316"/>
    </row>
    <row r="604" spans="4:30" x14ac:dyDescent="0.2">
      <c r="D604" s="228"/>
      <c r="E604" s="228"/>
      <c r="F604" s="228"/>
      <c r="G604" s="228"/>
      <c r="H604" s="228"/>
      <c r="I604" s="230"/>
      <c r="J604" s="231"/>
      <c r="K604" s="232">
        <f>R604*tax*markup*IF(Y604&lt;&gt;"",VLOOKUP(LEFT(Y604,2),cityindex,2,0),1)</f>
        <v>0</v>
      </c>
      <c r="L604" s="232">
        <f>S604*markup*difficulty*IF(Y604&lt;&gt;"",VLOOKUP(LEFT(Y604,2),cityindex,3,0),1)</f>
        <v>0</v>
      </c>
      <c r="M604" s="232">
        <f t="shared" si="431"/>
        <v>0</v>
      </c>
      <c r="N604" s="232"/>
      <c r="O604" s="232">
        <f t="shared" si="432"/>
        <v>0</v>
      </c>
      <c r="P604" s="233">
        <f t="shared" si="427"/>
        <v>0</v>
      </c>
      <c r="Q604" s="297">
        <f t="shared" si="433"/>
        <v>0</v>
      </c>
      <c r="S604" s="143">
        <f t="shared" si="429"/>
        <v>0</v>
      </c>
      <c r="X604" s="143">
        <f t="shared" si="430"/>
        <v>0</v>
      </c>
      <c r="Z604" s="316"/>
    </row>
    <row r="605" spans="4:30" s="584" customFormat="1" x14ac:dyDescent="0.2">
      <c r="D605" s="299"/>
      <c r="E605" s="299" t="s">
        <v>1515</v>
      </c>
      <c r="F605" s="299"/>
      <c r="G605" s="299"/>
      <c r="H605" s="299"/>
      <c r="I605" s="299"/>
      <c r="J605" s="300"/>
      <c r="K605" s="299"/>
      <c r="L605" s="299"/>
      <c r="M605" s="299"/>
      <c r="N605" s="299"/>
      <c r="O605" s="232">
        <f t="shared" si="432"/>
        <v>0</v>
      </c>
      <c r="P605" s="233">
        <f t="shared" si="427"/>
        <v>0</v>
      </c>
      <c r="AC605" s="614"/>
      <c r="AD605" s="602"/>
    </row>
    <row r="606" spans="4:30" s="584" customFormat="1" x14ac:dyDescent="0.2">
      <c r="D606" s="299"/>
      <c r="E606" s="299"/>
      <c r="F606" s="299" t="s">
        <v>1516</v>
      </c>
      <c r="G606" s="299"/>
      <c r="H606" s="299"/>
      <c r="I606" s="301">
        <v>137</v>
      </c>
      <c r="J606" s="300" t="s">
        <v>390</v>
      </c>
      <c r="K606" s="302">
        <v>425</v>
      </c>
      <c r="L606" s="302">
        <v>71</v>
      </c>
      <c r="M606" s="299"/>
      <c r="N606" s="299"/>
      <c r="O606" s="232">
        <f t="shared" si="432"/>
        <v>496</v>
      </c>
      <c r="P606" s="233">
        <f t="shared" si="427"/>
        <v>67952</v>
      </c>
      <c r="AC606" s="614"/>
      <c r="AD606" s="602"/>
    </row>
    <row r="607" spans="4:30" s="584" customFormat="1" x14ac:dyDescent="0.2">
      <c r="D607" s="299"/>
      <c r="E607" s="299"/>
      <c r="F607" s="299" t="s">
        <v>1517</v>
      </c>
      <c r="G607" s="299"/>
      <c r="H607" s="299"/>
      <c r="I607" s="301">
        <v>78</v>
      </c>
      <c r="J607" s="300" t="s">
        <v>390</v>
      </c>
      <c r="K607" s="302">
        <v>226</v>
      </c>
      <c r="L607" s="302">
        <v>71</v>
      </c>
      <c r="M607" s="299"/>
      <c r="N607" s="299"/>
      <c r="O607" s="232">
        <f t="shared" si="432"/>
        <v>297</v>
      </c>
      <c r="P607" s="233">
        <f t="shared" si="427"/>
        <v>23166</v>
      </c>
      <c r="AC607" s="614"/>
      <c r="AD607" s="602"/>
    </row>
    <row r="608" spans="4:30" x14ac:dyDescent="0.2">
      <c r="D608" s="228"/>
      <c r="E608" s="228"/>
      <c r="F608" s="228" t="s">
        <v>1014</v>
      </c>
      <c r="G608" s="228"/>
      <c r="H608" s="228"/>
      <c r="I608" s="230">
        <v>20923</v>
      </c>
      <c r="J608" s="231" t="s">
        <v>338</v>
      </c>
      <c r="K608" s="232">
        <v>1.92</v>
      </c>
      <c r="L608" s="232">
        <v>9.43</v>
      </c>
      <c r="M608" s="232">
        <f>W608*markup*difficulty*IF(Y608&lt;&gt;"",VLOOKUP(LEFT(Y608,2),cityindex,3,0),1)</f>
        <v>0</v>
      </c>
      <c r="N608" s="232"/>
      <c r="O608" s="232">
        <f t="shared" si="432"/>
        <v>11.35</v>
      </c>
      <c r="P608" s="233">
        <f>ROUND((O608*I608),0)</f>
        <v>237476</v>
      </c>
      <c r="Q608" s="297" t="str">
        <f>IF(O608=0,0,IF(X608=0,"manual",(O608/(R608*tax*markup*IF(Y608&lt;&gt;"",VLOOKUP(LEFT(Y608,2),cityindex,2,0),1)+S608*markup*difficulty*IF(Y608&lt;&gt;"",VLOOKUP(LEFT(Y608,2),cityindex,3,0),1)+W608*markup*difficulty*IF(Y608&lt;&gt;"",VLOOKUP(LEFT(Y608,2),cityindex,3,0),1)))-1))</f>
        <v>manual</v>
      </c>
      <c r="S608" s="143">
        <f>U608*V608</f>
        <v>0</v>
      </c>
      <c r="X608" s="143">
        <f>SUM(R608,S608,W608)</f>
        <v>0</v>
      </c>
      <c r="Z608" s="316"/>
    </row>
    <row r="609" spans="4:30" x14ac:dyDescent="0.2">
      <c r="D609" s="228"/>
      <c r="E609" s="228"/>
      <c r="F609" s="228" t="s">
        <v>1015</v>
      </c>
      <c r="G609" s="228"/>
      <c r="H609" s="228"/>
      <c r="I609" s="230">
        <f>0.85*I608</f>
        <v>17784.55</v>
      </c>
      <c r="J609" s="231" t="s">
        <v>301</v>
      </c>
      <c r="K609" s="232">
        <v>5.23</v>
      </c>
      <c r="L609" s="232">
        <v>4.2300000000000004</v>
      </c>
      <c r="M609" s="232">
        <f>W609*markup*difficulty*IF(Y609&lt;&gt;"",VLOOKUP(LEFT(Y609,2),cityindex,3,0),1)</f>
        <v>0</v>
      </c>
      <c r="N609" s="232"/>
      <c r="O609" s="232">
        <f t="shared" si="432"/>
        <v>9.4600000000000009</v>
      </c>
      <c r="P609" s="233">
        <f>ROUND((O609*I609),0)</f>
        <v>168242</v>
      </c>
      <c r="Q609" s="297" t="str">
        <f>IF(O609=0,0,IF(X609=0,"manual",(O609/(R609*tax*markup*IF(Y609&lt;&gt;"",VLOOKUP(LEFT(Y609,2),cityindex,2,0),1)+S609*markup*difficulty*IF(Y609&lt;&gt;"",VLOOKUP(LEFT(Y609,2),cityindex,3,0),1)+W609*markup*difficulty*IF(Y609&lt;&gt;"",VLOOKUP(LEFT(Y609,2),cityindex,3,0),1)))-1))</f>
        <v>manual</v>
      </c>
      <c r="S609" s="143">
        <f>U609*V609</f>
        <v>0</v>
      </c>
      <c r="X609" s="143">
        <f>SUM(R609,S609,W609)</f>
        <v>0</v>
      </c>
      <c r="Z609" s="316"/>
    </row>
    <row r="610" spans="4:30" s="584" customFormat="1" x14ac:dyDescent="0.2">
      <c r="D610" s="299"/>
      <c r="E610" s="299"/>
      <c r="F610" s="299"/>
      <c r="G610" s="299"/>
      <c r="H610" s="299"/>
      <c r="I610" s="299"/>
      <c r="J610" s="300"/>
      <c r="K610" s="299"/>
      <c r="L610" s="299"/>
      <c r="M610" s="299"/>
      <c r="N610" s="299"/>
      <c r="O610" s="232">
        <f t="shared" si="432"/>
        <v>0</v>
      </c>
      <c r="P610" s="233">
        <f t="shared" si="427"/>
        <v>0</v>
      </c>
      <c r="AC610" s="614"/>
      <c r="AD610" s="602"/>
    </row>
    <row r="611" spans="4:30" s="584" customFormat="1" x14ac:dyDescent="0.2">
      <c r="D611" s="299"/>
      <c r="E611" s="299" t="s">
        <v>1518</v>
      </c>
      <c r="F611" s="299"/>
      <c r="G611" s="299"/>
      <c r="H611" s="299"/>
      <c r="I611" s="299"/>
      <c r="J611" s="300"/>
      <c r="K611" s="299"/>
      <c r="L611" s="299"/>
      <c r="M611" s="299"/>
      <c r="N611" s="299"/>
      <c r="O611" s="232">
        <f t="shared" si="432"/>
        <v>0</v>
      </c>
      <c r="P611" s="233">
        <f t="shared" si="427"/>
        <v>0</v>
      </c>
      <c r="AC611" s="614"/>
      <c r="AD611" s="602"/>
    </row>
    <row r="612" spans="4:30" s="584" customFormat="1" x14ac:dyDescent="0.2">
      <c r="D612" s="299"/>
      <c r="E612" s="299"/>
      <c r="F612" s="299" t="s">
        <v>1519</v>
      </c>
      <c r="G612" s="299"/>
      <c r="H612" s="299"/>
      <c r="I612" s="301">
        <f>I606</f>
        <v>137</v>
      </c>
      <c r="J612" s="300" t="s">
        <v>390</v>
      </c>
      <c r="K612" s="302">
        <v>246.49</v>
      </c>
      <c r="L612" s="302">
        <v>42.07</v>
      </c>
      <c r="M612" s="299"/>
      <c r="N612" s="299"/>
      <c r="O612" s="232">
        <f t="shared" si="432"/>
        <v>288.56</v>
      </c>
      <c r="P612" s="233">
        <f t="shared" si="427"/>
        <v>39533</v>
      </c>
      <c r="AC612" s="614"/>
      <c r="AD612" s="602"/>
    </row>
    <row r="613" spans="4:30" s="584" customFormat="1" x14ac:dyDescent="0.2">
      <c r="D613" s="299"/>
      <c r="E613" s="299"/>
      <c r="F613" s="299" t="s">
        <v>1658</v>
      </c>
      <c r="G613" s="299"/>
      <c r="H613" s="299"/>
      <c r="I613" s="301">
        <v>8</v>
      </c>
      <c r="J613" s="300" t="s">
        <v>390</v>
      </c>
      <c r="K613" s="302">
        <v>1684.32</v>
      </c>
      <c r="L613" s="302">
        <v>99.59</v>
      </c>
      <c r="M613" s="299"/>
      <c r="N613" s="299"/>
      <c r="O613" s="232">
        <f t="shared" si="432"/>
        <v>1783.9099999999999</v>
      </c>
      <c r="P613" s="233">
        <f t="shared" si="427"/>
        <v>14271</v>
      </c>
      <c r="AC613" s="614"/>
      <c r="AD613" s="602"/>
    </row>
    <row r="614" spans="4:30" x14ac:dyDescent="0.2">
      <c r="D614" s="228"/>
      <c r="E614" s="228"/>
      <c r="F614" s="228"/>
      <c r="G614" s="228"/>
      <c r="H614" s="228"/>
      <c r="I614" s="230"/>
      <c r="J614" s="231"/>
      <c r="K614" s="307">
        <f t="shared" ref="K614:K622" si="434">R614*tax*markup*IF(Y614&lt;&gt;"",VLOOKUP(LEFT(Y614,2),cityindex,2,0),1)</f>
        <v>0</v>
      </c>
      <c r="L614" s="307">
        <f t="shared" ref="L614:L622" si="435">S614*markup*difficulty*IF(Y614&lt;&gt;"",VLOOKUP(LEFT(Y614,2),cityindex,3,0),1)</f>
        <v>0</v>
      </c>
      <c r="M614" s="307">
        <f t="shared" ref="M614:M629" si="436">W614*markup*difficulty*IF(Y614&lt;&gt;"",VLOOKUP(LEFT(Y614,2),cityindex,3,0),1)</f>
        <v>0</v>
      </c>
      <c r="N614" s="232"/>
      <c r="O614" s="232">
        <f t="shared" ref="O614:O629" si="437">SUM(K614:N614)*embed</f>
        <v>0</v>
      </c>
      <c r="P614" s="233">
        <f t="shared" ref="P614:P629" si="438">ROUND((O614*I614),0)</f>
        <v>0</v>
      </c>
      <c r="Q614" s="297">
        <f t="shared" ref="Q614:Q622" si="439">IF(O614=0,0,IF(X614=0,"manual",(O614/(R614*tax*markup*IF(Y614&lt;&gt;"",VLOOKUP(LEFT(Y614,2),cityindex,2,0),1)+S614*markup*difficulty*IF(Y614&lt;&gt;"",VLOOKUP(LEFT(Y614,2),cityindex,3,0),1)+W614*markup*difficulty*IF(Y614&lt;&gt;"",VLOOKUP(LEFT(Y614,2),cityindex,3,0),1)))-1))</f>
        <v>0</v>
      </c>
      <c r="S614" s="143">
        <f t="shared" ref="S614:S629" si="440">U614*V614</f>
        <v>0</v>
      </c>
      <c r="X614" s="143">
        <f t="shared" ref="X614:X622" si="441">SUM(R614,S614,W614)</f>
        <v>0</v>
      </c>
    </row>
    <row r="615" spans="4:30" x14ac:dyDescent="0.2">
      <c r="D615" s="228"/>
      <c r="E615" s="228" t="s">
        <v>1018</v>
      </c>
      <c r="F615" s="228"/>
      <c r="G615" s="228"/>
      <c r="H615" s="228"/>
      <c r="I615" s="230"/>
      <c r="J615" s="231"/>
      <c r="K615" s="232">
        <f t="shared" si="434"/>
        <v>0</v>
      </c>
      <c r="L615" s="232">
        <f t="shared" si="435"/>
        <v>0</v>
      </c>
      <c r="M615" s="232">
        <f t="shared" si="436"/>
        <v>0</v>
      </c>
      <c r="N615" s="232"/>
      <c r="O615" s="232">
        <f t="shared" si="437"/>
        <v>0</v>
      </c>
      <c r="P615" s="233">
        <f t="shared" si="438"/>
        <v>0</v>
      </c>
      <c r="Q615" s="297">
        <f t="shared" si="439"/>
        <v>0</v>
      </c>
      <c r="S615" s="143">
        <f t="shared" si="440"/>
        <v>0</v>
      </c>
      <c r="X615" s="143">
        <f t="shared" si="441"/>
        <v>0</v>
      </c>
      <c r="Z615" s="316"/>
    </row>
    <row r="616" spans="4:30" x14ac:dyDescent="0.2">
      <c r="D616" s="228"/>
      <c r="E616" s="228"/>
      <c r="F616" s="228" t="s">
        <v>1520</v>
      </c>
      <c r="G616" s="228"/>
      <c r="H616" s="228"/>
      <c r="I616" s="230">
        <f>16*3</f>
        <v>48</v>
      </c>
      <c r="J616" s="231" t="s">
        <v>1019</v>
      </c>
      <c r="K616" s="232">
        <f t="shared" si="434"/>
        <v>0</v>
      </c>
      <c r="L616" s="232">
        <f t="shared" si="435"/>
        <v>0</v>
      </c>
      <c r="M616" s="232">
        <f t="shared" si="436"/>
        <v>0</v>
      </c>
      <c r="N616" s="232">
        <v>1578</v>
      </c>
      <c r="O616" s="232">
        <f t="shared" si="437"/>
        <v>1578</v>
      </c>
      <c r="P616" s="233">
        <f t="shared" si="438"/>
        <v>75744</v>
      </c>
      <c r="Q616" s="297" t="str">
        <f t="shared" si="439"/>
        <v>manual</v>
      </c>
      <c r="S616" s="143">
        <f t="shared" si="440"/>
        <v>0</v>
      </c>
      <c r="X616" s="143">
        <f t="shared" si="441"/>
        <v>0</v>
      </c>
      <c r="Z616" s="316"/>
    </row>
    <row r="617" spans="4:30" x14ac:dyDescent="0.2">
      <c r="D617" s="228"/>
      <c r="E617" s="228"/>
      <c r="F617" s="228" t="s">
        <v>1521</v>
      </c>
      <c r="G617" s="228"/>
      <c r="H617" s="231"/>
      <c r="I617" s="230">
        <f>6</f>
        <v>6</v>
      </c>
      <c r="J617" s="231" t="s">
        <v>1019</v>
      </c>
      <c r="K617" s="232">
        <f t="shared" si="434"/>
        <v>0</v>
      </c>
      <c r="L617" s="232">
        <f t="shared" si="435"/>
        <v>0</v>
      </c>
      <c r="M617" s="232">
        <f t="shared" si="436"/>
        <v>0</v>
      </c>
      <c r="N617" s="232">
        <v>1578</v>
      </c>
      <c r="O617" s="232">
        <f t="shared" si="437"/>
        <v>1578</v>
      </c>
      <c r="P617" s="233">
        <f t="shared" si="438"/>
        <v>9468</v>
      </c>
      <c r="Q617" s="297" t="str">
        <f t="shared" si="439"/>
        <v>manual</v>
      </c>
      <c r="S617" s="143">
        <f t="shared" si="440"/>
        <v>0</v>
      </c>
      <c r="X617" s="143">
        <f t="shared" si="441"/>
        <v>0</v>
      </c>
      <c r="Z617" s="316"/>
    </row>
    <row r="618" spans="4:30" x14ac:dyDescent="0.2">
      <c r="D618" s="228"/>
      <c r="E618" s="228"/>
      <c r="F618" s="228" t="s">
        <v>1522</v>
      </c>
      <c r="G618" s="228"/>
      <c r="H618" s="228"/>
      <c r="I618" s="230">
        <v>2</v>
      </c>
      <c r="J618" s="231" t="s">
        <v>1019</v>
      </c>
      <c r="K618" s="232">
        <f t="shared" si="434"/>
        <v>0</v>
      </c>
      <c r="L618" s="232">
        <f t="shared" si="435"/>
        <v>0</v>
      </c>
      <c r="M618" s="232">
        <f t="shared" si="436"/>
        <v>0</v>
      </c>
      <c r="N618" s="232">
        <v>1578</v>
      </c>
      <c r="O618" s="232">
        <f t="shared" si="437"/>
        <v>1578</v>
      </c>
      <c r="P618" s="233">
        <f t="shared" si="438"/>
        <v>3156</v>
      </c>
      <c r="Q618" s="297" t="str">
        <f t="shared" si="439"/>
        <v>manual</v>
      </c>
      <c r="S618" s="143">
        <f t="shared" si="440"/>
        <v>0</v>
      </c>
      <c r="X618" s="143">
        <f t="shared" si="441"/>
        <v>0</v>
      </c>
      <c r="Z618" s="316"/>
    </row>
    <row r="619" spans="4:30" x14ac:dyDescent="0.2">
      <c r="D619" s="228"/>
      <c r="E619" s="228"/>
      <c r="F619" s="228" t="s">
        <v>1523</v>
      </c>
      <c r="G619" s="228"/>
      <c r="H619" s="228"/>
      <c r="I619" s="230">
        <f>23*3</f>
        <v>69</v>
      </c>
      <c r="J619" s="231" t="s">
        <v>1019</v>
      </c>
      <c r="K619" s="232">
        <f t="shared" si="434"/>
        <v>0</v>
      </c>
      <c r="L619" s="232">
        <f t="shared" si="435"/>
        <v>0</v>
      </c>
      <c r="M619" s="232">
        <f t="shared" si="436"/>
        <v>0</v>
      </c>
      <c r="N619" s="232">
        <v>1578</v>
      </c>
      <c r="O619" s="232">
        <f t="shared" si="437"/>
        <v>1578</v>
      </c>
      <c r="P619" s="233">
        <f t="shared" si="438"/>
        <v>108882</v>
      </c>
      <c r="Q619" s="297" t="str">
        <f t="shared" si="439"/>
        <v>manual</v>
      </c>
      <c r="S619" s="143">
        <f t="shared" si="440"/>
        <v>0</v>
      </c>
      <c r="X619" s="143">
        <f t="shared" si="441"/>
        <v>0</v>
      </c>
      <c r="Z619" s="316"/>
    </row>
    <row r="620" spans="4:30" x14ac:dyDescent="0.2">
      <c r="D620" s="228"/>
      <c r="E620" s="228"/>
      <c r="F620" s="228" t="s">
        <v>1524</v>
      </c>
      <c r="G620" s="228"/>
      <c r="H620" s="228"/>
      <c r="I620" s="230">
        <f>2*9</f>
        <v>18</v>
      </c>
      <c r="J620" s="231" t="s">
        <v>1019</v>
      </c>
      <c r="K620" s="232">
        <f t="shared" si="434"/>
        <v>0</v>
      </c>
      <c r="L620" s="232">
        <f t="shared" si="435"/>
        <v>0</v>
      </c>
      <c r="M620" s="232">
        <f t="shared" si="436"/>
        <v>0</v>
      </c>
      <c r="N620" s="232">
        <v>1578</v>
      </c>
      <c r="O620" s="232">
        <f t="shared" si="437"/>
        <v>1578</v>
      </c>
      <c r="P620" s="233">
        <f t="shared" si="438"/>
        <v>28404</v>
      </c>
      <c r="Q620" s="297" t="str">
        <f t="shared" si="439"/>
        <v>manual</v>
      </c>
      <c r="S620" s="143">
        <f t="shared" si="440"/>
        <v>0</v>
      </c>
      <c r="X620" s="143">
        <f t="shared" si="441"/>
        <v>0</v>
      </c>
      <c r="Z620" s="316"/>
    </row>
    <row r="621" spans="4:30" x14ac:dyDescent="0.2">
      <c r="D621" s="228"/>
      <c r="E621" s="228"/>
      <c r="F621" s="228" t="s">
        <v>1023</v>
      </c>
      <c r="G621" s="228"/>
      <c r="H621" s="228"/>
      <c r="I621" s="230">
        <v>1</v>
      </c>
      <c r="J621" s="231" t="s">
        <v>992</v>
      </c>
      <c r="K621" s="232">
        <f t="shared" si="434"/>
        <v>0</v>
      </c>
      <c r="L621" s="232">
        <f t="shared" si="435"/>
        <v>0</v>
      </c>
      <c r="M621" s="232">
        <f t="shared" si="436"/>
        <v>0</v>
      </c>
      <c r="N621" s="232">
        <v>10000</v>
      </c>
      <c r="O621" s="232">
        <f t="shared" si="437"/>
        <v>10000</v>
      </c>
      <c r="P621" s="233">
        <f t="shared" si="438"/>
        <v>10000</v>
      </c>
      <c r="Q621" s="297" t="str">
        <f t="shared" si="439"/>
        <v>manual</v>
      </c>
      <c r="S621" s="143">
        <f t="shared" si="440"/>
        <v>0</v>
      </c>
      <c r="X621" s="143">
        <f t="shared" si="441"/>
        <v>0</v>
      </c>
      <c r="Z621" s="316"/>
    </row>
    <row r="622" spans="4:30" x14ac:dyDescent="0.2">
      <c r="D622" s="228"/>
      <c r="E622" s="228"/>
      <c r="F622" s="228"/>
      <c r="G622" s="228"/>
      <c r="H622" s="228"/>
      <c r="I622" s="230"/>
      <c r="J622" s="231"/>
      <c r="K622" s="232">
        <f t="shared" si="434"/>
        <v>0</v>
      </c>
      <c r="L622" s="232">
        <f t="shared" si="435"/>
        <v>0</v>
      </c>
      <c r="M622" s="232">
        <f t="shared" si="436"/>
        <v>0</v>
      </c>
      <c r="N622" s="232"/>
      <c r="O622" s="232">
        <f t="shared" si="437"/>
        <v>0</v>
      </c>
      <c r="P622" s="233">
        <f t="shared" si="438"/>
        <v>0</v>
      </c>
      <c r="Q622" s="297">
        <f t="shared" si="439"/>
        <v>0</v>
      </c>
      <c r="S622" s="143">
        <f t="shared" si="440"/>
        <v>0</v>
      </c>
      <c r="X622" s="143">
        <f t="shared" si="441"/>
        <v>0</v>
      </c>
      <c r="Z622" s="316"/>
    </row>
    <row r="623" spans="4:30" x14ac:dyDescent="0.2">
      <c r="D623" s="228"/>
      <c r="E623" s="143" t="s">
        <v>378</v>
      </c>
      <c r="F623" s="228"/>
      <c r="H623" s="228"/>
      <c r="I623" s="230">
        <v>1</v>
      </c>
      <c r="J623" s="231" t="s">
        <v>992</v>
      </c>
      <c r="K623" s="307">
        <f>Z623*0.08*0.05</f>
        <v>4416.4960000000001</v>
      </c>
      <c r="L623" s="307">
        <f>Z623*0.08*0.95</f>
        <v>83913.423999999999</v>
      </c>
      <c r="M623" s="307">
        <f t="shared" si="436"/>
        <v>0</v>
      </c>
      <c r="N623" s="232"/>
      <c r="O623" s="232">
        <f t="shared" si="437"/>
        <v>88329.919999999998</v>
      </c>
      <c r="P623" s="233">
        <f t="shared" si="438"/>
        <v>88330</v>
      </c>
      <c r="Q623" s="297">
        <f>IF(O623=0,0,IF(X623=0,"manual",(O623/(Z623*tax*markup*IF(Y623&lt;&gt;"",VLOOKUP(LEFT(Y623,2),cityindex,2,0),1)+S623*markup*difficulty*IF(Y623&lt;&gt;"",VLOOKUP(LEFT(Y623,2),cityindex,3,0),1)+W623*markup*difficulty*IF(Y623&lt;&gt;"",VLOOKUP(LEFT(Y623,2),cityindex,3,0),1)))-1))</f>
        <v>-0.94064015878757523</v>
      </c>
      <c r="S623" s="143">
        <f t="shared" si="440"/>
        <v>0</v>
      </c>
      <c r="X623" s="143">
        <f>SUM(Z623,S623,W623)</f>
        <v>1104124</v>
      </c>
      <c r="Z623" s="322">
        <f>SUM(P574:P622)</f>
        <v>1104124</v>
      </c>
    </row>
    <row r="624" spans="4:30" x14ac:dyDescent="0.2">
      <c r="D624" s="228"/>
      <c r="F624" s="228" t="s">
        <v>1020</v>
      </c>
      <c r="H624" s="228"/>
      <c r="I624" s="230"/>
      <c r="J624" s="231" t="s">
        <v>1007</v>
      </c>
      <c r="K624" s="307">
        <f t="shared" ref="K624:K629" si="442">R624*tax*markup*IF(Y624&lt;&gt;"",VLOOKUP(LEFT(Y624,2),cityindex,2,0),1)</f>
        <v>0</v>
      </c>
      <c r="L624" s="307">
        <f t="shared" ref="L624:L629" si="443">S624*markup*difficulty*IF(Y624&lt;&gt;"",VLOOKUP(LEFT(Y624,2),cityindex,3,0),1)</f>
        <v>0</v>
      </c>
      <c r="M624" s="307">
        <f t="shared" si="436"/>
        <v>0</v>
      </c>
      <c r="N624" s="232"/>
      <c r="O624" s="232">
        <f t="shared" si="437"/>
        <v>0</v>
      </c>
      <c r="P624" s="233">
        <f t="shared" si="438"/>
        <v>0</v>
      </c>
      <c r="Q624" s="297">
        <f t="shared" ref="Q624:Q629" si="444">IF(O624=0,0,IF(X624=0,"manual",(O624/(R624*tax*markup*IF(Y624&lt;&gt;"",VLOOKUP(LEFT(Y624,2),cityindex,2,0),1)+S624*markup*difficulty*IF(Y624&lt;&gt;"",VLOOKUP(LEFT(Y624,2),cityindex,3,0),1)+W624*markup*difficulty*IF(Y624&lt;&gt;"",VLOOKUP(LEFT(Y624,2),cityindex,3,0),1)))-1))</f>
        <v>0</v>
      </c>
      <c r="S624" s="143">
        <f t="shared" si="440"/>
        <v>0</v>
      </c>
      <c r="X624" s="143">
        <f t="shared" ref="X624:X629" si="445">SUM(R624,S624,W624)</f>
        <v>0</v>
      </c>
      <c r="Z624" s="322" t="s">
        <v>1525</v>
      </c>
    </row>
    <row r="625" spans="4:28" x14ac:dyDescent="0.2">
      <c r="D625" s="228"/>
      <c r="F625" s="228" t="s">
        <v>1021</v>
      </c>
      <c r="H625" s="228"/>
      <c r="I625" s="230"/>
      <c r="J625" s="231" t="s">
        <v>1007</v>
      </c>
      <c r="K625" s="307">
        <f t="shared" si="442"/>
        <v>0</v>
      </c>
      <c r="L625" s="307">
        <f t="shared" si="443"/>
        <v>0</v>
      </c>
      <c r="M625" s="307">
        <f t="shared" si="436"/>
        <v>0</v>
      </c>
      <c r="N625" s="232"/>
      <c r="O625" s="232">
        <f t="shared" si="437"/>
        <v>0</v>
      </c>
      <c r="P625" s="233">
        <f t="shared" si="438"/>
        <v>0</v>
      </c>
      <c r="Q625" s="297">
        <f t="shared" si="444"/>
        <v>0</v>
      </c>
      <c r="S625" s="143">
        <f t="shared" si="440"/>
        <v>0</v>
      </c>
      <c r="X625" s="143">
        <f t="shared" si="445"/>
        <v>0</v>
      </c>
    </row>
    <row r="626" spans="4:28" x14ac:dyDescent="0.2">
      <c r="D626" s="228"/>
      <c r="F626" s="228" t="s">
        <v>1008</v>
      </c>
      <c r="H626" s="228"/>
      <c r="I626" s="230"/>
      <c r="J626" s="231" t="s">
        <v>1007</v>
      </c>
      <c r="K626" s="307">
        <f t="shared" si="442"/>
        <v>0</v>
      </c>
      <c r="L626" s="307">
        <f t="shared" si="443"/>
        <v>0</v>
      </c>
      <c r="M626" s="307">
        <f t="shared" si="436"/>
        <v>0</v>
      </c>
      <c r="N626" s="232"/>
      <c r="O626" s="232">
        <f t="shared" si="437"/>
        <v>0</v>
      </c>
      <c r="P626" s="233">
        <f t="shared" si="438"/>
        <v>0</v>
      </c>
      <c r="Q626" s="297">
        <f t="shared" si="444"/>
        <v>0</v>
      </c>
      <c r="S626" s="143">
        <f t="shared" si="440"/>
        <v>0</v>
      </c>
      <c r="X626" s="143">
        <f t="shared" si="445"/>
        <v>0</v>
      </c>
    </row>
    <row r="627" spans="4:28" x14ac:dyDescent="0.2">
      <c r="D627" s="228"/>
      <c r="F627" s="228" t="s">
        <v>1009</v>
      </c>
      <c r="H627" s="228"/>
      <c r="I627" s="230"/>
      <c r="J627" s="231" t="s">
        <v>1007</v>
      </c>
      <c r="K627" s="307">
        <f t="shared" si="442"/>
        <v>0</v>
      </c>
      <c r="L627" s="307">
        <f t="shared" si="443"/>
        <v>0</v>
      </c>
      <c r="M627" s="307">
        <f t="shared" si="436"/>
        <v>0</v>
      </c>
      <c r="N627" s="232"/>
      <c r="O627" s="232">
        <f t="shared" si="437"/>
        <v>0</v>
      </c>
      <c r="P627" s="233">
        <f t="shared" si="438"/>
        <v>0</v>
      </c>
      <c r="Q627" s="297">
        <f t="shared" si="444"/>
        <v>0</v>
      </c>
      <c r="S627" s="143">
        <f t="shared" si="440"/>
        <v>0</v>
      </c>
      <c r="X627" s="143">
        <f t="shared" si="445"/>
        <v>0</v>
      </c>
    </row>
    <row r="628" spans="4:28" ht="12.75" customHeight="1" x14ac:dyDescent="0.2">
      <c r="D628" s="228"/>
      <c r="E628" s="228"/>
      <c r="F628" s="228" t="s">
        <v>1011</v>
      </c>
      <c r="H628" s="228"/>
      <c r="I628" s="230"/>
      <c r="J628" s="231" t="s">
        <v>1007</v>
      </c>
      <c r="K628" s="307">
        <f t="shared" si="442"/>
        <v>0</v>
      </c>
      <c r="L628" s="307">
        <f t="shared" si="443"/>
        <v>0</v>
      </c>
      <c r="M628" s="307">
        <f t="shared" si="436"/>
        <v>0</v>
      </c>
      <c r="N628" s="232"/>
      <c r="O628" s="232">
        <f t="shared" si="437"/>
        <v>0</v>
      </c>
      <c r="P628" s="233">
        <f t="shared" si="438"/>
        <v>0</v>
      </c>
      <c r="Q628" s="297">
        <f t="shared" si="444"/>
        <v>0</v>
      </c>
      <c r="S628" s="143">
        <f t="shared" si="440"/>
        <v>0</v>
      </c>
      <c r="X628" s="143">
        <f t="shared" si="445"/>
        <v>0</v>
      </c>
    </row>
    <row r="629" spans="4:28" ht="12.75" customHeight="1" x14ac:dyDescent="0.2">
      <c r="D629" s="228"/>
      <c r="E629" s="228"/>
      <c r="F629" s="228" t="s">
        <v>1022</v>
      </c>
      <c r="H629" s="228"/>
      <c r="I629" s="230"/>
      <c r="J629" s="231" t="s">
        <v>1007</v>
      </c>
      <c r="K629" s="307">
        <f t="shared" si="442"/>
        <v>0</v>
      </c>
      <c r="L629" s="307">
        <f t="shared" si="443"/>
        <v>0</v>
      </c>
      <c r="M629" s="307">
        <f t="shared" si="436"/>
        <v>0</v>
      </c>
      <c r="N629" s="232"/>
      <c r="O629" s="232">
        <f t="shared" si="437"/>
        <v>0</v>
      </c>
      <c r="P629" s="233">
        <f t="shared" si="438"/>
        <v>0</v>
      </c>
      <c r="Q629" s="297">
        <f t="shared" si="444"/>
        <v>0</v>
      </c>
      <c r="S629" s="143">
        <f t="shared" si="440"/>
        <v>0</v>
      </c>
      <c r="X629" s="143">
        <f t="shared" si="445"/>
        <v>0</v>
      </c>
    </row>
    <row r="630" spans="4:28" x14ac:dyDescent="0.2">
      <c r="K630" s="149">
        <f t="shared" ref="K630" si="446">R630*tax*markup*IF(Y630&lt;&gt;"",VLOOKUP(LEFT(Y630,2),cityindex,2,0),1)</f>
        <v>0</v>
      </c>
      <c r="L630" s="149">
        <f t="shared" ref="L630" si="447">S630*markup*difficulty*IF(Y630&lt;&gt;"",VLOOKUP(LEFT(Y630,2),cityindex,3,0),1)</f>
        <v>0</v>
      </c>
      <c r="M630" s="149">
        <f t="shared" ref="M630" si="448">W630*markup*difficulty*IF(Y630&lt;&gt;"",VLOOKUP(LEFT(Y630,2),cityindex,3,0),1)</f>
        <v>0</v>
      </c>
      <c r="N630" s="149"/>
      <c r="O630" s="149">
        <f t="shared" ref="O630" si="449">SUM(K630:N630)*embed</f>
        <v>0</v>
      </c>
      <c r="P630" s="216">
        <f t="shared" ref="P630" si="450">ROUND((O630*I630),0)</f>
        <v>0</v>
      </c>
      <c r="Q630" s="291">
        <f>IF(O630=0,0,IF(X630=0,"manual",O630/((R630*tax*markup*IF(Y630&lt;&gt;"",VLOOKUP(LEFT(Y630,2),cityindex,2,0),1))+S630*markup*difficulty*IF(Y630&lt;&gt;"",VLOOKUP(LEFT(Y630,2),cityindex,3,0),1)+W630*markup*difficulty*IF(Y630&lt;&gt;"",VLOOKUP(LEFT(Y630,2),cityindex,3,0),1))))</f>
        <v>0</v>
      </c>
      <c r="S630" s="143">
        <f t="shared" ref="S630:S722" si="451">U630*V630</f>
        <v>0</v>
      </c>
      <c r="X630" s="143">
        <f t="shared" ref="X630:X722" si="452">SUM(R630,S630,W630)</f>
        <v>0</v>
      </c>
    </row>
    <row r="631" spans="4:28" ht="24.75" customHeight="1" x14ac:dyDescent="0.2">
      <c r="D631" s="217" t="str">
        <f>"TOTAL - " &amp; D574</f>
        <v>TOTAL - 23  HEATING, VENTILATING, AND AIR CONDITIONING</v>
      </c>
      <c r="E631" s="217"/>
      <c r="F631" s="217"/>
      <c r="G631" s="217"/>
      <c r="H631" s="217"/>
      <c r="I631" s="218"/>
      <c r="J631" s="219"/>
      <c r="K631" s="220"/>
      <c r="L631" s="220"/>
      <c r="M631" s="220"/>
      <c r="N631" s="220"/>
      <c r="O631" s="221"/>
      <c r="P631" s="222">
        <f>SUM(P574:P630)</f>
        <v>1192454</v>
      </c>
      <c r="Q631" s="294" t="str">
        <f>_xlfn.CONCAT(TEXT(SUM(P631/GFA),"$#,##0.00"),"/SF")</f>
        <v>$37.89/SF</v>
      </c>
      <c r="S631" s="143">
        <f t="shared" si="451"/>
        <v>0</v>
      </c>
      <c r="X631" s="143">
        <f t="shared" si="452"/>
        <v>0</v>
      </c>
      <c r="Z631" s="314"/>
      <c r="AA631" s="315"/>
    </row>
    <row r="632" spans="4:28" x14ac:dyDescent="0.2">
      <c r="K632" s="149">
        <f>R632*tax*markup*IF(Y632&lt;&gt;"",VLOOKUP(LEFT(Y632,2),cityindex,2,0),1)</f>
        <v>0</v>
      </c>
      <c r="L632" s="149">
        <f>S632*markup*difficulty*IF(Y632&lt;&gt;"",VLOOKUP(LEFT(Y632,2),cityindex,3,0),1)</f>
        <v>0</v>
      </c>
      <c r="M632" s="149">
        <f>W632*markup*difficulty*IF(Y632&lt;&gt;"",VLOOKUP(LEFT(Y632,2),cityindex,3,0),1)</f>
        <v>0</v>
      </c>
      <c r="N632" s="149"/>
      <c r="O632" s="149">
        <f t="shared" ref="O632:O723" si="453">SUM(K632:N632)*embed</f>
        <v>0</v>
      </c>
      <c r="P632" s="216">
        <f t="shared" ref="P632:P723" si="454">ROUND((O632*I632),0)</f>
        <v>0</v>
      </c>
      <c r="Q632" s="291">
        <f>IF(O632=0,0,IF(X632=0,"manual",O632/((R632*tax*markup*IF(Y632&lt;&gt;"",VLOOKUP(LEFT(Y632,2),cityindex,2,0),1))+S632*markup*difficulty*IF(Y632&lt;&gt;"",VLOOKUP(LEFT(Y632,2),cityindex,3,0),1)+W632*markup*difficulty*IF(Y632&lt;&gt;"",VLOOKUP(LEFT(Y632,2),cityindex,3,0),1))))</f>
        <v>0</v>
      </c>
      <c r="S632" s="143">
        <f t="shared" si="451"/>
        <v>0</v>
      </c>
      <c r="X632" s="143">
        <f t="shared" si="452"/>
        <v>0</v>
      </c>
    </row>
    <row r="633" spans="4:28" x14ac:dyDescent="0.2">
      <c r="D633" s="214" t="s">
        <v>284</v>
      </c>
      <c r="E633" s="215"/>
      <c r="F633" s="215"/>
      <c r="G633" s="215"/>
      <c r="H633" s="215"/>
      <c r="K633" s="149">
        <f>R633*tax*markup*IF(Y633&lt;&gt;"",VLOOKUP(LEFT(Y633,2),cityindex,2,0),1)</f>
        <v>0</v>
      </c>
      <c r="L633" s="149">
        <f>S633*markup*difficulty*IF(Y633&lt;&gt;"",VLOOKUP(LEFT(Y633,2),cityindex,3,0),1)</f>
        <v>0</v>
      </c>
      <c r="M633" s="149">
        <f>W633*markup*difficulty*IF(Y633&lt;&gt;"",VLOOKUP(LEFT(Y633,2),cityindex,3,0),1)</f>
        <v>0</v>
      </c>
      <c r="N633" s="149"/>
      <c r="O633" s="149">
        <f t="shared" si="453"/>
        <v>0</v>
      </c>
      <c r="P633" s="216">
        <f t="shared" si="454"/>
        <v>0</v>
      </c>
      <c r="Q633" s="291">
        <f>IF(O633=0,0,IF(X633=0,"manual",O633/((R633*tax*markup*IF(Y633&lt;&gt;"",VLOOKUP(LEFT(Y633,2),cityindex,2,0),1))+S633*markup*difficulty*IF(Y633&lt;&gt;"",VLOOKUP(LEFT(Y633,2),cityindex,3,0),1)+W633*markup*difficulty*IF(Y633&lt;&gt;"",VLOOKUP(LEFT(Y633,2),cityindex,3,0),1))))</f>
        <v>0</v>
      </c>
      <c r="S633" s="143">
        <f t="shared" si="451"/>
        <v>0</v>
      </c>
      <c r="X633" s="143">
        <f t="shared" si="452"/>
        <v>0</v>
      </c>
    </row>
    <row r="634" spans="4:28" x14ac:dyDescent="0.2">
      <c r="D634" s="228"/>
      <c r="E634" s="228" t="s">
        <v>1071</v>
      </c>
      <c r="F634" s="228"/>
      <c r="G634" s="228"/>
      <c r="H634" s="228"/>
      <c r="I634" s="230"/>
      <c r="J634" s="231"/>
      <c r="K634" s="232"/>
      <c r="L634" s="232"/>
      <c r="M634" s="232"/>
      <c r="N634" s="232"/>
      <c r="O634" s="232">
        <f t="shared" ref="O634:O635" si="455">SUM(K634:N634)*embed</f>
        <v>0</v>
      </c>
      <c r="P634" s="233">
        <f t="shared" si="454"/>
        <v>0</v>
      </c>
      <c r="Q634" s="298">
        <f t="shared" ref="Q634:Q635" si="456">IF(O634=0,0,IF(X634=0,"manual",(O634/(R634*tax*markup*IF(Y634&lt;&gt;"",VLOOKUP(LEFT(Y634,2),cityindex,2,0),1)+S634*markup*difficulty*IF(Y634&lt;&gt;"",VLOOKUP(LEFT(Y634,2),cityindex,3,0),1)+W634*markup*difficulty*IF(Y634&lt;&gt;"",VLOOKUP(LEFT(Y634,2),cityindex,3,0),1)))-1))</f>
        <v>0</v>
      </c>
      <c r="S634" s="143">
        <f t="shared" si="451"/>
        <v>0</v>
      </c>
      <c r="X634" s="143">
        <f t="shared" si="452"/>
        <v>0</v>
      </c>
      <c r="Z634" s="143"/>
      <c r="AA634" s="143"/>
      <c r="AB634" s="143"/>
    </row>
    <row r="635" spans="4:28" x14ac:dyDescent="0.2">
      <c r="D635" s="228"/>
      <c r="E635" s="228"/>
      <c r="F635" s="228" t="s">
        <v>1790</v>
      </c>
      <c r="G635" s="228"/>
      <c r="H635" s="228"/>
      <c r="I635" s="230"/>
      <c r="J635" s="231"/>
      <c r="K635" s="232"/>
      <c r="L635" s="232"/>
      <c r="M635" s="232"/>
      <c r="N635" s="232"/>
      <c r="O635" s="232">
        <f t="shared" si="455"/>
        <v>0</v>
      </c>
      <c r="P635" s="233">
        <f t="shared" si="454"/>
        <v>0</v>
      </c>
      <c r="Q635" s="298">
        <f t="shared" si="456"/>
        <v>0</v>
      </c>
      <c r="S635" s="143">
        <f t="shared" si="451"/>
        <v>0</v>
      </c>
      <c r="X635" s="143">
        <f t="shared" si="452"/>
        <v>0</v>
      </c>
      <c r="Z635" s="143"/>
      <c r="AA635" s="143"/>
      <c r="AB635" s="143"/>
    </row>
    <row r="636" spans="4:28" x14ac:dyDescent="0.2">
      <c r="D636" s="228"/>
      <c r="E636" s="228"/>
      <c r="F636" s="299"/>
      <c r="G636" s="299" t="s">
        <v>1791</v>
      </c>
      <c r="H636" s="299"/>
      <c r="I636" s="301">
        <v>1</v>
      </c>
      <c r="J636" s="300" t="s">
        <v>390</v>
      </c>
      <c r="K636" s="302">
        <v>47646.75</v>
      </c>
      <c r="L636" s="302">
        <v>3557.72</v>
      </c>
      <c r="M636" s="232">
        <f t="shared" ref="M636:M657" si="457">W636*markup*difficulty*IF(Y636&lt;&gt;"",VLOOKUP(LEFT(Y636,2),cityindex,3,0),1)</f>
        <v>0</v>
      </c>
      <c r="N636" s="232"/>
      <c r="O636" s="232">
        <f t="shared" ref="O636:O676" si="458">SUM(K636:N636)*embed</f>
        <v>51204.47</v>
      </c>
      <c r="P636" s="233">
        <f t="shared" si="454"/>
        <v>51204</v>
      </c>
      <c r="Q636" s="298" t="str">
        <f t="shared" ref="Q636:Q722" si="459">IF(O636=0,0,IF(X636=0,"manual",(O636/(R636*tax*markup*IF(Y636&lt;&gt;"",VLOOKUP(LEFT(Y636,2),cityindex,2,0),1)+S636*markup*difficulty*IF(Y636&lt;&gt;"",VLOOKUP(LEFT(Y636,2),cityindex,3,0),1)+W636*markup*difficulty*IF(Y636&lt;&gt;"",VLOOKUP(LEFT(Y636,2),cityindex,3,0),1)))-1))</f>
        <v>manual</v>
      </c>
      <c r="S636" s="143">
        <f t="shared" si="451"/>
        <v>0</v>
      </c>
      <c r="X636" s="143">
        <f t="shared" si="452"/>
        <v>0</v>
      </c>
      <c r="Z636" s="143"/>
      <c r="AA636" s="143"/>
      <c r="AB636" s="143"/>
    </row>
    <row r="637" spans="4:28" x14ac:dyDescent="0.2">
      <c r="D637" s="228"/>
      <c r="E637" s="228"/>
      <c r="F637" s="299"/>
      <c r="G637" s="299" t="s">
        <v>1792</v>
      </c>
      <c r="H637" s="299"/>
      <c r="I637" s="301">
        <v>1</v>
      </c>
      <c r="J637" s="300" t="s">
        <v>390</v>
      </c>
      <c r="K637" s="629">
        <v>9910</v>
      </c>
      <c r="L637" s="629">
        <v>1860</v>
      </c>
      <c r="M637" s="232">
        <f t="shared" si="457"/>
        <v>0</v>
      </c>
      <c r="N637" s="232"/>
      <c r="O637" s="232">
        <f t="shared" si="458"/>
        <v>11770</v>
      </c>
      <c r="P637" s="233">
        <f t="shared" si="454"/>
        <v>11770</v>
      </c>
      <c r="Q637" s="298" t="str">
        <f t="shared" si="459"/>
        <v>manual</v>
      </c>
      <c r="S637" s="143">
        <f t="shared" si="451"/>
        <v>0</v>
      </c>
      <c r="X637" s="143">
        <f t="shared" si="452"/>
        <v>0</v>
      </c>
      <c r="Z637" s="143"/>
      <c r="AA637" s="143"/>
      <c r="AB637" s="143"/>
    </row>
    <row r="638" spans="4:28" x14ac:dyDescent="0.2">
      <c r="D638" s="228"/>
      <c r="E638" s="228"/>
      <c r="F638" s="299"/>
      <c r="G638" s="299"/>
      <c r="H638" s="299" t="s">
        <v>1793</v>
      </c>
      <c r="I638" s="301"/>
      <c r="J638" s="300"/>
      <c r="K638" s="302"/>
      <c r="L638" s="302"/>
      <c r="M638" s="232">
        <f t="shared" si="457"/>
        <v>0</v>
      </c>
      <c r="N638" s="232"/>
      <c r="O638" s="232">
        <f t="shared" si="458"/>
        <v>0</v>
      </c>
      <c r="P638" s="233">
        <f t="shared" ref="P638:P669" si="460">ROUND((O638*I638),0)</f>
        <v>0</v>
      </c>
      <c r="Q638" s="298">
        <f t="shared" ref="Q638:Q669" si="461">IF(O638=0,0,IF(X638=0,"manual",(O638/(R638*tax*markup*IF(Y638&lt;&gt;"",VLOOKUP(LEFT(Y638,2),cityindex,2,0),1)+S638*markup*difficulty*IF(Y638&lt;&gt;"",VLOOKUP(LEFT(Y638,2),cityindex,3,0),1)+W638*markup*difficulty*IF(Y638&lt;&gt;"",VLOOKUP(LEFT(Y638,2),cityindex,3,0),1)))-1))</f>
        <v>0</v>
      </c>
      <c r="S638" s="143">
        <f t="shared" ref="S638:S669" si="462">U638*V638</f>
        <v>0</v>
      </c>
      <c r="X638" s="143">
        <f t="shared" ref="X638:X669" si="463">SUM(R638,S638,W638)</f>
        <v>0</v>
      </c>
      <c r="Z638" s="143"/>
      <c r="AA638" s="143"/>
      <c r="AB638" s="143"/>
    </row>
    <row r="639" spans="4:28" x14ac:dyDescent="0.2">
      <c r="D639" s="228"/>
      <c r="E639" s="228"/>
      <c r="F639" s="299"/>
      <c r="G639" s="299" t="s">
        <v>1794</v>
      </c>
      <c r="H639" s="299"/>
      <c r="I639" s="301"/>
      <c r="J639" s="300"/>
      <c r="K639" s="302"/>
      <c r="L639" s="302"/>
      <c r="M639" s="232">
        <f t="shared" si="457"/>
        <v>0</v>
      </c>
      <c r="N639" s="232"/>
      <c r="O639" s="232">
        <f t="shared" si="458"/>
        <v>0</v>
      </c>
      <c r="P639" s="233">
        <f t="shared" si="460"/>
        <v>0</v>
      </c>
      <c r="Q639" s="298">
        <f t="shared" si="461"/>
        <v>0</v>
      </c>
      <c r="S639" s="143">
        <f t="shared" si="462"/>
        <v>0</v>
      </c>
      <c r="X639" s="143">
        <f t="shared" si="463"/>
        <v>0</v>
      </c>
      <c r="Z639" s="143"/>
      <c r="AA639" s="143"/>
      <c r="AB639" s="143"/>
    </row>
    <row r="640" spans="4:28" x14ac:dyDescent="0.2">
      <c r="D640" s="228"/>
      <c r="E640" s="228"/>
      <c r="F640" s="299"/>
      <c r="G640" s="299"/>
      <c r="H640" s="299" t="s">
        <v>1795</v>
      </c>
      <c r="I640" s="301">
        <v>1</v>
      </c>
      <c r="J640" s="300" t="s">
        <v>390</v>
      </c>
      <c r="K640" s="629">
        <v>9150</v>
      </c>
      <c r="L640" s="629">
        <v>2140</v>
      </c>
      <c r="M640" s="232">
        <f t="shared" si="457"/>
        <v>0</v>
      </c>
      <c r="N640" s="232"/>
      <c r="O640" s="232">
        <f t="shared" si="458"/>
        <v>11290</v>
      </c>
      <c r="P640" s="233">
        <f t="shared" si="460"/>
        <v>11290</v>
      </c>
      <c r="Q640" s="298" t="str">
        <f t="shared" si="461"/>
        <v>manual</v>
      </c>
      <c r="S640" s="143">
        <f t="shared" si="462"/>
        <v>0</v>
      </c>
      <c r="X640" s="143">
        <f t="shared" si="463"/>
        <v>0</v>
      </c>
      <c r="Z640" s="143"/>
      <c r="AA640" s="143"/>
      <c r="AB640" s="143"/>
    </row>
    <row r="641" spans="4:28" x14ac:dyDescent="0.2">
      <c r="D641" s="228"/>
      <c r="E641" s="228"/>
      <c r="F641" s="303"/>
      <c r="G641" s="303"/>
      <c r="H641" s="303" t="s">
        <v>1796</v>
      </c>
      <c r="I641" s="304">
        <v>1</v>
      </c>
      <c r="J641" s="305" t="s">
        <v>390</v>
      </c>
      <c r="K641" s="306">
        <v>5260</v>
      </c>
      <c r="L641" s="306">
        <v>750</v>
      </c>
      <c r="M641" s="232">
        <f t="shared" si="457"/>
        <v>0</v>
      </c>
      <c r="N641" s="232"/>
      <c r="O641" s="232">
        <f t="shared" si="458"/>
        <v>6010</v>
      </c>
      <c r="P641" s="233">
        <f t="shared" si="460"/>
        <v>6010</v>
      </c>
      <c r="Q641" s="298" t="str">
        <f t="shared" si="461"/>
        <v>manual</v>
      </c>
      <c r="S641" s="143">
        <f t="shared" si="462"/>
        <v>0</v>
      </c>
      <c r="X641" s="143">
        <f t="shared" si="463"/>
        <v>0</v>
      </c>
      <c r="Z641" s="143"/>
      <c r="AA641" s="143"/>
      <c r="AB641" s="143"/>
    </row>
    <row r="642" spans="4:28" x14ac:dyDescent="0.2">
      <c r="D642" s="228"/>
      <c r="E642" s="228"/>
      <c r="F642" s="299"/>
      <c r="G642" s="299" t="s">
        <v>1534</v>
      </c>
      <c r="H642" s="299"/>
      <c r="I642" s="301">
        <v>1</v>
      </c>
      <c r="J642" s="300" t="s">
        <v>390</v>
      </c>
      <c r="K642" s="302">
        <v>12681.17</v>
      </c>
      <c r="L642" s="302">
        <v>1242.31</v>
      </c>
      <c r="M642" s="232">
        <f t="shared" si="457"/>
        <v>0</v>
      </c>
      <c r="N642" s="232"/>
      <c r="O642" s="232">
        <f t="shared" si="458"/>
        <v>13923.48</v>
      </c>
      <c r="P642" s="233">
        <f t="shared" si="460"/>
        <v>13923</v>
      </c>
      <c r="Q642" s="298" t="str">
        <f t="shared" si="461"/>
        <v>manual</v>
      </c>
      <c r="S642" s="143">
        <f t="shared" si="462"/>
        <v>0</v>
      </c>
      <c r="X642" s="143">
        <f t="shared" si="463"/>
        <v>0</v>
      </c>
      <c r="Z642" s="143"/>
      <c r="AA642" s="143"/>
      <c r="AB642" s="143"/>
    </row>
    <row r="643" spans="4:28" x14ac:dyDescent="0.2">
      <c r="D643" s="228"/>
      <c r="E643" s="228"/>
      <c r="F643" s="303"/>
      <c r="G643" s="299" t="s">
        <v>1072</v>
      </c>
      <c r="H643" s="299"/>
      <c r="I643" s="630"/>
      <c r="J643" s="300"/>
      <c r="K643" s="629"/>
      <c r="L643" s="629"/>
      <c r="M643" s="232">
        <f t="shared" si="457"/>
        <v>0</v>
      </c>
      <c r="N643" s="232"/>
      <c r="O643" s="232">
        <f t="shared" si="458"/>
        <v>0</v>
      </c>
      <c r="P643" s="233">
        <f t="shared" si="460"/>
        <v>0</v>
      </c>
      <c r="Q643" s="298">
        <f t="shared" si="461"/>
        <v>0</v>
      </c>
      <c r="S643" s="143">
        <f t="shared" si="462"/>
        <v>0</v>
      </c>
      <c r="X643" s="143">
        <f t="shared" si="463"/>
        <v>0</v>
      </c>
      <c r="Z643" s="143"/>
      <c r="AA643" s="143"/>
      <c r="AB643" s="143"/>
    </row>
    <row r="644" spans="4:28" x14ac:dyDescent="0.2">
      <c r="D644" s="228"/>
      <c r="E644" s="228"/>
      <c r="F644" s="303"/>
      <c r="G644" s="299"/>
      <c r="H644" s="299" t="s">
        <v>1797</v>
      </c>
      <c r="I644" s="630"/>
      <c r="J644" s="300"/>
      <c r="K644" s="629"/>
      <c r="L644" s="629"/>
      <c r="M644" s="232">
        <f t="shared" si="457"/>
        <v>0</v>
      </c>
      <c r="N644" s="232"/>
      <c r="O644" s="232">
        <f t="shared" si="458"/>
        <v>0</v>
      </c>
      <c r="P644" s="233">
        <f t="shared" si="460"/>
        <v>0</v>
      </c>
      <c r="Q644" s="298">
        <f t="shared" si="461"/>
        <v>0</v>
      </c>
      <c r="S644" s="143">
        <f t="shared" si="462"/>
        <v>0</v>
      </c>
      <c r="X644" s="143">
        <f t="shared" si="463"/>
        <v>0</v>
      </c>
      <c r="Z644" s="143"/>
      <c r="AA644" s="143"/>
      <c r="AB644" s="143"/>
    </row>
    <row r="645" spans="4:28" x14ac:dyDescent="0.2">
      <c r="D645" s="228"/>
      <c r="E645" s="228"/>
      <c r="F645" s="303"/>
      <c r="G645" s="299"/>
      <c r="H645" s="631" t="s">
        <v>1798</v>
      </c>
      <c r="I645" s="301">
        <v>21</v>
      </c>
      <c r="J645" s="300" t="s">
        <v>309</v>
      </c>
      <c r="K645" s="302">
        <v>0.49</v>
      </c>
      <c r="L645" s="302">
        <v>0.45</v>
      </c>
      <c r="M645" s="232">
        <f t="shared" si="457"/>
        <v>0</v>
      </c>
      <c r="N645" s="232"/>
      <c r="O645" s="232">
        <f t="shared" si="458"/>
        <v>0.94</v>
      </c>
      <c r="P645" s="233">
        <f t="shared" si="460"/>
        <v>20</v>
      </c>
      <c r="Q645" s="298" t="str">
        <f t="shared" si="461"/>
        <v>manual</v>
      </c>
      <c r="S645" s="143">
        <f t="shared" si="462"/>
        <v>0</v>
      </c>
      <c r="X645" s="143">
        <f t="shared" si="463"/>
        <v>0</v>
      </c>
      <c r="Z645" s="143"/>
      <c r="AA645" s="143"/>
      <c r="AB645" s="143"/>
    </row>
    <row r="646" spans="4:28" x14ac:dyDescent="0.2">
      <c r="D646" s="228"/>
      <c r="E646" s="228"/>
      <c r="F646" s="303"/>
      <c r="G646" s="299"/>
      <c r="H646" s="631" t="s">
        <v>1799</v>
      </c>
      <c r="I646" s="301">
        <v>242</v>
      </c>
      <c r="J646" s="300" t="s">
        <v>309</v>
      </c>
      <c r="K646" s="302">
        <v>1.32</v>
      </c>
      <c r="L646" s="302">
        <v>0.69</v>
      </c>
      <c r="M646" s="232">
        <f t="shared" si="457"/>
        <v>0</v>
      </c>
      <c r="N646" s="232"/>
      <c r="O646" s="232">
        <f t="shared" si="458"/>
        <v>2.0099999999999998</v>
      </c>
      <c r="P646" s="233">
        <f t="shared" si="460"/>
        <v>486</v>
      </c>
      <c r="Q646" s="298" t="str">
        <f t="shared" si="461"/>
        <v>manual</v>
      </c>
      <c r="S646" s="143">
        <f t="shared" si="462"/>
        <v>0</v>
      </c>
      <c r="X646" s="143">
        <f t="shared" si="463"/>
        <v>0</v>
      </c>
      <c r="Z646" s="143"/>
      <c r="AA646" s="143"/>
      <c r="AB646" s="143"/>
    </row>
    <row r="647" spans="4:28" x14ac:dyDescent="0.2">
      <c r="D647" s="228"/>
      <c r="E647" s="228"/>
      <c r="F647" s="303"/>
      <c r="G647" s="299"/>
      <c r="H647" s="631" t="s">
        <v>1800</v>
      </c>
      <c r="I647" s="301">
        <v>63</v>
      </c>
      <c r="J647" s="300" t="s">
        <v>309</v>
      </c>
      <c r="K647" s="302">
        <v>2.5499999999999998</v>
      </c>
      <c r="L647" s="302">
        <v>0.89</v>
      </c>
      <c r="M647" s="232">
        <f t="shared" si="457"/>
        <v>0</v>
      </c>
      <c r="N647" s="232"/>
      <c r="O647" s="232">
        <f t="shared" si="458"/>
        <v>3.44</v>
      </c>
      <c r="P647" s="233">
        <f t="shared" si="460"/>
        <v>217</v>
      </c>
      <c r="Q647" s="298" t="str">
        <f t="shared" si="461"/>
        <v>manual</v>
      </c>
      <c r="S647" s="143">
        <f t="shared" si="462"/>
        <v>0</v>
      </c>
      <c r="X647" s="143">
        <f t="shared" si="463"/>
        <v>0</v>
      </c>
      <c r="Z647" s="143"/>
      <c r="AA647" s="143"/>
      <c r="AB647" s="143"/>
    </row>
    <row r="648" spans="4:28" x14ac:dyDescent="0.2">
      <c r="D648" s="228"/>
      <c r="E648" s="228"/>
      <c r="F648" s="303"/>
      <c r="G648" s="299"/>
      <c r="H648" s="631" t="s">
        <v>1801</v>
      </c>
      <c r="I648" s="301">
        <v>32</v>
      </c>
      <c r="J648" s="300" t="s">
        <v>309</v>
      </c>
      <c r="K648" s="302">
        <v>4.03</v>
      </c>
      <c r="L648" s="302">
        <v>1.36</v>
      </c>
      <c r="M648" s="232">
        <f t="shared" si="457"/>
        <v>0</v>
      </c>
      <c r="N648" s="232"/>
      <c r="O648" s="232">
        <f t="shared" si="458"/>
        <v>5.3900000000000006</v>
      </c>
      <c r="P648" s="233">
        <f t="shared" si="460"/>
        <v>172</v>
      </c>
      <c r="Q648" s="298" t="str">
        <f t="shared" si="461"/>
        <v>manual</v>
      </c>
      <c r="S648" s="143">
        <f t="shared" si="462"/>
        <v>0</v>
      </c>
      <c r="X648" s="143">
        <f t="shared" si="463"/>
        <v>0</v>
      </c>
      <c r="Z648" s="143"/>
      <c r="AA648" s="143"/>
      <c r="AB648" s="143"/>
    </row>
    <row r="649" spans="4:28" x14ac:dyDescent="0.2">
      <c r="D649" s="228"/>
      <c r="E649" s="228"/>
      <c r="F649" s="303"/>
      <c r="G649" s="299"/>
      <c r="H649" s="631" t="s">
        <v>1802</v>
      </c>
      <c r="I649" s="301">
        <v>95</v>
      </c>
      <c r="J649" s="300" t="s">
        <v>309</v>
      </c>
      <c r="K649" s="302">
        <v>4.97</v>
      </c>
      <c r="L649" s="302">
        <v>1.54</v>
      </c>
      <c r="M649" s="232">
        <f t="shared" si="457"/>
        <v>0</v>
      </c>
      <c r="N649" s="232"/>
      <c r="O649" s="232">
        <f t="shared" si="458"/>
        <v>6.51</v>
      </c>
      <c r="P649" s="233">
        <f t="shared" si="460"/>
        <v>618</v>
      </c>
      <c r="Q649" s="298" t="str">
        <f t="shared" si="461"/>
        <v>manual</v>
      </c>
      <c r="S649" s="143">
        <f t="shared" si="462"/>
        <v>0</v>
      </c>
      <c r="X649" s="143">
        <f t="shared" si="463"/>
        <v>0</v>
      </c>
      <c r="Z649" s="143"/>
      <c r="AA649" s="143"/>
      <c r="AB649" s="143"/>
    </row>
    <row r="650" spans="4:28" x14ac:dyDescent="0.2">
      <c r="D650" s="228"/>
      <c r="E650" s="228"/>
      <c r="F650" s="303"/>
      <c r="G650" s="299"/>
      <c r="H650" s="631" t="s">
        <v>1803</v>
      </c>
      <c r="I650" s="301">
        <v>252</v>
      </c>
      <c r="J650" s="300" t="s">
        <v>309</v>
      </c>
      <c r="K650" s="302">
        <v>18.350000000000001</v>
      </c>
      <c r="L650" s="302">
        <v>2.8</v>
      </c>
      <c r="M650" s="232">
        <f t="shared" si="457"/>
        <v>0</v>
      </c>
      <c r="N650" s="232"/>
      <c r="O650" s="232">
        <f t="shared" si="458"/>
        <v>21.150000000000002</v>
      </c>
      <c r="P650" s="233">
        <f t="shared" si="460"/>
        <v>5330</v>
      </c>
      <c r="Q650" s="298" t="str">
        <f t="shared" si="461"/>
        <v>manual</v>
      </c>
      <c r="S650" s="143">
        <f t="shared" si="462"/>
        <v>0</v>
      </c>
      <c r="X650" s="143">
        <f t="shared" si="463"/>
        <v>0</v>
      </c>
      <c r="Z650" s="143"/>
      <c r="AA650" s="143"/>
      <c r="AB650" s="143"/>
    </row>
    <row r="651" spans="4:28" x14ac:dyDescent="0.2">
      <c r="D651" s="228"/>
      <c r="E651" s="228"/>
      <c r="F651" s="303"/>
      <c r="G651" s="299"/>
      <c r="H651" s="299" t="s">
        <v>1804</v>
      </c>
      <c r="I651" s="630"/>
      <c r="J651" s="300"/>
      <c r="K651" s="629"/>
      <c r="L651" s="629"/>
      <c r="M651" s="232">
        <f t="shared" si="457"/>
        <v>0</v>
      </c>
      <c r="N651" s="232"/>
      <c r="O651" s="232">
        <f t="shared" si="458"/>
        <v>0</v>
      </c>
      <c r="P651" s="233">
        <f t="shared" si="460"/>
        <v>0</v>
      </c>
      <c r="Q651" s="298">
        <f t="shared" si="461"/>
        <v>0</v>
      </c>
      <c r="S651" s="143">
        <f t="shared" si="462"/>
        <v>0</v>
      </c>
      <c r="X651" s="143">
        <f t="shared" si="463"/>
        <v>0</v>
      </c>
      <c r="Z651" s="143"/>
      <c r="AA651" s="143"/>
      <c r="AB651" s="143"/>
    </row>
    <row r="652" spans="4:28" x14ac:dyDescent="0.2">
      <c r="D652" s="228"/>
      <c r="E652" s="228"/>
      <c r="F652" s="303"/>
      <c r="G652" s="299"/>
      <c r="H652" s="631" t="s">
        <v>1488</v>
      </c>
      <c r="I652" s="301">
        <v>21</v>
      </c>
      <c r="J652" s="300" t="s">
        <v>309</v>
      </c>
      <c r="K652" s="302">
        <v>11.22</v>
      </c>
      <c r="L652" s="302">
        <v>7.56</v>
      </c>
      <c r="M652" s="232">
        <f t="shared" si="457"/>
        <v>0</v>
      </c>
      <c r="N652" s="232"/>
      <c r="O652" s="232">
        <f t="shared" si="458"/>
        <v>18.78</v>
      </c>
      <c r="P652" s="233">
        <f t="shared" si="460"/>
        <v>394</v>
      </c>
      <c r="Q652" s="298" t="str">
        <f t="shared" si="461"/>
        <v>manual</v>
      </c>
      <c r="S652" s="143">
        <f t="shared" si="462"/>
        <v>0</v>
      </c>
      <c r="X652" s="143">
        <f t="shared" si="463"/>
        <v>0</v>
      </c>
      <c r="Z652" s="143"/>
      <c r="AA652" s="143"/>
      <c r="AB652" s="143"/>
    </row>
    <row r="653" spans="4:28" x14ac:dyDescent="0.2">
      <c r="D653" s="228"/>
      <c r="E653" s="228"/>
      <c r="F653" s="303"/>
      <c r="G653" s="299"/>
      <c r="H653" s="631" t="s">
        <v>382</v>
      </c>
      <c r="I653" s="301">
        <v>63</v>
      </c>
      <c r="J653" s="300" t="s">
        <v>309</v>
      </c>
      <c r="K653" s="302">
        <v>18.86</v>
      </c>
      <c r="L653" s="302">
        <v>10.95</v>
      </c>
      <c r="M653" s="232">
        <f t="shared" si="457"/>
        <v>0</v>
      </c>
      <c r="N653" s="232"/>
      <c r="O653" s="232">
        <f t="shared" si="458"/>
        <v>29.81</v>
      </c>
      <c r="P653" s="233">
        <f t="shared" si="460"/>
        <v>1878</v>
      </c>
      <c r="Q653" s="298" t="str">
        <f t="shared" si="461"/>
        <v>manual</v>
      </c>
      <c r="S653" s="143">
        <f t="shared" si="462"/>
        <v>0</v>
      </c>
      <c r="X653" s="143">
        <f t="shared" si="463"/>
        <v>0</v>
      </c>
      <c r="Z653" s="143"/>
      <c r="AA653" s="143"/>
      <c r="AB653" s="143"/>
    </row>
    <row r="654" spans="4:28" x14ac:dyDescent="0.2">
      <c r="D654" s="228"/>
      <c r="E654" s="228"/>
      <c r="F654" s="303"/>
      <c r="G654" s="299"/>
      <c r="H654" s="631" t="s">
        <v>1805</v>
      </c>
      <c r="I654" s="301">
        <v>63</v>
      </c>
      <c r="J654" s="300" t="s">
        <v>309</v>
      </c>
      <c r="K654" s="302">
        <v>30.98</v>
      </c>
      <c r="L654" s="302">
        <v>21.37</v>
      </c>
      <c r="M654" s="232">
        <f t="shared" si="457"/>
        <v>0</v>
      </c>
      <c r="N654" s="232"/>
      <c r="O654" s="232">
        <f t="shared" si="458"/>
        <v>52.35</v>
      </c>
      <c r="P654" s="233">
        <f t="shared" si="460"/>
        <v>3298</v>
      </c>
      <c r="Q654" s="298" t="str">
        <f t="shared" si="461"/>
        <v>manual</v>
      </c>
      <c r="S654" s="143">
        <f t="shared" si="462"/>
        <v>0</v>
      </c>
      <c r="X654" s="143">
        <f t="shared" si="463"/>
        <v>0</v>
      </c>
      <c r="Z654" s="143"/>
      <c r="AA654" s="143"/>
      <c r="AB654" s="143"/>
    </row>
    <row r="655" spans="4:28" x14ac:dyDescent="0.2">
      <c r="D655" s="228"/>
      <c r="E655" s="228"/>
      <c r="F655" s="303"/>
      <c r="G655" s="303"/>
      <c r="H655" s="303"/>
      <c r="I655" s="304"/>
      <c r="J655" s="305"/>
      <c r="K655" s="306">
        <f>R655*tax*markup*IF(Y655&lt;&gt;"",VLOOKUP(LEFT(Y655,2),cityindex,2,0),1)</f>
        <v>0</v>
      </c>
      <c r="L655" s="306">
        <f>S655*markup*difficulty*IF(Y655&lt;&gt;"",VLOOKUP(LEFT(Y655,2),cityindex,3,0),1)</f>
        <v>0</v>
      </c>
      <c r="M655" s="232">
        <f t="shared" si="457"/>
        <v>0</v>
      </c>
      <c r="N655" s="232"/>
      <c r="O655" s="232">
        <f t="shared" si="458"/>
        <v>0</v>
      </c>
      <c r="P655" s="233">
        <f t="shared" si="460"/>
        <v>0</v>
      </c>
      <c r="Q655" s="298">
        <f t="shared" si="461"/>
        <v>0</v>
      </c>
      <c r="S655" s="143">
        <f t="shared" si="462"/>
        <v>0</v>
      </c>
      <c r="X655" s="143">
        <f t="shared" si="463"/>
        <v>0</v>
      </c>
      <c r="Z655" s="143"/>
      <c r="AA655" s="143"/>
      <c r="AB655" s="143"/>
    </row>
    <row r="656" spans="4:28" x14ac:dyDescent="0.2">
      <c r="D656" s="228"/>
      <c r="E656" s="228"/>
      <c r="F656" s="299" t="s">
        <v>1806</v>
      </c>
      <c r="G656" s="299"/>
      <c r="H656" s="299"/>
      <c r="I656" s="630"/>
      <c r="J656" s="300"/>
      <c r="K656" s="629"/>
      <c r="L656" s="629"/>
      <c r="M656" s="232">
        <f t="shared" si="457"/>
        <v>0</v>
      </c>
      <c r="N656" s="232"/>
      <c r="O656" s="232">
        <f t="shared" si="458"/>
        <v>0</v>
      </c>
      <c r="P656" s="233">
        <f t="shared" si="460"/>
        <v>0</v>
      </c>
      <c r="Q656" s="298">
        <f t="shared" si="461"/>
        <v>0</v>
      </c>
      <c r="S656" s="143">
        <f t="shared" si="462"/>
        <v>0</v>
      </c>
      <c r="X656" s="143">
        <f t="shared" si="463"/>
        <v>0</v>
      </c>
      <c r="Z656" s="143"/>
      <c r="AA656" s="143"/>
      <c r="AB656" s="143"/>
    </row>
    <row r="657" spans="4:28" x14ac:dyDescent="0.2">
      <c r="D657" s="228"/>
      <c r="E657" s="228"/>
      <c r="F657" s="299"/>
      <c r="G657" s="299" t="s">
        <v>1807</v>
      </c>
      <c r="H657" s="299"/>
      <c r="I657" s="301">
        <v>1</v>
      </c>
      <c r="J657" s="300" t="s">
        <v>390</v>
      </c>
      <c r="K657" s="302">
        <v>43091.348124999997</v>
      </c>
      <c r="L657" s="302">
        <v>4300.3410842699996</v>
      </c>
      <c r="M657" s="232">
        <f t="shared" si="457"/>
        <v>0</v>
      </c>
      <c r="N657" s="232">
        <v>25000</v>
      </c>
      <c r="O657" s="232">
        <f t="shared" si="458"/>
        <v>72391.68920927</v>
      </c>
      <c r="P657" s="233">
        <f t="shared" si="460"/>
        <v>72392</v>
      </c>
      <c r="Q657" s="298" t="str">
        <f t="shared" si="461"/>
        <v>manual</v>
      </c>
      <c r="S657" s="143">
        <f t="shared" si="462"/>
        <v>0</v>
      </c>
      <c r="X657" s="143">
        <f t="shared" si="463"/>
        <v>0</v>
      </c>
      <c r="Z657" s="143"/>
      <c r="AA657" s="143"/>
      <c r="AB657" s="236" t="s">
        <v>1862</v>
      </c>
    </row>
    <row r="658" spans="4:28" x14ac:dyDescent="0.2">
      <c r="D658" s="228"/>
      <c r="E658" s="228"/>
      <c r="F658" s="299"/>
      <c r="G658" s="299" t="s">
        <v>1808</v>
      </c>
      <c r="H658" s="299"/>
      <c r="I658" s="301"/>
      <c r="J658" s="300"/>
      <c r="K658" s="302"/>
      <c r="L658" s="302"/>
      <c r="M658" s="232"/>
      <c r="N658" s="232"/>
      <c r="O658" s="232">
        <f t="shared" si="458"/>
        <v>0</v>
      </c>
      <c r="P658" s="233">
        <f t="shared" si="460"/>
        <v>0</v>
      </c>
      <c r="Q658" s="298">
        <f t="shared" si="461"/>
        <v>0</v>
      </c>
      <c r="S658" s="143">
        <f t="shared" si="462"/>
        <v>0</v>
      </c>
      <c r="X658" s="143">
        <f t="shared" si="463"/>
        <v>0</v>
      </c>
      <c r="Z658" s="143"/>
      <c r="AA658" s="143"/>
      <c r="AB658" s="143"/>
    </row>
    <row r="659" spans="4:28" x14ac:dyDescent="0.2">
      <c r="D659" s="228"/>
      <c r="E659" s="228"/>
      <c r="F659" s="299"/>
      <c r="G659" s="299"/>
      <c r="H659" s="299" t="s">
        <v>1809</v>
      </c>
      <c r="I659" s="301">
        <v>1</v>
      </c>
      <c r="J659" s="300" t="s">
        <v>390</v>
      </c>
      <c r="K659" s="302">
        <v>1089.27</v>
      </c>
      <c r="L659" s="302">
        <v>642.9</v>
      </c>
      <c r="M659" s="232">
        <f>W659*markup*difficulty*IF(Y659&lt;&gt;"",VLOOKUP(LEFT(Y659,2),cityindex,3,0),1)</f>
        <v>0</v>
      </c>
      <c r="N659" s="232"/>
      <c r="O659" s="232">
        <f t="shared" si="458"/>
        <v>1732.17</v>
      </c>
      <c r="P659" s="233">
        <f t="shared" si="460"/>
        <v>1732</v>
      </c>
      <c r="Q659" s="298" t="str">
        <f t="shared" si="461"/>
        <v>manual</v>
      </c>
      <c r="S659" s="143">
        <f t="shared" si="462"/>
        <v>0</v>
      </c>
      <c r="X659" s="143">
        <f t="shared" si="463"/>
        <v>0</v>
      </c>
      <c r="Z659" s="143"/>
      <c r="AA659" s="143"/>
      <c r="AB659" s="143"/>
    </row>
    <row r="660" spans="4:28" x14ac:dyDescent="0.2">
      <c r="D660" s="228"/>
      <c r="E660" s="228"/>
      <c r="F660" s="299"/>
      <c r="G660" s="299"/>
      <c r="H660" s="299" t="s">
        <v>1810</v>
      </c>
      <c r="I660" s="301">
        <v>1</v>
      </c>
      <c r="J660" s="300" t="s">
        <v>390</v>
      </c>
      <c r="K660" s="302">
        <v>2809.38</v>
      </c>
      <c r="L660" s="302">
        <v>1118.0899999999999</v>
      </c>
      <c r="M660" s="232">
        <f>W660*markup*difficulty*IF(Y660&lt;&gt;"",VLOOKUP(LEFT(Y660,2),cityindex,3,0),1)</f>
        <v>0</v>
      </c>
      <c r="N660" s="232"/>
      <c r="O660" s="232">
        <f t="shared" si="458"/>
        <v>3927.4700000000003</v>
      </c>
      <c r="P660" s="233">
        <f t="shared" si="460"/>
        <v>3927</v>
      </c>
      <c r="Q660" s="298" t="str">
        <f t="shared" si="461"/>
        <v>manual</v>
      </c>
      <c r="S660" s="143">
        <f t="shared" si="462"/>
        <v>0</v>
      </c>
      <c r="X660" s="143">
        <f t="shared" si="463"/>
        <v>0</v>
      </c>
      <c r="Z660" s="143"/>
      <c r="AA660" s="143"/>
      <c r="AB660" s="143"/>
    </row>
    <row r="661" spans="4:28" x14ac:dyDescent="0.2">
      <c r="D661" s="228"/>
      <c r="E661" s="228"/>
      <c r="F661" s="299"/>
      <c r="G661" s="299" t="s">
        <v>1811</v>
      </c>
      <c r="H661" s="299"/>
      <c r="I661" s="301">
        <v>1</v>
      </c>
      <c r="J661" s="300" t="s">
        <v>390</v>
      </c>
      <c r="K661" s="302">
        <v>9149.83</v>
      </c>
      <c r="L661" s="302">
        <v>2142.9899999999998</v>
      </c>
      <c r="M661" s="232">
        <f>W661*markup*difficulty*IF(Y661&lt;&gt;"",VLOOKUP(LEFT(Y661,2),cityindex,3,0),1)</f>
        <v>0</v>
      </c>
      <c r="N661" s="232"/>
      <c r="O661" s="232">
        <f t="shared" si="458"/>
        <v>11292.82</v>
      </c>
      <c r="P661" s="233">
        <f t="shared" si="460"/>
        <v>11293</v>
      </c>
      <c r="Q661" s="298" t="str">
        <f t="shared" si="461"/>
        <v>manual</v>
      </c>
      <c r="S661" s="143">
        <f t="shared" si="462"/>
        <v>0</v>
      </c>
      <c r="X661" s="143">
        <f t="shared" si="463"/>
        <v>0</v>
      </c>
      <c r="Z661" s="143"/>
      <c r="AA661" s="143"/>
      <c r="AB661" s="143"/>
    </row>
    <row r="662" spans="4:28" x14ac:dyDescent="0.2">
      <c r="D662" s="228"/>
      <c r="E662" s="228"/>
      <c r="F662" s="299"/>
      <c r="G662" s="299" t="s">
        <v>1812</v>
      </c>
      <c r="H662" s="299"/>
      <c r="I662" s="301">
        <v>1</v>
      </c>
      <c r="J662" s="300" t="s">
        <v>390</v>
      </c>
      <c r="K662" s="302">
        <v>6217.47</v>
      </c>
      <c r="L662" s="302">
        <v>993.87</v>
      </c>
      <c r="M662" s="232">
        <f>W662*markup*difficulty*IF(Y662&lt;&gt;"",VLOOKUP(LEFT(Y662,2),cityindex,3,0),1)</f>
        <v>0</v>
      </c>
      <c r="N662" s="232"/>
      <c r="O662" s="232">
        <f t="shared" si="458"/>
        <v>7211.34</v>
      </c>
      <c r="P662" s="233">
        <f t="shared" si="460"/>
        <v>7211</v>
      </c>
      <c r="Q662" s="298" t="str">
        <f t="shared" si="461"/>
        <v>manual</v>
      </c>
      <c r="S662" s="143">
        <f t="shared" si="462"/>
        <v>0</v>
      </c>
      <c r="X662" s="143">
        <f t="shared" si="463"/>
        <v>0</v>
      </c>
      <c r="Z662" s="143"/>
      <c r="AA662" s="143"/>
      <c r="AB662" s="143"/>
    </row>
    <row r="663" spans="4:28" x14ac:dyDescent="0.2">
      <c r="D663" s="228"/>
      <c r="E663" s="228"/>
      <c r="F663" s="303"/>
      <c r="G663" s="303" t="s">
        <v>1813</v>
      </c>
      <c r="H663" s="303"/>
      <c r="I663" s="301">
        <v>1</v>
      </c>
      <c r="J663" s="300" t="s">
        <v>390</v>
      </c>
      <c r="K663" s="302"/>
      <c r="L663" s="302"/>
      <c r="M663" s="232"/>
      <c r="N663" s="232">
        <v>3500</v>
      </c>
      <c r="O663" s="232">
        <f t="shared" si="458"/>
        <v>3500</v>
      </c>
      <c r="P663" s="233">
        <f t="shared" si="460"/>
        <v>3500</v>
      </c>
      <c r="Q663" s="298" t="str">
        <f t="shared" si="461"/>
        <v>manual</v>
      </c>
      <c r="S663" s="143">
        <f t="shared" si="462"/>
        <v>0</v>
      </c>
      <c r="X663" s="143">
        <f t="shared" si="463"/>
        <v>0</v>
      </c>
      <c r="Z663" s="143"/>
      <c r="AA663" s="143"/>
      <c r="AB663" s="143"/>
    </row>
    <row r="664" spans="4:28" x14ac:dyDescent="0.2">
      <c r="D664" s="228"/>
      <c r="E664" s="228"/>
      <c r="F664" s="299"/>
      <c r="G664" s="299" t="s">
        <v>1814</v>
      </c>
      <c r="H664" s="299"/>
      <c r="I664" s="301">
        <v>1</v>
      </c>
      <c r="J664" s="300" t="s">
        <v>390</v>
      </c>
      <c r="K664" s="302">
        <v>3416.53</v>
      </c>
      <c r="L664" s="302">
        <v>344.04</v>
      </c>
      <c r="M664" s="232">
        <f t="shared" ref="M664:M674" si="464">W664*markup*difficulty*IF(Y664&lt;&gt;"",VLOOKUP(LEFT(Y664,2),cityindex,3,0),1)</f>
        <v>0</v>
      </c>
      <c r="N664" s="232"/>
      <c r="O664" s="232">
        <f t="shared" si="458"/>
        <v>3760.57</v>
      </c>
      <c r="P664" s="233">
        <f t="shared" si="460"/>
        <v>3761</v>
      </c>
      <c r="Q664" s="298" t="str">
        <f t="shared" si="461"/>
        <v>manual</v>
      </c>
      <c r="S664" s="143">
        <f t="shared" si="462"/>
        <v>0</v>
      </c>
      <c r="X664" s="143">
        <f t="shared" si="463"/>
        <v>0</v>
      </c>
      <c r="Z664" s="143"/>
      <c r="AA664" s="143"/>
      <c r="AB664" s="143"/>
    </row>
    <row r="665" spans="4:28" x14ac:dyDescent="0.2">
      <c r="D665" s="228"/>
      <c r="E665" s="228"/>
      <c r="F665" s="303"/>
      <c r="G665" s="299" t="s">
        <v>1072</v>
      </c>
      <c r="H665" s="299"/>
      <c r="I665" s="630"/>
      <c r="J665" s="300"/>
      <c r="K665" s="629"/>
      <c r="L665" s="629"/>
      <c r="M665" s="232">
        <f t="shared" si="464"/>
        <v>0</v>
      </c>
      <c r="N665" s="232"/>
      <c r="O665" s="232">
        <f t="shared" si="458"/>
        <v>0</v>
      </c>
      <c r="P665" s="233">
        <f t="shared" si="460"/>
        <v>0</v>
      </c>
      <c r="Q665" s="298">
        <f t="shared" si="461"/>
        <v>0</v>
      </c>
      <c r="S665" s="143">
        <f t="shared" si="462"/>
        <v>0</v>
      </c>
      <c r="X665" s="143">
        <f t="shared" si="463"/>
        <v>0</v>
      </c>
      <c r="Z665" s="143"/>
      <c r="AA665" s="143"/>
      <c r="AB665" s="143"/>
    </row>
    <row r="666" spans="4:28" x14ac:dyDescent="0.2">
      <c r="D666" s="228"/>
      <c r="E666" s="228"/>
      <c r="F666" s="303"/>
      <c r="G666" s="299"/>
      <c r="H666" s="299" t="s">
        <v>1797</v>
      </c>
      <c r="I666" s="630"/>
      <c r="J666" s="300"/>
      <c r="K666" s="629"/>
      <c r="L666" s="629"/>
      <c r="M666" s="232">
        <f t="shared" si="464"/>
        <v>0</v>
      </c>
      <c r="N666" s="232"/>
      <c r="O666" s="232">
        <f t="shared" si="458"/>
        <v>0</v>
      </c>
      <c r="P666" s="233">
        <f t="shared" si="460"/>
        <v>0</v>
      </c>
      <c r="Q666" s="298">
        <f t="shared" si="461"/>
        <v>0</v>
      </c>
      <c r="S666" s="143">
        <f t="shared" si="462"/>
        <v>0</v>
      </c>
      <c r="X666" s="143">
        <f t="shared" si="463"/>
        <v>0</v>
      </c>
      <c r="Z666" s="143"/>
      <c r="AA666" s="143"/>
      <c r="AB666" s="143"/>
    </row>
    <row r="667" spans="4:28" x14ac:dyDescent="0.2">
      <c r="D667" s="228"/>
      <c r="E667" s="228"/>
      <c r="F667" s="303"/>
      <c r="G667" s="299"/>
      <c r="H667" s="631" t="s">
        <v>1798</v>
      </c>
      <c r="I667" s="301">
        <v>95</v>
      </c>
      <c r="J667" s="300" t="s">
        <v>309</v>
      </c>
      <c r="K667" s="302">
        <v>0.49</v>
      </c>
      <c r="L667" s="302">
        <v>0.45</v>
      </c>
      <c r="M667" s="232">
        <f t="shared" si="464"/>
        <v>0</v>
      </c>
      <c r="N667" s="232"/>
      <c r="O667" s="232">
        <f t="shared" si="458"/>
        <v>0.94</v>
      </c>
      <c r="P667" s="233">
        <f t="shared" si="460"/>
        <v>89</v>
      </c>
      <c r="Q667" s="298" t="str">
        <f t="shared" si="461"/>
        <v>manual</v>
      </c>
      <c r="S667" s="143">
        <f t="shared" si="462"/>
        <v>0</v>
      </c>
      <c r="X667" s="143">
        <f t="shared" si="463"/>
        <v>0</v>
      </c>
      <c r="Z667" s="143"/>
      <c r="AA667" s="143"/>
      <c r="AB667" s="143"/>
    </row>
    <row r="668" spans="4:28" x14ac:dyDescent="0.2">
      <c r="D668" s="228"/>
      <c r="E668" s="228"/>
      <c r="F668" s="303"/>
      <c r="G668" s="299"/>
      <c r="H668" s="631" t="s">
        <v>1799</v>
      </c>
      <c r="I668" s="301">
        <f>460*1.05</f>
        <v>483</v>
      </c>
      <c r="J668" s="300" t="s">
        <v>309</v>
      </c>
      <c r="K668" s="302">
        <v>1.32</v>
      </c>
      <c r="L668" s="302">
        <v>0.69</v>
      </c>
      <c r="M668" s="232">
        <f t="shared" si="464"/>
        <v>0</v>
      </c>
      <c r="N668" s="232"/>
      <c r="O668" s="232">
        <f t="shared" si="458"/>
        <v>2.0099999999999998</v>
      </c>
      <c r="P668" s="233">
        <f t="shared" si="460"/>
        <v>971</v>
      </c>
      <c r="Q668" s="298" t="str">
        <f t="shared" si="461"/>
        <v>manual</v>
      </c>
      <c r="S668" s="143">
        <f t="shared" si="462"/>
        <v>0</v>
      </c>
      <c r="X668" s="143">
        <f t="shared" si="463"/>
        <v>0</v>
      </c>
      <c r="Z668" s="143"/>
      <c r="AA668" s="143"/>
      <c r="AB668" s="143"/>
    </row>
    <row r="669" spans="4:28" x14ac:dyDescent="0.2">
      <c r="D669" s="228"/>
      <c r="E669" s="228"/>
      <c r="F669" s="303"/>
      <c r="G669" s="299"/>
      <c r="H669" s="631" t="s">
        <v>1800</v>
      </c>
      <c r="I669" s="301">
        <v>168</v>
      </c>
      <c r="J669" s="300" t="s">
        <v>309</v>
      </c>
      <c r="K669" s="302">
        <v>2.5499999999999998</v>
      </c>
      <c r="L669" s="302">
        <v>0.89</v>
      </c>
      <c r="M669" s="232">
        <f t="shared" si="464"/>
        <v>0</v>
      </c>
      <c r="N669" s="232"/>
      <c r="O669" s="232">
        <f t="shared" si="458"/>
        <v>3.44</v>
      </c>
      <c r="P669" s="233">
        <f t="shared" si="460"/>
        <v>578</v>
      </c>
      <c r="Q669" s="298" t="str">
        <f t="shared" si="461"/>
        <v>manual</v>
      </c>
      <c r="S669" s="143">
        <f t="shared" si="462"/>
        <v>0</v>
      </c>
      <c r="X669" s="143">
        <f t="shared" si="463"/>
        <v>0</v>
      </c>
      <c r="Z669" s="143"/>
      <c r="AA669" s="143"/>
      <c r="AB669" s="143"/>
    </row>
    <row r="670" spans="4:28" x14ac:dyDescent="0.2">
      <c r="D670" s="228"/>
      <c r="E670" s="228"/>
      <c r="F670" s="303"/>
      <c r="G670" s="299"/>
      <c r="H670" s="631" t="s">
        <v>1815</v>
      </c>
      <c r="I670" s="301">
        <v>126</v>
      </c>
      <c r="J670" s="300" t="s">
        <v>309</v>
      </c>
      <c r="K670" s="302">
        <v>3.22</v>
      </c>
      <c r="L670" s="302">
        <v>0.99</v>
      </c>
      <c r="M670" s="232">
        <f t="shared" si="464"/>
        <v>0</v>
      </c>
      <c r="N670" s="232"/>
      <c r="O670" s="232">
        <f t="shared" si="458"/>
        <v>4.21</v>
      </c>
      <c r="P670" s="233">
        <f t="shared" ref="P670:P686" si="465">ROUND((O670*I670),0)</f>
        <v>530</v>
      </c>
      <c r="Q670" s="298" t="str">
        <f t="shared" ref="Q670:Q686" si="466">IF(O670=0,0,IF(X670=0,"manual",(O670/(R670*tax*markup*IF(Y670&lt;&gt;"",VLOOKUP(LEFT(Y670,2),cityindex,2,0),1)+S670*markup*difficulty*IF(Y670&lt;&gt;"",VLOOKUP(LEFT(Y670,2),cityindex,3,0),1)+W670*markup*difficulty*IF(Y670&lt;&gt;"",VLOOKUP(LEFT(Y670,2),cityindex,3,0),1)))-1))</f>
        <v>manual</v>
      </c>
      <c r="S670" s="143">
        <f t="shared" ref="S670:S686" si="467">U670*V670</f>
        <v>0</v>
      </c>
      <c r="X670" s="143">
        <f t="shared" ref="X670:X686" si="468">SUM(R670,S670,W670)</f>
        <v>0</v>
      </c>
      <c r="Z670" s="143"/>
      <c r="AA670" s="143"/>
      <c r="AB670" s="143"/>
    </row>
    <row r="671" spans="4:28" x14ac:dyDescent="0.2">
      <c r="D671" s="228"/>
      <c r="E671" s="228"/>
      <c r="F671" s="303"/>
      <c r="G671" s="299"/>
      <c r="H671" s="631" t="s">
        <v>1803</v>
      </c>
      <c r="I671" s="301">
        <v>672</v>
      </c>
      <c r="J671" s="300" t="s">
        <v>309</v>
      </c>
      <c r="K671" s="302">
        <v>18.350000000000001</v>
      </c>
      <c r="L671" s="302">
        <v>2.8</v>
      </c>
      <c r="M671" s="232">
        <f t="shared" si="464"/>
        <v>0</v>
      </c>
      <c r="N671" s="232"/>
      <c r="O671" s="232">
        <f t="shared" si="458"/>
        <v>21.150000000000002</v>
      </c>
      <c r="P671" s="233">
        <f t="shared" si="465"/>
        <v>14213</v>
      </c>
      <c r="Q671" s="298" t="str">
        <f t="shared" si="466"/>
        <v>manual</v>
      </c>
      <c r="S671" s="143">
        <f t="shared" si="467"/>
        <v>0</v>
      </c>
      <c r="X671" s="143">
        <f t="shared" si="468"/>
        <v>0</v>
      </c>
      <c r="Z671" s="143"/>
      <c r="AA671" s="143"/>
      <c r="AB671" s="143"/>
    </row>
    <row r="672" spans="4:28" x14ac:dyDescent="0.2">
      <c r="D672" s="228"/>
      <c r="E672" s="228"/>
      <c r="F672" s="303"/>
      <c r="G672" s="299"/>
      <c r="H672" s="299" t="s">
        <v>1804</v>
      </c>
      <c r="I672" s="630"/>
      <c r="J672" s="300"/>
      <c r="K672" s="629"/>
      <c r="L672" s="629"/>
      <c r="M672" s="232">
        <f t="shared" si="464"/>
        <v>0</v>
      </c>
      <c r="N672" s="232"/>
      <c r="O672" s="232">
        <f t="shared" si="458"/>
        <v>0</v>
      </c>
      <c r="P672" s="233">
        <f t="shared" si="465"/>
        <v>0</v>
      </c>
      <c r="Q672" s="298">
        <f t="shared" si="466"/>
        <v>0</v>
      </c>
      <c r="S672" s="143">
        <f t="shared" si="467"/>
        <v>0</v>
      </c>
      <c r="X672" s="143">
        <f t="shared" si="468"/>
        <v>0</v>
      </c>
      <c r="Z672" s="143"/>
      <c r="AA672" s="143"/>
      <c r="AB672" s="143"/>
    </row>
    <row r="673" spans="4:28" x14ac:dyDescent="0.2">
      <c r="D673" s="228"/>
      <c r="E673" s="228"/>
      <c r="F673" s="303"/>
      <c r="G673" s="299"/>
      <c r="H673" s="631" t="s">
        <v>1488</v>
      </c>
      <c r="I673" s="301">
        <v>95</v>
      </c>
      <c r="J673" s="300" t="s">
        <v>309</v>
      </c>
      <c r="K673" s="302">
        <v>11.22</v>
      </c>
      <c r="L673" s="302">
        <v>7.56</v>
      </c>
      <c r="M673" s="232">
        <f t="shared" si="464"/>
        <v>0</v>
      </c>
      <c r="N673" s="232"/>
      <c r="O673" s="232">
        <f t="shared" si="458"/>
        <v>18.78</v>
      </c>
      <c r="P673" s="233">
        <f t="shared" si="465"/>
        <v>1784</v>
      </c>
      <c r="Q673" s="298" t="str">
        <f t="shared" si="466"/>
        <v>manual</v>
      </c>
      <c r="S673" s="143">
        <f t="shared" si="467"/>
        <v>0</v>
      </c>
      <c r="X673" s="143">
        <f t="shared" si="468"/>
        <v>0</v>
      </c>
      <c r="Z673" s="143"/>
      <c r="AA673" s="143"/>
      <c r="AB673" s="143"/>
    </row>
    <row r="674" spans="4:28" x14ac:dyDescent="0.2">
      <c r="D674" s="228"/>
      <c r="E674" s="228"/>
      <c r="F674" s="303"/>
      <c r="G674" s="299"/>
      <c r="H674" s="631" t="s">
        <v>1489</v>
      </c>
      <c r="I674" s="301">
        <f>100*1.05</f>
        <v>105</v>
      </c>
      <c r="J674" s="300" t="s">
        <v>309</v>
      </c>
      <c r="K674" s="302">
        <v>12.87</v>
      </c>
      <c r="L674" s="302">
        <v>8.18</v>
      </c>
      <c r="M674" s="232">
        <f t="shared" si="464"/>
        <v>0</v>
      </c>
      <c r="N674" s="232"/>
      <c r="O674" s="232">
        <f t="shared" si="458"/>
        <v>21.049999999999997</v>
      </c>
      <c r="P674" s="233">
        <f t="shared" si="465"/>
        <v>2210</v>
      </c>
      <c r="Q674" s="298" t="str">
        <f t="shared" si="466"/>
        <v>manual</v>
      </c>
      <c r="S674" s="143">
        <f t="shared" si="467"/>
        <v>0</v>
      </c>
      <c r="X674" s="143">
        <f t="shared" si="468"/>
        <v>0</v>
      </c>
      <c r="Z674" s="143"/>
      <c r="AA674" s="143"/>
      <c r="AB674" s="143"/>
    </row>
    <row r="675" spans="4:28" x14ac:dyDescent="0.2">
      <c r="D675" s="228"/>
      <c r="E675" s="228"/>
      <c r="F675" s="228"/>
      <c r="G675" s="299"/>
      <c r="H675" s="631" t="s">
        <v>1805</v>
      </c>
      <c r="I675" s="301">
        <v>168</v>
      </c>
      <c r="J675" s="300" t="s">
        <v>309</v>
      </c>
      <c r="K675" s="302">
        <v>30.98</v>
      </c>
      <c r="L675" s="302">
        <v>21.37</v>
      </c>
      <c r="M675" s="232"/>
      <c r="N675" s="232"/>
      <c r="O675" s="232">
        <f t="shared" si="458"/>
        <v>52.35</v>
      </c>
      <c r="P675" s="233">
        <f t="shared" si="465"/>
        <v>8795</v>
      </c>
      <c r="Q675" s="298" t="str">
        <f t="shared" si="466"/>
        <v>manual</v>
      </c>
      <c r="S675" s="143">
        <f t="shared" si="467"/>
        <v>0</v>
      </c>
      <c r="X675" s="143">
        <f t="shared" si="468"/>
        <v>0</v>
      </c>
      <c r="Z675" s="143"/>
      <c r="AA675" s="143"/>
      <c r="AB675" s="143"/>
    </row>
    <row r="676" spans="4:28" x14ac:dyDescent="0.2">
      <c r="D676" s="228"/>
      <c r="E676" s="228"/>
      <c r="F676" s="228"/>
      <c r="G676" s="228"/>
      <c r="H676" s="228"/>
      <c r="I676" s="230"/>
      <c r="J676" s="231"/>
      <c r="K676" s="232">
        <f>R676*tax*markup*IF(Y676&lt;&gt;"",VLOOKUP(LEFT(Y676,2),cityindex,2,0),1)</f>
        <v>0</v>
      </c>
      <c r="L676" s="232">
        <f>S676*markup*difficulty*IF(Y676&lt;&gt;"",VLOOKUP(LEFT(Y676,2),cityindex,3,0),1)</f>
        <v>0</v>
      </c>
      <c r="M676" s="232">
        <f>W676*markup*difficulty*IF(Y676&lt;&gt;"",VLOOKUP(LEFT(Y676,2),cityindex,3,0),1)</f>
        <v>0</v>
      </c>
      <c r="N676" s="232"/>
      <c r="O676" s="232">
        <f t="shared" si="458"/>
        <v>0</v>
      </c>
      <c r="P676" s="233">
        <f t="shared" si="465"/>
        <v>0</v>
      </c>
      <c r="Q676" s="298">
        <f t="shared" si="466"/>
        <v>0</v>
      </c>
      <c r="S676" s="143">
        <f t="shared" si="467"/>
        <v>0</v>
      </c>
      <c r="X676" s="143">
        <f t="shared" si="468"/>
        <v>0</v>
      </c>
      <c r="Z676" s="143"/>
      <c r="AA676" s="143"/>
      <c r="AB676" s="143"/>
    </row>
    <row r="677" spans="4:28" x14ac:dyDescent="0.2">
      <c r="D677" s="228"/>
      <c r="E677" s="228"/>
      <c r="F677" s="228" t="s">
        <v>1073</v>
      </c>
      <c r="G677" s="228"/>
      <c r="H677" s="228"/>
      <c r="I677" s="230">
        <v>1</v>
      </c>
      <c r="J677" s="231" t="s">
        <v>390</v>
      </c>
      <c r="K677" s="232"/>
      <c r="L677" s="232"/>
      <c r="M677" s="232"/>
      <c r="N677" s="232">
        <v>8031</v>
      </c>
      <c r="O677" s="232">
        <f t="shared" ref="O677:O712" si="469">SUM(K677:N677)*embed</f>
        <v>8031</v>
      </c>
      <c r="P677" s="233">
        <f t="shared" si="465"/>
        <v>8031</v>
      </c>
      <c r="Q677" s="298" t="str">
        <f t="shared" si="466"/>
        <v>manual</v>
      </c>
      <c r="S677" s="143">
        <f t="shared" si="467"/>
        <v>0</v>
      </c>
      <c r="X677" s="143">
        <f t="shared" si="468"/>
        <v>0</v>
      </c>
      <c r="Z677" s="143"/>
      <c r="AA677" s="143"/>
      <c r="AB677" s="143"/>
    </row>
    <row r="678" spans="4:28" x14ac:dyDescent="0.2">
      <c r="D678" s="228"/>
      <c r="E678" s="228"/>
      <c r="F678" s="228"/>
      <c r="G678" s="228"/>
      <c r="H678" s="228"/>
      <c r="I678" s="230"/>
      <c r="J678" s="231"/>
      <c r="K678" s="232"/>
      <c r="L678" s="232"/>
      <c r="M678" s="232"/>
      <c r="N678" s="232"/>
      <c r="O678" s="232">
        <f t="shared" si="469"/>
        <v>0</v>
      </c>
      <c r="P678" s="233">
        <f t="shared" si="465"/>
        <v>0</v>
      </c>
      <c r="Q678" s="298">
        <f t="shared" si="466"/>
        <v>0</v>
      </c>
      <c r="S678" s="143">
        <f t="shared" si="467"/>
        <v>0</v>
      </c>
      <c r="X678" s="143">
        <f t="shared" si="468"/>
        <v>0</v>
      </c>
      <c r="Z678" s="143"/>
      <c r="AA678" s="143"/>
      <c r="AB678" s="143"/>
    </row>
    <row r="679" spans="4:28" x14ac:dyDescent="0.2">
      <c r="D679" s="228"/>
      <c r="E679" s="228" t="s">
        <v>1074</v>
      </c>
      <c r="F679" s="228"/>
      <c r="G679" s="228"/>
      <c r="H679" s="228"/>
      <c r="I679" s="230">
        <v>1</v>
      </c>
      <c r="J679" s="231" t="s">
        <v>992</v>
      </c>
      <c r="K679" s="232"/>
      <c r="L679" s="232"/>
      <c r="M679" s="232">
        <v>6850</v>
      </c>
      <c r="N679" s="232">
        <v>1440</v>
      </c>
      <c r="O679" s="232">
        <f t="shared" si="469"/>
        <v>8290</v>
      </c>
      <c r="P679" s="233">
        <f t="shared" si="465"/>
        <v>8290</v>
      </c>
      <c r="Q679" s="298" t="str">
        <f t="shared" si="466"/>
        <v>manual</v>
      </c>
      <c r="S679" s="143">
        <f t="shared" si="467"/>
        <v>0</v>
      </c>
      <c r="X679" s="143">
        <f t="shared" si="468"/>
        <v>0</v>
      </c>
      <c r="Z679" s="143"/>
      <c r="AA679" s="143"/>
      <c r="AB679" s="143"/>
    </row>
    <row r="680" spans="4:28" x14ac:dyDescent="0.2">
      <c r="D680" s="228"/>
      <c r="E680" s="228"/>
      <c r="F680" s="228"/>
      <c r="G680" s="228"/>
      <c r="H680" s="228"/>
      <c r="I680" s="230"/>
      <c r="J680" s="231"/>
      <c r="K680" s="232">
        <f>R680*tax*markup*IF(Y680&lt;&gt;"",VLOOKUP(LEFT(Y680,2),cityindex,2,0),1)</f>
        <v>0</v>
      </c>
      <c r="L680" s="232">
        <f>S680*markup*difficulty*IF(Y680&lt;&gt;"",VLOOKUP(LEFT(Y680,2),cityindex,3,0),1)</f>
        <v>0</v>
      </c>
      <c r="M680" s="232">
        <f>W680*markup*difficulty*IF(Y680&lt;&gt;"",VLOOKUP(LEFT(Y680,2),cityindex,3,0),1)</f>
        <v>0</v>
      </c>
      <c r="N680" s="232"/>
      <c r="O680" s="232">
        <f>SUM(K680:N680)*embed</f>
        <v>0</v>
      </c>
      <c r="P680" s="233">
        <f t="shared" si="465"/>
        <v>0</v>
      </c>
      <c r="Q680" s="298">
        <f t="shared" si="466"/>
        <v>0</v>
      </c>
      <c r="S680" s="143">
        <f t="shared" si="467"/>
        <v>0</v>
      </c>
      <c r="X680" s="143">
        <f t="shared" si="468"/>
        <v>0</v>
      </c>
      <c r="Z680" s="143"/>
      <c r="AA680" s="143"/>
      <c r="AB680" s="143"/>
    </row>
    <row r="681" spans="4:28" x14ac:dyDescent="0.2">
      <c r="D681" s="228"/>
      <c r="E681" s="228" t="s">
        <v>1075</v>
      </c>
      <c r="F681" s="228"/>
      <c r="G681" s="228"/>
      <c r="H681" s="228"/>
      <c r="I681" s="230">
        <f>GFA</f>
        <v>31474</v>
      </c>
      <c r="J681" s="231" t="s">
        <v>301</v>
      </c>
      <c r="K681" s="232"/>
      <c r="L681" s="232"/>
      <c r="M681" s="232"/>
      <c r="N681" s="232">
        <v>1.1000000000000001</v>
      </c>
      <c r="O681" s="232">
        <f t="shared" si="469"/>
        <v>1.1000000000000001</v>
      </c>
      <c r="P681" s="233">
        <f t="shared" si="465"/>
        <v>34621</v>
      </c>
      <c r="Q681" s="298" t="str">
        <f t="shared" si="466"/>
        <v>manual</v>
      </c>
      <c r="S681" s="143">
        <f t="shared" si="467"/>
        <v>0</v>
      </c>
      <c r="X681" s="143">
        <f t="shared" si="468"/>
        <v>0</v>
      </c>
      <c r="Z681" s="143"/>
      <c r="AA681" s="143"/>
      <c r="AB681" s="236" t="s">
        <v>1863</v>
      </c>
    </row>
    <row r="682" spans="4:28" x14ac:dyDescent="0.2">
      <c r="D682" s="228"/>
      <c r="E682" s="228"/>
      <c r="F682" s="228"/>
      <c r="G682" s="228"/>
      <c r="H682" s="228"/>
      <c r="I682" s="230"/>
      <c r="J682" s="231"/>
      <c r="K682" s="232">
        <f>R682*tax*markup*IF(Y682&lt;&gt;"",VLOOKUP(LEFT(Y682,2),cityindex,2,0),1)</f>
        <v>0</v>
      </c>
      <c r="L682" s="232">
        <f>S682*markup*difficulty*IF(Y682&lt;&gt;"",VLOOKUP(LEFT(Y682,2),cityindex,3,0),1)</f>
        <v>0</v>
      </c>
      <c r="M682" s="232">
        <f>W682*markup*difficulty*IF(Y682&lt;&gt;"",VLOOKUP(LEFT(Y682,2),cityindex,3,0),1)</f>
        <v>0</v>
      </c>
      <c r="N682" s="232"/>
      <c r="O682" s="232">
        <f>SUM(K682:N682)*embed</f>
        <v>0</v>
      </c>
      <c r="P682" s="233">
        <f t="shared" si="465"/>
        <v>0</v>
      </c>
      <c r="Q682" s="298">
        <f t="shared" si="466"/>
        <v>0</v>
      </c>
      <c r="S682" s="143">
        <f t="shared" si="467"/>
        <v>0</v>
      </c>
      <c r="X682" s="143">
        <f t="shared" si="468"/>
        <v>0</v>
      </c>
      <c r="Z682" s="143"/>
      <c r="AA682" s="143"/>
      <c r="AB682" s="143"/>
    </row>
    <row r="683" spans="4:28" x14ac:dyDescent="0.2">
      <c r="D683" s="228"/>
      <c r="E683" s="228" t="s">
        <v>1076</v>
      </c>
      <c r="F683" s="228"/>
      <c r="G683" s="228"/>
      <c r="H683" s="228"/>
      <c r="I683" s="230"/>
      <c r="J683" s="231"/>
      <c r="K683" s="232"/>
      <c r="L683" s="232"/>
      <c r="M683" s="232"/>
      <c r="N683" s="232"/>
      <c r="O683" s="232">
        <f t="shared" si="469"/>
        <v>0</v>
      </c>
      <c r="P683" s="233">
        <f t="shared" si="465"/>
        <v>0</v>
      </c>
      <c r="Q683" s="298">
        <f t="shared" si="466"/>
        <v>0</v>
      </c>
      <c r="S683" s="143">
        <f t="shared" si="467"/>
        <v>0</v>
      </c>
      <c r="X683" s="143">
        <f t="shared" si="468"/>
        <v>0</v>
      </c>
      <c r="Z683" s="143"/>
      <c r="AA683" s="143"/>
      <c r="AB683" s="143"/>
    </row>
    <row r="684" spans="4:28" x14ac:dyDescent="0.2">
      <c r="D684" s="228"/>
      <c r="E684" s="228"/>
      <c r="F684" s="228" t="s">
        <v>1077</v>
      </c>
      <c r="G684" s="228"/>
      <c r="H684" s="228"/>
      <c r="I684" s="230"/>
      <c r="J684" s="231"/>
      <c r="K684" s="232"/>
      <c r="L684" s="232"/>
      <c r="M684" s="232"/>
      <c r="N684" s="232"/>
      <c r="O684" s="232">
        <f t="shared" si="469"/>
        <v>0</v>
      </c>
      <c r="P684" s="233">
        <f t="shared" si="465"/>
        <v>0</v>
      </c>
      <c r="Q684" s="298">
        <f t="shared" si="466"/>
        <v>0</v>
      </c>
      <c r="S684" s="143">
        <f t="shared" si="467"/>
        <v>0</v>
      </c>
      <c r="X684" s="143">
        <f t="shared" si="468"/>
        <v>0</v>
      </c>
      <c r="Z684" s="143"/>
      <c r="AA684" s="143"/>
      <c r="AB684" s="143"/>
    </row>
    <row r="685" spans="4:28" x14ac:dyDescent="0.2">
      <c r="D685" s="228"/>
      <c r="E685" s="228"/>
      <c r="F685" s="299"/>
      <c r="G685" s="299" t="s">
        <v>1797</v>
      </c>
      <c r="H685" s="299"/>
      <c r="I685" s="630"/>
      <c r="J685" s="300"/>
      <c r="K685" s="629"/>
      <c r="L685" s="629"/>
      <c r="M685" s="232">
        <f t="shared" ref="M685:M692" si="470">W685*markup*difficulty*IF(Y685&lt;&gt;"",VLOOKUP(LEFT(Y685,2),cityindex,3,0),1)</f>
        <v>0</v>
      </c>
      <c r="N685" s="232"/>
      <c r="O685" s="232">
        <f t="shared" ref="O685:O692" si="471">SUM(K685:N685)*embed</f>
        <v>0</v>
      </c>
      <c r="P685" s="233">
        <f t="shared" si="465"/>
        <v>0</v>
      </c>
      <c r="Q685" s="298">
        <f t="shared" si="466"/>
        <v>0</v>
      </c>
      <c r="S685" s="143">
        <f t="shared" si="467"/>
        <v>0</v>
      </c>
      <c r="X685" s="143">
        <f t="shared" si="468"/>
        <v>0</v>
      </c>
      <c r="Z685" s="143"/>
      <c r="AA685" s="143"/>
      <c r="AB685" s="143"/>
    </row>
    <row r="686" spans="4:28" x14ac:dyDescent="0.2">
      <c r="D686" s="228"/>
      <c r="E686" s="228"/>
      <c r="F686" s="299"/>
      <c r="G686" s="631" t="s">
        <v>1816</v>
      </c>
      <c r="H686" s="631"/>
      <c r="I686" s="301">
        <f>42*3*75*1.05</f>
        <v>9922.5</v>
      </c>
      <c r="J686" s="300" t="s">
        <v>309</v>
      </c>
      <c r="K686" s="302">
        <v>0.31</v>
      </c>
      <c r="L686" s="302">
        <v>0.41</v>
      </c>
      <c r="M686" s="232">
        <f t="shared" si="470"/>
        <v>0</v>
      </c>
      <c r="N686" s="232"/>
      <c r="O686" s="232">
        <f t="shared" si="471"/>
        <v>0.72</v>
      </c>
      <c r="P686" s="233">
        <f t="shared" si="465"/>
        <v>7144</v>
      </c>
      <c r="Q686" s="298" t="str">
        <f t="shared" si="466"/>
        <v>manual</v>
      </c>
      <c r="S686" s="143">
        <f t="shared" si="467"/>
        <v>0</v>
      </c>
      <c r="X686" s="143">
        <f t="shared" si="468"/>
        <v>0</v>
      </c>
      <c r="Z686" s="143"/>
      <c r="AA686" s="143"/>
      <c r="AB686" s="143"/>
    </row>
    <row r="687" spans="4:28" x14ac:dyDescent="0.2">
      <c r="D687" s="228"/>
      <c r="E687" s="228"/>
      <c r="F687" s="299"/>
      <c r="G687" s="631" t="s">
        <v>1798</v>
      </c>
      <c r="H687" s="631"/>
      <c r="I687" s="301">
        <f>I686/3</f>
        <v>3307.5</v>
      </c>
      <c r="J687" s="300" t="s">
        <v>309</v>
      </c>
      <c r="K687" s="302">
        <v>0.49</v>
      </c>
      <c r="L687" s="302">
        <v>0.45</v>
      </c>
      <c r="M687" s="232">
        <f t="shared" si="470"/>
        <v>0</v>
      </c>
      <c r="N687" s="232"/>
      <c r="O687" s="232">
        <f t="shared" si="471"/>
        <v>0.94</v>
      </c>
      <c r="P687" s="233">
        <f t="shared" si="454"/>
        <v>3109</v>
      </c>
      <c r="Q687" s="298" t="str">
        <f t="shared" ref="Q687" si="472">IF(O687=0,0,IF(X687=0,"manual",(O687/(R687*tax*markup*IF(Y687&lt;&gt;"",VLOOKUP(LEFT(Y687,2),cityindex,2,0),1)+S687*markup*difficulty*IF(Y687&lt;&gt;"",VLOOKUP(LEFT(Y687,2),cityindex,3,0),1)+W687*markup*difficulty*IF(Y687&lt;&gt;"",VLOOKUP(LEFT(Y687,2),cityindex,3,0),1)))-1))</f>
        <v>manual</v>
      </c>
      <c r="S687" s="143">
        <f t="shared" si="451"/>
        <v>0</v>
      </c>
      <c r="X687" s="143">
        <f t="shared" si="452"/>
        <v>0</v>
      </c>
      <c r="Z687" s="143"/>
      <c r="AA687" s="143"/>
      <c r="AB687" s="143"/>
    </row>
    <row r="688" spans="4:28" x14ac:dyDescent="0.2">
      <c r="D688" s="228"/>
      <c r="E688" s="228"/>
      <c r="F688" s="299"/>
      <c r="G688" s="299" t="s">
        <v>1817</v>
      </c>
      <c r="H688" s="299"/>
      <c r="I688" s="630"/>
      <c r="J688" s="300"/>
      <c r="K688" s="629"/>
      <c r="L688" s="629"/>
      <c r="M688" s="232">
        <f t="shared" si="470"/>
        <v>0</v>
      </c>
      <c r="N688" s="232"/>
      <c r="O688" s="232">
        <f t="shared" si="471"/>
        <v>0</v>
      </c>
      <c r="P688" s="233">
        <f t="shared" si="454"/>
        <v>0</v>
      </c>
      <c r="Q688" s="298">
        <f t="shared" si="459"/>
        <v>0</v>
      </c>
      <c r="S688" s="143">
        <f t="shared" si="451"/>
        <v>0</v>
      </c>
      <c r="X688" s="143">
        <f t="shared" si="452"/>
        <v>0</v>
      </c>
      <c r="Z688" s="143"/>
      <c r="AA688" s="143"/>
      <c r="AB688" s="143"/>
    </row>
    <row r="689" spans="4:28" x14ac:dyDescent="0.2">
      <c r="D689" s="228"/>
      <c r="E689" s="228"/>
      <c r="F689" s="299"/>
      <c r="G689" s="631" t="s">
        <v>1487</v>
      </c>
      <c r="H689" s="631"/>
      <c r="I689" s="301">
        <f>39*75</f>
        <v>2925</v>
      </c>
      <c r="J689" s="300" t="s">
        <v>309</v>
      </c>
      <c r="K689" s="302">
        <v>2.78</v>
      </c>
      <c r="L689" s="302">
        <v>3.81</v>
      </c>
      <c r="M689" s="232">
        <f t="shared" si="470"/>
        <v>0</v>
      </c>
      <c r="N689" s="232"/>
      <c r="O689" s="232">
        <f t="shared" si="471"/>
        <v>6.59</v>
      </c>
      <c r="P689" s="233">
        <f t="shared" si="454"/>
        <v>19276</v>
      </c>
      <c r="Q689" s="298" t="str">
        <f t="shared" si="459"/>
        <v>manual</v>
      </c>
      <c r="S689" s="143">
        <f t="shared" si="451"/>
        <v>0</v>
      </c>
      <c r="X689" s="143">
        <f t="shared" si="452"/>
        <v>0</v>
      </c>
      <c r="Z689" s="143"/>
      <c r="AA689" s="143"/>
      <c r="AB689" s="143"/>
    </row>
    <row r="690" spans="4:28" x14ac:dyDescent="0.2">
      <c r="D690" s="228"/>
      <c r="E690" s="228"/>
      <c r="F690" s="299"/>
      <c r="G690" s="631" t="s">
        <v>1488</v>
      </c>
      <c r="H690" s="631"/>
      <c r="I690" s="301">
        <v>75</v>
      </c>
      <c r="J690" s="300" t="s">
        <v>309</v>
      </c>
      <c r="K690" s="302">
        <v>4.72</v>
      </c>
      <c r="L690" s="302">
        <v>4.3</v>
      </c>
      <c r="M690" s="232">
        <f t="shared" si="470"/>
        <v>0</v>
      </c>
      <c r="N690" s="232"/>
      <c r="O690" s="232">
        <f t="shared" si="471"/>
        <v>9.02</v>
      </c>
      <c r="P690" s="233">
        <f t="shared" si="454"/>
        <v>677</v>
      </c>
      <c r="Q690" s="298" t="str">
        <f t="shared" si="459"/>
        <v>manual</v>
      </c>
      <c r="S690" s="143">
        <f t="shared" si="451"/>
        <v>0</v>
      </c>
      <c r="X690" s="143">
        <f t="shared" si="452"/>
        <v>0</v>
      </c>
      <c r="Z690" s="143"/>
      <c r="AA690" s="143"/>
      <c r="AB690" s="143"/>
    </row>
    <row r="691" spans="4:28" x14ac:dyDescent="0.2">
      <c r="D691" s="228"/>
      <c r="E691" s="228"/>
      <c r="F691" s="299"/>
      <c r="G691" s="631" t="s">
        <v>1489</v>
      </c>
      <c r="H691" s="631"/>
      <c r="I691" s="301">
        <f>75*2</f>
        <v>150</v>
      </c>
      <c r="J691" s="300" t="s">
        <v>309</v>
      </c>
      <c r="K691" s="302">
        <v>7.72</v>
      </c>
      <c r="L691" s="302">
        <v>4.92</v>
      </c>
      <c r="M691" s="232">
        <f t="shared" si="470"/>
        <v>0</v>
      </c>
      <c r="N691" s="232"/>
      <c r="O691" s="232">
        <f t="shared" si="471"/>
        <v>12.64</v>
      </c>
      <c r="P691" s="233">
        <f t="shared" si="454"/>
        <v>1896</v>
      </c>
      <c r="Q691" s="298" t="str">
        <f t="shared" si="459"/>
        <v>manual</v>
      </c>
      <c r="S691" s="143">
        <f t="shared" si="451"/>
        <v>0</v>
      </c>
      <c r="X691" s="143">
        <f t="shared" si="452"/>
        <v>0</v>
      </c>
      <c r="Z691" s="143"/>
      <c r="AA691" s="143"/>
      <c r="AB691" s="143"/>
    </row>
    <row r="692" spans="4:28" x14ac:dyDescent="0.2">
      <c r="D692" s="228"/>
      <c r="E692" s="228"/>
      <c r="F692" s="299"/>
      <c r="G692" s="299" t="s">
        <v>1818</v>
      </c>
      <c r="H692" s="299"/>
      <c r="I692" s="301">
        <f>42*25</f>
        <v>1050</v>
      </c>
      <c r="J692" s="300" t="s">
        <v>309</v>
      </c>
      <c r="K692" s="302">
        <v>2.78</v>
      </c>
      <c r="L692" s="302">
        <v>3.81</v>
      </c>
      <c r="M692" s="232">
        <f t="shared" si="470"/>
        <v>0</v>
      </c>
      <c r="N692" s="232"/>
      <c r="O692" s="232">
        <f t="shared" si="471"/>
        <v>6.59</v>
      </c>
      <c r="P692" s="233">
        <f t="shared" si="454"/>
        <v>6920</v>
      </c>
      <c r="Q692" s="298" t="str">
        <f t="shared" si="459"/>
        <v>manual</v>
      </c>
      <c r="S692" s="143">
        <f t="shared" si="451"/>
        <v>0</v>
      </c>
      <c r="X692" s="143">
        <f t="shared" si="452"/>
        <v>0</v>
      </c>
      <c r="Z692" s="143"/>
      <c r="AA692" s="143"/>
      <c r="AB692" s="143"/>
    </row>
    <row r="693" spans="4:28" x14ac:dyDescent="0.2">
      <c r="D693" s="228"/>
      <c r="E693" s="228"/>
      <c r="F693" s="228"/>
      <c r="G693" s="228"/>
      <c r="H693" s="228"/>
      <c r="I693" s="230"/>
      <c r="J693" s="231"/>
      <c r="K693" s="232"/>
      <c r="L693" s="232"/>
      <c r="M693" s="232"/>
      <c r="N693" s="232"/>
      <c r="O693" s="232">
        <f t="shared" si="469"/>
        <v>0</v>
      </c>
      <c r="P693" s="233">
        <f>ROUND((O693*I693),0)</f>
        <v>0</v>
      </c>
      <c r="Q693" s="298">
        <f>IF(O693=0,0,IF(X693=0,"manual",(O693/(R693*tax*markup*IF(Y693&lt;&gt;"",VLOOKUP(LEFT(Y693,2),cityindex,2,0),1)+S693*markup*difficulty*IF(Y693&lt;&gt;"",VLOOKUP(LEFT(Y693,2),cityindex,3,0),1)+W693*markup*difficulty*IF(Y693&lt;&gt;"",VLOOKUP(LEFT(Y693,2),cityindex,3,0),1)))-1))</f>
        <v>0</v>
      </c>
      <c r="S693" s="143">
        <f>U693*V693</f>
        <v>0</v>
      </c>
      <c r="X693" s="143">
        <f>SUM(R693,S693,W693)</f>
        <v>0</v>
      </c>
      <c r="Z693" s="143"/>
      <c r="AA693" s="143"/>
      <c r="AB693" s="143"/>
    </row>
    <row r="694" spans="4:28" x14ac:dyDescent="0.2">
      <c r="D694" s="228"/>
      <c r="E694" s="228" t="s">
        <v>1078</v>
      </c>
      <c r="F694" s="228"/>
      <c r="G694" s="228"/>
      <c r="H694" s="228"/>
      <c r="I694" s="230"/>
      <c r="J694" s="231"/>
      <c r="K694" s="232"/>
      <c r="L694" s="232"/>
      <c r="M694" s="232"/>
      <c r="N694" s="232"/>
      <c r="O694" s="232">
        <f t="shared" si="469"/>
        <v>0</v>
      </c>
      <c r="P694" s="233">
        <f t="shared" si="454"/>
        <v>0</v>
      </c>
      <c r="Q694" s="298">
        <f t="shared" si="459"/>
        <v>0</v>
      </c>
      <c r="S694" s="143">
        <f t="shared" si="451"/>
        <v>0</v>
      </c>
      <c r="X694" s="143">
        <f t="shared" si="452"/>
        <v>0</v>
      </c>
      <c r="Z694" s="143"/>
      <c r="AA694" s="143"/>
      <c r="AB694" s="143"/>
    </row>
    <row r="695" spans="4:28" x14ac:dyDescent="0.2">
      <c r="D695" s="228"/>
      <c r="E695" s="228"/>
      <c r="F695" s="228" t="s">
        <v>1079</v>
      </c>
      <c r="G695" s="228"/>
      <c r="H695" s="228"/>
      <c r="I695" s="230"/>
      <c r="J695" s="231"/>
      <c r="K695" s="232"/>
      <c r="L695" s="232"/>
      <c r="M695" s="232"/>
      <c r="N695" s="232"/>
      <c r="O695" s="232"/>
      <c r="P695" s="233">
        <f t="shared" si="454"/>
        <v>0</v>
      </c>
      <c r="Q695" s="298">
        <f t="shared" si="459"/>
        <v>0</v>
      </c>
      <c r="S695" s="143">
        <f t="shared" si="451"/>
        <v>0</v>
      </c>
      <c r="X695" s="143">
        <f t="shared" si="452"/>
        <v>0</v>
      </c>
      <c r="Z695" s="143"/>
      <c r="AA695" s="236"/>
      <c r="AB695" s="143"/>
    </row>
    <row r="696" spans="4:28" x14ac:dyDescent="0.2">
      <c r="D696" s="228"/>
      <c r="E696" s="228"/>
      <c r="F696" s="228"/>
      <c r="G696" s="228" t="s">
        <v>1864</v>
      </c>
      <c r="H696" s="228"/>
      <c r="I696" s="230">
        <f>127+28</f>
        <v>155</v>
      </c>
      <c r="J696" s="231" t="s">
        <v>390</v>
      </c>
      <c r="K696" s="232">
        <v>285</v>
      </c>
      <c r="L696" s="232">
        <v>93.56</v>
      </c>
      <c r="M696" s="232">
        <v>0</v>
      </c>
      <c r="N696" s="232"/>
      <c r="O696" s="232">
        <f t="shared" si="469"/>
        <v>378.56</v>
      </c>
      <c r="P696" s="233">
        <f t="shared" si="454"/>
        <v>58677</v>
      </c>
      <c r="Q696" s="298" t="str">
        <f t="shared" si="459"/>
        <v>manual</v>
      </c>
      <c r="S696" s="143">
        <f t="shared" si="451"/>
        <v>0</v>
      </c>
      <c r="X696" s="143">
        <f t="shared" si="452"/>
        <v>0</v>
      </c>
      <c r="Z696" s="143"/>
      <c r="AA696" s="143"/>
      <c r="AB696" s="236"/>
    </row>
    <row r="697" spans="4:28" x14ac:dyDescent="0.2">
      <c r="D697" s="228"/>
      <c r="E697" s="228"/>
      <c r="F697" s="228"/>
      <c r="G697" s="228" t="s">
        <v>1535</v>
      </c>
      <c r="H697" s="228"/>
      <c r="I697" s="230">
        <f>44+75+38+16+40</f>
        <v>213</v>
      </c>
      <c r="J697" s="231" t="s">
        <v>390</v>
      </c>
      <c r="K697" s="232">
        <v>321.75</v>
      </c>
      <c r="L697" s="232">
        <v>88.45</v>
      </c>
      <c r="M697" s="232">
        <v>0</v>
      </c>
      <c r="N697" s="232"/>
      <c r="O697" s="232">
        <f t="shared" si="469"/>
        <v>410.2</v>
      </c>
      <c r="P697" s="233">
        <f t="shared" si="454"/>
        <v>87373</v>
      </c>
      <c r="Q697" s="298" t="str">
        <f t="shared" si="459"/>
        <v>manual</v>
      </c>
      <c r="S697" s="143">
        <f t="shared" si="451"/>
        <v>0</v>
      </c>
      <c r="X697" s="143">
        <f t="shared" si="452"/>
        <v>0</v>
      </c>
      <c r="Z697" s="143"/>
      <c r="AA697" s="143"/>
      <c r="AB697" s="143"/>
    </row>
    <row r="698" spans="4:28" x14ac:dyDescent="0.2">
      <c r="D698" s="228"/>
      <c r="E698" s="228"/>
      <c r="F698" s="228"/>
      <c r="G698" s="228" t="s">
        <v>1536</v>
      </c>
      <c r="H698" s="228"/>
      <c r="I698" s="230">
        <v>44</v>
      </c>
      <c r="J698" s="231" t="s">
        <v>390</v>
      </c>
      <c r="K698" s="232">
        <v>305</v>
      </c>
      <c r="L698" s="232">
        <v>61.58</v>
      </c>
      <c r="M698" s="232">
        <v>0</v>
      </c>
      <c r="N698" s="232"/>
      <c r="O698" s="232">
        <f t="shared" si="469"/>
        <v>366.58</v>
      </c>
      <c r="P698" s="233">
        <f t="shared" si="454"/>
        <v>16130</v>
      </c>
      <c r="Q698" s="298" t="str">
        <f t="shared" si="459"/>
        <v>manual</v>
      </c>
      <c r="S698" s="143">
        <f t="shared" si="451"/>
        <v>0</v>
      </c>
      <c r="X698" s="143">
        <f t="shared" si="452"/>
        <v>0</v>
      </c>
      <c r="Z698" s="143"/>
      <c r="AA698" s="143"/>
      <c r="AB698" s="143"/>
    </row>
    <row r="699" spans="4:28" x14ac:dyDescent="0.2">
      <c r="D699" s="228"/>
      <c r="E699" s="228"/>
      <c r="F699" s="228"/>
      <c r="G699" s="228" t="s">
        <v>1819</v>
      </c>
      <c r="H699" s="228"/>
      <c r="I699" s="230">
        <v>15</v>
      </c>
      <c r="J699" s="231" t="s">
        <v>390</v>
      </c>
      <c r="K699" s="232">
        <v>224.47</v>
      </c>
      <c r="L699" s="232">
        <v>62.73</v>
      </c>
      <c r="M699" s="232">
        <f>W699*markup*difficulty*IF(Y699&lt;&gt;"",VLOOKUP(LEFT(Y699,2),cityindex,3,0),1)</f>
        <v>0</v>
      </c>
      <c r="N699" s="232"/>
      <c r="O699" s="232">
        <f>SUM(K699:N699)*embed</f>
        <v>287.2</v>
      </c>
      <c r="P699" s="233">
        <f t="shared" si="454"/>
        <v>4308</v>
      </c>
      <c r="Q699" s="298" t="str">
        <f t="shared" si="459"/>
        <v>manual</v>
      </c>
      <c r="S699" s="143">
        <f t="shared" si="451"/>
        <v>0</v>
      </c>
      <c r="X699" s="143">
        <f t="shared" si="452"/>
        <v>0</v>
      </c>
      <c r="Z699" s="143"/>
      <c r="AA699" s="143"/>
      <c r="AB699" s="143"/>
    </row>
    <row r="700" spans="4:28" x14ac:dyDescent="0.2">
      <c r="D700" s="228"/>
      <c r="E700" s="228"/>
      <c r="F700" s="228"/>
      <c r="G700" s="228" t="s">
        <v>1820</v>
      </c>
      <c r="H700" s="228"/>
      <c r="I700" s="230">
        <v>22</v>
      </c>
      <c r="J700" s="231" t="s">
        <v>390</v>
      </c>
      <c r="K700" s="232">
        <v>184.28</v>
      </c>
      <c r="L700" s="232">
        <v>52.48</v>
      </c>
      <c r="M700" s="232">
        <f>W700*markup*difficulty*IF(Y700&lt;&gt;"",VLOOKUP(LEFT(Y700,2),cityindex,3,0),1)</f>
        <v>0</v>
      </c>
      <c r="N700" s="232"/>
      <c r="O700" s="232">
        <f>SUM(K700:N700)*embed</f>
        <v>236.76</v>
      </c>
      <c r="P700" s="233">
        <f t="shared" si="454"/>
        <v>5209</v>
      </c>
      <c r="Q700" s="298" t="str">
        <f t="shared" si="459"/>
        <v>manual</v>
      </c>
      <c r="S700" s="143">
        <f t="shared" si="451"/>
        <v>0</v>
      </c>
      <c r="X700" s="143">
        <f t="shared" si="452"/>
        <v>0</v>
      </c>
      <c r="Z700" s="143"/>
      <c r="AA700" s="143"/>
      <c r="AB700" s="143"/>
    </row>
    <row r="701" spans="4:28" x14ac:dyDescent="0.2">
      <c r="D701" s="228"/>
      <c r="E701" s="228"/>
      <c r="F701" s="228"/>
      <c r="G701" s="228" t="s">
        <v>1821</v>
      </c>
      <c r="H701" s="228"/>
      <c r="I701" s="230">
        <v>2</v>
      </c>
      <c r="J701" s="231" t="s">
        <v>390</v>
      </c>
      <c r="K701" s="232">
        <v>211.75</v>
      </c>
      <c r="L701" s="232">
        <v>75.45</v>
      </c>
      <c r="M701" s="232">
        <v>0</v>
      </c>
      <c r="N701" s="232"/>
      <c r="O701" s="232">
        <f>SUM(K701:N701)*embed</f>
        <v>287.2</v>
      </c>
      <c r="P701" s="233">
        <f t="shared" si="454"/>
        <v>574</v>
      </c>
      <c r="Q701" s="298" t="str">
        <f t="shared" si="459"/>
        <v>manual</v>
      </c>
      <c r="S701" s="143">
        <f t="shared" si="451"/>
        <v>0</v>
      </c>
      <c r="X701" s="143">
        <f t="shared" si="452"/>
        <v>0</v>
      </c>
      <c r="Z701" s="143"/>
      <c r="AA701" s="143"/>
      <c r="AB701" s="143"/>
    </row>
    <row r="702" spans="4:28" x14ac:dyDescent="0.2">
      <c r="D702" s="228"/>
      <c r="E702" s="228"/>
      <c r="F702" s="228"/>
      <c r="G702" s="228" t="s">
        <v>1822</v>
      </c>
      <c r="H702" s="228"/>
      <c r="I702" s="230">
        <v>7</v>
      </c>
      <c r="J702" s="231" t="s">
        <v>390</v>
      </c>
      <c r="K702" s="232">
        <v>425.69</v>
      </c>
      <c r="L702" s="232">
        <v>122</v>
      </c>
      <c r="M702" s="232">
        <f>W702*markup*difficulty*IF(Y702&lt;&gt;"",VLOOKUP(LEFT(Y702,2),cityindex,3,0),1)</f>
        <v>0</v>
      </c>
      <c r="N702" s="232"/>
      <c r="O702" s="232">
        <f>SUM(K702:N702)*embed</f>
        <v>547.69000000000005</v>
      </c>
      <c r="P702" s="233">
        <f t="shared" si="454"/>
        <v>3834</v>
      </c>
      <c r="Q702" s="298" t="str">
        <f t="shared" si="459"/>
        <v>manual</v>
      </c>
      <c r="S702" s="143">
        <f t="shared" si="451"/>
        <v>0</v>
      </c>
      <c r="X702" s="143">
        <f t="shared" si="452"/>
        <v>0</v>
      </c>
      <c r="Z702" s="143"/>
      <c r="AA702" s="143"/>
      <c r="AB702" s="143"/>
    </row>
    <row r="703" spans="4:28" x14ac:dyDescent="0.2">
      <c r="D703" s="228"/>
      <c r="E703" s="228"/>
      <c r="F703" s="228"/>
      <c r="G703" s="228" t="s">
        <v>1537</v>
      </c>
      <c r="H703" s="228"/>
      <c r="I703" s="230">
        <f>24+2</f>
        <v>26</v>
      </c>
      <c r="J703" s="231" t="s">
        <v>390</v>
      </c>
      <c r="K703" s="232">
        <v>180</v>
      </c>
      <c r="L703" s="232">
        <v>78.66</v>
      </c>
      <c r="M703" s="232">
        <v>0</v>
      </c>
      <c r="N703" s="232"/>
      <c r="O703" s="232">
        <f t="shared" si="469"/>
        <v>258.65999999999997</v>
      </c>
      <c r="P703" s="233">
        <f t="shared" si="454"/>
        <v>6725</v>
      </c>
      <c r="Q703" s="298" t="str">
        <f t="shared" si="459"/>
        <v>manual</v>
      </c>
      <c r="S703" s="143">
        <f t="shared" si="451"/>
        <v>0</v>
      </c>
      <c r="X703" s="143">
        <f t="shared" si="452"/>
        <v>0</v>
      </c>
      <c r="Z703" s="143"/>
      <c r="AA703" s="143"/>
      <c r="AB703" s="143"/>
    </row>
    <row r="704" spans="4:28" x14ac:dyDescent="0.2">
      <c r="D704" s="228"/>
      <c r="E704" s="228"/>
      <c r="F704" s="228"/>
      <c r="G704" s="228" t="s">
        <v>1538</v>
      </c>
      <c r="H704" s="228"/>
      <c r="I704" s="230">
        <f>28+38+16+60</f>
        <v>142</v>
      </c>
      <c r="J704" s="231" t="s">
        <v>390</v>
      </c>
      <c r="K704" s="232">
        <v>80</v>
      </c>
      <c r="L704" s="232"/>
      <c r="M704" s="232"/>
      <c r="N704" s="232"/>
      <c r="O704" s="232">
        <f>SUM(K704:N704)*embed</f>
        <v>80</v>
      </c>
      <c r="P704" s="233">
        <f t="shared" si="454"/>
        <v>11360</v>
      </c>
      <c r="Q704" s="298" t="str">
        <f t="shared" si="459"/>
        <v>manual</v>
      </c>
      <c r="S704" s="143">
        <f t="shared" si="451"/>
        <v>0</v>
      </c>
      <c r="X704" s="143">
        <f t="shared" si="452"/>
        <v>0</v>
      </c>
      <c r="Z704" s="143"/>
      <c r="AA704" s="143"/>
      <c r="AB704" s="143"/>
    </row>
    <row r="705" spans="4:28" x14ac:dyDescent="0.2">
      <c r="D705" s="228"/>
      <c r="E705" s="228"/>
      <c r="F705" s="228"/>
      <c r="G705" s="228" t="s">
        <v>1084</v>
      </c>
      <c r="H705" s="228"/>
      <c r="I705" s="230">
        <f>SUM(I696:I703)*30</f>
        <v>14520</v>
      </c>
      <c r="J705" s="231" t="s">
        <v>309</v>
      </c>
      <c r="K705" s="232">
        <v>2.25</v>
      </c>
      <c r="L705" s="232">
        <v>9.4</v>
      </c>
      <c r="M705" s="232">
        <v>0</v>
      </c>
      <c r="N705" s="232"/>
      <c r="O705" s="232">
        <f t="shared" si="469"/>
        <v>11.65</v>
      </c>
      <c r="P705" s="233">
        <f t="shared" si="454"/>
        <v>169158</v>
      </c>
      <c r="Q705" s="298" t="str">
        <f t="shared" si="459"/>
        <v>manual</v>
      </c>
      <c r="S705" s="143">
        <f t="shared" si="451"/>
        <v>0</v>
      </c>
      <c r="X705" s="143">
        <f t="shared" si="452"/>
        <v>0</v>
      </c>
      <c r="Z705" s="143"/>
      <c r="AA705" s="143"/>
      <c r="AB705" s="143"/>
    </row>
    <row r="706" spans="4:28" x14ac:dyDescent="0.2">
      <c r="D706" s="228"/>
      <c r="E706" s="228"/>
      <c r="F706" s="228" t="s">
        <v>1580</v>
      </c>
      <c r="G706" s="228"/>
      <c r="H706" s="228"/>
      <c r="I706" s="230"/>
      <c r="J706" s="231"/>
      <c r="K706" s="232"/>
      <c r="L706" s="232"/>
      <c r="M706" s="232"/>
      <c r="N706" s="232"/>
      <c r="O706" s="232">
        <f t="shared" si="469"/>
        <v>0</v>
      </c>
      <c r="P706" s="233">
        <f t="shared" si="454"/>
        <v>0</v>
      </c>
      <c r="Q706" s="298">
        <f t="shared" si="459"/>
        <v>0</v>
      </c>
      <c r="S706" s="143">
        <f t="shared" si="451"/>
        <v>0</v>
      </c>
      <c r="X706" s="143">
        <f t="shared" si="452"/>
        <v>0</v>
      </c>
      <c r="Z706" s="143"/>
      <c r="AA706" s="143"/>
      <c r="AB706" s="143"/>
    </row>
    <row r="707" spans="4:28" x14ac:dyDescent="0.2">
      <c r="D707" s="228"/>
      <c r="E707" s="228"/>
      <c r="F707" s="228"/>
      <c r="G707" s="228" t="s">
        <v>1080</v>
      </c>
      <c r="H707" s="228"/>
      <c r="I707" s="230">
        <v>37</v>
      </c>
      <c r="J707" s="231" t="s">
        <v>390</v>
      </c>
      <c r="K707" s="232">
        <v>425.69</v>
      </c>
      <c r="L707" s="232">
        <v>122</v>
      </c>
      <c r="M707" s="232"/>
      <c r="N707" s="232"/>
      <c r="O707" s="232">
        <f t="shared" si="469"/>
        <v>547.69000000000005</v>
      </c>
      <c r="P707" s="233">
        <f t="shared" si="454"/>
        <v>20265</v>
      </c>
      <c r="Q707" s="298" t="str">
        <f t="shared" si="459"/>
        <v>manual</v>
      </c>
      <c r="S707" s="143">
        <f t="shared" si="451"/>
        <v>0</v>
      </c>
      <c r="X707" s="143">
        <f t="shared" si="452"/>
        <v>0</v>
      </c>
      <c r="Z707" s="143"/>
      <c r="AA707" s="143"/>
      <c r="AB707" s="143"/>
    </row>
    <row r="708" spans="4:28" x14ac:dyDescent="0.2">
      <c r="D708" s="228"/>
      <c r="E708" s="228"/>
      <c r="F708" s="228"/>
      <c r="G708" s="228" t="s">
        <v>1081</v>
      </c>
      <c r="H708" s="228"/>
      <c r="I708" s="230">
        <v>87</v>
      </c>
      <c r="J708" s="231" t="s">
        <v>390</v>
      </c>
      <c r="K708" s="232">
        <v>425.69</v>
      </c>
      <c r="L708" s="232">
        <v>122</v>
      </c>
      <c r="M708" s="232"/>
      <c r="N708" s="232"/>
      <c r="O708" s="232">
        <f t="shared" si="469"/>
        <v>547.69000000000005</v>
      </c>
      <c r="P708" s="233">
        <f>ROUND((O708*I708),0)</f>
        <v>47649</v>
      </c>
      <c r="Q708" s="298" t="str">
        <f>IF(O708=0,0,IF(X708=0,"manual",(O708/(R708*tax*markup*IF(Y708&lt;&gt;"",VLOOKUP(LEFT(Y708,2),cityindex,2,0),1)+S708*markup*difficulty*IF(Y708&lt;&gt;"",VLOOKUP(LEFT(Y708,2),cityindex,3,0),1)+W708*markup*difficulty*IF(Y708&lt;&gt;"",VLOOKUP(LEFT(Y708,2),cityindex,3,0),1)))-1))</f>
        <v>manual</v>
      </c>
      <c r="S708" s="143">
        <f>U708*V708</f>
        <v>0</v>
      </c>
      <c r="X708" s="143">
        <f>SUM(R708,S708,W708)</f>
        <v>0</v>
      </c>
      <c r="Z708" s="143"/>
      <c r="AA708" s="143"/>
      <c r="AB708" s="143"/>
    </row>
    <row r="709" spans="4:28" x14ac:dyDescent="0.2">
      <c r="D709" s="228"/>
      <c r="E709" s="228"/>
      <c r="F709" s="228"/>
      <c r="G709" s="228" t="s">
        <v>1082</v>
      </c>
      <c r="H709" s="228"/>
      <c r="I709" s="230">
        <v>1</v>
      </c>
      <c r="J709" s="231" t="s">
        <v>992</v>
      </c>
      <c r="K709" s="232"/>
      <c r="L709" s="232"/>
      <c r="M709" s="232"/>
      <c r="N709" s="232">
        <v>375</v>
      </c>
      <c r="O709" s="232">
        <f t="shared" si="469"/>
        <v>375</v>
      </c>
      <c r="P709" s="233">
        <f t="shared" ref="P709:P713" si="473">ROUND((O709*I709),0)</f>
        <v>375</v>
      </c>
      <c r="Q709" s="298"/>
      <c r="Z709" s="143"/>
      <c r="AA709" s="143"/>
      <c r="AB709" s="143"/>
    </row>
    <row r="710" spans="4:28" x14ac:dyDescent="0.2">
      <c r="D710" s="228"/>
      <c r="E710" s="228"/>
      <c r="F710" s="228"/>
      <c r="G710" s="228" t="s">
        <v>1083</v>
      </c>
      <c r="H710" s="228"/>
      <c r="I710" s="230">
        <v>1</v>
      </c>
      <c r="J710" s="231" t="s">
        <v>992</v>
      </c>
      <c r="K710" s="232"/>
      <c r="L710" s="232"/>
      <c r="M710" s="232"/>
      <c r="N710" s="232">
        <v>450</v>
      </c>
      <c r="O710" s="232">
        <f t="shared" si="469"/>
        <v>450</v>
      </c>
      <c r="P710" s="233">
        <f t="shared" si="473"/>
        <v>450</v>
      </c>
      <c r="Q710" s="298"/>
      <c r="Z710" s="143"/>
      <c r="AA710" s="143"/>
      <c r="AB710" s="143"/>
    </row>
    <row r="711" spans="4:28" x14ac:dyDescent="0.2">
      <c r="D711" s="228"/>
      <c r="E711" s="228"/>
      <c r="F711" s="228"/>
      <c r="G711" s="228" t="s">
        <v>1084</v>
      </c>
      <c r="H711" s="228"/>
      <c r="I711" s="230">
        <f>SUM(I706:I708)*30</f>
        <v>3720</v>
      </c>
      <c r="J711" s="231" t="s">
        <v>309</v>
      </c>
      <c r="K711" s="232">
        <v>2.25</v>
      </c>
      <c r="L711" s="232">
        <v>9.4</v>
      </c>
      <c r="M711" s="232"/>
      <c r="N711" s="232"/>
      <c r="O711" s="232">
        <f t="shared" si="469"/>
        <v>11.65</v>
      </c>
      <c r="P711" s="233">
        <f t="shared" si="473"/>
        <v>43338</v>
      </c>
      <c r="Q711" s="298"/>
      <c r="Z711" s="143"/>
      <c r="AA711" s="143"/>
      <c r="AB711" s="143"/>
    </row>
    <row r="712" spans="4:28" x14ac:dyDescent="0.2">
      <c r="D712" s="228"/>
      <c r="E712" s="228"/>
      <c r="F712" s="228"/>
      <c r="G712" s="228"/>
      <c r="H712" s="228"/>
      <c r="I712" s="230"/>
      <c r="J712" s="231"/>
      <c r="K712" s="232"/>
      <c r="L712" s="232"/>
      <c r="M712" s="232"/>
      <c r="N712" s="232"/>
      <c r="O712" s="232">
        <f t="shared" si="469"/>
        <v>0</v>
      </c>
      <c r="P712" s="233">
        <f>ROUND((O712*I712),0)</f>
        <v>0</v>
      </c>
      <c r="Q712" s="298"/>
      <c r="Z712" s="143"/>
      <c r="AA712" s="143"/>
      <c r="AB712" s="143"/>
    </row>
    <row r="713" spans="4:28" x14ac:dyDescent="0.2">
      <c r="D713" s="228"/>
      <c r="E713" s="228" t="s">
        <v>1085</v>
      </c>
      <c r="F713" s="228"/>
      <c r="G713" s="228"/>
      <c r="H713" s="228"/>
      <c r="I713" s="230"/>
      <c r="J713" s="231"/>
      <c r="K713" s="232"/>
      <c r="L713" s="232"/>
      <c r="M713" s="232"/>
      <c r="N713" s="232"/>
      <c r="O713" s="232"/>
      <c r="P713" s="233">
        <f t="shared" si="473"/>
        <v>0</v>
      </c>
      <c r="Q713" s="298"/>
      <c r="Z713" s="143"/>
      <c r="AA713" s="143"/>
      <c r="AB713" s="143"/>
    </row>
    <row r="714" spans="4:28" x14ac:dyDescent="0.2">
      <c r="D714" s="228"/>
      <c r="E714" s="228"/>
      <c r="F714" s="228" t="s">
        <v>1539</v>
      </c>
      <c r="G714" s="228"/>
      <c r="H714" s="228"/>
      <c r="I714" s="230"/>
      <c r="J714" s="231"/>
      <c r="K714" s="232">
        <f>R714*tax*markup*IF(Y714&lt;&gt;"",VLOOKUP(LEFT(Y714,2),cityindex,2,0),1)</f>
        <v>0</v>
      </c>
      <c r="L714" s="232">
        <f>S714*markup*difficulty*IF(Y714&lt;&gt;"",VLOOKUP(LEFT(Y714,2),cityindex,3,0),1)</f>
        <v>0</v>
      </c>
      <c r="M714" s="232">
        <f t="shared" ref="M714:M719" si="474">W714*markup*difficulty*IF(Y714&lt;&gt;"",VLOOKUP(LEFT(Y714,2),cityindex,3,0),1)</f>
        <v>0</v>
      </c>
      <c r="N714" s="232"/>
      <c r="O714" s="232">
        <f t="shared" ref="O714:O722" si="475">SUM(K714:N714)*embed</f>
        <v>0</v>
      </c>
      <c r="P714" s="233">
        <f t="shared" si="454"/>
        <v>0</v>
      </c>
      <c r="Q714" s="298">
        <f t="shared" si="459"/>
        <v>0</v>
      </c>
      <c r="S714" s="143">
        <f t="shared" si="451"/>
        <v>0</v>
      </c>
      <c r="X714" s="143">
        <f t="shared" si="452"/>
        <v>0</v>
      </c>
      <c r="Z714" s="143"/>
      <c r="AA714" s="143"/>
      <c r="AB714" s="143"/>
    </row>
    <row r="715" spans="4:28" x14ac:dyDescent="0.2">
      <c r="D715" s="228"/>
      <c r="E715" s="228"/>
      <c r="F715" s="228"/>
      <c r="G715" s="228" t="s">
        <v>1540</v>
      </c>
      <c r="H715" s="228"/>
      <c r="I715" s="230">
        <v>157</v>
      </c>
      <c r="J715" s="231" t="s">
        <v>390</v>
      </c>
      <c r="K715" s="232">
        <v>58.93</v>
      </c>
      <c r="L715" s="232">
        <v>45.9</v>
      </c>
      <c r="M715" s="232">
        <f t="shared" si="474"/>
        <v>0</v>
      </c>
      <c r="N715" s="232"/>
      <c r="O715" s="232">
        <f>SUM(K715:N715)*embed</f>
        <v>104.83</v>
      </c>
      <c r="P715" s="233">
        <f t="shared" si="454"/>
        <v>16458</v>
      </c>
      <c r="Q715" s="298" t="str">
        <f t="shared" si="459"/>
        <v>manual</v>
      </c>
      <c r="S715" s="143">
        <f t="shared" si="451"/>
        <v>0</v>
      </c>
      <c r="X715" s="143">
        <f t="shared" si="452"/>
        <v>0</v>
      </c>
      <c r="Z715" s="143"/>
      <c r="AA715" s="143"/>
      <c r="AB715" s="143"/>
    </row>
    <row r="716" spans="4:28" x14ac:dyDescent="0.2">
      <c r="D716" s="228"/>
      <c r="E716" s="228"/>
      <c r="F716" s="228"/>
      <c r="G716" s="228" t="s">
        <v>1541</v>
      </c>
      <c r="H716" s="228"/>
      <c r="I716" s="230">
        <v>29</v>
      </c>
      <c r="J716" s="231" t="s">
        <v>390</v>
      </c>
      <c r="K716" s="232">
        <v>65.16</v>
      </c>
      <c r="L716" s="232">
        <v>48.92</v>
      </c>
      <c r="M716" s="232">
        <f t="shared" si="474"/>
        <v>0</v>
      </c>
      <c r="N716" s="232"/>
      <c r="O716" s="232">
        <f>SUM(K716:N716)*embed</f>
        <v>114.08</v>
      </c>
      <c r="P716" s="233">
        <f t="shared" si="454"/>
        <v>3308</v>
      </c>
      <c r="Q716" s="298" t="str">
        <f t="shared" si="459"/>
        <v>manual</v>
      </c>
      <c r="S716" s="143">
        <f t="shared" si="451"/>
        <v>0</v>
      </c>
      <c r="X716" s="143">
        <f t="shared" si="452"/>
        <v>0</v>
      </c>
      <c r="Z716" s="143"/>
      <c r="AA716" s="143"/>
      <c r="AB716" s="143"/>
    </row>
    <row r="717" spans="4:28" x14ac:dyDescent="0.2">
      <c r="D717" s="228"/>
      <c r="E717" s="228"/>
      <c r="F717" s="228"/>
      <c r="G717" s="228" t="s">
        <v>1823</v>
      </c>
      <c r="H717" s="228"/>
      <c r="I717" s="230">
        <v>13</v>
      </c>
      <c r="J717" s="231" t="s">
        <v>390</v>
      </c>
      <c r="K717" s="232">
        <v>65.16</v>
      </c>
      <c r="L717" s="232">
        <v>48.92</v>
      </c>
      <c r="M717" s="232">
        <f t="shared" si="474"/>
        <v>0</v>
      </c>
      <c r="N717" s="232"/>
      <c r="O717" s="232">
        <f>SUM(K717:N717)*embed</f>
        <v>114.08</v>
      </c>
      <c r="P717" s="233">
        <f t="shared" si="454"/>
        <v>1483</v>
      </c>
      <c r="Q717" s="298" t="str">
        <f t="shared" si="459"/>
        <v>manual</v>
      </c>
      <c r="S717" s="143">
        <f t="shared" si="451"/>
        <v>0</v>
      </c>
      <c r="X717" s="143">
        <f t="shared" si="452"/>
        <v>0</v>
      </c>
      <c r="Z717" s="143"/>
      <c r="AA717" s="143"/>
      <c r="AB717" s="143"/>
    </row>
    <row r="718" spans="4:28" x14ac:dyDescent="0.2">
      <c r="D718" s="228"/>
      <c r="E718" s="228"/>
      <c r="F718" s="228"/>
      <c r="G718" s="228" t="s">
        <v>1542</v>
      </c>
      <c r="H718" s="228"/>
      <c r="I718" s="230">
        <f>127+17</f>
        <v>144</v>
      </c>
      <c r="J718" s="231" t="s">
        <v>390</v>
      </c>
      <c r="K718" s="232">
        <v>63.93</v>
      </c>
      <c r="L718" s="232">
        <v>46.4</v>
      </c>
      <c r="M718" s="232">
        <f t="shared" si="474"/>
        <v>0</v>
      </c>
      <c r="N718" s="232"/>
      <c r="O718" s="232">
        <f>SUM(K718:N718)*embed</f>
        <v>110.33</v>
      </c>
      <c r="P718" s="233">
        <f t="shared" si="454"/>
        <v>15888</v>
      </c>
      <c r="Q718" s="298" t="str">
        <f t="shared" si="459"/>
        <v>manual</v>
      </c>
      <c r="S718" s="143">
        <f t="shared" si="451"/>
        <v>0</v>
      </c>
      <c r="X718" s="143">
        <f t="shared" si="452"/>
        <v>0</v>
      </c>
      <c r="Z718" s="143"/>
      <c r="AA718" s="143"/>
      <c r="AB718" s="143"/>
    </row>
    <row r="719" spans="4:28" x14ac:dyDescent="0.2">
      <c r="D719" s="228"/>
      <c r="E719" s="228"/>
      <c r="F719" s="228"/>
      <c r="G719" s="228" t="s">
        <v>1543</v>
      </c>
      <c r="H719" s="228"/>
      <c r="I719" s="230">
        <v>5</v>
      </c>
      <c r="J719" s="231" t="s">
        <v>390</v>
      </c>
      <c r="K719" s="232">
        <v>83.109000000000009</v>
      </c>
      <c r="L719" s="232">
        <v>56.13</v>
      </c>
      <c r="M719" s="232">
        <f t="shared" si="474"/>
        <v>0</v>
      </c>
      <c r="N719" s="232"/>
      <c r="O719" s="232">
        <f>SUM(K719:N719)*embed</f>
        <v>139.239</v>
      </c>
      <c r="P719" s="233">
        <f t="shared" si="454"/>
        <v>696</v>
      </c>
      <c r="Q719" s="298" t="str">
        <f t="shared" si="459"/>
        <v>manual</v>
      </c>
      <c r="S719" s="143">
        <f t="shared" si="451"/>
        <v>0</v>
      </c>
      <c r="X719" s="143">
        <f t="shared" si="452"/>
        <v>0</v>
      </c>
      <c r="Z719" s="143"/>
      <c r="AA719" s="143"/>
      <c r="AB719" s="143"/>
    </row>
    <row r="720" spans="4:28" x14ac:dyDescent="0.2">
      <c r="D720" s="228"/>
      <c r="E720" s="228"/>
      <c r="F720" s="228"/>
      <c r="G720" s="228" t="s">
        <v>1824</v>
      </c>
      <c r="H720" s="228"/>
      <c r="I720" s="230">
        <v>2</v>
      </c>
      <c r="J720" s="231" t="s">
        <v>390</v>
      </c>
      <c r="K720" s="232">
        <v>352.85</v>
      </c>
      <c r="L720" s="232">
        <v>147.62</v>
      </c>
      <c r="M720" s="232">
        <v>0</v>
      </c>
      <c r="N720" s="232"/>
      <c r="O720" s="232">
        <f t="shared" si="475"/>
        <v>500.47</v>
      </c>
      <c r="P720" s="233">
        <f t="shared" si="454"/>
        <v>1001</v>
      </c>
      <c r="Q720" s="298" t="str">
        <f t="shared" si="459"/>
        <v>manual</v>
      </c>
      <c r="S720" s="143">
        <f t="shared" si="451"/>
        <v>0</v>
      </c>
      <c r="X720" s="143">
        <f t="shared" si="452"/>
        <v>0</v>
      </c>
      <c r="Z720" s="143"/>
      <c r="AA720" s="143"/>
      <c r="AB720" s="143"/>
    </row>
    <row r="721" spans="4:28" x14ac:dyDescent="0.2">
      <c r="D721" s="228"/>
      <c r="E721" s="228"/>
      <c r="F721" s="228"/>
      <c r="G721" s="228" t="s">
        <v>1825</v>
      </c>
      <c r="H721" s="228"/>
      <c r="I721" s="230">
        <v>9</v>
      </c>
      <c r="J721" s="231" t="s">
        <v>390</v>
      </c>
      <c r="K721" s="232">
        <v>3.73</v>
      </c>
      <c r="L721" s="232">
        <v>29.35</v>
      </c>
      <c r="M721" s="232">
        <v>0</v>
      </c>
      <c r="N721" s="232"/>
      <c r="O721" s="232">
        <f t="shared" si="475"/>
        <v>33.08</v>
      </c>
      <c r="P721" s="233">
        <f t="shared" si="454"/>
        <v>298</v>
      </c>
      <c r="Q721" s="298" t="str">
        <f t="shared" si="459"/>
        <v>manual</v>
      </c>
      <c r="S721" s="143">
        <f t="shared" si="451"/>
        <v>0</v>
      </c>
      <c r="X721" s="143">
        <f t="shared" si="452"/>
        <v>0</v>
      </c>
      <c r="Z721" s="143"/>
      <c r="AA721" s="143"/>
      <c r="AB721" s="143"/>
    </row>
    <row r="722" spans="4:28" x14ac:dyDescent="0.2">
      <c r="D722" s="228"/>
      <c r="E722" s="228"/>
      <c r="F722" s="228"/>
      <c r="G722" s="228" t="s">
        <v>1084</v>
      </c>
      <c r="H722" s="228"/>
      <c r="I722" s="230">
        <f>SUM(I715:I721)*30</f>
        <v>10770</v>
      </c>
      <c r="J722" s="231" t="s">
        <v>309</v>
      </c>
      <c r="K722" s="232">
        <v>2.25</v>
      </c>
      <c r="L722" s="232">
        <v>9.4</v>
      </c>
      <c r="M722" s="232">
        <v>0</v>
      </c>
      <c r="N722" s="232"/>
      <c r="O722" s="232">
        <f t="shared" si="475"/>
        <v>11.65</v>
      </c>
      <c r="P722" s="233">
        <f t="shared" si="454"/>
        <v>125471</v>
      </c>
      <c r="Q722" s="298" t="str">
        <f t="shared" si="459"/>
        <v>manual</v>
      </c>
      <c r="S722" s="143">
        <f t="shared" si="451"/>
        <v>0</v>
      </c>
      <c r="X722" s="143">
        <f t="shared" si="452"/>
        <v>0</v>
      </c>
      <c r="Z722" s="143"/>
      <c r="AA722" s="143"/>
      <c r="AB722" s="143"/>
    </row>
    <row r="723" spans="4:28" x14ac:dyDescent="0.2">
      <c r="K723" s="149">
        <f>R723*tax*markup*IF(Y723&lt;&gt;"",VLOOKUP(LEFT(Y723,2),cityindex,2,0),1)</f>
        <v>0</v>
      </c>
      <c r="L723" s="149">
        <f>S723*markup*difficulty*IF(Y723&lt;&gt;"",VLOOKUP(LEFT(Y723,2),cityindex,3,0),1)</f>
        <v>0</v>
      </c>
      <c r="M723" s="149">
        <f>W723*markup*difficulty*IF(Y723&lt;&gt;"",VLOOKUP(LEFT(Y723,2),cityindex,3,0),1)</f>
        <v>0</v>
      </c>
      <c r="N723" s="149"/>
      <c r="O723" s="149">
        <f t="shared" si="453"/>
        <v>0</v>
      </c>
      <c r="P723" s="216">
        <f t="shared" si="454"/>
        <v>0</v>
      </c>
      <c r="Q723" s="291">
        <f>IF(O723=0,0,IF(X723=0,"manual",O723/((R723*tax*markup*IF(Y723&lt;&gt;"",VLOOKUP(LEFT(Y723,2),cityindex,2,0),1))+S723*markup*difficulty*IF(Y723&lt;&gt;"",VLOOKUP(LEFT(Y723,2),cityindex,3,0),1)+W723*markup*difficulty*IF(Y723&lt;&gt;"",VLOOKUP(LEFT(Y723,2),cityindex,3,0),1))))</f>
        <v>0</v>
      </c>
      <c r="S723" s="143">
        <f t="shared" ref="S723:S726" si="476">U723*V723</f>
        <v>0</v>
      </c>
      <c r="X723" s="143">
        <f t="shared" ref="X723:X747" si="477">SUM(R723,S723,W723)</f>
        <v>0</v>
      </c>
    </row>
    <row r="724" spans="4:28" ht="24.75" customHeight="1" x14ac:dyDescent="0.2">
      <c r="D724" s="217" t="str">
        <f>"TOTAL - " &amp; D633</f>
        <v>TOTAL - 26  ELECTRICAL</v>
      </c>
      <c r="E724" s="217"/>
      <c r="F724" s="217"/>
      <c r="G724" s="217"/>
      <c r="H724" s="217"/>
      <c r="I724" s="218"/>
      <c r="J724" s="219"/>
      <c r="K724" s="220"/>
      <c r="L724" s="220"/>
      <c r="M724" s="220"/>
      <c r="N724" s="220"/>
      <c r="O724" s="221"/>
      <c r="P724" s="222">
        <f>SUM(P633:P723)</f>
        <v>969588</v>
      </c>
      <c r="Q724" s="294" t="str">
        <f>_xlfn.CONCAT(TEXT(SUM(P724/GFA),"$#,##0.00"),"/SF")</f>
        <v>$30.81/SF</v>
      </c>
      <c r="S724" s="143">
        <f t="shared" si="476"/>
        <v>0</v>
      </c>
      <c r="X724" s="143">
        <f t="shared" si="477"/>
        <v>0</v>
      </c>
      <c r="Z724" s="314"/>
      <c r="AA724" s="315"/>
    </row>
    <row r="725" spans="4:28" x14ac:dyDescent="0.2">
      <c r="K725" s="149">
        <f>R725*tax*markup*IF(Y725&lt;&gt;"",VLOOKUP(LEFT(Y725,2),cityindex,2,0),1)</f>
        <v>0</v>
      </c>
      <c r="L725" s="149">
        <f>S725*markup*difficulty*IF(Y725&lt;&gt;"",VLOOKUP(LEFT(Y725,2),cityindex,3,0),1)</f>
        <v>0</v>
      </c>
      <c r="M725" s="149">
        <f>W725*markup*difficulty*IF(Y725&lt;&gt;"",VLOOKUP(LEFT(Y725,2),cityindex,3,0),1)</f>
        <v>0</v>
      </c>
      <c r="N725" s="149"/>
      <c r="O725" s="149">
        <f t="shared" ref="O725:O733" si="478">SUM(K725:N725)*embed</f>
        <v>0</v>
      </c>
      <c r="P725" s="216">
        <f t="shared" ref="P725:P733" si="479">ROUND((O725*I725),0)</f>
        <v>0</v>
      </c>
      <c r="Q725" s="291">
        <f>IF(O725=0,0,IF(X725=0,"manual",O725/((R725*tax*markup*IF(Y725&lt;&gt;"",VLOOKUP(LEFT(Y725,2),cityindex,2,0),1))+S725*markup*difficulty*IF(Y725&lt;&gt;"",VLOOKUP(LEFT(Y725,2),cityindex,3,0),1)+W725*markup*difficulty*IF(Y725&lt;&gt;"",VLOOKUP(LEFT(Y725,2),cityindex,3,0),1))))</f>
        <v>0</v>
      </c>
      <c r="S725" s="143">
        <f t="shared" si="476"/>
        <v>0</v>
      </c>
      <c r="X725" s="143">
        <f t="shared" si="477"/>
        <v>0</v>
      </c>
    </row>
    <row r="726" spans="4:28" x14ac:dyDescent="0.2">
      <c r="D726" s="214" t="s">
        <v>285</v>
      </c>
      <c r="E726" s="215"/>
      <c r="F726" s="215"/>
      <c r="G726" s="215"/>
      <c r="H726" s="215"/>
      <c r="K726" s="149">
        <f>R726*tax*markup*IF(Y726&lt;&gt;"",VLOOKUP(LEFT(Y726,2),cityindex,2,0),1)</f>
        <v>0</v>
      </c>
      <c r="L726" s="149">
        <f>S726*markup*difficulty*IF(Y726&lt;&gt;"",VLOOKUP(LEFT(Y726,2),cityindex,3,0),1)</f>
        <v>0</v>
      </c>
      <c r="M726" s="149">
        <f>W726*markup*difficulty*IF(Y726&lt;&gt;"",VLOOKUP(LEFT(Y726,2),cityindex,3,0),1)</f>
        <v>0</v>
      </c>
      <c r="N726" s="149"/>
      <c r="O726" s="149">
        <f t="shared" si="478"/>
        <v>0</v>
      </c>
      <c r="P726" s="216">
        <f t="shared" si="479"/>
        <v>0</v>
      </c>
      <c r="Q726" s="291">
        <f>IF(O726=0,0,IF(X726=0,"manual",O726/((R726*tax*markup*IF(Y726&lt;&gt;"",VLOOKUP(LEFT(Y726,2),cityindex,2,0),1))+S726*markup*difficulty*IF(Y726&lt;&gt;"",VLOOKUP(LEFT(Y726,2),cityindex,3,0),1)+W726*markup*difficulty*IF(Y726&lt;&gt;"",VLOOKUP(LEFT(Y726,2),cityindex,3,0),1))))</f>
        <v>0</v>
      </c>
      <c r="S726" s="143">
        <f t="shared" si="476"/>
        <v>0</v>
      </c>
      <c r="X726" s="143">
        <f t="shared" si="477"/>
        <v>0</v>
      </c>
    </row>
    <row r="727" spans="4:28" x14ac:dyDescent="0.2">
      <c r="D727" s="228"/>
      <c r="E727" s="228" t="s">
        <v>1086</v>
      </c>
      <c r="F727" s="228"/>
      <c r="G727" s="228"/>
      <c r="H727" s="228"/>
      <c r="I727" s="230"/>
      <c r="J727" s="231"/>
      <c r="K727" s="232"/>
      <c r="L727" s="232"/>
      <c r="M727" s="232"/>
      <c r="N727" s="232"/>
      <c r="O727" s="232">
        <f t="shared" si="478"/>
        <v>0</v>
      </c>
      <c r="P727" s="233">
        <f t="shared" si="479"/>
        <v>0</v>
      </c>
      <c r="Q727" s="298">
        <f>IF(O727=0,0,IF(X727=0,"manual",(O727/(R727*tax*markup*IF(Y727&lt;&gt;"",VLOOKUP(LEFT(Y727,2),cityindex,2,0),1)+S727*markup*difficulty*IF(Y727&lt;&gt;"",VLOOKUP(LEFT(Y727,2),cityindex,3,0),1)+W727*markup*difficulty*IF(Y727&lt;&gt;"",VLOOKUP(LEFT(Y727,2),cityindex,3,0),1)))-1))</f>
        <v>0</v>
      </c>
      <c r="S727" s="143">
        <f t="shared" ref="S727:S747" si="480">U727*V727</f>
        <v>0</v>
      </c>
      <c r="X727" s="143">
        <f t="shared" si="477"/>
        <v>0</v>
      </c>
      <c r="Z727" s="143"/>
      <c r="AA727" s="143"/>
      <c r="AB727" s="143"/>
    </row>
    <row r="728" spans="4:28" x14ac:dyDescent="0.2">
      <c r="D728" s="228"/>
      <c r="E728" s="299"/>
      <c r="F728" s="299"/>
      <c r="G728" s="299" t="s">
        <v>1531</v>
      </c>
      <c r="H728" s="299"/>
      <c r="I728" s="230">
        <v>78</v>
      </c>
      <c r="J728" s="231" t="s">
        <v>390</v>
      </c>
      <c r="K728" s="232">
        <v>21.349606250000001</v>
      </c>
      <c r="L728" s="232">
        <v>46.568440170000002</v>
      </c>
      <c r="M728" s="232"/>
      <c r="N728" s="232"/>
      <c r="O728" s="232">
        <f t="shared" ref="O728:O732" si="481">SUM(K728:N728)*embed</f>
        <v>67.918046419999996</v>
      </c>
      <c r="P728" s="233">
        <f t="shared" si="479"/>
        <v>5298</v>
      </c>
      <c r="Q728" s="298" t="str">
        <f t="shared" ref="Q728:Q732" si="482">IF(O728=0,0,IF(X728=0,"manual",(O728/(R728*tax*markup*IF(Y728&lt;&gt;"",VLOOKUP(LEFT(Y728,2),cityindex,2,0),1)+S728*markup*difficulty*IF(Y728&lt;&gt;"",VLOOKUP(LEFT(Y728,2),cityindex,3,0),1)+W728*markup*difficulty*IF(Y728&lt;&gt;"",VLOOKUP(LEFT(Y728,2),cityindex,3,0),1)))-1))</f>
        <v>manual</v>
      </c>
      <c r="S728" s="143">
        <f>U728*V728</f>
        <v>0</v>
      </c>
      <c r="X728" s="143">
        <f>SUM(R728,S728,W728)</f>
        <v>0</v>
      </c>
      <c r="Z728" s="143"/>
      <c r="AA728" s="143"/>
      <c r="AB728" s="143"/>
    </row>
    <row r="729" spans="4:28" x14ac:dyDescent="0.2">
      <c r="D729" s="228"/>
      <c r="E729" s="299"/>
      <c r="F729" s="299" t="s">
        <v>1084</v>
      </c>
      <c r="G729" s="299"/>
      <c r="H729" s="299"/>
      <c r="I729" s="230"/>
      <c r="J729" s="231"/>
      <c r="K729" s="232"/>
      <c r="L729" s="232"/>
      <c r="M729" s="232"/>
      <c r="N729" s="232"/>
      <c r="O729" s="232">
        <f t="shared" si="481"/>
        <v>0</v>
      </c>
      <c r="P729" s="233">
        <f t="shared" si="479"/>
        <v>0</v>
      </c>
      <c r="Q729" s="298">
        <f t="shared" si="482"/>
        <v>0</v>
      </c>
      <c r="S729" s="143">
        <f>U729*V729</f>
        <v>0</v>
      </c>
      <c r="X729" s="143">
        <f>SUM(R729,S729,W729)</f>
        <v>0</v>
      </c>
      <c r="Z729" s="143"/>
      <c r="AA729" s="143"/>
      <c r="AB729" s="143"/>
    </row>
    <row r="730" spans="4:28" x14ac:dyDescent="0.2">
      <c r="D730" s="228"/>
      <c r="E730" s="299"/>
      <c r="F730" s="299"/>
      <c r="G730" s="299" t="s">
        <v>1532</v>
      </c>
      <c r="H730" s="299"/>
      <c r="I730" s="230">
        <f>SUM(I728:I728)*20</f>
        <v>1560</v>
      </c>
      <c r="J730" s="231" t="s">
        <v>309</v>
      </c>
      <c r="K730" s="232">
        <v>4.58</v>
      </c>
      <c r="L730" s="232">
        <v>7.94</v>
      </c>
      <c r="M730" s="232"/>
      <c r="N730" s="232"/>
      <c r="O730" s="232">
        <f t="shared" si="481"/>
        <v>12.52</v>
      </c>
      <c r="P730" s="233">
        <f t="shared" si="479"/>
        <v>19531</v>
      </c>
      <c r="Q730" s="298" t="str">
        <f t="shared" si="482"/>
        <v>manual</v>
      </c>
      <c r="S730" s="143">
        <f>U730*V730</f>
        <v>0</v>
      </c>
      <c r="X730" s="143">
        <f>SUM(R730,S730,W730)</f>
        <v>0</v>
      </c>
      <c r="Z730" s="143"/>
      <c r="AA730" s="143"/>
      <c r="AB730" s="143"/>
    </row>
    <row r="731" spans="4:28" x14ac:dyDescent="0.2">
      <c r="D731" s="228"/>
      <c r="E731" s="299"/>
      <c r="F731" s="299"/>
      <c r="G731" s="299" t="s">
        <v>1533</v>
      </c>
      <c r="H731" s="299"/>
      <c r="I731" s="230"/>
      <c r="J731" s="231"/>
      <c r="K731" s="232"/>
      <c r="L731" s="232"/>
      <c r="M731" s="232"/>
      <c r="N731" s="232"/>
      <c r="O731" s="232">
        <f t="shared" si="481"/>
        <v>0</v>
      </c>
      <c r="P731" s="233">
        <f t="shared" si="479"/>
        <v>0</v>
      </c>
      <c r="Q731" s="298">
        <f t="shared" si="482"/>
        <v>0</v>
      </c>
      <c r="S731" s="143">
        <f>U731*V731</f>
        <v>0</v>
      </c>
      <c r="X731" s="143">
        <f>SUM(R731,S731,W731)</f>
        <v>0</v>
      </c>
      <c r="Z731" s="143"/>
      <c r="AA731" s="143"/>
      <c r="AB731" s="143"/>
    </row>
    <row r="732" spans="4:28" x14ac:dyDescent="0.2">
      <c r="D732" s="228"/>
      <c r="E732" s="299"/>
      <c r="F732" s="299"/>
      <c r="G732" s="299"/>
      <c r="H732" s="585" t="s">
        <v>1531</v>
      </c>
      <c r="I732" s="230">
        <f>SUM(I728*2)*80</f>
        <v>12480</v>
      </c>
      <c r="J732" s="231" t="s">
        <v>309</v>
      </c>
      <c r="K732" s="232">
        <v>0.48041999999999996</v>
      </c>
      <c r="L732" s="232">
        <v>2.0389036458333334</v>
      </c>
      <c r="M732" s="232"/>
      <c r="N732" s="232"/>
      <c r="O732" s="232">
        <f t="shared" si="481"/>
        <v>2.5193236458333335</v>
      </c>
      <c r="P732" s="233">
        <f t="shared" si="479"/>
        <v>31441</v>
      </c>
      <c r="Q732" s="298" t="str">
        <f t="shared" si="482"/>
        <v>manual</v>
      </c>
      <c r="S732" s="143">
        <f>U732*V732</f>
        <v>0</v>
      </c>
      <c r="X732" s="143">
        <f>SUM(R732,S732,W732)</f>
        <v>0</v>
      </c>
      <c r="Z732" s="143"/>
      <c r="AA732" s="143"/>
      <c r="AB732" s="143"/>
    </row>
    <row r="733" spans="4:28" x14ac:dyDescent="0.2">
      <c r="K733" s="149">
        <f>R733*tax*markup*IF(Y733&lt;&gt;"",VLOOKUP(LEFT(Y733,2),cityindex,2,0),1)</f>
        <v>0</v>
      </c>
      <c r="L733" s="149">
        <f>S733*markup*difficulty*IF(Y733&lt;&gt;"",VLOOKUP(LEFT(Y733,2),cityindex,3,0),1)</f>
        <v>0</v>
      </c>
      <c r="M733" s="149">
        <f>W733*markup*difficulty*IF(Y733&lt;&gt;"",VLOOKUP(LEFT(Y733,2),cityindex,3,0),1)</f>
        <v>0</v>
      </c>
      <c r="N733" s="149"/>
      <c r="O733" s="149">
        <f t="shared" si="478"/>
        <v>0</v>
      </c>
      <c r="P733" s="216">
        <f t="shared" si="479"/>
        <v>0</v>
      </c>
      <c r="Q733" s="291">
        <f>IF(O733=0,0,IF(X733=0,"manual",O733/((R733*tax*markup*IF(Y733&lt;&gt;"",VLOOKUP(LEFT(Y733,2),cityindex,2,0),1))+S733*markup*difficulty*IF(Y733&lt;&gt;"",VLOOKUP(LEFT(Y733,2),cityindex,3,0),1)+W733*markup*difficulty*IF(Y733&lt;&gt;"",VLOOKUP(LEFT(Y733,2),cityindex,3,0),1))))</f>
        <v>0</v>
      </c>
      <c r="S733" s="143">
        <f t="shared" si="480"/>
        <v>0</v>
      </c>
      <c r="X733" s="143">
        <f t="shared" si="477"/>
        <v>0</v>
      </c>
    </row>
    <row r="734" spans="4:28" ht="24.75" customHeight="1" x14ac:dyDescent="0.2">
      <c r="D734" s="217" t="str">
        <f>"TOTAL - " &amp; D726</f>
        <v>TOTAL - 27  COMMUNICATIONS</v>
      </c>
      <c r="E734" s="217"/>
      <c r="F734" s="217"/>
      <c r="G734" s="217"/>
      <c r="H734" s="217"/>
      <c r="I734" s="218"/>
      <c r="J734" s="219"/>
      <c r="K734" s="220"/>
      <c r="L734" s="220"/>
      <c r="M734" s="220"/>
      <c r="N734" s="220"/>
      <c r="O734" s="221"/>
      <c r="P734" s="222">
        <f>SUM(P726:P733)</f>
        <v>56270</v>
      </c>
      <c r="Q734" s="294" t="str">
        <f>_xlfn.CONCAT(TEXT(SUM(P734/GFA),"$#,##0.00"),"/SF")</f>
        <v>$1.79/SF</v>
      </c>
      <c r="S734" s="143">
        <f t="shared" si="480"/>
        <v>0</v>
      </c>
      <c r="X734" s="143">
        <f t="shared" si="477"/>
        <v>0</v>
      </c>
      <c r="Z734" s="314"/>
      <c r="AA734" s="315"/>
    </row>
    <row r="735" spans="4:28" x14ac:dyDescent="0.2">
      <c r="K735" s="149">
        <f>R735*tax*markup*IF(Y735&lt;&gt;"",VLOOKUP(LEFT(Y735,2),cityindex,2,0),1)</f>
        <v>0</v>
      </c>
      <c r="L735" s="149">
        <f>S735*markup*difficulty*IF(Y735&lt;&gt;"",VLOOKUP(LEFT(Y735,2),cityindex,3,0),1)</f>
        <v>0</v>
      </c>
      <c r="M735" s="149">
        <f>W735*markup*difficulty*IF(Y735&lt;&gt;"",VLOOKUP(LEFT(Y735,2),cityindex,3,0),1)</f>
        <v>0</v>
      </c>
      <c r="N735" s="149"/>
      <c r="O735" s="149">
        <f>SUM(K735:N735)*embed</f>
        <v>0</v>
      </c>
      <c r="P735" s="216">
        <f t="shared" ref="P735:P744" si="483">ROUND((O735*I735),0)</f>
        <v>0</v>
      </c>
      <c r="Q735" s="291">
        <f>IF(O735=0,0,IF(X735=0,"manual",O735/((R735*tax*markup*IF(Y735&lt;&gt;"",VLOOKUP(LEFT(Y735,2),cityindex,2,0),1))+S735*markup*difficulty*IF(Y735&lt;&gt;"",VLOOKUP(LEFT(Y735,2),cityindex,3,0),1)+W735*markup*difficulty*IF(Y735&lt;&gt;"",VLOOKUP(LEFT(Y735,2),cityindex,3,0),1))))</f>
        <v>0</v>
      </c>
      <c r="S735" s="143">
        <f t="shared" si="480"/>
        <v>0</v>
      </c>
      <c r="X735" s="143">
        <f t="shared" si="477"/>
        <v>0</v>
      </c>
    </row>
    <row r="736" spans="4:28" x14ac:dyDescent="0.2">
      <c r="D736" s="214" t="s">
        <v>286</v>
      </c>
      <c r="E736" s="215"/>
      <c r="F736" s="215"/>
      <c r="G736" s="215"/>
      <c r="H736" s="215"/>
      <c r="K736" s="149">
        <f>R736*tax*markup*IF(Y736&lt;&gt;"",VLOOKUP(LEFT(Y736,2),cityindex,2,0),1)</f>
        <v>0</v>
      </c>
      <c r="L736" s="149">
        <f>S736*markup*difficulty*IF(Y736&lt;&gt;"",VLOOKUP(LEFT(Y736,2),cityindex,3,0),1)</f>
        <v>0</v>
      </c>
      <c r="M736" s="149">
        <f>W736*markup*difficulty*IF(Y736&lt;&gt;"",VLOOKUP(LEFT(Y736,2),cityindex,3,0),1)</f>
        <v>0</v>
      </c>
      <c r="N736" s="149"/>
      <c r="O736" s="149">
        <f>SUM(K736:N736)*embed</f>
        <v>0</v>
      </c>
      <c r="P736" s="216">
        <f t="shared" si="483"/>
        <v>0</v>
      </c>
      <c r="Q736" s="291">
        <f>IF(O736=0,0,IF(X736=0,"manual",O736/((R736*tax*markup*IF(Y736&lt;&gt;"",VLOOKUP(LEFT(Y736,2),cityindex,2,0),1))+S736*markup*difficulty*IF(Y736&lt;&gt;"",VLOOKUP(LEFT(Y736,2),cityindex,3,0),1)+W736*markup*difficulty*IF(Y736&lt;&gt;"",VLOOKUP(LEFT(Y736,2),cityindex,3,0),1))))</f>
        <v>0</v>
      </c>
      <c r="S736" s="143">
        <f t="shared" si="480"/>
        <v>0</v>
      </c>
      <c r="X736" s="143">
        <f t="shared" si="477"/>
        <v>0</v>
      </c>
    </row>
    <row r="737" spans="4:27" x14ac:dyDescent="0.2">
      <c r="D737" s="228"/>
      <c r="E737" s="228" t="s">
        <v>1826</v>
      </c>
      <c r="F737" s="228"/>
      <c r="G737" s="228"/>
      <c r="H737" s="228"/>
      <c r="I737" s="230"/>
      <c r="J737" s="231"/>
      <c r="K737" s="149"/>
      <c r="L737" s="149"/>
      <c r="M737" s="149"/>
      <c r="N737" s="149"/>
      <c r="P737" s="216">
        <f t="shared" si="483"/>
        <v>0</v>
      </c>
      <c r="Q737" s="291">
        <f t="shared" ref="Q737:Q743" si="484">IF(O737=0,0,IF(X737=0,"manual",(O737/(R737*tax*markup*IF(Y737&lt;&gt;"",VLOOKUP(LEFT(Y737,2),cityindex,2,0),1)+S737*markup*difficulty*IF(Y737&lt;&gt;"",VLOOKUP(LEFT(Y737,2),cityindex,3,0),1)+W737*markup*difficulty*IF(Y737&lt;&gt;"",VLOOKUP(LEFT(Y737,2),cityindex,3,0),1)))-1))</f>
        <v>0</v>
      </c>
      <c r="S737" s="143">
        <f t="shared" si="480"/>
        <v>0</v>
      </c>
      <c r="X737" s="143">
        <f t="shared" si="477"/>
        <v>0</v>
      </c>
    </row>
    <row r="738" spans="4:27" x14ac:dyDescent="0.2">
      <c r="D738" s="228"/>
      <c r="E738" s="228"/>
      <c r="F738" s="228" t="s">
        <v>1228</v>
      </c>
      <c r="G738" s="228"/>
      <c r="H738" s="228"/>
      <c r="I738" s="230"/>
      <c r="J738" s="231"/>
      <c r="K738" s="232"/>
      <c r="L738" s="232"/>
      <c r="M738" s="232">
        <f t="shared" ref="M738:M744" si="485">W738*markup*difficulty*IF(Y738&lt;&gt;"",VLOOKUP(LEFT(Y738,2),cityindex,3,0),1)</f>
        <v>0</v>
      </c>
      <c r="N738" s="232"/>
      <c r="O738" s="232">
        <f t="shared" ref="O738:O744" si="486">SUM(K738:N738)*embed</f>
        <v>0</v>
      </c>
      <c r="P738" s="233">
        <f t="shared" si="483"/>
        <v>0</v>
      </c>
      <c r="Q738" s="291">
        <f t="shared" si="484"/>
        <v>0</v>
      </c>
      <c r="S738" s="143">
        <f t="shared" ref="S738:S743" si="487">U738*V738</f>
        <v>0</v>
      </c>
      <c r="X738" s="143">
        <f t="shared" ref="X738:X743" si="488">SUM(R738,S738,W738)</f>
        <v>0</v>
      </c>
    </row>
    <row r="739" spans="4:27" x14ac:dyDescent="0.2">
      <c r="D739" s="228"/>
      <c r="E739" s="228"/>
      <c r="F739" s="228"/>
      <c r="G739" s="228" t="s">
        <v>1827</v>
      </c>
      <c r="H739" s="228"/>
      <c r="I739" s="230">
        <v>14</v>
      </c>
      <c r="J739" s="231" t="s">
        <v>390</v>
      </c>
      <c r="K739" s="232">
        <v>10.73</v>
      </c>
      <c r="L739" s="232">
        <v>78.27</v>
      </c>
      <c r="M739" s="232">
        <f t="shared" si="485"/>
        <v>0</v>
      </c>
      <c r="N739" s="232"/>
      <c r="O739" s="232">
        <f t="shared" si="486"/>
        <v>89</v>
      </c>
      <c r="P739" s="233">
        <f t="shared" si="483"/>
        <v>1246</v>
      </c>
      <c r="Q739" s="291" t="str">
        <f t="shared" si="484"/>
        <v>manual</v>
      </c>
      <c r="S739" s="143">
        <f t="shared" si="487"/>
        <v>0</v>
      </c>
      <c r="X739" s="143">
        <f t="shared" si="488"/>
        <v>0</v>
      </c>
    </row>
    <row r="740" spans="4:27" x14ac:dyDescent="0.2">
      <c r="D740" s="228"/>
      <c r="E740" s="228"/>
      <c r="F740" s="228"/>
      <c r="G740" s="228" t="s">
        <v>1828</v>
      </c>
      <c r="H740" s="228"/>
      <c r="I740" s="230">
        <v>9</v>
      </c>
      <c r="J740" s="231" t="s">
        <v>390</v>
      </c>
      <c r="K740" s="232">
        <v>213.97</v>
      </c>
      <c r="L740" s="232">
        <v>94.48</v>
      </c>
      <c r="M740" s="232">
        <f t="shared" si="485"/>
        <v>0</v>
      </c>
      <c r="N740" s="232"/>
      <c r="O740" s="232">
        <f t="shared" si="486"/>
        <v>308.45</v>
      </c>
      <c r="P740" s="233">
        <f t="shared" si="483"/>
        <v>2776</v>
      </c>
      <c r="Q740" s="291" t="str">
        <f t="shared" si="484"/>
        <v>manual</v>
      </c>
      <c r="S740" s="143">
        <f t="shared" si="487"/>
        <v>0</v>
      </c>
      <c r="X740" s="143">
        <f t="shared" si="488"/>
        <v>0</v>
      </c>
    </row>
    <row r="741" spans="4:27" x14ac:dyDescent="0.2">
      <c r="D741" s="228"/>
      <c r="E741" s="228"/>
      <c r="F741" s="228"/>
      <c r="G741" s="228" t="s">
        <v>1829</v>
      </c>
      <c r="H741" s="228"/>
      <c r="I741" s="230">
        <v>22</v>
      </c>
      <c r="J741" s="231" t="s">
        <v>390</v>
      </c>
      <c r="K741" s="232">
        <v>262.61</v>
      </c>
      <c r="L741" s="232">
        <v>78.27</v>
      </c>
      <c r="M741" s="232">
        <f t="shared" si="485"/>
        <v>0</v>
      </c>
      <c r="N741" s="232"/>
      <c r="O741" s="232">
        <f t="shared" si="486"/>
        <v>340.88</v>
      </c>
      <c r="P741" s="233">
        <f t="shared" si="483"/>
        <v>7499</v>
      </c>
      <c r="Q741" s="291" t="str">
        <f t="shared" si="484"/>
        <v>manual</v>
      </c>
      <c r="S741" s="143">
        <f t="shared" si="487"/>
        <v>0</v>
      </c>
      <c r="X741" s="143">
        <f t="shared" si="488"/>
        <v>0</v>
      </c>
    </row>
    <row r="742" spans="4:27" x14ac:dyDescent="0.2">
      <c r="D742" s="228"/>
      <c r="E742" s="228"/>
      <c r="F742" s="228"/>
      <c r="G742" s="228" t="s">
        <v>1830</v>
      </c>
      <c r="H742" s="228"/>
      <c r="I742" s="230">
        <v>19</v>
      </c>
      <c r="J742" s="231" t="s">
        <v>390</v>
      </c>
      <c r="K742" s="232">
        <v>185.27</v>
      </c>
      <c r="L742" s="232">
        <v>106.72</v>
      </c>
      <c r="M742" s="232">
        <f t="shared" si="485"/>
        <v>0</v>
      </c>
      <c r="N742" s="232"/>
      <c r="O742" s="232">
        <f t="shared" si="486"/>
        <v>291.99</v>
      </c>
      <c r="P742" s="233">
        <f t="shared" si="483"/>
        <v>5548</v>
      </c>
      <c r="Q742" s="291" t="str">
        <f t="shared" si="484"/>
        <v>manual</v>
      </c>
      <c r="S742" s="143">
        <f t="shared" si="487"/>
        <v>0</v>
      </c>
      <c r="X742" s="143">
        <f t="shared" si="488"/>
        <v>0</v>
      </c>
    </row>
    <row r="743" spans="4:27" x14ac:dyDescent="0.2">
      <c r="D743" s="228"/>
      <c r="E743" s="228"/>
      <c r="F743" s="228" t="s">
        <v>1084</v>
      </c>
      <c r="G743" s="228"/>
      <c r="H743" s="228"/>
      <c r="I743" s="230">
        <f>SUM(I739:I742)*75</f>
        <v>4800</v>
      </c>
      <c r="J743" s="231" t="s">
        <v>309</v>
      </c>
      <c r="K743" s="232">
        <v>3.71</v>
      </c>
      <c r="L743" s="232">
        <v>5.03</v>
      </c>
      <c r="M743" s="232">
        <f t="shared" si="485"/>
        <v>0</v>
      </c>
      <c r="N743" s="232"/>
      <c r="O743" s="232">
        <f t="shared" si="486"/>
        <v>8.74</v>
      </c>
      <c r="P743" s="233">
        <f t="shared" si="483"/>
        <v>41952</v>
      </c>
      <c r="Q743" s="291" t="str">
        <f t="shared" si="484"/>
        <v>manual</v>
      </c>
      <c r="S743" s="143">
        <f t="shared" si="487"/>
        <v>0</v>
      </c>
      <c r="X743" s="143">
        <f t="shared" si="488"/>
        <v>0</v>
      </c>
    </row>
    <row r="744" spans="4:27" x14ac:dyDescent="0.2">
      <c r="K744" s="149">
        <f>R744*tax*markup*IF(Y744&lt;&gt;"",VLOOKUP(LEFT(Y744,2),cityindex,2,0),1)</f>
        <v>0</v>
      </c>
      <c r="L744" s="149">
        <f>S744*markup*difficulty*IF(Y744&lt;&gt;"",VLOOKUP(LEFT(Y744,2),cityindex,3,0),1)</f>
        <v>0</v>
      </c>
      <c r="M744" s="149">
        <f t="shared" si="485"/>
        <v>0</v>
      </c>
      <c r="N744" s="149"/>
      <c r="O744" s="149">
        <f t="shared" si="486"/>
        <v>0</v>
      </c>
      <c r="P744" s="216">
        <f t="shared" si="483"/>
        <v>0</v>
      </c>
      <c r="Q744" s="291">
        <f>IF(O744=0,0,IF(X744=0,"manual",O744/((R744*tax*markup*IF(Y744&lt;&gt;"",VLOOKUP(LEFT(Y744,2),cityindex,2,0),1))+S744*markup*difficulty*IF(Y744&lt;&gt;"",VLOOKUP(LEFT(Y744,2),cityindex,3,0),1)+W744*markup*difficulty*IF(Y744&lt;&gt;"",VLOOKUP(LEFT(Y744,2),cityindex,3,0),1))))</f>
        <v>0</v>
      </c>
      <c r="S744" s="143">
        <f t="shared" si="480"/>
        <v>0</v>
      </c>
      <c r="X744" s="143">
        <f t="shared" si="477"/>
        <v>0</v>
      </c>
    </row>
    <row r="745" spans="4:27" ht="24.75" customHeight="1" x14ac:dyDescent="0.2">
      <c r="D745" s="217" t="str">
        <f>"TOTAL - " &amp; D736</f>
        <v>TOTAL - 28  ELECTRONIC SAFETY AND SECURITY</v>
      </c>
      <c r="E745" s="217"/>
      <c r="F745" s="217"/>
      <c r="G745" s="217"/>
      <c r="H745" s="217"/>
      <c r="I745" s="218"/>
      <c r="J745" s="219"/>
      <c r="K745" s="220"/>
      <c r="L745" s="220"/>
      <c r="M745" s="220"/>
      <c r="N745" s="220"/>
      <c r="O745" s="221"/>
      <c r="P745" s="222">
        <f>SUM(P736:P744)</f>
        <v>59021</v>
      </c>
      <c r="Q745" s="294" t="str">
        <f>_xlfn.CONCAT(TEXT(SUM(P745/GFA),"$#,##0.00"),"/SF")</f>
        <v>$1.88/SF</v>
      </c>
      <c r="S745" s="143">
        <f t="shared" si="480"/>
        <v>0</v>
      </c>
      <c r="X745" s="143">
        <f t="shared" si="477"/>
        <v>0</v>
      </c>
      <c r="Z745" s="314"/>
      <c r="AA745" s="315"/>
    </row>
    <row r="746" spans="4:27" hidden="1" x14ac:dyDescent="0.2">
      <c r="K746" s="149">
        <f>R746*tax*markup*IF(Y746&lt;&gt;"",VLOOKUP(LEFT(Y746,2),cityindex,2,0),1)</f>
        <v>0</v>
      </c>
      <c r="L746" s="149">
        <f>S746*markup*difficulty*IF(Y746&lt;&gt;"",VLOOKUP(LEFT(Y746,2),cityindex,3,0),1)</f>
        <v>0</v>
      </c>
      <c r="M746" s="149">
        <f>W746*markup*difficulty*IF(Y746&lt;&gt;"",VLOOKUP(LEFT(Y746,2),cityindex,3,0),1)</f>
        <v>0</v>
      </c>
      <c r="N746" s="149"/>
      <c r="O746" s="149">
        <f>SUM(K746:N746)*embed</f>
        <v>0</v>
      </c>
      <c r="P746" s="216">
        <f>ROUND((O746*I746),0)</f>
        <v>0</v>
      </c>
      <c r="Q746" s="291">
        <f>IF(O746=0,0,IF(X746=0,"manual",O746/((R746*tax*markup*IF(Y746&lt;&gt;"",VLOOKUP(LEFT(Y746,2),cityindex,2,0),1))+S746*markup*difficulty*IF(Y746&lt;&gt;"",VLOOKUP(LEFT(Y746,2),cityindex,3,0),1)+W746*markup*difficulty*IF(Y746&lt;&gt;"",VLOOKUP(LEFT(Y746,2),cityindex,3,0),1))))</f>
        <v>0</v>
      </c>
      <c r="S746" s="143">
        <f t="shared" si="480"/>
        <v>0</v>
      </c>
      <c r="X746" s="143">
        <f t="shared" si="477"/>
        <v>0</v>
      </c>
    </row>
    <row r="747" spans="4:27" hidden="1" x14ac:dyDescent="0.2">
      <c r="D747" s="214" t="s">
        <v>287</v>
      </c>
      <c r="E747" s="215"/>
      <c r="F747" s="215"/>
      <c r="G747" s="215"/>
      <c r="H747" s="215"/>
      <c r="K747" s="149">
        <f>R747*tax*markup*IF(Y747&lt;&gt;"",VLOOKUP(LEFT(Y747,2),cityindex,2,0),1)</f>
        <v>0</v>
      </c>
      <c r="L747" s="149">
        <f>S747*markup*difficulty*IF(Y747&lt;&gt;"",VLOOKUP(LEFT(Y747,2),cityindex,3,0),1)</f>
        <v>0</v>
      </c>
      <c r="M747" s="149">
        <f>W747*markup*difficulty*IF(Y747&lt;&gt;"",VLOOKUP(LEFT(Y747,2),cityindex,3,0),1)</f>
        <v>0</v>
      </c>
      <c r="N747" s="149"/>
      <c r="O747" s="149">
        <f>SUM(K747:N747)*embed</f>
        <v>0</v>
      </c>
      <c r="P747" s="216">
        <f>ROUND((O747*I747),0)</f>
        <v>0</v>
      </c>
      <c r="Q747" s="291">
        <f>IF(O747=0,0,IF(X747=0,"manual",O747/((R747*tax*markup*IF(Y747&lt;&gt;"",VLOOKUP(LEFT(Y747,2),cityindex,2,0),1))+S747*markup*difficulty*IF(Y747&lt;&gt;"",VLOOKUP(LEFT(Y747,2),cityindex,3,0),1)+W747*markup*difficulty*IF(Y747&lt;&gt;"",VLOOKUP(LEFT(Y747,2),cityindex,3,0),1))))</f>
        <v>0</v>
      </c>
      <c r="S747" s="143">
        <f t="shared" si="480"/>
        <v>0</v>
      </c>
      <c r="X747" s="143">
        <f t="shared" si="477"/>
        <v>0</v>
      </c>
    </row>
    <row r="748" spans="4:27" hidden="1" x14ac:dyDescent="0.2"/>
    <row r="749" spans="4:27" hidden="1" x14ac:dyDescent="0.2"/>
    <row r="750" spans="4:27" hidden="1" x14ac:dyDescent="0.2">
      <c r="D750" s="228"/>
      <c r="E750" s="228"/>
      <c r="F750" s="228"/>
      <c r="G750" s="228"/>
      <c r="H750" s="228"/>
      <c r="I750" s="230"/>
      <c r="J750" s="231"/>
      <c r="K750" s="149">
        <f>R750*tax*markup*IF(Y750&lt;&gt;"",VLOOKUP(LEFT(Y750,2),cityindex,2,0),1)</f>
        <v>0</v>
      </c>
      <c r="L750" s="149">
        <f>S750*markup*difficulty*IF(Y750&lt;&gt;"",VLOOKUP(LEFT(Y750,2),cityindex,3,0),1)</f>
        <v>0</v>
      </c>
      <c r="M750" s="149">
        <f>W750*markup*difficulty*IF(Y750&lt;&gt;"",VLOOKUP(LEFT(Y750,2),cityindex,3,0),1)</f>
        <v>0</v>
      </c>
      <c r="N750" s="149"/>
      <c r="O750" s="149">
        <f>SUM(K750:N750)*embed</f>
        <v>0</v>
      </c>
      <c r="P750" s="216">
        <f>ROUND((O750*I750),0)</f>
        <v>0</v>
      </c>
      <c r="Q750" s="291">
        <f>IF(O750=0,0,IF(X750=0,"manual",(O750/(R750*tax*markup*IF(Y750&lt;&gt;"",VLOOKUP(LEFT(Y750,2),cityindex,2,0),1)+S750*markup*difficulty*IF(Y750&lt;&gt;"",VLOOKUP(LEFT(Y750,2),cityindex,3,0),1)+W750*markup*difficulty*IF(Y750&lt;&gt;"",VLOOKUP(LEFT(Y750,2),cityindex,3,0),1)))-1))</f>
        <v>0</v>
      </c>
      <c r="S750" s="143">
        <f t="shared" ref="S750:S759" si="489">U750*V750</f>
        <v>0</v>
      </c>
      <c r="X750" s="143">
        <f t="shared" ref="X750:X759" si="490">SUM(R750,S750,W750)</f>
        <v>0</v>
      </c>
    </row>
    <row r="751" spans="4:27" hidden="1" x14ac:dyDescent="0.2">
      <c r="K751" s="149">
        <f>R751*tax*markup*IF(Y751&lt;&gt;"",VLOOKUP(LEFT(Y751,2),cityindex,2,0),1)</f>
        <v>0</v>
      </c>
      <c r="L751" s="149">
        <f>S751*markup*difficulty*IF(Y751&lt;&gt;"",VLOOKUP(LEFT(Y751,2),cityindex,3,0),1)</f>
        <v>0</v>
      </c>
      <c r="M751" s="149">
        <f>W751*markup*difficulty*IF(Y751&lt;&gt;"",VLOOKUP(LEFT(Y751,2),cityindex,3,0),1)</f>
        <v>0</v>
      </c>
      <c r="N751" s="149"/>
      <c r="O751" s="149">
        <f>SUM(K751:N751)*embed</f>
        <v>0</v>
      </c>
      <c r="P751" s="216">
        <f>ROUND((O751*I751),0)</f>
        <v>0</v>
      </c>
      <c r="Q751" s="291">
        <f>IF(O751=0,0,IF(X751=0,"manual",O751/((R751*tax*markup*IF(Y751&lt;&gt;"",VLOOKUP(LEFT(Y751,2),cityindex,2,0),1))+S751*markup*difficulty*IF(Y751&lt;&gt;"",VLOOKUP(LEFT(Y751,2),cityindex,3,0),1)+W751*markup*difficulty*IF(Y751&lt;&gt;"",VLOOKUP(LEFT(Y751,2),cityindex,3,0),1))))</f>
        <v>0</v>
      </c>
      <c r="S751" s="143">
        <f t="shared" si="489"/>
        <v>0</v>
      </c>
      <c r="X751" s="143">
        <f t="shared" si="490"/>
        <v>0</v>
      </c>
    </row>
    <row r="752" spans="4:27" ht="24.75" hidden="1" customHeight="1" x14ac:dyDescent="0.2">
      <c r="D752" s="217" t="str">
        <f>"TOTAL - " &amp; D747</f>
        <v>TOTAL - 31  EARTHWORK</v>
      </c>
      <c r="E752" s="217"/>
      <c r="F752" s="217"/>
      <c r="G752" s="217"/>
      <c r="H752" s="217"/>
      <c r="I752" s="218"/>
      <c r="J752" s="219"/>
      <c r="K752" s="220"/>
      <c r="L752" s="220"/>
      <c r="M752" s="220"/>
      <c r="N752" s="220"/>
      <c r="O752" s="221"/>
      <c r="P752" s="222">
        <f>SUM(P747:P751)</f>
        <v>0</v>
      </c>
      <c r="Q752" s="294" t="str">
        <f>_xlfn.CONCAT(TEXT(SUM(P752/GFA),"$#,##0.00"),"/SF")</f>
        <v>$0.00/SF</v>
      </c>
      <c r="S752" s="143">
        <f t="shared" si="489"/>
        <v>0</v>
      </c>
      <c r="X752" s="143">
        <f t="shared" si="490"/>
        <v>0</v>
      </c>
      <c r="Z752" s="314"/>
      <c r="AA752" s="315"/>
    </row>
    <row r="753" spans="4:27" hidden="1" x14ac:dyDescent="0.2">
      <c r="K753" s="149">
        <f>R753*tax*markup*IF(Y753&lt;&gt;"",VLOOKUP(LEFT(Y753,2),cityindex,2,0),1)</f>
        <v>0</v>
      </c>
      <c r="L753" s="149">
        <f>S753*markup*difficulty*IF(Y753&lt;&gt;"",VLOOKUP(LEFT(Y753,2),cityindex,3,0),1)</f>
        <v>0</v>
      </c>
      <c r="M753" s="149">
        <f>W753*markup*difficulty*IF(Y753&lt;&gt;"",VLOOKUP(LEFT(Y753,2),cityindex,3,0),1)</f>
        <v>0</v>
      </c>
      <c r="N753" s="149"/>
      <c r="O753" s="149">
        <f>SUM(K753:N753)*embed</f>
        <v>0</v>
      </c>
      <c r="P753" s="216">
        <f>ROUND((O753*I753),0)</f>
        <v>0</v>
      </c>
      <c r="Q753" s="291">
        <f>IF(O753=0,0,IF(X753=0,"manual",O753/((R753*tax*markup*IF(Y753&lt;&gt;"",VLOOKUP(LEFT(Y753,2),cityindex,2,0),1))+S753*markup*difficulty*IF(Y753&lt;&gt;"",VLOOKUP(LEFT(Y753,2),cityindex,3,0),1)+W753*markup*difficulty*IF(Y753&lt;&gt;"",VLOOKUP(LEFT(Y753,2),cityindex,3,0),1))))</f>
        <v>0</v>
      </c>
      <c r="S753" s="143">
        <f t="shared" si="489"/>
        <v>0</v>
      </c>
      <c r="X753" s="143">
        <f t="shared" si="490"/>
        <v>0</v>
      </c>
    </row>
    <row r="754" spans="4:27" hidden="1" x14ac:dyDescent="0.2">
      <c r="D754" s="214" t="s">
        <v>288</v>
      </c>
      <c r="E754" s="215"/>
      <c r="F754" s="215"/>
      <c r="G754" s="215"/>
      <c r="H754" s="215"/>
      <c r="K754" s="149">
        <f>R754*tax*markup*IF(Y754&lt;&gt;"",VLOOKUP(LEFT(Y754,2),cityindex,2,0),1)</f>
        <v>0</v>
      </c>
      <c r="L754" s="149">
        <f>S754*markup*difficulty*IF(Y754&lt;&gt;"",VLOOKUP(LEFT(Y754,2),cityindex,3,0),1)</f>
        <v>0</v>
      </c>
      <c r="M754" s="149">
        <f>W754*markup*difficulty*IF(Y754&lt;&gt;"",VLOOKUP(LEFT(Y754,2),cityindex,3,0),1)</f>
        <v>0</v>
      </c>
      <c r="N754" s="149"/>
      <c r="O754" s="149">
        <f>SUM(K754:N754)*embed</f>
        <v>0</v>
      </c>
      <c r="P754" s="216">
        <f>ROUND((O754*I754),0)</f>
        <v>0</v>
      </c>
      <c r="Q754" s="291">
        <f>IF(O754=0,0,IF(X754=0,"manual",O754/((R754*tax*markup*IF(Y754&lt;&gt;"",VLOOKUP(LEFT(Y754,2),cityindex,2,0),1))+S754*markup*difficulty*IF(Y754&lt;&gt;"",VLOOKUP(LEFT(Y754,2),cityindex,3,0),1)+W754*markup*difficulty*IF(Y754&lt;&gt;"",VLOOKUP(LEFT(Y754,2),cityindex,3,0),1))))</f>
        <v>0</v>
      </c>
      <c r="S754" s="143">
        <f t="shared" si="489"/>
        <v>0</v>
      </c>
      <c r="X754" s="143">
        <f t="shared" si="490"/>
        <v>0</v>
      </c>
    </row>
    <row r="755" spans="4:27" hidden="1" x14ac:dyDescent="0.2">
      <c r="D755" s="228"/>
      <c r="E755" s="228"/>
      <c r="F755" s="228"/>
      <c r="G755" s="228"/>
      <c r="H755" s="228"/>
      <c r="I755" s="230"/>
      <c r="J755" s="231"/>
      <c r="K755" s="149">
        <f>R755*tax*markup*IF(Y755&lt;&gt;"",VLOOKUP(LEFT(Y755,2),cityindex,2,0),1)</f>
        <v>0</v>
      </c>
      <c r="L755" s="149">
        <f>S755*markup*difficulty*IF(Y755&lt;&gt;"",VLOOKUP(LEFT(Y755,2),cityindex,3,0),1)</f>
        <v>0</v>
      </c>
      <c r="M755" s="149">
        <f>W755*markup*difficulty*IF(Y755&lt;&gt;"",VLOOKUP(LEFT(Y755,2),cityindex,3,0),1)</f>
        <v>0</v>
      </c>
      <c r="N755" s="149"/>
      <c r="O755" s="149">
        <f>SUM(K755:N755)*embed</f>
        <v>0</v>
      </c>
      <c r="P755" s="216">
        <f>ROUND((O755*I755),0)</f>
        <v>0</v>
      </c>
      <c r="Q755" s="291">
        <f>IF(O755=0,0,IF(X755=0,"manual",(O755/(R755*tax*markup*IF(Y755&lt;&gt;"",VLOOKUP(LEFT(Y755,2),cityindex,2,0),1)+S755*markup*difficulty*IF(Y755&lt;&gt;"",VLOOKUP(LEFT(Y755,2),cityindex,3,0),1)+W755*markup*difficulty*IF(Y755&lt;&gt;"",VLOOKUP(LEFT(Y755,2),cityindex,3,0),1)))-1))</f>
        <v>0</v>
      </c>
      <c r="S755" s="143">
        <f t="shared" si="489"/>
        <v>0</v>
      </c>
      <c r="X755" s="143">
        <f t="shared" si="490"/>
        <v>0</v>
      </c>
    </row>
    <row r="756" spans="4:27" hidden="1" x14ac:dyDescent="0.2">
      <c r="K756" s="149">
        <f>R756*tax*markup*IF(Y756&lt;&gt;"",VLOOKUP(LEFT(Y756,2),cityindex,2,0),1)</f>
        <v>0</v>
      </c>
      <c r="L756" s="149">
        <f>S756*markup*difficulty*IF(Y756&lt;&gt;"",VLOOKUP(LEFT(Y756,2),cityindex,3,0),1)</f>
        <v>0</v>
      </c>
      <c r="M756" s="149">
        <f>W756*markup*difficulty*IF(Y756&lt;&gt;"",VLOOKUP(LEFT(Y756,2),cityindex,3,0),1)</f>
        <v>0</v>
      </c>
      <c r="N756" s="149"/>
      <c r="O756" s="149">
        <f>SUM(K756:N756)*embed</f>
        <v>0</v>
      </c>
      <c r="P756" s="216">
        <f>ROUND((O756*I756),0)</f>
        <v>0</v>
      </c>
      <c r="Q756" s="291">
        <f>IF(O756=0,0,IF(X756=0,"manual",O756/((R756*tax*markup*IF(Y756&lt;&gt;"",VLOOKUP(LEFT(Y756,2),cityindex,2,0),1))+S756*markup*difficulty*IF(Y756&lt;&gt;"",VLOOKUP(LEFT(Y756,2),cityindex,3,0),1)+W756*markup*difficulty*IF(Y756&lt;&gt;"",VLOOKUP(LEFT(Y756,2),cityindex,3,0),1))))</f>
        <v>0</v>
      </c>
      <c r="S756" s="143">
        <f t="shared" si="489"/>
        <v>0</v>
      </c>
      <c r="X756" s="143">
        <f t="shared" si="490"/>
        <v>0</v>
      </c>
    </row>
    <row r="757" spans="4:27" ht="24.75" hidden="1" customHeight="1" x14ac:dyDescent="0.2">
      <c r="D757" s="217" t="str">
        <f>"TOTAL - " &amp; D754</f>
        <v>TOTAL - 32  EXTERIOR IMPROVEMENTS</v>
      </c>
      <c r="E757" s="217"/>
      <c r="F757" s="217"/>
      <c r="G757" s="217"/>
      <c r="H757" s="217"/>
      <c r="I757" s="218"/>
      <c r="J757" s="219"/>
      <c r="K757" s="220"/>
      <c r="L757" s="220"/>
      <c r="M757" s="220"/>
      <c r="N757" s="220"/>
      <c r="O757" s="221"/>
      <c r="P757" s="222">
        <f>SUM(P754:P756)</f>
        <v>0</v>
      </c>
      <c r="Q757" s="294" t="str">
        <f>_xlfn.CONCAT(TEXT(SUM(P757/GFA),"$#,##0.00"),"/SF")</f>
        <v>$0.00/SF</v>
      </c>
      <c r="S757" s="143">
        <f t="shared" si="489"/>
        <v>0</v>
      </c>
      <c r="X757" s="143">
        <f t="shared" si="490"/>
        <v>0</v>
      </c>
      <c r="Z757" s="314"/>
      <c r="AA757" s="315"/>
    </row>
    <row r="758" spans="4:27" hidden="1" x14ac:dyDescent="0.2">
      <c r="K758" s="149">
        <f>R758*tax*markup*IF(Y758&lt;&gt;"",VLOOKUP(LEFT(Y758,2),cityindex,2,0),1)</f>
        <v>0</v>
      </c>
      <c r="L758" s="149">
        <f>S758*markup*difficulty*IF(Y758&lt;&gt;"",VLOOKUP(LEFT(Y758,2),cityindex,3,0),1)</f>
        <v>0</v>
      </c>
      <c r="M758" s="149">
        <f>W758*markup*difficulty*IF(Y758&lt;&gt;"",VLOOKUP(LEFT(Y758,2),cityindex,3,0),1)</f>
        <v>0</v>
      </c>
      <c r="N758" s="149"/>
      <c r="O758" s="149">
        <f>SUM(K758:N758)*embed</f>
        <v>0</v>
      </c>
      <c r="P758" s="216">
        <f>ROUND((O758*I758),0)</f>
        <v>0</v>
      </c>
      <c r="Q758" s="291">
        <f>IF(O758=0,0,IF(X758=0,"manual",O758/((R758*tax*markup*IF(Y758&lt;&gt;"",VLOOKUP(LEFT(Y758,2),cityindex,2,0),1))+S758*markup*difficulty*IF(Y758&lt;&gt;"",VLOOKUP(LEFT(Y758,2),cityindex,3,0),1)+W758*markup*difficulty*IF(Y758&lt;&gt;"",VLOOKUP(LEFT(Y758,2),cityindex,3,0),1))))</f>
        <v>0</v>
      </c>
      <c r="S758" s="143">
        <f t="shared" si="489"/>
        <v>0</v>
      </c>
      <c r="X758" s="143">
        <f t="shared" si="490"/>
        <v>0</v>
      </c>
    </row>
    <row r="759" spans="4:27" hidden="1" x14ac:dyDescent="0.2">
      <c r="D759" s="214" t="s">
        <v>289</v>
      </c>
      <c r="E759" s="215"/>
      <c r="F759" s="215"/>
      <c r="G759" s="215"/>
      <c r="H759" s="215"/>
      <c r="K759" s="149">
        <f>R759*tax*markup*IF(Y759&lt;&gt;"",VLOOKUP(LEFT(Y759,2),cityindex,2,0),1)</f>
        <v>0</v>
      </c>
      <c r="L759" s="149">
        <f>S759*markup*difficulty*IF(Y759&lt;&gt;"",VLOOKUP(LEFT(Y759,2),cityindex,3,0),1)</f>
        <v>0</v>
      </c>
      <c r="M759" s="149">
        <f>W759*markup*difficulty*IF(Y759&lt;&gt;"",VLOOKUP(LEFT(Y759,2),cityindex,3,0),1)</f>
        <v>0</v>
      </c>
      <c r="N759" s="149"/>
      <c r="O759" s="149">
        <f>SUM(K759:N759)*embed</f>
        <v>0</v>
      </c>
      <c r="P759" s="216">
        <f>ROUND((O759*I759),0)</f>
        <v>0</v>
      </c>
      <c r="Q759" s="291">
        <f>IF(O759=0,0,IF(X759=0,"manual",O759/((R759*tax*markup*IF(Y759&lt;&gt;"",VLOOKUP(LEFT(Y759,2),cityindex,2,0),1))+S759*markup*difficulty*IF(Y759&lt;&gt;"",VLOOKUP(LEFT(Y759,2),cityindex,3,0),1)+W759*markup*difficulty*IF(Y759&lt;&gt;"",VLOOKUP(LEFT(Y759,2),cityindex,3,0),1))))</f>
        <v>0</v>
      </c>
      <c r="S759" s="143">
        <f t="shared" si="489"/>
        <v>0</v>
      </c>
      <c r="X759" s="143">
        <f t="shared" si="490"/>
        <v>0</v>
      </c>
    </row>
    <row r="760" spans="4:27" hidden="1" x14ac:dyDescent="0.2"/>
    <row r="761" spans="4:27" hidden="1" x14ac:dyDescent="0.2"/>
    <row r="762" spans="4:27" hidden="1" x14ac:dyDescent="0.2"/>
    <row r="763" spans="4:27" hidden="1" x14ac:dyDescent="0.2"/>
    <row r="764" spans="4:27" hidden="1" x14ac:dyDescent="0.2"/>
    <row r="765" spans="4:27" hidden="1" x14ac:dyDescent="0.2"/>
    <row r="766" spans="4:27" hidden="1" x14ac:dyDescent="0.2">
      <c r="K766" s="149">
        <f>R766*tax*markup*IF(Y766&lt;&gt;"",VLOOKUP(LEFT(Y766,2),cityindex,2,0),1)</f>
        <v>0</v>
      </c>
      <c r="L766" s="149">
        <f>S766*markup*difficulty*IF(Y766&lt;&gt;"",VLOOKUP(LEFT(Y766,2),cityindex,3,0),1)</f>
        <v>0</v>
      </c>
      <c r="M766" s="149">
        <f>W766*markup*difficulty*IF(Y766&lt;&gt;"",VLOOKUP(LEFT(Y766,2),cityindex,3,0),1)</f>
        <v>0</v>
      </c>
      <c r="N766" s="149"/>
      <c r="O766" s="149">
        <f>SUM(K766:N766)*embed</f>
        <v>0</v>
      </c>
      <c r="P766" s="216">
        <f>ROUND((O766*I766),0)</f>
        <v>0</v>
      </c>
      <c r="Q766" s="291">
        <f>IF(O766=0,0,IF(X766=0,"manual",O766/((R766*tax*markup*IF(Y766&lt;&gt;"",VLOOKUP(LEFT(Y766,2),cityindex,2,0),1))+S766*markup*difficulty*IF(Y766&lt;&gt;"",VLOOKUP(LEFT(Y766,2),cityindex,3,0),1)+W766*markup*difficulty*IF(Y766&lt;&gt;"",VLOOKUP(LEFT(Y766,2),cityindex,3,0),1))))</f>
        <v>0</v>
      </c>
      <c r="S766" s="143">
        <f>U766*V766</f>
        <v>0</v>
      </c>
      <c r="X766" s="143">
        <f>SUM(R766,S766,W766)</f>
        <v>0</v>
      </c>
    </row>
    <row r="767" spans="4:27" ht="24.75" hidden="1" customHeight="1" x14ac:dyDescent="0.2">
      <c r="D767" s="217" t="str">
        <f>"TOTAL - " &amp; D759</f>
        <v>TOTAL - 33  UTILITIES</v>
      </c>
      <c r="E767" s="217"/>
      <c r="F767" s="217"/>
      <c r="G767" s="217"/>
      <c r="H767" s="217"/>
      <c r="I767" s="218"/>
      <c r="J767" s="219"/>
      <c r="K767" s="220"/>
      <c r="L767" s="220"/>
      <c r="M767" s="220"/>
      <c r="N767" s="220"/>
      <c r="O767" s="221"/>
      <c r="P767" s="222">
        <f>SUM(P759:P766)</f>
        <v>0</v>
      </c>
      <c r="Q767" s="294" t="str">
        <f>_xlfn.CONCAT(TEXT(SUM(P767/GFA),"$#,##0.00"),"/SF")</f>
        <v>$0.00/SF</v>
      </c>
      <c r="S767" s="143">
        <f>U767*V767</f>
        <v>0</v>
      </c>
      <c r="X767" s="143">
        <f>SUM(R767,S767,W767)</f>
        <v>0</v>
      </c>
      <c r="Z767" s="314"/>
      <c r="AA767" s="315"/>
    </row>
    <row r="768" spans="4:27" hidden="1" x14ac:dyDescent="0.2">
      <c r="K768" s="149"/>
      <c r="L768" s="149"/>
      <c r="M768" s="149"/>
      <c r="N768" s="149"/>
      <c r="P768" s="216"/>
      <c r="Q768" s="291">
        <f t="shared" ref="Q768:Q782" si="491">IF(O768=0,0,IF(X768=0,"manual",O768/((R768*tax*markup*IF(Y768&lt;&gt;"",VLOOKUP(LEFT(Y768,2),cityindex,2,0),1))+S768*markup*difficulty*IF(Y768&lt;&gt;"",VLOOKUP(LEFT(Y768,2),cityindex,3,0),1)+W768*markup*difficulty*IF(Y768&lt;&gt;"",VLOOKUP(LEFT(Y768,2),cityindex,3,0),1))))</f>
        <v>0</v>
      </c>
      <c r="S768" s="143">
        <f t="shared" ref="S768:S778" si="492">U768*V768</f>
        <v>0</v>
      </c>
      <c r="X768" s="143">
        <f t="shared" ref="X768:X778" si="493">SUM(R768,S768,W768)</f>
        <v>0</v>
      </c>
    </row>
    <row r="769" spans="1:47" hidden="1" x14ac:dyDescent="0.2">
      <c r="D769" s="214" t="s">
        <v>290</v>
      </c>
      <c r="E769" s="215"/>
      <c r="F769" s="215"/>
      <c r="G769" s="215"/>
      <c r="H769" s="215"/>
      <c r="K769" s="149"/>
      <c r="L769" s="149"/>
      <c r="M769" s="149"/>
      <c r="N769" s="149"/>
      <c r="P769" s="216"/>
      <c r="Q769" s="291">
        <f t="shared" si="491"/>
        <v>0</v>
      </c>
      <c r="S769" s="143">
        <f t="shared" si="492"/>
        <v>0</v>
      </c>
      <c r="X769" s="143">
        <f t="shared" si="493"/>
        <v>0</v>
      </c>
    </row>
    <row r="770" spans="1:47" hidden="1" x14ac:dyDescent="0.2">
      <c r="K770" s="149">
        <f>R770*tax*markup*IF(Y770&lt;&gt;"",VLOOKUP(LEFT(Y770,2),cityindex,2,0),1)</f>
        <v>0</v>
      </c>
      <c r="L770" s="149">
        <f>S770*markup*difficulty*IF(Y770&lt;&gt;"",VLOOKUP(LEFT(Y770,2),cityindex,3,0),1)</f>
        <v>0</v>
      </c>
      <c r="M770" s="149">
        <f>W770*markup*difficulty*IF(Y770&lt;&gt;"",VLOOKUP(LEFT(Y770,2),cityindex,3,0),1)</f>
        <v>0</v>
      </c>
      <c r="N770" s="149"/>
      <c r="O770" s="149">
        <f>SUM(K770:N770)*embed</f>
        <v>0</v>
      </c>
      <c r="P770" s="216">
        <f>ROUND((O770*I770),0)</f>
        <v>0</v>
      </c>
      <c r="Q770" s="291">
        <f t="shared" si="491"/>
        <v>0</v>
      </c>
      <c r="S770" s="143">
        <f t="shared" si="492"/>
        <v>0</v>
      </c>
      <c r="X770" s="143">
        <f t="shared" si="493"/>
        <v>0</v>
      </c>
    </row>
    <row r="771" spans="1:47" ht="24.75" hidden="1" customHeight="1" x14ac:dyDescent="0.2">
      <c r="D771" s="217" t="str">
        <f>"TOTAL - " &amp; D769</f>
        <v>TOTAL - 34  TRANSPORTATION</v>
      </c>
      <c r="E771" s="217"/>
      <c r="F771" s="217"/>
      <c r="G771" s="217"/>
      <c r="H771" s="217"/>
      <c r="I771" s="218"/>
      <c r="J771" s="219"/>
      <c r="K771" s="220"/>
      <c r="L771" s="220"/>
      <c r="M771" s="220"/>
      <c r="N771" s="220"/>
      <c r="O771" s="221"/>
      <c r="P771" s="222">
        <f>SUM(P769:P770)</f>
        <v>0</v>
      </c>
      <c r="S771" s="143">
        <f t="shared" si="492"/>
        <v>0</v>
      </c>
      <c r="X771" s="143">
        <f t="shared" si="493"/>
        <v>0</v>
      </c>
      <c r="Z771" s="314">
        <f>P771/GFA</f>
        <v>0</v>
      </c>
      <c r="AA771" s="315"/>
    </row>
    <row r="772" spans="1:47" hidden="1" x14ac:dyDescent="0.2">
      <c r="K772" s="149"/>
      <c r="L772" s="149"/>
      <c r="M772" s="149"/>
      <c r="N772" s="149"/>
      <c r="P772" s="216"/>
      <c r="Q772" s="291">
        <f t="shared" si="491"/>
        <v>0</v>
      </c>
      <c r="S772" s="143">
        <f t="shared" si="492"/>
        <v>0</v>
      </c>
      <c r="X772" s="143">
        <f t="shared" si="493"/>
        <v>0</v>
      </c>
    </row>
    <row r="773" spans="1:47" hidden="1" x14ac:dyDescent="0.2">
      <c r="D773" s="214" t="s">
        <v>291</v>
      </c>
      <c r="E773" s="215"/>
      <c r="F773" s="215"/>
      <c r="G773" s="215"/>
      <c r="H773" s="215"/>
      <c r="K773" s="149"/>
      <c r="L773" s="149"/>
      <c r="M773" s="149"/>
      <c r="N773" s="149"/>
      <c r="P773" s="216"/>
      <c r="Q773" s="291">
        <f t="shared" si="491"/>
        <v>0</v>
      </c>
      <c r="S773" s="143">
        <f t="shared" si="492"/>
        <v>0</v>
      </c>
      <c r="X773" s="143">
        <f t="shared" si="493"/>
        <v>0</v>
      </c>
    </row>
    <row r="774" spans="1:47" hidden="1" x14ac:dyDescent="0.2">
      <c r="K774" s="149">
        <f>R774*tax*markup*IF(Y774&lt;&gt;"",VLOOKUP(LEFT(Y774,2),cityindex,2,0),1)</f>
        <v>0</v>
      </c>
      <c r="L774" s="149">
        <f>S774*markup*difficulty*IF(Y774&lt;&gt;"",VLOOKUP(LEFT(Y774,2),cityindex,3,0),1)</f>
        <v>0</v>
      </c>
      <c r="M774" s="149">
        <f>W774*markup*difficulty*IF(Y774&lt;&gt;"",VLOOKUP(LEFT(Y774,2),cityindex,3,0),1)</f>
        <v>0</v>
      </c>
      <c r="N774" s="149"/>
      <c r="O774" s="149">
        <f>SUM(K774:N774)*embed</f>
        <v>0</v>
      </c>
      <c r="P774" s="216">
        <f>ROUND((O774*I774),0)</f>
        <v>0</v>
      </c>
      <c r="Q774" s="291">
        <f t="shared" si="491"/>
        <v>0</v>
      </c>
      <c r="S774" s="143">
        <f t="shared" si="492"/>
        <v>0</v>
      </c>
      <c r="X774" s="143">
        <f t="shared" si="493"/>
        <v>0</v>
      </c>
    </row>
    <row r="775" spans="1:47" ht="24.75" hidden="1" customHeight="1" x14ac:dyDescent="0.2">
      <c r="D775" s="217" t="str">
        <f>"TOTAL - " &amp; D773</f>
        <v>TOTAL - 35  WATERWAY AND MARINE</v>
      </c>
      <c r="E775" s="217"/>
      <c r="F775" s="217"/>
      <c r="G775" s="217"/>
      <c r="H775" s="217"/>
      <c r="I775" s="218"/>
      <c r="J775" s="219"/>
      <c r="K775" s="220"/>
      <c r="L775" s="220"/>
      <c r="M775" s="220"/>
      <c r="N775" s="220"/>
      <c r="O775" s="221"/>
      <c r="P775" s="222">
        <f>SUM(P773:P774)</f>
        <v>0</v>
      </c>
      <c r="S775" s="143">
        <f t="shared" si="492"/>
        <v>0</v>
      </c>
      <c r="X775" s="143">
        <f t="shared" si="493"/>
        <v>0</v>
      </c>
      <c r="Z775" s="314">
        <f>P775/GFA</f>
        <v>0</v>
      </c>
      <c r="AA775" s="315"/>
    </row>
    <row r="776" spans="1:47" hidden="1" x14ac:dyDescent="0.2">
      <c r="K776" s="149"/>
      <c r="L776" s="149"/>
      <c r="M776" s="149"/>
      <c r="N776" s="149"/>
      <c r="P776" s="216"/>
      <c r="Q776" s="291">
        <f t="shared" si="491"/>
        <v>0</v>
      </c>
      <c r="S776" s="143">
        <f t="shared" si="492"/>
        <v>0</v>
      </c>
      <c r="X776" s="143">
        <f t="shared" si="493"/>
        <v>0</v>
      </c>
    </row>
    <row r="777" spans="1:47" hidden="1" x14ac:dyDescent="0.2">
      <c r="D777" s="214" t="s">
        <v>292</v>
      </c>
      <c r="E777" s="215"/>
      <c r="F777" s="215"/>
      <c r="G777" s="215"/>
      <c r="H777" s="215"/>
      <c r="K777" s="149"/>
      <c r="L777" s="149"/>
      <c r="M777" s="149"/>
      <c r="N777" s="149"/>
      <c r="P777" s="216"/>
      <c r="Q777" s="291">
        <f t="shared" si="491"/>
        <v>0</v>
      </c>
      <c r="S777" s="143">
        <f t="shared" si="492"/>
        <v>0</v>
      </c>
      <c r="X777" s="143">
        <f t="shared" si="493"/>
        <v>0</v>
      </c>
    </row>
    <row r="778" spans="1:47" hidden="1" x14ac:dyDescent="0.2">
      <c r="K778" s="149">
        <f>R778*tax*markup*IF(Y778&lt;&gt;"",VLOOKUP(LEFT(Y778,2),cityindex,2,0),1)</f>
        <v>0</v>
      </c>
      <c r="L778" s="149">
        <f>S778*markup*difficulty*IF(Y778&lt;&gt;"",VLOOKUP(LEFT(Y778,2),cityindex,3,0),1)</f>
        <v>0</v>
      </c>
      <c r="M778" s="149">
        <f>W778*markup*difficulty*IF(Y778&lt;&gt;"",VLOOKUP(LEFT(Y778,2),cityindex,3,0),1)</f>
        <v>0</v>
      </c>
      <c r="N778" s="149"/>
      <c r="O778" s="149">
        <f>SUM(K778:N778)*embed</f>
        <v>0</v>
      </c>
      <c r="P778" s="216">
        <f>ROUND((O778*I778),0)</f>
        <v>0</v>
      </c>
      <c r="Q778" s="291">
        <f t="shared" si="491"/>
        <v>0</v>
      </c>
      <c r="S778" s="143">
        <f t="shared" si="492"/>
        <v>0</v>
      </c>
      <c r="X778" s="143">
        <f t="shared" si="493"/>
        <v>0</v>
      </c>
    </row>
    <row r="779" spans="1:47" ht="24.75" hidden="1" customHeight="1" x14ac:dyDescent="0.2">
      <c r="D779" s="217" t="str">
        <f>"TOTAL - " &amp; D777</f>
        <v>TOTAL - 41  MATERIAL PROCESSING AND HANDLING EQUIPMENT</v>
      </c>
      <c r="E779" s="217"/>
      <c r="F779" s="217"/>
      <c r="G779" s="217"/>
      <c r="H779" s="217"/>
      <c r="I779" s="218"/>
      <c r="J779" s="219"/>
      <c r="K779" s="220"/>
      <c r="L779" s="220"/>
      <c r="M779" s="220"/>
      <c r="N779" s="220"/>
      <c r="O779" s="221"/>
      <c r="P779" s="222">
        <f>SUM(P777:P778)</f>
        <v>0</v>
      </c>
      <c r="S779" s="143">
        <f>U779*V779</f>
        <v>0</v>
      </c>
      <c r="X779" s="143">
        <f>SUM(R779,S779,W779)</f>
        <v>0</v>
      </c>
      <c r="Z779" s="314">
        <f>P779/GFA</f>
        <v>0</v>
      </c>
      <c r="AA779" s="315"/>
    </row>
    <row r="780" spans="1:47" hidden="1" x14ac:dyDescent="0.2">
      <c r="K780" s="149"/>
      <c r="L780" s="149"/>
      <c r="M780" s="149"/>
      <c r="N780" s="149"/>
      <c r="P780" s="216"/>
      <c r="Q780" s="291">
        <f t="shared" si="491"/>
        <v>0</v>
      </c>
      <c r="S780" s="143">
        <f>U780*V780</f>
        <v>0</v>
      </c>
      <c r="X780" s="143">
        <f>SUM(R780,S780,W780)</f>
        <v>0</v>
      </c>
    </row>
    <row r="781" spans="1:47" hidden="1" x14ac:dyDescent="0.2">
      <c r="D781" s="214" t="s">
        <v>293</v>
      </c>
      <c r="E781" s="215"/>
      <c r="F781" s="215"/>
      <c r="G781" s="215"/>
      <c r="H781" s="215"/>
      <c r="K781" s="149"/>
      <c r="L781" s="149"/>
      <c r="M781" s="149"/>
      <c r="N781" s="149"/>
      <c r="P781" s="216"/>
      <c r="Q781" s="291">
        <f t="shared" si="491"/>
        <v>0</v>
      </c>
      <c r="S781" s="143">
        <f>U781*V781</f>
        <v>0</v>
      </c>
      <c r="X781" s="143">
        <f>SUM(R781,S781,W781)</f>
        <v>0</v>
      </c>
    </row>
    <row r="782" spans="1:47" hidden="1" x14ac:dyDescent="0.2">
      <c r="K782" s="149">
        <f>R782*tax*markup*IF(Y782&lt;&gt;"",VLOOKUP(LEFT(Y782,2),cityindex,2,0),1)</f>
        <v>0</v>
      </c>
      <c r="L782" s="149">
        <f>S782*markup*difficulty*IF(Y782&lt;&gt;"",VLOOKUP(LEFT(Y782,2),cityindex,3,0),1)</f>
        <v>0</v>
      </c>
      <c r="M782" s="149">
        <f>W782*markup*difficulty*IF(Y782&lt;&gt;"",VLOOKUP(LEFT(Y782,2),cityindex,3,0),1)</f>
        <v>0</v>
      </c>
      <c r="N782" s="149"/>
      <c r="O782" s="149">
        <f>SUM(K782:N782)*embed</f>
        <v>0</v>
      </c>
      <c r="P782" s="216">
        <f>ROUND((O782*I782),0)</f>
        <v>0</v>
      </c>
      <c r="Q782" s="291">
        <f t="shared" si="491"/>
        <v>0</v>
      </c>
      <c r="S782" s="143">
        <f>U782*V782</f>
        <v>0</v>
      </c>
      <c r="X782" s="143">
        <f>SUM(R782,S782,W782)</f>
        <v>0</v>
      </c>
    </row>
    <row r="783" spans="1:47" ht="24.75" hidden="1" customHeight="1" x14ac:dyDescent="0.2">
      <c r="D783" s="217" t="str">
        <f>"TOTAL - " &amp; D781</f>
        <v>TOTAL - 44  POLLUTION CONTROL EQUIPMENT</v>
      </c>
      <c r="E783" s="217"/>
      <c r="F783" s="217"/>
      <c r="G783" s="217"/>
      <c r="H783" s="217"/>
      <c r="I783" s="218"/>
      <c r="J783" s="219"/>
      <c r="K783" s="220"/>
      <c r="L783" s="220"/>
      <c r="M783" s="220"/>
      <c r="N783" s="220"/>
      <c r="O783" s="221"/>
      <c r="P783" s="222">
        <f>SUM(P781:P782)</f>
        <v>0</v>
      </c>
      <c r="S783" s="143">
        <f>U783*V783</f>
        <v>0</v>
      </c>
      <c r="X783" s="143">
        <f>SUM(R783,S783,W783)</f>
        <v>0</v>
      </c>
      <c r="Z783" s="314">
        <f>P783/GFA</f>
        <v>0</v>
      </c>
      <c r="AA783" s="315"/>
    </row>
    <row r="784" spans="1:47" s="150" customFormat="1" x14ac:dyDescent="0.2">
      <c r="A784" s="143" t="s">
        <v>935</v>
      </c>
      <c r="B784" s="237" t="s">
        <v>936</v>
      </c>
      <c r="C784" s="145"/>
      <c r="D784" s="143"/>
      <c r="E784" s="143"/>
      <c r="F784" s="143"/>
      <c r="G784" s="143"/>
      <c r="H784" s="143"/>
      <c r="I784" s="146"/>
      <c r="J784" s="147"/>
      <c r="K784" s="148"/>
      <c r="L784" s="148"/>
      <c r="M784" s="148"/>
      <c r="N784" s="238"/>
      <c r="O784" s="149"/>
      <c r="P784" s="216"/>
      <c r="Q784" s="291"/>
      <c r="R784" s="143"/>
      <c r="S784" s="143"/>
      <c r="T784" s="143"/>
      <c r="U784" s="143"/>
      <c r="V784" s="143"/>
      <c r="W784" s="143"/>
      <c r="X784" s="143"/>
      <c r="Y784" s="143"/>
      <c r="Z784" s="311"/>
      <c r="AA784" s="311"/>
      <c r="AB784" s="311"/>
      <c r="AC784" s="311"/>
      <c r="AD784" s="602"/>
      <c r="AE784" s="143"/>
      <c r="AF784" s="143"/>
      <c r="AG784" s="143"/>
      <c r="AH784" s="143"/>
      <c r="AI784" s="143"/>
      <c r="AJ784" s="143"/>
      <c r="AK784" s="143"/>
      <c r="AL784" s="143"/>
      <c r="AM784" s="143"/>
      <c r="AN784" s="143"/>
      <c r="AO784" s="143"/>
      <c r="AP784" s="143"/>
      <c r="AQ784" s="143"/>
      <c r="AR784" s="143"/>
      <c r="AS784" s="143"/>
      <c r="AT784" s="143"/>
      <c r="AU784" s="143"/>
    </row>
    <row r="785" spans="1:47" s="150" customFormat="1" x14ac:dyDescent="0.2">
      <c r="A785" s="143"/>
      <c r="B785" s="144"/>
      <c r="C785" s="145"/>
      <c r="D785" s="143"/>
      <c r="E785" s="143"/>
      <c r="F785" s="143"/>
      <c r="G785" s="143"/>
      <c r="H785" s="143"/>
      <c r="I785" s="146"/>
      <c r="J785" s="147"/>
      <c r="K785" s="148"/>
      <c r="L785" s="148"/>
      <c r="M785" s="148"/>
      <c r="N785" s="238"/>
      <c r="O785" s="149"/>
      <c r="P785" s="216"/>
      <c r="Q785" s="291"/>
      <c r="R785" s="143"/>
      <c r="S785" s="143"/>
      <c r="T785" s="143"/>
      <c r="U785" s="143"/>
      <c r="V785" s="143"/>
      <c r="W785" s="143"/>
      <c r="X785" s="143"/>
      <c r="Y785" s="143"/>
      <c r="Z785" s="311"/>
      <c r="AA785" s="311"/>
      <c r="AB785" s="311"/>
      <c r="AC785" s="311"/>
      <c r="AD785" s="602"/>
      <c r="AE785" s="143"/>
      <c r="AF785" s="143"/>
      <c r="AG785" s="143"/>
      <c r="AH785" s="143"/>
      <c r="AI785" s="143"/>
      <c r="AJ785" s="143"/>
      <c r="AK785" s="143"/>
      <c r="AL785" s="143"/>
      <c r="AM785" s="143"/>
      <c r="AN785" s="143"/>
      <c r="AO785" s="143"/>
      <c r="AP785" s="143"/>
      <c r="AQ785" s="143"/>
      <c r="AR785" s="143"/>
      <c r="AS785" s="143"/>
      <c r="AT785" s="143"/>
      <c r="AU785" s="143"/>
    </row>
    <row r="786" spans="1:47" s="150" customFormat="1" x14ac:dyDescent="0.2">
      <c r="A786" s="143"/>
      <c r="B786" s="144"/>
      <c r="C786" s="145"/>
      <c r="D786" s="143"/>
      <c r="E786" s="143"/>
      <c r="F786" s="143"/>
      <c r="G786" s="143"/>
      <c r="H786" s="143"/>
      <c r="I786" s="146"/>
      <c r="J786" s="147"/>
      <c r="K786" s="148"/>
      <c r="L786" s="148"/>
      <c r="M786" s="148"/>
      <c r="N786" s="148"/>
      <c r="O786" s="149"/>
      <c r="P786" s="216"/>
      <c r="Q786" s="291"/>
      <c r="R786" s="143"/>
      <c r="S786" s="143"/>
      <c r="T786" s="143"/>
      <c r="U786" s="143"/>
      <c r="V786" s="143"/>
      <c r="W786" s="143"/>
      <c r="X786" s="143"/>
      <c r="Y786" s="143"/>
      <c r="Z786" s="311"/>
      <c r="AA786" s="311"/>
      <c r="AB786" s="311"/>
      <c r="AC786" s="311"/>
      <c r="AD786" s="602"/>
      <c r="AE786" s="143"/>
      <c r="AF786" s="143"/>
      <c r="AG786" s="143"/>
      <c r="AH786" s="143"/>
      <c r="AI786" s="143"/>
      <c r="AJ786" s="143"/>
      <c r="AK786" s="143"/>
      <c r="AL786" s="143"/>
      <c r="AM786" s="143"/>
      <c r="AN786" s="143"/>
      <c r="AO786" s="143"/>
      <c r="AP786" s="143"/>
      <c r="AQ786" s="143"/>
      <c r="AR786" s="143"/>
      <c r="AS786" s="143"/>
      <c r="AT786" s="143"/>
      <c r="AU786" s="143"/>
    </row>
    <row r="787" spans="1:47" s="150" customFormat="1" x14ac:dyDescent="0.2">
      <c r="A787" s="143"/>
      <c r="B787" s="144"/>
      <c r="C787" s="145"/>
      <c r="D787" s="143"/>
      <c r="E787" s="143"/>
      <c r="F787" s="143"/>
      <c r="G787" s="143"/>
      <c r="H787" s="143"/>
      <c r="I787" s="146"/>
      <c r="J787" s="147"/>
      <c r="K787" s="148"/>
      <c r="L787" s="148"/>
      <c r="M787" s="148"/>
      <c r="N787" s="148"/>
      <c r="O787" s="149"/>
      <c r="P787" s="216"/>
      <c r="Q787" s="291"/>
      <c r="R787" s="143"/>
      <c r="S787" s="143"/>
      <c r="T787" s="143"/>
      <c r="U787" s="143"/>
      <c r="V787" s="143"/>
      <c r="W787" s="143"/>
      <c r="X787" s="143"/>
      <c r="Y787" s="143"/>
      <c r="Z787" s="311"/>
      <c r="AA787" s="311"/>
      <c r="AB787" s="311"/>
      <c r="AC787" s="311"/>
      <c r="AD787" s="602"/>
      <c r="AE787" s="143"/>
      <c r="AF787" s="143"/>
      <c r="AG787" s="143"/>
      <c r="AH787" s="143"/>
      <c r="AI787" s="143"/>
      <c r="AJ787" s="143"/>
      <c r="AK787" s="143"/>
      <c r="AL787" s="143"/>
      <c r="AM787" s="143"/>
      <c r="AN787" s="143"/>
      <c r="AO787" s="143"/>
      <c r="AP787" s="143"/>
      <c r="AQ787" s="143"/>
      <c r="AR787" s="143"/>
      <c r="AS787" s="143"/>
      <c r="AT787" s="143"/>
      <c r="AU787" s="143"/>
    </row>
    <row r="788" spans="1:47" s="150" customFormat="1" x14ac:dyDescent="0.2">
      <c r="A788" s="143"/>
      <c r="B788" s="144"/>
      <c r="C788" s="145"/>
      <c r="D788" s="143"/>
      <c r="E788" s="143"/>
      <c r="F788" s="143"/>
      <c r="G788" s="143"/>
      <c r="H788" s="143"/>
      <c r="I788" s="146"/>
      <c r="J788" s="147"/>
      <c r="K788" s="148"/>
      <c r="L788" s="148"/>
      <c r="M788" s="148"/>
      <c r="N788" s="148"/>
      <c r="O788" s="149"/>
      <c r="P788" s="216"/>
      <c r="Q788" s="291"/>
      <c r="R788" s="143"/>
      <c r="S788" s="143"/>
      <c r="T788" s="143"/>
      <c r="U788" s="143"/>
      <c r="V788" s="143"/>
      <c r="W788" s="143"/>
      <c r="X788" s="143"/>
      <c r="Y788" s="143"/>
      <c r="Z788" s="311"/>
      <c r="AA788" s="311"/>
      <c r="AB788" s="311"/>
      <c r="AC788" s="311"/>
      <c r="AD788" s="602"/>
      <c r="AE788" s="143"/>
      <c r="AF788" s="143"/>
      <c r="AG788" s="143"/>
      <c r="AH788" s="143"/>
      <c r="AI788" s="143"/>
      <c r="AJ788" s="143"/>
      <c r="AK788" s="143"/>
      <c r="AL788" s="143"/>
      <c r="AM788" s="143"/>
      <c r="AN788" s="143"/>
      <c r="AO788" s="143"/>
      <c r="AP788" s="143"/>
      <c r="AQ788" s="143"/>
      <c r="AR788" s="143"/>
      <c r="AS788" s="143"/>
      <c r="AT788" s="143"/>
      <c r="AU788" s="143"/>
    </row>
    <row r="789" spans="1:47" s="150" customFormat="1" x14ac:dyDescent="0.2">
      <c r="A789" s="143"/>
      <c r="B789" s="144"/>
      <c r="C789" s="145"/>
      <c r="D789" s="143"/>
      <c r="E789" s="143"/>
      <c r="F789" s="143"/>
      <c r="G789" s="143"/>
      <c r="H789" s="143"/>
      <c r="I789" s="146"/>
      <c r="J789" s="147"/>
      <c r="K789" s="148"/>
      <c r="L789" s="148"/>
      <c r="M789" s="148"/>
      <c r="N789" s="148"/>
      <c r="O789" s="149"/>
      <c r="P789" s="216"/>
      <c r="Q789" s="291"/>
      <c r="R789" s="143"/>
      <c r="S789" s="143"/>
      <c r="T789" s="143"/>
      <c r="U789" s="143"/>
      <c r="V789" s="143"/>
      <c r="W789" s="143"/>
      <c r="X789" s="143"/>
      <c r="Y789" s="143"/>
      <c r="Z789" s="311"/>
      <c r="AA789" s="311"/>
      <c r="AB789" s="311"/>
      <c r="AC789" s="311"/>
      <c r="AD789" s="602"/>
      <c r="AE789" s="143"/>
      <c r="AF789" s="143"/>
      <c r="AG789" s="143"/>
      <c r="AH789" s="143"/>
      <c r="AI789" s="143"/>
      <c r="AJ789" s="143"/>
      <c r="AK789" s="143"/>
      <c r="AL789" s="143"/>
      <c r="AM789" s="143"/>
      <c r="AN789" s="143"/>
      <c r="AO789" s="143"/>
      <c r="AP789" s="143"/>
      <c r="AQ789" s="143"/>
      <c r="AR789" s="143"/>
      <c r="AS789" s="143"/>
      <c r="AT789" s="143"/>
      <c r="AU789" s="143"/>
    </row>
    <row r="790" spans="1:47" s="150" customFormat="1" x14ac:dyDescent="0.2">
      <c r="A790" s="143"/>
      <c r="B790" s="144"/>
      <c r="C790" s="145"/>
      <c r="D790" s="143"/>
      <c r="E790" s="143"/>
      <c r="F790" s="143"/>
      <c r="G790" s="143"/>
      <c r="H790" s="143"/>
      <c r="I790" s="146"/>
      <c r="J790" s="147"/>
      <c r="K790" s="148"/>
      <c r="L790" s="148"/>
      <c r="M790" s="148"/>
      <c r="N790" s="148"/>
      <c r="O790" s="149"/>
      <c r="P790" s="216"/>
      <c r="Q790" s="291"/>
      <c r="R790" s="143"/>
      <c r="S790" s="143"/>
      <c r="T790" s="143"/>
      <c r="U790" s="143"/>
      <c r="V790" s="143"/>
      <c r="W790" s="143"/>
      <c r="X790" s="143"/>
      <c r="Y790" s="143"/>
      <c r="Z790" s="311"/>
      <c r="AA790" s="311"/>
      <c r="AB790" s="311"/>
      <c r="AC790" s="311"/>
      <c r="AD790" s="602"/>
      <c r="AE790" s="143"/>
      <c r="AF790" s="143"/>
      <c r="AG790" s="143"/>
      <c r="AH790" s="143"/>
      <c r="AI790" s="143"/>
      <c r="AJ790" s="143"/>
      <c r="AK790" s="143"/>
      <c r="AL790" s="143"/>
      <c r="AM790" s="143"/>
      <c r="AN790" s="143"/>
      <c r="AO790" s="143"/>
      <c r="AP790" s="143"/>
      <c r="AQ790" s="143"/>
      <c r="AR790" s="143"/>
      <c r="AS790" s="143"/>
      <c r="AT790" s="143"/>
      <c r="AU790" s="143"/>
    </row>
    <row r="791" spans="1:47" s="150" customFormat="1" x14ac:dyDescent="0.2">
      <c r="A791" s="143"/>
      <c r="B791" s="144"/>
      <c r="C791" s="145"/>
      <c r="D791" s="143"/>
      <c r="E791" s="143"/>
      <c r="F791" s="143"/>
      <c r="G791" s="143"/>
      <c r="H791" s="143"/>
      <c r="I791" s="146"/>
      <c r="J791" s="147"/>
      <c r="K791" s="148"/>
      <c r="L791" s="148"/>
      <c r="M791" s="148"/>
      <c r="N791" s="148"/>
      <c r="O791" s="149"/>
      <c r="P791" s="216"/>
      <c r="Q791" s="291"/>
      <c r="R791" s="143"/>
      <c r="S791" s="143"/>
      <c r="T791" s="143"/>
      <c r="U791" s="143"/>
      <c r="V791" s="143"/>
      <c r="W791" s="143"/>
      <c r="X791" s="143"/>
      <c r="Y791" s="143"/>
      <c r="Z791" s="311"/>
      <c r="AA791" s="311"/>
      <c r="AB791" s="311"/>
      <c r="AC791" s="311"/>
      <c r="AD791" s="602"/>
      <c r="AE791" s="143"/>
      <c r="AF791" s="143"/>
      <c r="AG791" s="143"/>
      <c r="AH791" s="143"/>
      <c r="AI791" s="143"/>
      <c r="AJ791" s="143"/>
      <c r="AK791" s="143"/>
      <c r="AL791" s="143"/>
      <c r="AM791" s="143"/>
      <c r="AN791" s="143"/>
      <c r="AO791" s="143"/>
      <c r="AP791" s="143"/>
      <c r="AQ791" s="143"/>
      <c r="AR791" s="143"/>
      <c r="AS791" s="143"/>
      <c r="AT791" s="143"/>
      <c r="AU791" s="143"/>
    </row>
    <row r="792" spans="1:47" s="150" customFormat="1" x14ac:dyDescent="0.2">
      <c r="A792" s="143"/>
      <c r="B792" s="144"/>
      <c r="C792" s="145"/>
      <c r="D792" s="143"/>
      <c r="E792" s="143"/>
      <c r="F792" s="143"/>
      <c r="G792" s="143"/>
      <c r="H792" s="143"/>
      <c r="I792" s="146"/>
      <c r="J792" s="147"/>
      <c r="K792" s="148"/>
      <c r="L792" s="148"/>
      <c r="M792" s="148"/>
      <c r="N792" s="148"/>
      <c r="O792" s="149"/>
      <c r="P792" s="216"/>
      <c r="Q792" s="291"/>
      <c r="R792" s="143"/>
      <c r="S792" s="143"/>
      <c r="T792" s="143"/>
      <c r="U792" s="143"/>
      <c r="V792" s="143"/>
      <c r="W792" s="143"/>
      <c r="X792" s="143"/>
      <c r="Y792" s="143"/>
      <c r="Z792" s="311"/>
      <c r="AA792" s="311"/>
      <c r="AB792" s="311"/>
      <c r="AC792" s="311"/>
      <c r="AD792" s="602"/>
      <c r="AE792" s="143"/>
      <c r="AF792" s="143"/>
      <c r="AG792" s="143"/>
      <c r="AH792" s="143"/>
      <c r="AI792" s="143"/>
      <c r="AJ792" s="143"/>
      <c r="AK792" s="143"/>
      <c r="AL792" s="143"/>
      <c r="AM792" s="143"/>
      <c r="AN792" s="143"/>
      <c r="AO792" s="143"/>
      <c r="AP792" s="143"/>
      <c r="AQ792" s="143"/>
      <c r="AR792" s="143"/>
      <c r="AS792" s="143"/>
      <c r="AT792" s="143"/>
      <c r="AU792" s="143"/>
    </row>
    <row r="793" spans="1:47" s="150" customFormat="1" x14ac:dyDescent="0.2">
      <c r="A793" s="143"/>
      <c r="B793" s="144"/>
      <c r="C793" s="145"/>
      <c r="D793" s="143"/>
      <c r="E793" s="143"/>
      <c r="F793" s="143"/>
      <c r="G793" s="143"/>
      <c r="H793" s="143"/>
      <c r="I793" s="146"/>
      <c r="J793" s="147"/>
      <c r="K793" s="148"/>
      <c r="L793" s="148"/>
      <c r="M793" s="148"/>
      <c r="N793" s="148"/>
      <c r="O793" s="149"/>
      <c r="P793" s="216"/>
      <c r="Q793" s="291"/>
      <c r="R793" s="143"/>
      <c r="S793" s="143"/>
      <c r="T793" s="143"/>
      <c r="U793" s="143"/>
      <c r="V793" s="143"/>
      <c r="W793" s="143"/>
      <c r="X793" s="143"/>
      <c r="Y793" s="143"/>
      <c r="Z793" s="311"/>
      <c r="AA793" s="311"/>
      <c r="AB793" s="311"/>
      <c r="AC793" s="311"/>
      <c r="AD793" s="602"/>
      <c r="AE793" s="143"/>
      <c r="AF793" s="143"/>
      <c r="AG793" s="143"/>
      <c r="AH793" s="143"/>
      <c r="AI793" s="143"/>
      <c r="AJ793" s="143"/>
      <c r="AK793" s="143"/>
      <c r="AL793" s="143"/>
      <c r="AM793" s="143"/>
      <c r="AN793" s="143"/>
      <c r="AO793" s="143"/>
      <c r="AP793" s="143"/>
      <c r="AQ793" s="143"/>
      <c r="AR793" s="143"/>
      <c r="AS793" s="143"/>
      <c r="AT793" s="143"/>
      <c r="AU793" s="143"/>
    </row>
    <row r="794" spans="1:47" s="150" customFormat="1" x14ac:dyDescent="0.2">
      <c r="A794" s="143"/>
      <c r="B794" s="144"/>
      <c r="C794" s="145"/>
      <c r="D794" s="143"/>
      <c r="E794" s="143"/>
      <c r="F794" s="143"/>
      <c r="G794" s="143"/>
      <c r="H794" s="143"/>
      <c r="I794" s="146"/>
      <c r="J794" s="147"/>
      <c r="K794" s="148"/>
      <c r="L794" s="148"/>
      <c r="M794" s="148"/>
      <c r="N794" s="148"/>
      <c r="O794" s="149"/>
      <c r="P794" s="216"/>
      <c r="Q794" s="291"/>
      <c r="R794" s="143"/>
      <c r="S794" s="143"/>
      <c r="T794" s="143"/>
      <c r="U794" s="143"/>
      <c r="V794" s="143"/>
      <c r="W794" s="143"/>
      <c r="X794" s="143"/>
      <c r="Y794" s="143"/>
      <c r="Z794" s="311"/>
      <c r="AA794" s="311"/>
      <c r="AB794" s="311"/>
      <c r="AC794" s="311"/>
      <c r="AD794" s="602"/>
      <c r="AE794" s="143"/>
      <c r="AF794" s="143"/>
      <c r="AG794" s="143"/>
      <c r="AH794" s="143"/>
      <c r="AI794" s="143"/>
      <c r="AJ794" s="143"/>
      <c r="AK794" s="143"/>
      <c r="AL794" s="143"/>
      <c r="AM794" s="143"/>
      <c r="AN794" s="143"/>
      <c r="AO794" s="143"/>
      <c r="AP794" s="143"/>
      <c r="AQ794" s="143"/>
      <c r="AR794" s="143"/>
      <c r="AS794" s="143"/>
      <c r="AT794" s="143"/>
      <c r="AU794" s="143"/>
    </row>
    <row r="795" spans="1:47" s="150" customFormat="1" x14ac:dyDescent="0.2">
      <c r="A795" s="143"/>
      <c r="B795" s="144"/>
      <c r="C795" s="145"/>
      <c r="D795" s="143"/>
      <c r="E795" s="143"/>
      <c r="F795" s="143"/>
      <c r="G795" s="143"/>
      <c r="H795" s="143"/>
      <c r="I795" s="146"/>
      <c r="J795" s="147"/>
      <c r="K795" s="148"/>
      <c r="L795" s="148"/>
      <c r="M795" s="148"/>
      <c r="N795" s="148"/>
      <c r="O795" s="149"/>
      <c r="P795" s="216"/>
      <c r="Q795" s="291"/>
      <c r="R795" s="143"/>
      <c r="S795" s="143"/>
      <c r="T795" s="143"/>
      <c r="U795" s="143"/>
      <c r="V795" s="143"/>
      <c r="W795" s="143"/>
      <c r="X795" s="143"/>
      <c r="Y795" s="143"/>
      <c r="Z795" s="311"/>
      <c r="AA795" s="311"/>
      <c r="AB795" s="311"/>
      <c r="AC795" s="311"/>
      <c r="AD795" s="602"/>
      <c r="AE795" s="143"/>
      <c r="AF795" s="143"/>
      <c r="AG795" s="143"/>
      <c r="AH795" s="143"/>
      <c r="AI795" s="143"/>
      <c r="AJ795" s="143"/>
      <c r="AK795" s="143"/>
      <c r="AL795" s="143"/>
      <c r="AM795" s="143"/>
      <c r="AN795" s="143"/>
      <c r="AO795" s="143"/>
      <c r="AP795" s="143"/>
      <c r="AQ795" s="143"/>
      <c r="AR795" s="143"/>
      <c r="AS795" s="143"/>
      <c r="AT795" s="143"/>
      <c r="AU795" s="143"/>
    </row>
    <row r="796" spans="1:47" s="150" customFormat="1" x14ac:dyDescent="0.2">
      <c r="A796" s="143"/>
      <c r="B796" s="144"/>
      <c r="C796" s="145"/>
      <c r="D796" s="143"/>
      <c r="E796" s="143"/>
      <c r="F796" s="143"/>
      <c r="G796" s="143"/>
      <c r="H796" s="143"/>
      <c r="I796" s="146"/>
      <c r="J796" s="147"/>
      <c r="K796" s="148"/>
      <c r="L796" s="148"/>
      <c r="M796" s="148"/>
      <c r="N796" s="148"/>
      <c r="O796" s="149"/>
      <c r="P796" s="216"/>
      <c r="Q796" s="291"/>
      <c r="R796" s="143"/>
      <c r="S796" s="143"/>
      <c r="T796" s="143"/>
      <c r="U796" s="143"/>
      <c r="V796" s="143"/>
      <c r="W796" s="143"/>
      <c r="X796" s="143"/>
      <c r="Y796" s="143"/>
      <c r="Z796" s="311"/>
      <c r="AA796" s="311"/>
      <c r="AB796" s="311"/>
      <c r="AC796" s="311"/>
      <c r="AD796" s="602"/>
      <c r="AE796" s="143"/>
      <c r="AF796" s="143"/>
      <c r="AG796" s="143"/>
      <c r="AH796" s="143"/>
      <c r="AI796" s="143"/>
      <c r="AJ796" s="143"/>
      <c r="AK796" s="143"/>
      <c r="AL796" s="143"/>
      <c r="AM796" s="143"/>
      <c r="AN796" s="143"/>
      <c r="AO796" s="143"/>
      <c r="AP796" s="143"/>
      <c r="AQ796" s="143"/>
      <c r="AR796" s="143"/>
      <c r="AS796" s="143"/>
      <c r="AT796" s="143"/>
      <c r="AU796" s="143"/>
    </row>
    <row r="797" spans="1:47" s="150" customFormat="1" x14ac:dyDescent="0.2">
      <c r="A797" s="143"/>
      <c r="B797" s="144"/>
      <c r="C797" s="145"/>
      <c r="D797" s="143"/>
      <c r="E797" s="143"/>
      <c r="F797" s="143"/>
      <c r="G797" s="143"/>
      <c r="H797" s="143"/>
      <c r="I797" s="146"/>
      <c r="J797" s="147"/>
      <c r="K797" s="148"/>
      <c r="L797" s="148"/>
      <c r="M797" s="148"/>
      <c r="N797" s="148"/>
      <c r="O797" s="149"/>
      <c r="P797" s="216"/>
      <c r="Q797" s="291"/>
      <c r="R797" s="143"/>
      <c r="S797" s="143"/>
      <c r="T797" s="143"/>
      <c r="U797" s="143"/>
      <c r="V797" s="143"/>
      <c r="W797" s="143"/>
      <c r="X797" s="143"/>
      <c r="Y797" s="143"/>
      <c r="Z797" s="311"/>
      <c r="AA797" s="311"/>
      <c r="AB797" s="311"/>
      <c r="AC797" s="311"/>
      <c r="AD797" s="602"/>
      <c r="AE797" s="143"/>
      <c r="AF797" s="143"/>
      <c r="AG797" s="143"/>
      <c r="AH797" s="143"/>
      <c r="AI797" s="143"/>
      <c r="AJ797" s="143"/>
      <c r="AK797" s="143"/>
      <c r="AL797" s="143"/>
      <c r="AM797" s="143"/>
      <c r="AN797" s="143"/>
      <c r="AO797" s="143"/>
      <c r="AP797" s="143"/>
      <c r="AQ797" s="143"/>
      <c r="AR797" s="143"/>
      <c r="AS797" s="143"/>
      <c r="AT797" s="143"/>
      <c r="AU797" s="143"/>
    </row>
    <row r="798" spans="1:47" s="150" customFormat="1" x14ac:dyDescent="0.2">
      <c r="A798" s="143"/>
      <c r="B798" s="144"/>
      <c r="C798" s="145"/>
      <c r="D798" s="143"/>
      <c r="E798" s="143"/>
      <c r="F798" s="143"/>
      <c r="G798" s="143"/>
      <c r="H798" s="143"/>
      <c r="I798" s="146"/>
      <c r="J798" s="147"/>
      <c r="K798" s="148"/>
      <c r="L798" s="148"/>
      <c r="M798" s="148"/>
      <c r="N798" s="148"/>
      <c r="O798" s="149"/>
      <c r="P798" s="216"/>
      <c r="Q798" s="291"/>
      <c r="R798" s="143"/>
      <c r="S798" s="143"/>
      <c r="T798" s="143"/>
      <c r="U798" s="143"/>
      <c r="V798" s="143"/>
      <c r="W798" s="143"/>
      <c r="X798" s="143"/>
      <c r="Y798" s="143"/>
      <c r="Z798" s="311"/>
      <c r="AA798" s="311"/>
      <c r="AB798" s="311"/>
      <c r="AC798" s="311"/>
      <c r="AD798" s="602"/>
      <c r="AE798" s="143"/>
      <c r="AF798" s="143"/>
      <c r="AG798" s="143"/>
      <c r="AH798" s="143"/>
      <c r="AI798" s="143"/>
      <c r="AJ798" s="143"/>
      <c r="AK798" s="143"/>
      <c r="AL798" s="143"/>
      <c r="AM798" s="143"/>
      <c r="AN798" s="143"/>
      <c r="AO798" s="143"/>
      <c r="AP798" s="143"/>
      <c r="AQ798" s="143"/>
      <c r="AR798" s="143"/>
      <c r="AS798" s="143"/>
      <c r="AT798" s="143"/>
      <c r="AU798" s="143"/>
    </row>
    <row r="799" spans="1:47" s="150" customFormat="1" x14ac:dyDescent="0.2">
      <c r="A799" s="143"/>
      <c r="B799" s="144"/>
      <c r="C799" s="145"/>
      <c r="D799" s="143"/>
      <c r="E799" s="143"/>
      <c r="F799" s="143"/>
      <c r="G799" s="143"/>
      <c r="H799" s="143"/>
      <c r="I799" s="146"/>
      <c r="J799" s="147"/>
      <c r="K799" s="148"/>
      <c r="L799" s="148"/>
      <c r="M799" s="148"/>
      <c r="N799" s="148"/>
      <c r="O799" s="149"/>
      <c r="P799" s="146"/>
      <c r="Q799" s="291"/>
      <c r="R799" s="143"/>
      <c r="S799" s="143"/>
      <c r="T799" s="143"/>
      <c r="U799" s="143"/>
      <c r="V799" s="143"/>
      <c r="W799" s="143"/>
      <c r="X799" s="143"/>
      <c r="Y799" s="143"/>
      <c r="Z799" s="311"/>
      <c r="AA799" s="311"/>
      <c r="AB799" s="311"/>
      <c r="AC799" s="311"/>
      <c r="AD799" s="602"/>
      <c r="AE799" s="143"/>
      <c r="AF799" s="143"/>
      <c r="AG799" s="143"/>
      <c r="AH799" s="143"/>
      <c r="AI799" s="143"/>
      <c r="AJ799" s="143"/>
      <c r="AK799" s="143"/>
      <c r="AL799" s="143"/>
      <c r="AM799" s="143"/>
      <c r="AN799" s="143"/>
      <c r="AO799" s="143"/>
      <c r="AP799" s="143"/>
      <c r="AQ799" s="143"/>
      <c r="AR799" s="143"/>
      <c r="AS799" s="143"/>
      <c r="AT799" s="143"/>
      <c r="AU799" s="143"/>
    </row>
    <row r="800" spans="1:47" s="150" customFormat="1" x14ac:dyDescent="0.2">
      <c r="A800" s="143"/>
      <c r="B800" s="144"/>
      <c r="C800" s="145"/>
      <c r="D800" s="143"/>
      <c r="E800" s="143"/>
      <c r="F800" s="143"/>
      <c r="G800" s="143"/>
      <c r="H800" s="143"/>
      <c r="I800" s="146"/>
      <c r="J800" s="147"/>
      <c r="K800" s="148"/>
      <c r="L800" s="148"/>
      <c r="M800" s="148"/>
      <c r="N800" s="148"/>
      <c r="O800" s="149"/>
      <c r="P800" s="146"/>
      <c r="Q800" s="291"/>
      <c r="R800" s="143"/>
      <c r="S800" s="143"/>
      <c r="T800" s="143"/>
      <c r="U800" s="143"/>
      <c r="V800" s="143"/>
      <c r="W800" s="143"/>
      <c r="X800" s="143"/>
      <c r="Y800" s="143"/>
      <c r="Z800" s="311"/>
      <c r="AA800" s="311"/>
      <c r="AB800" s="311"/>
      <c r="AC800" s="311"/>
      <c r="AD800" s="602"/>
      <c r="AE800" s="143"/>
      <c r="AF800" s="143"/>
      <c r="AG800" s="143"/>
      <c r="AH800" s="143"/>
      <c r="AI800" s="143"/>
      <c r="AJ800" s="143"/>
      <c r="AK800" s="143"/>
      <c r="AL800" s="143"/>
      <c r="AM800" s="143"/>
      <c r="AN800" s="143"/>
      <c r="AO800" s="143"/>
      <c r="AP800" s="143"/>
      <c r="AQ800" s="143"/>
      <c r="AR800" s="143"/>
      <c r="AS800" s="143"/>
      <c r="AT800" s="143"/>
      <c r="AU800" s="143"/>
    </row>
    <row r="801" spans="1:47" s="150" customFormat="1" x14ac:dyDescent="0.2">
      <c r="A801" s="143"/>
      <c r="B801" s="144"/>
      <c r="C801" s="145"/>
      <c r="D801" s="143"/>
      <c r="E801" s="143"/>
      <c r="F801" s="143"/>
      <c r="G801" s="143"/>
      <c r="H801" s="143"/>
      <c r="I801" s="146"/>
      <c r="J801" s="147"/>
      <c r="K801" s="148"/>
      <c r="L801" s="148"/>
      <c r="M801" s="148"/>
      <c r="N801" s="148"/>
      <c r="O801" s="149"/>
      <c r="P801" s="146"/>
      <c r="Q801" s="291"/>
      <c r="R801" s="143"/>
      <c r="S801" s="143"/>
      <c r="T801" s="143"/>
      <c r="U801" s="143"/>
      <c r="V801" s="143"/>
      <c r="W801" s="143"/>
      <c r="X801" s="143"/>
      <c r="Y801" s="143"/>
      <c r="Z801" s="311"/>
      <c r="AA801" s="311"/>
      <c r="AB801" s="311"/>
      <c r="AC801" s="311"/>
      <c r="AD801" s="602"/>
      <c r="AE801" s="143"/>
      <c r="AF801" s="143"/>
      <c r="AG801" s="143"/>
      <c r="AH801" s="143"/>
      <c r="AI801" s="143"/>
      <c r="AJ801" s="143"/>
      <c r="AK801" s="143"/>
      <c r="AL801" s="143"/>
      <c r="AM801" s="143"/>
      <c r="AN801" s="143"/>
      <c r="AO801" s="143"/>
      <c r="AP801" s="143"/>
      <c r="AQ801" s="143"/>
      <c r="AR801" s="143"/>
      <c r="AS801" s="143"/>
      <c r="AT801" s="143"/>
      <c r="AU801" s="143"/>
    </row>
    <row r="802" spans="1:47" s="150" customFormat="1" x14ac:dyDescent="0.2">
      <c r="A802" s="143"/>
      <c r="B802" s="144"/>
      <c r="C802" s="145"/>
      <c r="D802" s="143"/>
      <c r="E802" s="143"/>
      <c r="F802" s="143"/>
      <c r="G802" s="143"/>
      <c r="H802" s="143"/>
      <c r="I802" s="146"/>
      <c r="J802" s="147"/>
      <c r="K802" s="148"/>
      <c r="L802" s="148"/>
      <c r="M802" s="148"/>
      <c r="N802" s="148"/>
      <c r="O802" s="149"/>
      <c r="P802" s="146"/>
      <c r="Q802" s="291"/>
      <c r="R802" s="143"/>
      <c r="S802" s="143"/>
      <c r="T802" s="143"/>
      <c r="U802" s="143"/>
      <c r="V802" s="143"/>
      <c r="W802" s="143"/>
      <c r="X802" s="143"/>
      <c r="Y802" s="143"/>
      <c r="Z802" s="311"/>
      <c r="AA802" s="311"/>
      <c r="AB802" s="311"/>
      <c r="AC802" s="311"/>
      <c r="AD802" s="602"/>
      <c r="AE802" s="143"/>
      <c r="AF802" s="143"/>
      <c r="AG802" s="143"/>
      <c r="AH802" s="143"/>
      <c r="AI802" s="143"/>
      <c r="AJ802" s="143"/>
      <c r="AK802" s="143"/>
      <c r="AL802" s="143"/>
      <c r="AM802" s="143"/>
      <c r="AN802" s="143"/>
      <c r="AO802" s="143"/>
      <c r="AP802" s="143"/>
      <c r="AQ802" s="143"/>
      <c r="AR802" s="143"/>
      <c r="AS802" s="143"/>
      <c r="AT802" s="143"/>
      <c r="AU802" s="143"/>
    </row>
    <row r="803" spans="1:47" s="150" customFormat="1" x14ac:dyDescent="0.2">
      <c r="A803" s="143"/>
      <c r="B803" s="144"/>
      <c r="C803" s="145"/>
      <c r="D803" s="143"/>
      <c r="E803" s="143"/>
      <c r="F803" s="143"/>
      <c r="G803" s="143"/>
      <c r="H803" s="143"/>
      <c r="I803" s="146"/>
      <c r="J803" s="147"/>
      <c r="K803" s="148"/>
      <c r="L803" s="148"/>
      <c r="M803" s="148"/>
      <c r="N803" s="148"/>
      <c r="O803" s="149"/>
      <c r="P803" s="146"/>
      <c r="Q803" s="291"/>
      <c r="R803" s="143"/>
      <c r="S803" s="143"/>
      <c r="T803" s="143"/>
      <c r="U803" s="143"/>
      <c r="V803" s="143"/>
      <c r="W803" s="143"/>
      <c r="X803" s="143"/>
      <c r="Y803" s="143"/>
      <c r="Z803" s="311"/>
      <c r="AA803" s="311"/>
      <c r="AB803" s="311"/>
      <c r="AC803" s="311"/>
      <c r="AD803" s="602"/>
      <c r="AE803" s="143"/>
      <c r="AF803" s="143"/>
      <c r="AG803" s="143"/>
      <c r="AH803" s="143"/>
      <c r="AI803" s="143"/>
      <c r="AJ803" s="143"/>
      <c r="AK803" s="143"/>
      <c r="AL803" s="143"/>
      <c r="AM803" s="143"/>
      <c r="AN803" s="143"/>
      <c r="AO803" s="143"/>
      <c r="AP803" s="143"/>
      <c r="AQ803" s="143"/>
      <c r="AR803" s="143"/>
      <c r="AS803" s="143"/>
      <c r="AT803" s="143"/>
      <c r="AU803" s="143"/>
    </row>
    <row r="804" spans="1:47" s="150" customFormat="1" x14ac:dyDescent="0.2">
      <c r="A804" s="143"/>
      <c r="B804" s="144"/>
      <c r="C804" s="145"/>
      <c r="D804" s="143"/>
      <c r="E804" s="143"/>
      <c r="F804" s="143"/>
      <c r="G804" s="143"/>
      <c r="H804" s="143"/>
      <c r="I804" s="146"/>
      <c r="J804" s="147"/>
      <c r="K804" s="148"/>
      <c r="L804" s="148"/>
      <c r="M804" s="148"/>
      <c r="N804" s="148"/>
      <c r="O804" s="149"/>
      <c r="P804" s="146"/>
      <c r="Q804" s="291"/>
      <c r="R804" s="143"/>
      <c r="S804" s="143"/>
      <c r="T804" s="143"/>
      <c r="U804" s="143"/>
      <c r="V804" s="143"/>
      <c r="W804" s="143"/>
      <c r="X804" s="143"/>
      <c r="Y804" s="143"/>
      <c r="Z804" s="311"/>
      <c r="AA804" s="311"/>
      <c r="AB804" s="311"/>
      <c r="AC804" s="311"/>
      <c r="AD804" s="602"/>
      <c r="AE804" s="143"/>
      <c r="AF804" s="143"/>
      <c r="AG804" s="143"/>
      <c r="AH804" s="143"/>
      <c r="AI804" s="143"/>
      <c r="AJ804" s="143"/>
      <c r="AK804" s="143"/>
      <c r="AL804" s="143"/>
      <c r="AM804" s="143"/>
      <c r="AN804" s="143"/>
      <c r="AO804" s="143"/>
      <c r="AP804" s="143"/>
      <c r="AQ804" s="143"/>
      <c r="AR804" s="143"/>
      <c r="AS804" s="143"/>
      <c r="AT804" s="143"/>
      <c r="AU804" s="143"/>
    </row>
    <row r="805" spans="1:47" s="150" customFormat="1" x14ac:dyDescent="0.2">
      <c r="A805" s="143"/>
      <c r="B805" s="144"/>
      <c r="C805" s="145"/>
      <c r="D805" s="143"/>
      <c r="E805" s="143"/>
      <c r="F805" s="143"/>
      <c r="G805" s="143"/>
      <c r="H805" s="143"/>
      <c r="I805" s="146"/>
      <c r="J805" s="147"/>
      <c r="K805" s="148"/>
      <c r="L805" s="148"/>
      <c r="M805" s="148"/>
      <c r="N805" s="148"/>
      <c r="O805" s="149"/>
      <c r="P805" s="146"/>
      <c r="Q805" s="291"/>
      <c r="R805" s="143"/>
      <c r="S805" s="143"/>
      <c r="T805" s="143"/>
      <c r="U805" s="143"/>
      <c r="V805" s="143"/>
      <c r="W805" s="143"/>
      <c r="X805" s="143"/>
      <c r="Y805" s="143"/>
      <c r="Z805" s="311"/>
      <c r="AA805" s="311"/>
      <c r="AB805" s="311"/>
      <c r="AC805" s="311"/>
      <c r="AD805" s="602"/>
      <c r="AE805" s="143"/>
      <c r="AF805" s="143"/>
      <c r="AG805" s="143"/>
      <c r="AH805" s="143"/>
      <c r="AI805" s="143"/>
      <c r="AJ805" s="143"/>
      <c r="AK805" s="143"/>
      <c r="AL805" s="143"/>
      <c r="AM805" s="143"/>
      <c r="AN805" s="143"/>
      <c r="AO805" s="143"/>
      <c r="AP805" s="143"/>
      <c r="AQ805" s="143"/>
      <c r="AR805" s="143"/>
      <c r="AS805" s="143"/>
      <c r="AT805" s="143"/>
      <c r="AU805" s="143"/>
    </row>
    <row r="806" spans="1:47" s="150" customFormat="1" x14ac:dyDescent="0.2">
      <c r="A806" s="143"/>
      <c r="B806" s="144"/>
      <c r="C806" s="145"/>
      <c r="D806" s="143"/>
      <c r="E806" s="143"/>
      <c r="F806" s="143"/>
      <c r="G806" s="143"/>
      <c r="H806" s="143"/>
      <c r="I806" s="146"/>
      <c r="J806" s="147"/>
      <c r="K806" s="148"/>
      <c r="L806" s="148"/>
      <c r="M806" s="148"/>
      <c r="N806" s="148"/>
      <c r="O806" s="149"/>
      <c r="P806" s="146"/>
      <c r="Q806" s="291"/>
      <c r="R806" s="143"/>
      <c r="S806" s="143"/>
      <c r="T806" s="143"/>
      <c r="U806" s="143"/>
      <c r="V806" s="143"/>
      <c r="W806" s="143"/>
      <c r="X806" s="143"/>
      <c r="Y806" s="143"/>
      <c r="Z806" s="311"/>
      <c r="AA806" s="311"/>
      <c r="AB806" s="311"/>
      <c r="AC806" s="311"/>
      <c r="AD806" s="602"/>
      <c r="AE806" s="143"/>
      <c r="AF806" s="143"/>
      <c r="AG806" s="143"/>
      <c r="AH806" s="143"/>
      <c r="AI806" s="143"/>
      <c r="AJ806" s="143"/>
      <c r="AK806" s="143"/>
      <c r="AL806" s="143"/>
      <c r="AM806" s="143"/>
      <c r="AN806" s="143"/>
      <c r="AO806" s="143"/>
      <c r="AP806" s="143"/>
      <c r="AQ806" s="143"/>
      <c r="AR806" s="143"/>
      <c r="AS806" s="143"/>
      <c r="AT806" s="143"/>
      <c r="AU806" s="143"/>
    </row>
    <row r="807" spans="1:47" s="150" customFormat="1" x14ac:dyDescent="0.2">
      <c r="A807" s="143"/>
      <c r="B807" s="144"/>
      <c r="C807" s="145"/>
      <c r="D807" s="143"/>
      <c r="E807" s="143"/>
      <c r="F807" s="143"/>
      <c r="G807" s="143"/>
      <c r="H807" s="143"/>
      <c r="I807" s="146"/>
      <c r="J807" s="147"/>
      <c r="K807" s="148"/>
      <c r="L807" s="148"/>
      <c r="M807" s="148"/>
      <c r="N807" s="148"/>
      <c r="O807" s="149"/>
      <c r="P807" s="146"/>
      <c r="Q807" s="291"/>
      <c r="R807" s="143"/>
      <c r="S807" s="143"/>
      <c r="T807" s="143"/>
      <c r="U807" s="143"/>
      <c r="V807" s="143"/>
      <c r="W807" s="143"/>
      <c r="X807" s="143"/>
      <c r="Y807" s="143"/>
      <c r="Z807" s="311"/>
      <c r="AA807" s="311"/>
      <c r="AB807" s="311"/>
      <c r="AC807" s="311"/>
      <c r="AD807" s="602"/>
      <c r="AE807" s="143"/>
      <c r="AF807" s="143"/>
      <c r="AG807" s="143"/>
      <c r="AH807" s="143"/>
      <c r="AI807" s="143"/>
      <c r="AJ807" s="143"/>
      <c r="AK807" s="143"/>
      <c r="AL807" s="143"/>
      <c r="AM807" s="143"/>
      <c r="AN807" s="143"/>
      <c r="AO807" s="143"/>
      <c r="AP807" s="143"/>
      <c r="AQ807" s="143"/>
      <c r="AR807" s="143"/>
      <c r="AS807" s="143"/>
      <c r="AT807" s="143"/>
      <c r="AU807" s="143"/>
    </row>
    <row r="808" spans="1:47" s="150" customFormat="1" x14ac:dyDescent="0.2">
      <c r="A808" s="143"/>
      <c r="B808" s="144"/>
      <c r="C808" s="145"/>
      <c r="D808" s="143"/>
      <c r="E808" s="143"/>
      <c r="F808" s="143"/>
      <c r="G808" s="143"/>
      <c r="H808" s="143"/>
      <c r="I808" s="146"/>
      <c r="J808" s="147"/>
      <c r="K808" s="148"/>
      <c r="L808" s="148"/>
      <c r="M808" s="148"/>
      <c r="N808" s="148"/>
      <c r="O808" s="149"/>
      <c r="P808" s="146"/>
      <c r="Q808" s="291"/>
      <c r="R808" s="143"/>
      <c r="S808" s="143"/>
      <c r="T808" s="143"/>
      <c r="U808" s="143"/>
      <c r="V808" s="143"/>
      <c r="W808" s="143"/>
      <c r="X808" s="143"/>
      <c r="Y808" s="143"/>
      <c r="Z808" s="311"/>
      <c r="AA808" s="311"/>
      <c r="AB808" s="311"/>
      <c r="AC808" s="311"/>
      <c r="AD808" s="602"/>
      <c r="AE808" s="143"/>
      <c r="AF808" s="143"/>
      <c r="AG808" s="143"/>
      <c r="AH808" s="143"/>
      <c r="AI808" s="143"/>
      <c r="AJ808" s="143"/>
      <c r="AK808" s="143"/>
      <c r="AL808" s="143"/>
      <c r="AM808" s="143"/>
      <c r="AN808" s="143"/>
      <c r="AO808" s="143"/>
      <c r="AP808" s="143"/>
      <c r="AQ808" s="143"/>
      <c r="AR808" s="143"/>
      <c r="AS808" s="143"/>
      <c r="AT808" s="143"/>
      <c r="AU808" s="143"/>
    </row>
    <row r="809" spans="1:47" s="150" customFormat="1" x14ac:dyDescent="0.2">
      <c r="A809" s="143"/>
      <c r="B809" s="144"/>
      <c r="C809" s="145"/>
      <c r="D809" s="143"/>
      <c r="E809" s="143"/>
      <c r="F809" s="143"/>
      <c r="G809" s="143"/>
      <c r="H809" s="143"/>
      <c r="I809" s="146"/>
      <c r="J809" s="147"/>
      <c r="K809" s="148"/>
      <c r="L809" s="148"/>
      <c r="M809" s="148"/>
      <c r="N809" s="148"/>
      <c r="O809" s="149"/>
      <c r="P809" s="146"/>
      <c r="Q809" s="291"/>
      <c r="R809" s="143"/>
      <c r="S809" s="143"/>
      <c r="T809" s="143"/>
      <c r="U809" s="143"/>
      <c r="V809" s="143"/>
      <c r="W809" s="143"/>
      <c r="X809" s="143"/>
      <c r="Y809" s="143"/>
      <c r="Z809" s="311"/>
      <c r="AA809" s="311"/>
      <c r="AB809" s="311"/>
      <c r="AC809" s="311"/>
      <c r="AD809" s="602"/>
      <c r="AE809" s="143"/>
      <c r="AF809" s="143"/>
      <c r="AG809" s="143"/>
      <c r="AH809" s="143"/>
      <c r="AI809" s="143"/>
      <c r="AJ809" s="143"/>
      <c r="AK809" s="143"/>
      <c r="AL809" s="143"/>
      <c r="AM809" s="143"/>
      <c r="AN809" s="143"/>
      <c r="AO809" s="143"/>
      <c r="AP809" s="143"/>
      <c r="AQ809" s="143"/>
      <c r="AR809" s="143"/>
      <c r="AS809" s="143"/>
      <c r="AT809" s="143"/>
      <c r="AU809" s="143"/>
    </row>
    <row r="810" spans="1:47" s="150" customFormat="1" x14ac:dyDescent="0.2">
      <c r="A810" s="143"/>
      <c r="B810" s="144"/>
      <c r="C810" s="145"/>
      <c r="D810" s="143"/>
      <c r="E810" s="143"/>
      <c r="F810" s="143"/>
      <c r="G810" s="143"/>
      <c r="H810" s="143"/>
      <c r="I810" s="146"/>
      <c r="J810" s="147"/>
      <c r="K810" s="148"/>
      <c r="L810" s="148"/>
      <c r="M810" s="148"/>
      <c r="N810" s="148"/>
      <c r="O810" s="149"/>
      <c r="P810" s="146"/>
      <c r="Q810" s="291"/>
      <c r="R810" s="143"/>
      <c r="S810" s="143"/>
      <c r="T810" s="143"/>
      <c r="U810" s="143"/>
      <c r="V810" s="143"/>
      <c r="W810" s="143"/>
      <c r="X810" s="143"/>
      <c r="Y810" s="143"/>
      <c r="Z810" s="311"/>
      <c r="AA810" s="311"/>
      <c r="AB810" s="311"/>
      <c r="AC810" s="311"/>
      <c r="AD810" s="602"/>
      <c r="AE810" s="143"/>
      <c r="AF810" s="143"/>
      <c r="AG810" s="143"/>
      <c r="AH810" s="143"/>
      <c r="AI810" s="143"/>
      <c r="AJ810" s="143"/>
      <c r="AK810" s="143"/>
      <c r="AL810" s="143"/>
      <c r="AM810" s="143"/>
      <c r="AN810" s="143"/>
      <c r="AO810" s="143"/>
      <c r="AP810" s="143"/>
      <c r="AQ810" s="143"/>
      <c r="AR810" s="143"/>
      <c r="AS810" s="143"/>
      <c r="AT810" s="143"/>
      <c r="AU810" s="143"/>
    </row>
    <row r="811" spans="1:47" s="150" customFormat="1" x14ac:dyDescent="0.2">
      <c r="A811" s="143"/>
      <c r="B811" s="144"/>
      <c r="C811" s="145"/>
      <c r="D811" s="143"/>
      <c r="E811" s="143"/>
      <c r="F811" s="143"/>
      <c r="G811" s="143"/>
      <c r="H811" s="143"/>
      <c r="I811" s="146"/>
      <c r="J811" s="147"/>
      <c r="K811" s="148"/>
      <c r="L811" s="148"/>
      <c r="M811" s="148"/>
      <c r="N811" s="148"/>
      <c r="O811" s="149"/>
      <c r="P811" s="146"/>
      <c r="Q811" s="291"/>
      <c r="R811" s="143"/>
      <c r="S811" s="143"/>
      <c r="T811" s="143"/>
      <c r="U811" s="143"/>
      <c r="V811" s="143"/>
      <c r="W811" s="143"/>
      <c r="X811" s="143"/>
      <c r="Y811" s="143"/>
      <c r="Z811" s="311"/>
      <c r="AA811" s="311"/>
      <c r="AB811" s="311"/>
      <c r="AC811" s="311"/>
      <c r="AD811" s="602"/>
      <c r="AE811" s="143"/>
      <c r="AF811" s="143"/>
      <c r="AG811" s="143"/>
      <c r="AH811" s="143"/>
      <c r="AI811" s="143"/>
      <c r="AJ811" s="143"/>
      <c r="AK811" s="143"/>
      <c r="AL811" s="143"/>
      <c r="AM811" s="143"/>
      <c r="AN811" s="143"/>
      <c r="AO811" s="143"/>
      <c r="AP811" s="143"/>
      <c r="AQ811" s="143"/>
      <c r="AR811" s="143"/>
      <c r="AS811" s="143"/>
      <c r="AT811" s="143"/>
      <c r="AU811" s="143"/>
    </row>
    <row r="812" spans="1:47" s="150" customFormat="1" x14ac:dyDescent="0.2">
      <c r="A812" s="143"/>
      <c r="B812" s="144"/>
      <c r="C812" s="145"/>
      <c r="D812" s="143"/>
      <c r="E812" s="143"/>
      <c r="F812" s="143"/>
      <c r="G812" s="143"/>
      <c r="H812" s="143"/>
      <c r="I812" s="146"/>
      <c r="J812" s="147"/>
      <c r="K812" s="148"/>
      <c r="L812" s="148"/>
      <c r="M812" s="148"/>
      <c r="N812" s="148"/>
      <c r="O812" s="149"/>
      <c r="P812" s="146"/>
      <c r="Q812" s="291"/>
      <c r="R812" s="143"/>
      <c r="S812" s="143"/>
      <c r="T812" s="143"/>
      <c r="U812" s="143"/>
      <c r="V812" s="143"/>
      <c r="W812" s="143"/>
      <c r="X812" s="143"/>
      <c r="Y812" s="143"/>
      <c r="Z812" s="311"/>
      <c r="AA812" s="311"/>
      <c r="AB812" s="311"/>
      <c r="AC812" s="311"/>
      <c r="AD812" s="602"/>
      <c r="AE812" s="143"/>
      <c r="AF812" s="143"/>
      <c r="AG812" s="143"/>
      <c r="AH812" s="143"/>
      <c r="AI812" s="143"/>
      <c r="AJ812" s="143"/>
      <c r="AK812" s="143"/>
      <c r="AL812" s="143"/>
      <c r="AM812" s="143"/>
      <c r="AN812" s="143"/>
      <c r="AO812" s="143"/>
      <c r="AP812" s="143"/>
      <c r="AQ812" s="143"/>
      <c r="AR812" s="143"/>
      <c r="AS812" s="143"/>
      <c r="AT812" s="143"/>
      <c r="AU812" s="143"/>
    </row>
    <row r="813" spans="1:47" s="150" customFormat="1" x14ac:dyDescent="0.2">
      <c r="A813" s="143"/>
      <c r="B813" s="144"/>
      <c r="C813" s="145"/>
      <c r="D813" s="143"/>
      <c r="E813" s="143"/>
      <c r="F813" s="143"/>
      <c r="G813" s="143"/>
      <c r="H813" s="143"/>
      <c r="I813" s="146"/>
      <c r="J813" s="147"/>
      <c r="K813" s="148"/>
      <c r="L813" s="148"/>
      <c r="M813" s="148"/>
      <c r="N813" s="148"/>
      <c r="O813" s="149"/>
      <c r="P813" s="146"/>
      <c r="Q813" s="291"/>
      <c r="R813" s="143"/>
      <c r="S813" s="143"/>
      <c r="T813" s="143"/>
      <c r="U813" s="143"/>
      <c r="V813" s="143"/>
      <c r="W813" s="143"/>
      <c r="X813" s="143"/>
      <c r="Y813" s="143"/>
      <c r="Z813" s="311"/>
      <c r="AA813" s="311"/>
      <c r="AB813" s="311"/>
      <c r="AC813" s="311"/>
      <c r="AD813" s="602"/>
      <c r="AE813" s="143"/>
      <c r="AF813" s="143"/>
      <c r="AG813" s="143"/>
      <c r="AH813" s="143"/>
      <c r="AI813" s="143"/>
      <c r="AJ813" s="143"/>
      <c r="AK813" s="143"/>
      <c r="AL813" s="143"/>
      <c r="AM813" s="143"/>
      <c r="AN813" s="143"/>
      <c r="AO813" s="143"/>
      <c r="AP813" s="143"/>
      <c r="AQ813" s="143"/>
      <c r="AR813" s="143"/>
      <c r="AS813" s="143"/>
      <c r="AT813" s="143"/>
      <c r="AU813" s="143"/>
    </row>
    <row r="814" spans="1:47" s="150" customFormat="1" x14ac:dyDescent="0.2">
      <c r="A814" s="143"/>
      <c r="B814" s="144"/>
      <c r="C814" s="145"/>
      <c r="D814" s="143"/>
      <c r="E814" s="143"/>
      <c r="F814" s="143"/>
      <c r="G814" s="143"/>
      <c r="H814" s="143"/>
      <c r="I814" s="146"/>
      <c r="J814" s="147"/>
      <c r="K814" s="148"/>
      <c r="L814" s="148"/>
      <c r="M814" s="148"/>
      <c r="N814" s="148"/>
      <c r="O814" s="149"/>
      <c r="P814" s="146"/>
      <c r="Q814" s="291"/>
      <c r="R814" s="143"/>
      <c r="S814" s="143"/>
      <c r="T814" s="143"/>
      <c r="U814" s="143"/>
      <c r="V814" s="143"/>
      <c r="W814" s="143"/>
      <c r="X814" s="143"/>
      <c r="Y814" s="143"/>
      <c r="Z814" s="311"/>
      <c r="AA814" s="311"/>
      <c r="AB814" s="311"/>
      <c r="AC814" s="311"/>
      <c r="AD814" s="602"/>
      <c r="AE814" s="143"/>
      <c r="AF814" s="143"/>
      <c r="AG814" s="143"/>
      <c r="AH814" s="143"/>
      <c r="AI814" s="143"/>
      <c r="AJ814" s="143"/>
      <c r="AK814" s="143"/>
      <c r="AL814" s="143"/>
      <c r="AM814" s="143"/>
      <c r="AN814" s="143"/>
      <c r="AO814" s="143"/>
      <c r="AP814" s="143"/>
      <c r="AQ814" s="143"/>
      <c r="AR814" s="143"/>
      <c r="AS814" s="143"/>
      <c r="AT814" s="143"/>
      <c r="AU814" s="143"/>
    </row>
    <row r="815" spans="1:47" s="150" customFormat="1" x14ac:dyDescent="0.2">
      <c r="A815" s="143"/>
      <c r="B815" s="144"/>
      <c r="C815" s="145"/>
      <c r="D815" s="143"/>
      <c r="E815" s="143"/>
      <c r="F815" s="143"/>
      <c r="G815" s="143"/>
      <c r="H815" s="143"/>
      <c r="I815" s="146"/>
      <c r="J815" s="147"/>
      <c r="K815" s="148"/>
      <c r="L815" s="148"/>
      <c r="M815" s="148"/>
      <c r="N815" s="148"/>
      <c r="O815" s="149"/>
      <c r="P815" s="146"/>
      <c r="Q815" s="291"/>
      <c r="R815" s="143"/>
      <c r="S815" s="143"/>
      <c r="T815" s="143"/>
      <c r="U815" s="143"/>
      <c r="V815" s="143"/>
      <c r="W815" s="143"/>
      <c r="X815" s="143"/>
      <c r="Y815" s="143"/>
      <c r="Z815" s="311"/>
      <c r="AA815" s="311"/>
      <c r="AB815" s="311"/>
      <c r="AC815" s="311"/>
      <c r="AD815" s="602"/>
      <c r="AE815" s="143"/>
      <c r="AF815" s="143"/>
      <c r="AG815" s="143"/>
      <c r="AH815" s="143"/>
      <c r="AI815" s="143"/>
      <c r="AJ815" s="143"/>
      <c r="AK815" s="143"/>
      <c r="AL815" s="143"/>
      <c r="AM815" s="143"/>
      <c r="AN815" s="143"/>
      <c r="AO815" s="143"/>
      <c r="AP815" s="143"/>
      <c r="AQ815" s="143"/>
      <c r="AR815" s="143"/>
      <c r="AS815" s="143"/>
      <c r="AT815" s="143"/>
      <c r="AU815" s="143"/>
    </row>
    <row r="816" spans="1:47" s="150" customFormat="1" x14ac:dyDescent="0.2">
      <c r="A816" s="143"/>
      <c r="B816" s="144"/>
      <c r="C816" s="145"/>
      <c r="D816" s="143"/>
      <c r="E816" s="143"/>
      <c r="F816" s="143"/>
      <c r="G816" s="143"/>
      <c r="H816" s="143"/>
      <c r="I816" s="146"/>
      <c r="J816" s="147"/>
      <c r="K816" s="148"/>
      <c r="L816" s="148"/>
      <c r="M816" s="148"/>
      <c r="N816" s="148"/>
      <c r="O816" s="149"/>
      <c r="P816" s="146"/>
      <c r="Q816" s="291"/>
      <c r="R816" s="143"/>
      <c r="S816" s="143"/>
      <c r="T816" s="143"/>
      <c r="U816" s="143"/>
      <c r="V816" s="143"/>
      <c r="W816" s="143"/>
      <c r="X816" s="143"/>
      <c r="Y816" s="143"/>
      <c r="Z816" s="311"/>
      <c r="AA816" s="311"/>
      <c r="AB816" s="311"/>
      <c r="AC816" s="311"/>
      <c r="AD816" s="602"/>
      <c r="AE816" s="143"/>
      <c r="AF816" s="143"/>
      <c r="AG816" s="143"/>
      <c r="AH816" s="143"/>
      <c r="AI816" s="143"/>
      <c r="AJ816" s="143"/>
      <c r="AK816" s="143"/>
      <c r="AL816" s="143"/>
      <c r="AM816" s="143"/>
      <c r="AN816" s="143"/>
      <c r="AO816" s="143"/>
      <c r="AP816" s="143"/>
      <c r="AQ816" s="143"/>
      <c r="AR816" s="143"/>
      <c r="AS816" s="143"/>
      <c r="AT816" s="143"/>
      <c r="AU816" s="143"/>
    </row>
    <row r="817" spans="1:47" s="150" customFormat="1" x14ac:dyDescent="0.2">
      <c r="A817" s="143"/>
      <c r="B817" s="144"/>
      <c r="C817" s="145"/>
      <c r="D817" s="143"/>
      <c r="E817" s="143"/>
      <c r="F817" s="143"/>
      <c r="G817" s="143"/>
      <c r="H817" s="143"/>
      <c r="I817" s="146"/>
      <c r="J817" s="147"/>
      <c r="K817" s="148"/>
      <c r="L817" s="148"/>
      <c r="M817" s="148"/>
      <c r="N817" s="148"/>
      <c r="O817" s="149"/>
      <c r="P817" s="146"/>
      <c r="Q817" s="291"/>
      <c r="R817" s="143"/>
      <c r="S817" s="143"/>
      <c r="T817" s="143"/>
      <c r="U817" s="143"/>
      <c r="V817" s="143"/>
      <c r="W817" s="143"/>
      <c r="X817" s="143"/>
      <c r="Y817" s="143"/>
      <c r="Z817" s="311"/>
      <c r="AA817" s="311"/>
      <c r="AB817" s="311"/>
      <c r="AC817" s="311"/>
      <c r="AD817" s="602"/>
      <c r="AE817" s="143"/>
      <c r="AF817" s="143"/>
      <c r="AG817" s="143"/>
      <c r="AH817" s="143"/>
      <c r="AI817" s="143"/>
      <c r="AJ817" s="143"/>
      <c r="AK817" s="143"/>
      <c r="AL817" s="143"/>
      <c r="AM817" s="143"/>
      <c r="AN817" s="143"/>
      <c r="AO817" s="143"/>
      <c r="AP817" s="143"/>
      <c r="AQ817" s="143"/>
      <c r="AR817" s="143"/>
      <c r="AS817" s="143"/>
      <c r="AT817" s="143"/>
      <c r="AU817" s="143"/>
    </row>
    <row r="818" spans="1:47" s="150" customFormat="1" x14ac:dyDescent="0.2">
      <c r="A818" s="143"/>
      <c r="B818" s="144"/>
      <c r="C818" s="145"/>
      <c r="D818" s="143"/>
      <c r="E818" s="143"/>
      <c r="F818" s="143"/>
      <c r="G818" s="143"/>
      <c r="H818" s="143"/>
      <c r="I818" s="146"/>
      <c r="J818" s="147"/>
      <c r="K818" s="148"/>
      <c r="L818" s="148"/>
      <c r="M818" s="148"/>
      <c r="N818" s="148"/>
      <c r="O818" s="149"/>
      <c r="P818" s="146"/>
      <c r="Q818" s="291"/>
      <c r="R818" s="143"/>
      <c r="S818" s="143"/>
      <c r="T818" s="143"/>
      <c r="U818" s="143"/>
      <c r="V818" s="143"/>
      <c r="W818" s="143"/>
      <c r="X818" s="143"/>
      <c r="Y818" s="143"/>
      <c r="Z818" s="311"/>
      <c r="AA818" s="311"/>
      <c r="AB818" s="311"/>
      <c r="AC818" s="311"/>
      <c r="AD818" s="602"/>
      <c r="AE818" s="143"/>
      <c r="AF818" s="143"/>
      <c r="AG818" s="143"/>
      <c r="AH818" s="143"/>
      <c r="AI818" s="143"/>
      <c r="AJ818" s="143"/>
      <c r="AK818" s="143"/>
      <c r="AL818" s="143"/>
      <c r="AM818" s="143"/>
      <c r="AN818" s="143"/>
      <c r="AO818" s="143"/>
      <c r="AP818" s="143"/>
      <c r="AQ818" s="143"/>
      <c r="AR818" s="143"/>
      <c r="AS818" s="143"/>
      <c r="AT818" s="143"/>
      <c r="AU818" s="143"/>
    </row>
    <row r="819" spans="1:47" s="150" customFormat="1" x14ac:dyDescent="0.2">
      <c r="A819" s="143"/>
      <c r="B819" s="144"/>
      <c r="C819" s="145"/>
      <c r="D819" s="143"/>
      <c r="E819" s="143"/>
      <c r="F819" s="143"/>
      <c r="G819" s="143"/>
      <c r="H819" s="143"/>
      <c r="I819" s="146"/>
      <c r="J819" s="147"/>
      <c r="K819" s="148"/>
      <c r="L819" s="148"/>
      <c r="M819" s="148"/>
      <c r="N819" s="148"/>
      <c r="O819" s="149"/>
      <c r="P819" s="146"/>
      <c r="Q819" s="291"/>
      <c r="R819" s="143"/>
      <c r="S819" s="143"/>
      <c r="T819" s="143"/>
      <c r="U819" s="143"/>
      <c r="V819" s="143"/>
      <c r="W819" s="143"/>
      <c r="X819" s="143"/>
      <c r="Y819" s="143"/>
      <c r="Z819" s="311"/>
      <c r="AA819" s="311"/>
      <c r="AB819" s="311"/>
      <c r="AC819" s="311"/>
      <c r="AD819" s="602"/>
      <c r="AE819" s="143"/>
      <c r="AF819" s="143"/>
      <c r="AG819" s="143"/>
      <c r="AH819" s="143"/>
      <c r="AI819" s="143"/>
      <c r="AJ819" s="143"/>
      <c r="AK819" s="143"/>
      <c r="AL819" s="143"/>
      <c r="AM819" s="143"/>
      <c r="AN819" s="143"/>
      <c r="AO819" s="143"/>
      <c r="AP819" s="143"/>
      <c r="AQ819" s="143"/>
      <c r="AR819" s="143"/>
      <c r="AS819" s="143"/>
      <c r="AT819" s="143"/>
      <c r="AU819" s="143"/>
    </row>
    <row r="820" spans="1:47" s="150" customFormat="1" x14ac:dyDescent="0.2">
      <c r="A820" s="143"/>
      <c r="B820" s="144"/>
      <c r="C820" s="145"/>
      <c r="D820" s="143"/>
      <c r="E820" s="143"/>
      <c r="F820" s="143"/>
      <c r="G820" s="143"/>
      <c r="H820" s="143"/>
      <c r="I820" s="146"/>
      <c r="J820" s="147"/>
      <c r="K820" s="148"/>
      <c r="L820" s="148"/>
      <c r="M820" s="148"/>
      <c r="N820" s="148"/>
      <c r="O820" s="149"/>
      <c r="P820" s="146"/>
      <c r="Q820" s="291"/>
      <c r="R820" s="143"/>
      <c r="S820" s="143"/>
      <c r="T820" s="143"/>
      <c r="U820" s="143"/>
      <c r="V820" s="143"/>
      <c r="W820" s="143"/>
      <c r="X820" s="143"/>
      <c r="Y820" s="143"/>
      <c r="Z820" s="311"/>
      <c r="AA820" s="311"/>
      <c r="AB820" s="311"/>
      <c r="AC820" s="311"/>
      <c r="AD820" s="602"/>
      <c r="AE820" s="143"/>
      <c r="AF820" s="143"/>
      <c r="AG820" s="143"/>
      <c r="AH820" s="143"/>
      <c r="AI820" s="143"/>
      <c r="AJ820" s="143"/>
      <c r="AK820" s="143"/>
      <c r="AL820" s="143"/>
      <c r="AM820" s="143"/>
      <c r="AN820" s="143"/>
      <c r="AO820" s="143"/>
      <c r="AP820" s="143"/>
      <c r="AQ820" s="143"/>
      <c r="AR820" s="143"/>
      <c r="AS820" s="143"/>
      <c r="AT820" s="143"/>
      <c r="AU820" s="143"/>
    </row>
    <row r="821" spans="1:47" s="150" customFormat="1" x14ac:dyDescent="0.2">
      <c r="A821" s="143"/>
      <c r="B821" s="144"/>
      <c r="C821" s="145"/>
      <c r="D821" s="143"/>
      <c r="E821" s="143"/>
      <c r="F821" s="143"/>
      <c r="G821" s="143"/>
      <c r="H821" s="143"/>
      <c r="I821" s="146"/>
      <c r="J821" s="147"/>
      <c r="K821" s="148"/>
      <c r="L821" s="148"/>
      <c r="M821" s="148"/>
      <c r="N821" s="148"/>
      <c r="O821" s="149"/>
      <c r="P821" s="146"/>
      <c r="Q821" s="291"/>
      <c r="R821" s="143"/>
      <c r="S821" s="143"/>
      <c r="T821" s="143"/>
      <c r="U821" s="143"/>
      <c r="V821" s="143"/>
      <c r="W821" s="143"/>
      <c r="X821" s="143"/>
      <c r="Y821" s="143"/>
      <c r="Z821" s="311"/>
      <c r="AA821" s="311"/>
      <c r="AB821" s="311"/>
      <c r="AC821" s="311"/>
      <c r="AD821" s="602"/>
      <c r="AE821" s="143"/>
      <c r="AF821" s="143"/>
      <c r="AG821" s="143"/>
      <c r="AH821" s="143"/>
      <c r="AI821" s="143"/>
      <c r="AJ821" s="143"/>
      <c r="AK821" s="143"/>
      <c r="AL821" s="143"/>
      <c r="AM821" s="143"/>
      <c r="AN821" s="143"/>
      <c r="AO821" s="143"/>
      <c r="AP821" s="143"/>
      <c r="AQ821" s="143"/>
      <c r="AR821" s="143"/>
      <c r="AS821" s="143"/>
      <c r="AT821" s="143"/>
      <c r="AU821" s="143"/>
    </row>
    <row r="822" spans="1:47" s="150" customFormat="1" x14ac:dyDescent="0.2">
      <c r="A822" s="143"/>
      <c r="B822" s="144"/>
      <c r="C822" s="145"/>
      <c r="D822" s="143"/>
      <c r="E822" s="143"/>
      <c r="F822" s="143"/>
      <c r="G822" s="143"/>
      <c r="H822" s="143"/>
      <c r="I822" s="146"/>
      <c r="J822" s="147"/>
      <c r="K822" s="148"/>
      <c r="L822" s="148"/>
      <c r="M822" s="148"/>
      <c r="N822" s="148"/>
      <c r="O822" s="149"/>
      <c r="P822" s="146"/>
      <c r="Q822" s="291"/>
      <c r="R822" s="143"/>
      <c r="S822" s="143"/>
      <c r="T822" s="143"/>
      <c r="U822" s="143"/>
      <c r="V822" s="143"/>
      <c r="W822" s="143"/>
      <c r="X822" s="143"/>
      <c r="Y822" s="143"/>
      <c r="Z822" s="311"/>
      <c r="AA822" s="311"/>
      <c r="AB822" s="311"/>
      <c r="AC822" s="311"/>
      <c r="AD822" s="602"/>
      <c r="AE822" s="143"/>
      <c r="AF822" s="143"/>
      <c r="AG822" s="143"/>
      <c r="AH822" s="143"/>
      <c r="AI822" s="143"/>
      <c r="AJ822" s="143"/>
      <c r="AK822" s="143"/>
      <c r="AL822" s="143"/>
      <c r="AM822" s="143"/>
      <c r="AN822" s="143"/>
      <c r="AO822" s="143"/>
      <c r="AP822" s="143"/>
      <c r="AQ822" s="143"/>
      <c r="AR822" s="143"/>
      <c r="AS822" s="143"/>
      <c r="AT822" s="143"/>
      <c r="AU822" s="143"/>
    </row>
    <row r="823" spans="1:47" s="150" customFormat="1" x14ac:dyDescent="0.2">
      <c r="A823" s="143"/>
      <c r="B823" s="144"/>
      <c r="C823" s="145"/>
      <c r="D823" s="143"/>
      <c r="E823" s="143"/>
      <c r="F823" s="143"/>
      <c r="G823" s="143"/>
      <c r="H823" s="143"/>
      <c r="I823" s="146"/>
      <c r="J823" s="147"/>
      <c r="K823" s="148"/>
      <c r="L823" s="148"/>
      <c r="M823" s="148"/>
      <c r="N823" s="148"/>
      <c r="O823" s="149"/>
      <c r="P823" s="146"/>
      <c r="Q823" s="291"/>
      <c r="R823" s="143"/>
      <c r="S823" s="143"/>
      <c r="T823" s="143"/>
      <c r="U823" s="143"/>
      <c r="V823" s="143"/>
      <c r="W823" s="143"/>
      <c r="X823" s="143"/>
      <c r="Y823" s="143"/>
      <c r="Z823" s="311"/>
      <c r="AA823" s="311"/>
      <c r="AB823" s="311"/>
      <c r="AC823" s="311"/>
      <c r="AD823" s="602"/>
      <c r="AE823" s="143"/>
      <c r="AF823" s="143"/>
      <c r="AG823" s="143"/>
      <c r="AH823" s="143"/>
      <c r="AI823" s="143"/>
      <c r="AJ823" s="143"/>
      <c r="AK823" s="143"/>
      <c r="AL823" s="143"/>
      <c r="AM823" s="143"/>
      <c r="AN823" s="143"/>
      <c r="AO823" s="143"/>
      <c r="AP823" s="143"/>
      <c r="AQ823" s="143"/>
      <c r="AR823" s="143"/>
      <c r="AS823" s="143"/>
      <c r="AT823" s="143"/>
      <c r="AU823" s="143"/>
    </row>
    <row r="824" spans="1:47" s="150" customFormat="1" x14ac:dyDescent="0.2">
      <c r="A824" s="143"/>
      <c r="B824" s="144"/>
      <c r="C824" s="145"/>
      <c r="D824" s="143"/>
      <c r="E824" s="143"/>
      <c r="F824" s="143"/>
      <c r="G824" s="143"/>
      <c r="H824" s="143"/>
      <c r="I824" s="146"/>
      <c r="J824" s="147"/>
      <c r="K824" s="148"/>
      <c r="L824" s="148"/>
      <c r="M824" s="148"/>
      <c r="N824" s="148"/>
      <c r="O824" s="149"/>
      <c r="P824" s="146"/>
      <c r="Q824" s="291"/>
      <c r="R824" s="143"/>
      <c r="S824" s="143"/>
      <c r="T824" s="143"/>
      <c r="U824" s="143"/>
      <c r="V824" s="143"/>
      <c r="W824" s="143"/>
      <c r="X824" s="143"/>
      <c r="Y824" s="143"/>
      <c r="Z824" s="311"/>
      <c r="AA824" s="311"/>
      <c r="AB824" s="311"/>
      <c r="AC824" s="311"/>
      <c r="AD824" s="602"/>
      <c r="AE824" s="143"/>
      <c r="AF824" s="143"/>
      <c r="AG824" s="143"/>
      <c r="AH824" s="143"/>
      <c r="AI824" s="143"/>
      <c r="AJ824" s="143"/>
      <c r="AK824" s="143"/>
      <c r="AL824" s="143"/>
      <c r="AM824" s="143"/>
      <c r="AN824" s="143"/>
      <c r="AO824" s="143"/>
      <c r="AP824" s="143"/>
      <c r="AQ824" s="143"/>
      <c r="AR824" s="143"/>
      <c r="AS824" s="143"/>
      <c r="AT824" s="143"/>
      <c r="AU824" s="143"/>
    </row>
    <row r="825" spans="1:47" s="150" customFormat="1" x14ac:dyDescent="0.2">
      <c r="A825" s="143"/>
      <c r="B825" s="144"/>
      <c r="C825" s="145"/>
      <c r="D825" s="143"/>
      <c r="E825" s="143"/>
      <c r="F825" s="143"/>
      <c r="G825" s="143"/>
      <c r="H825" s="143"/>
      <c r="I825" s="146"/>
      <c r="J825" s="147"/>
      <c r="K825" s="148"/>
      <c r="L825" s="148"/>
      <c r="M825" s="148"/>
      <c r="N825" s="148"/>
      <c r="O825" s="149"/>
      <c r="P825" s="146"/>
      <c r="Q825" s="291"/>
      <c r="R825" s="143"/>
      <c r="S825" s="143"/>
      <c r="T825" s="143"/>
      <c r="U825" s="143"/>
      <c r="V825" s="143"/>
      <c r="W825" s="143"/>
      <c r="X825" s="143"/>
      <c r="Y825" s="143"/>
      <c r="Z825" s="311"/>
      <c r="AA825" s="311"/>
      <c r="AB825" s="311"/>
      <c r="AC825" s="311"/>
      <c r="AD825" s="602"/>
      <c r="AE825" s="143"/>
      <c r="AF825" s="143"/>
      <c r="AG825" s="143"/>
      <c r="AH825" s="143"/>
      <c r="AI825" s="143"/>
      <c r="AJ825" s="143"/>
      <c r="AK825" s="143"/>
      <c r="AL825" s="143"/>
      <c r="AM825" s="143"/>
      <c r="AN825" s="143"/>
      <c r="AO825" s="143"/>
      <c r="AP825" s="143"/>
      <c r="AQ825" s="143"/>
      <c r="AR825" s="143"/>
      <c r="AS825" s="143"/>
      <c r="AT825" s="143"/>
      <c r="AU825" s="143"/>
    </row>
    <row r="826" spans="1:47" s="150" customFormat="1" x14ac:dyDescent="0.2">
      <c r="A826" s="143"/>
      <c r="B826" s="144"/>
      <c r="C826" s="145"/>
      <c r="D826" s="143"/>
      <c r="E826" s="143"/>
      <c r="F826" s="143"/>
      <c r="G826" s="143"/>
      <c r="H826" s="143"/>
      <c r="I826" s="146"/>
      <c r="J826" s="147"/>
      <c r="K826" s="148"/>
      <c r="L826" s="148"/>
      <c r="M826" s="148"/>
      <c r="N826" s="148"/>
      <c r="O826" s="149"/>
      <c r="P826" s="146"/>
      <c r="Q826" s="291"/>
      <c r="R826" s="143"/>
      <c r="S826" s="143"/>
      <c r="T826" s="143"/>
      <c r="U826" s="143"/>
      <c r="V826" s="143"/>
      <c r="W826" s="143"/>
      <c r="X826" s="143"/>
      <c r="Y826" s="143"/>
      <c r="Z826" s="311"/>
      <c r="AA826" s="311"/>
      <c r="AB826" s="311"/>
      <c r="AC826" s="311"/>
      <c r="AD826" s="602"/>
      <c r="AE826" s="143"/>
      <c r="AF826" s="143"/>
      <c r="AG826" s="143"/>
      <c r="AH826" s="143"/>
      <c r="AI826" s="143"/>
      <c r="AJ826" s="143"/>
      <c r="AK826" s="143"/>
      <c r="AL826" s="143"/>
      <c r="AM826" s="143"/>
      <c r="AN826" s="143"/>
      <c r="AO826" s="143"/>
      <c r="AP826" s="143"/>
      <c r="AQ826" s="143"/>
      <c r="AR826" s="143"/>
      <c r="AS826" s="143"/>
      <c r="AT826" s="143"/>
      <c r="AU826" s="143"/>
    </row>
    <row r="827" spans="1:47" s="150" customFormat="1" x14ac:dyDescent="0.2">
      <c r="A827" s="143"/>
      <c r="B827" s="144"/>
      <c r="C827" s="145"/>
      <c r="D827" s="143"/>
      <c r="E827" s="143"/>
      <c r="F827" s="143"/>
      <c r="G827" s="143"/>
      <c r="H827" s="143"/>
      <c r="I827" s="146"/>
      <c r="J827" s="147"/>
      <c r="K827" s="148"/>
      <c r="L827" s="148"/>
      <c r="M827" s="148"/>
      <c r="N827" s="148"/>
      <c r="O827" s="149"/>
      <c r="P827" s="146"/>
      <c r="Q827" s="291"/>
      <c r="R827" s="143"/>
      <c r="S827" s="143"/>
      <c r="T827" s="143"/>
      <c r="U827" s="143"/>
      <c r="V827" s="143"/>
      <c r="W827" s="143"/>
      <c r="X827" s="143"/>
      <c r="Y827" s="143"/>
      <c r="Z827" s="311"/>
      <c r="AA827" s="311"/>
      <c r="AB827" s="311"/>
      <c r="AC827" s="311"/>
      <c r="AD827" s="602"/>
      <c r="AE827" s="143"/>
      <c r="AF827" s="143"/>
      <c r="AG827" s="143"/>
      <c r="AH827" s="143"/>
      <c r="AI827" s="143"/>
      <c r="AJ827" s="143"/>
      <c r="AK827" s="143"/>
      <c r="AL827" s="143"/>
      <c r="AM827" s="143"/>
      <c r="AN827" s="143"/>
      <c r="AO827" s="143"/>
      <c r="AP827" s="143"/>
      <c r="AQ827" s="143"/>
      <c r="AR827" s="143"/>
      <c r="AS827" s="143"/>
      <c r="AT827" s="143"/>
      <c r="AU827" s="143"/>
    </row>
  </sheetData>
  <sheetProtection formatCells="0" formatColumns="0" formatRows="0" insertColumns="0" insertRows="0" insertHyperlinks="0" deleteColumns="0" deleteRows="0" sort="0" autoFilter="0" pivotTables="0"/>
  <dataConsolidate/>
  <mergeCells count="1">
    <mergeCell ref="AG21:AL21"/>
  </mergeCells>
  <phoneticPr fontId="8" type="noConversion"/>
  <conditionalFormatting sqref="AI44">
    <cfRule type="aboveAverage" dxfId="8" priority="1"/>
  </conditionalFormatting>
  <dataValidations disablePrompts="1" count="1">
    <dataValidation type="list" allowBlank="1" showInputMessage="1" showErrorMessage="1" sqref="H8 JD8 SZ8 ACV8 AMR8 AWN8 BGJ8 BQF8 CAB8 CJX8 CTT8 DDP8 DNL8 DXH8 EHD8 EQZ8 FAV8 FKR8 FUN8 GEJ8 GOF8 GYB8 HHX8 HRT8 IBP8 ILL8 IVH8 JFD8 JOZ8 JYV8 KIR8 KSN8 LCJ8 LMF8 LWB8 MFX8 MPT8 MZP8 NJL8 NTH8 ODD8 OMZ8 OWV8 PGR8 PQN8 QAJ8 QKF8 QUB8 RDX8 RNT8 RXP8 SHL8 SRH8 TBD8 TKZ8 TUV8 UER8 UON8 UYJ8 VIF8 VSB8 WBX8 WLT8 WVP8 H65591 JD65591 SZ65591 ACV65591 AMR65591 AWN65591 BGJ65591 BQF65591 CAB65591 CJX65591 CTT65591 DDP65591 DNL65591 DXH65591 EHD65591 EQZ65591 FAV65591 FKR65591 FUN65591 GEJ65591 GOF65591 GYB65591 HHX65591 HRT65591 IBP65591 ILL65591 IVH65591 JFD65591 JOZ65591 JYV65591 KIR65591 KSN65591 LCJ65591 LMF65591 LWB65591 MFX65591 MPT65591 MZP65591 NJL65591 NTH65591 ODD65591 OMZ65591 OWV65591 PGR65591 PQN65591 QAJ65591 QKF65591 QUB65591 RDX65591 RNT65591 RXP65591 SHL65591 SRH65591 TBD65591 TKZ65591 TUV65591 UER65591 UON65591 UYJ65591 VIF65591 VSB65591 WBX65591 WLT65591 WVP65591 H131127 JD131127 SZ131127 ACV131127 AMR131127 AWN131127 BGJ131127 BQF131127 CAB131127 CJX131127 CTT131127 DDP131127 DNL131127 DXH131127 EHD131127 EQZ131127 FAV131127 FKR131127 FUN131127 GEJ131127 GOF131127 GYB131127 HHX131127 HRT131127 IBP131127 ILL131127 IVH131127 JFD131127 JOZ131127 JYV131127 KIR131127 KSN131127 LCJ131127 LMF131127 LWB131127 MFX131127 MPT131127 MZP131127 NJL131127 NTH131127 ODD131127 OMZ131127 OWV131127 PGR131127 PQN131127 QAJ131127 QKF131127 QUB131127 RDX131127 RNT131127 RXP131127 SHL131127 SRH131127 TBD131127 TKZ131127 TUV131127 UER131127 UON131127 UYJ131127 VIF131127 VSB131127 WBX131127 WLT131127 WVP131127 H196663 JD196663 SZ196663 ACV196663 AMR196663 AWN196663 BGJ196663 BQF196663 CAB196663 CJX196663 CTT196663 DDP196663 DNL196663 DXH196663 EHD196663 EQZ196663 FAV196663 FKR196663 FUN196663 GEJ196663 GOF196663 GYB196663 HHX196663 HRT196663 IBP196663 ILL196663 IVH196663 JFD196663 JOZ196663 JYV196663 KIR196663 KSN196663 LCJ196663 LMF196663 LWB196663 MFX196663 MPT196663 MZP196663 NJL196663 NTH196663 ODD196663 OMZ196663 OWV196663 PGR196663 PQN196663 QAJ196663 QKF196663 QUB196663 RDX196663 RNT196663 RXP196663 SHL196663 SRH196663 TBD196663 TKZ196663 TUV196663 UER196663 UON196663 UYJ196663 VIF196663 VSB196663 WBX196663 WLT196663 WVP196663 H262199 JD262199 SZ262199 ACV262199 AMR262199 AWN262199 BGJ262199 BQF262199 CAB262199 CJX262199 CTT262199 DDP262199 DNL262199 DXH262199 EHD262199 EQZ262199 FAV262199 FKR262199 FUN262199 GEJ262199 GOF262199 GYB262199 HHX262199 HRT262199 IBP262199 ILL262199 IVH262199 JFD262199 JOZ262199 JYV262199 KIR262199 KSN262199 LCJ262199 LMF262199 LWB262199 MFX262199 MPT262199 MZP262199 NJL262199 NTH262199 ODD262199 OMZ262199 OWV262199 PGR262199 PQN262199 QAJ262199 QKF262199 QUB262199 RDX262199 RNT262199 RXP262199 SHL262199 SRH262199 TBD262199 TKZ262199 TUV262199 UER262199 UON262199 UYJ262199 VIF262199 VSB262199 WBX262199 WLT262199 WVP262199 H327735 JD327735 SZ327735 ACV327735 AMR327735 AWN327735 BGJ327735 BQF327735 CAB327735 CJX327735 CTT327735 DDP327735 DNL327735 DXH327735 EHD327735 EQZ327735 FAV327735 FKR327735 FUN327735 GEJ327735 GOF327735 GYB327735 HHX327735 HRT327735 IBP327735 ILL327735 IVH327735 JFD327735 JOZ327735 JYV327735 KIR327735 KSN327735 LCJ327735 LMF327735 LWB327735 MFX327735 MPT327735 MZP327735 NJL327735 NTH327735 ODD327735 OMZ327735 OWV327735 PGR327735 PQN327735 QAJ327735 QKF327735 QUB327735 RDX327735 RNT327735 RXP327735 SHL327735 SRH327735 TBD327735 TKZ327735 TUV327735 UER327735 UON327735 UYJ327735 VIF327735 VSB327735 WBX327735 WLT327735 WVP327735 H393271 JD393271 SZ393271 ACV393271 AMR393271 AWN393271 BGJ393271 BQF393271 CAB393271 CJX393271 CTT393271 DDP393271 DNL393271 DXH393271 EHD393271 EQZ393271 FAV393271 FKR393271 FUN393271 GEJ393271 GOF393271 GYB393271 HHX393271 HRT393271 IBP393271 ILL393271 IVH393271 JFD393271 JOZ393271 JYV393271 KIR393271 KSN393271 LCJ393271 LMF393271 LWB393271 MFX393271 MPT393271 MZP393271 NJL393271 NTH393271 ODD393271 OMZ393271 OWV393271 PGR393271 PQN393271 QAJ393271 QKF393271 QUB393271 RDX393271 RNT393271 RXP393271 SHL393271 SRH393271 TBD393271 TKZ393271 TUV393271 UER393271 UON393271 UYJ393271 VIF393271 VSB393271 WBX393271 WLT393271 WVP393271 H458807 JD458807 SZ458807 ACV458807 AMR458807 AWN458807 BGJ458807 BQF458807 CAB458807 CJX458807 CTT458807 DDP458807 DNL458807 DXH458807 EHD458807 EQZ458807 FAV458807 FKR458807 FUN458807 GEJ458807 GOF458807 GYB458807 HHX458807 HRT458807 IBP458807 ILL458807 IVH458807 JFD458807 JOZ458807 JYV458807 KIR458807 KSN458807 LCJ458807 LMF458807 LWB458807 MFX458807 MPT458807 MZP458807 NJL458807 NTH458807 ODD458807 OMZ458807 OWV458807 PGR458807 PQN458807 QAJ458807 QKF458807 QUB458807 RDX458807 RNT458807 RXP458807 SHL458807 SRH458807 TBD458807 TKZ458807 TUV458807 UER458807 UON458807 UYJ458807 VIF458807 VSB458807 WBX458807 WLT458807 WVP458807 H524343 JD524343 SZ524343 ACV524343 AMR524343 AWN524343 BGJ524343 BQF524343 CAB524343 CJX524343 CTT524343 DDP524343 DNL524343 DXH524343 EHD524343 EQZ524343 FAV524343 FKR524343 FUN524343 GEJ524343 GOF524343 GYB524343 HHX524343 HRT524343 IBP524343 ILL524343 IVH524343 JFD524343 JOZ524343 JYV524343 KIR524343 KSN524343 LCJ524343 LMF524343 LWB524343 MFX524343 MPT524343 MZP524343 NJL524343 NTH524343 ODD524343 OMZ524343 OWV524343 PGR524343 PQN524343 QAJ524343 QKF524343 QUB524343 RDX524343 RNT524343 RXP524343 SHL524343 SRH524343 TBD524343 TKZ524343 TUV524343 UER524343 UON524343 UYJ524343 VIF524343 VSB524343 WBX524343 WLT524343 WVP524343 H589879 JD589879 SZ589879 ACV589879 AMR589879 AWN589879 BGJ589879 BQF589879 CAB589879 CJX589879 CTT589879 DDP589879 DNL589879 DXH589879 EHD589879 EQZ589879 FAV589879 FKR589879 FUN589879 GEJ589879 GOF589879 GYB589879 HHX589879 HRT589879 IBP589879 ILL589879 IVH589879 JFD589879 JOZ589879 JYV589879 KIR589879 KSN589879 LCJ589879 LMF589879 LWB589879 MFX589879 MPT589879 MZP589879 NJL589879 NTH589879 ODD589879 OMZ589879 OWV589879 PGR589879 PQN589879 QAJ589879 QKF589879 QUB589879 RDX589879 RNT589879 RXP589879 SHL589879 SRH589879 TBD589879 TKZ589879 TUV589879 UER589879 UON589879 UYJ589879 VIF589879 VSB589879 WBX589879 WLT589879 WVP589879 H655415 JD655415 SZ655415 ACV655415 AMR655415 AWN655415 BGJ655415 BQF655415 CAB655415 CJX655415 CTT655415 DDP655415 DNL655415 DXH655415 EHD655415 EQZ655415 FAV655415 FKR655415 FUN655415 GEJ655415 GOF655415 GYB655415 HHX655415 HRT655415 IBP655415 ILL655415 IVH655415 JFD655415 JOZ655415 JYV655415 KIR655415 KSN655415 LCJ655415 LMF655415 LWB655415 MFX655415 MPT655415 MZP655415 NJL655415 NTH655415 ODD655415 OMZ655415 OWV655415 PGR655415 PQN655415 QAJ655415 QKF655415 QUB655415 RDX655415 RNT655415 RXP655415 SHL655415 SRH655415 TBD655415 TKZ655415 TUV655415 UER655415 UON655415 UYJ655415 VIF655415 VSB655415 WBX655415 WLT655415 WVP655415 H720951 JD720951 SZ720951 ACV720951 AMR720951 AWN720951 BGJ720951 BQF720951 CAB720951 CJX720951 CTT720951 DDP720951 DNL720951 DXH720951 EHD720951 EQZ720951 FAV720951 FKR720951 FUN720951 GEJ720951 GOF720951 GYB720951 HHX720951 HRT720951 IBP720951 ILL720951 IVH720951 JFD720951 JOZ720951 JYV720951 KIR720951 KSN720951 LCJ720951 LMF720951 LWB720951 MFX720951 MPT720951 MZP720951 NJL720951 NTH720951 ODD720951 OMZ720951 OWV720951 PGR720951 PQN720951 QAJ720951 QKF720951 QUB720951 RDX720951 RNT720951 RXP720951 SHL720951 SRH720951 TBD720951 TKZ720951 TUV720951 UER720951 UON720951 UYJ720951 VIF720951 VSB720951 WBX720951 WLT720951 WVP720951 H786487 JD786487 SZ786487 ACV786487 AMR786487 AWN786487 BGJ786487 BQF786487 CAB786487 CJX786487 CTT786487 DDP786487 DNL786487 DXH786487 EHD786487 EQZ786487 FAV786487 FKR786487 FUN786487 GEJ786487 GOF786487 GYB786487 HHX786487 HRT786487 IBP786487 ILL786487 IVH786487 JFD786487 JOZ786487 JYV786487 KIR786487 KSN786487 LCJ786487 LMF786487 LWB786487 MFX786487 MPT786487 MZP786487 NJL786487 NTH786487 ODD786487 OMZ786487 OWV786487 PGR786487 PQN786487 QAJ786487 QKF786487 QUB786487 RDX786487 RNT786487 RXP786487 SHL786487 SRH786487 TBD786487 TKZ786487 TUV786487 UER786487 UON786487 UYJ786487 VIF786487 VSB786487 WBX786487 WLT786487 WVP786487 H852023 JD852023 SZ852023 ACV852023 AMR852023 AWN852023 BGJ852023 BQF852023 CAB852023 CJX852023 CTT852023 DDP852023 DNL852023 DXH852023 EHD852023 EQZ852023 FAV852023 FKR852023 FUN852023 GEJ852023 GOF852023 GYB852023 HHX852023 HRT852023 IBP852023 ILL852023 IVH852023 JFD852023 JOZ852023 JYV852023 KIR852023 KSN852023 LCJ852023 LMF852023 LWB852023 MFX852023 MPT852023 MZP852023 NJL852023 NTH852023 ODD852023 OMZ852023 OWV852023 PGR852023 PQN852023 QAJ852023 QKF852023 QUB852023 RDX852023 RNT852023 RXP852023 SHL852023 SRH852023 TBD852023 TKZ852023 TUV852023 UER852023 UON852023 UYJ852023 VIF852023 VSB852023 WBX852023 WLT852023 WVP852023 H917559 JD917559 SZ917559 ACV917559 AMR917559 AWN917559 BGJ917559 BQF917559 CAB917559 CJX917559 CTT917559 DDP917559 DNL917559 DXH917559 EHD917559 EQZ917559 FAV917559 FKR917559 FUN917559 GEJ917559 GOF917559 GYB917559 HHX917559 HRT917559 IBP917559 ILL917559 IVH917559 JFD917559 JOZ917559 JYV917559 KIR917559 KSN917559 LCJ917559 LMF917559 LWB917559 MFX917559 MPT917559 MZP917559 NJL917559 NTH917559 ODD917559 OMZ917559 OWV917559 PGR917559 PQN917559 QAJ917559 QKF917559 QUB917559 RDX917559 RNT917559 RXP917559 SHL917559 SRH917559 TBD917559 TKZ917559 TUV917559 UER917559 UON917559 UYJ917559 VIF917559 VSB917559 WBX917559 WLT917559 WVP917559 H983095 JD983095 SZ983095 ACV983095 AMR983095 AWN983095 BGJ983095 BQF983095 CAB983095 CJX983095 CTT983095 DDP983095 DNL983095 DXH983095 EHD983095 EQZ983095 FAV983095 FKR983095 FUN983095 GEJ983095 GOF983095 GYB983095 HHX983095 HRT983095 IBP983095 ILL983095 IVH983095 JFD983095 JOZ983095 JYV983095 KIR983095 KSN983095 LCJ983095 LMF983095 LWB983095 MFX983095 MPT983095 MZP983095 NJL983095 NTH983095 ODD983095 OMZ983095 OWV983095 PGR983095 PQN983095 QAJ983095 QKF983095 QUB983095 RDX983095 RNT983095 RXP983095 SHL983095 SRH983095 TBD983095 TKZ983095 TUV983095 UER983095 UON983095 UYJ983095 VIF983095 VSB983095 WBX983095 WLT983095 WVP983095" xr:uid="{DD9AE159-3108-4305-9762-D65C5DF52ADD}">
      <formula1>"TRUE,FALSE"</formula1>
    </dataValidation>
  </dataValidations>
  <hyperlinks>
    <hyperlink ref="AL15" location="BUILDING!AL15" display="BUILDING!AL15" xr:uid="{4BBEF5BA-37CC-491D-B236-329BE0C52360}"/>
  </hyperlinks>
  <pageMargins left="0.5" right="0.5" top="0.5" bottom="0.75" header="0" footer="0.5"/>
  <pageSetup firstPageNumber="3" fitToHeight="1000" orientation="portrait" useFirstPageNumber="1" r:id="rId1"/>
  <headerFooter alignWithMargins="0">
    <oddFooter>&amp;L&amp;"Calibri,Regular"Prepared by:  OCMI&amp;R&amp;"Calibri,Regular"&amp;10 Sheet &amp;P of 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99777" r:id="rId4" name="Button 1">
              <controlPr locked="0" defaultSize="0" autoFill="0" autoPict="0" macro="[0]!Module5.hideShowSF2">
                <anchor moveWithCells="1" sizeWithCells="1">
                  <from>
                    <xdr:col>32</xdr:col>
                    <xdr:colOff>57150</xdr:colOff>
                    <xdr:row>6</xdr:row>
                    <xdr:rowOff>76200</xdr:rowOff>
                  </from>
                  <to>
                    <xdr:col>32</xdr:col>
                    <xdr:colOff>1238250</xdr:colOff>
                    <xdr:row>8</xdr:row>
                    <xdr:rowOff>66675</xdr:rowOff>
                  </to>
                </anchor>
              </controlPr>
            </control>
          </mc:Choice>
        </mc:AlternateContent>
        <mc:AlternateContent xmlns:mc="http://schemas.openxmlformats.org/markup-compatibility/2006">
          <mc:Choice Requires="x14">
            <control shapeId="1099778" r:id="rId5" name="Button 2">
              <controlPr defaultSize="0" print="0" autoFill="0" autoPict="0" macro="[0]!jumpToDetail">
                <anchor moveWithCells="1" sizeWithCells="1">
                  <from>
                    <xdr:col>37</xdr:col>
                    <xdr:colOff>28575</xdr:colOff>
                    <xdr:row>11</xdr:row>
                    <xdr:rowOff>133350</xdr:rowOff>
                  </from>
                  <to>
                    <xdr:col>37</xdr:col>
                    <xdr:colOff>838200</xdr:colOff>
                    <xdr:row>13</xdr:row>
                    <xdr:rowOff>38100</xdr:rowOff>
                  </to>
                </anchor>
              </controlPr>
            </control>
          </mc:Choice>
        </mc:AlternateContent>
        <mc:AlternateContent xmlns:mc="http://schemas.openxmlformats.org/markup-compatibility/2006">
          <mc:Choice Requires="x14">
            <control shapeId="1099779" r:id="rId6" name="Button 3">
              <controlPr defaultSize="0" print="0" autoFill="0" autoPict="0" macro="[0]!jumpToSummary">
                <anchor moveWithCells="1" sizeWithCells="1">
                  <from>
                    <xdr:col>15</xdr:col>
                    <xdr:colOff>238125</xdr:colOff>
                    <xdr:row>783</xdr:row>
                    <xdr:rowOff>95250</xdr:rowOff>
                  </from>
                  <to>
                    <xdr:col>15</xdr:col>
                    <xdr:colOff>1066800</xdr:colOff>
                    <xdr:row>785</xdr:row>
                    <xdr:rowOff>0</xdr:rowOff>
                  </to>
                </anchor>
              </controlPr>
            </control>
          </mc:Choice>
        </mc:AlternateContent>
        <mc:AlternateContent xmlns:mc="http://schemas.openxmlformats.org/markup-compatibility/2006">
          <mc:Choice Requires="x14">
            <control shapeId="1099780" r:id="rId7" name="SiteCheck">
              <controlPr defaultSize="0" autoFill="0" autoLine="0" autoPict="0" macro="[0]!callSiteClick">
                <anchor moveWithCells="1" sizeWithCells="1">
                  <from>
                    <xdr:col>6</xdr:col>
                    <xdr:colOff>133350</xdr:colOff>
                    <xdr:row>6</xdr:row>
                    <xdr:rowOff>133350</xdr:rowOff>
                  </from>
                  <to>
                    <xdr:col>7</xdr:col>
                    <xdr:colOff>190500</xdr:colOff>
                    <xdr:row>8</xdr:row>
                    <xdr:rowOff>19050</xdr:rowOff>
                  </to>
                </anchor>
              </controlPr>
            </control>
          </mc:Choice>
        </mc:AlternateContent>
        <mc:AlternateContent xmlns:mc="http://schemas.openxmlformats.org/markup-compatibility/2006">
          <mc:Choice Requires="x14">
            <control shapeId="1099781" r:id="rId8" name="Button 5">
              <controlPr locked="0" defaultSize="0" autoFill="0" autoPict="0" macro="[0]!orientPortrait">
                <anchor moveWithCells="1" sizeWithCells="1">
                  <from>
                    <xdr:col>7</xdr:col>
                    <xdr:colOff>1914525</xdr:colOff>
                    <xdr:row>2</xdr:row>
                    <xdr:rowOff>0</xdr:rowOff>
                  </from>
                  <to>
                    <xdr:col>7</xdr:col>
                    <xdr:colOff>2733675</xdr:colOff>
                    <xdr:row>3</xdr:row>
                    <xdr:rowOff>57150</xdr:rowOff>
                  </to>
                </anchor>
              </controlPr>
            </control>
          </mc:Choice>
        </mc:AlternateContent>
        <mc:AlternateContent xmlns:mc="http://schemas.openxmlformats.org/markup-compatibility/2006">
          <mc:Choice Requires="x14">
            <control shapeId="1099782" r:id="rId9" name="Button 6">
              <controlPr locked="0" defaultSize="0" autoFill="0" autoPict="0" macro="[0]!orientLandscape">
                <anchor moveWithCells="1" sizeWithCells="1">
                  <from>
                    <xdr:col>7</xdr:col>
                    <xdr:colOff>1914525</xdr:colOff>
                    <xdr:row>3</xdr:row>
                    <xdr:rowOff>114300</xdr:rowOff>
                  </from>
                  <to>
                    <xdr:col>7</xdr:col>
                    <xdr:colOff>2733675</xdr:colOff>
                    <xdr:row>5</xdr:row>
                    <xdr:rowOff>19050</xdr:rowOff>
                  </to>
                </anchor>
              </controlPr>
            </control>
          </mc:Choice>
        </mc:AlternateContent>
        <mc:AlternateContent xmlns:mc="http://schemas.openxmlformats.org/markup-compatibility/2006">
          <mc:Choice Requires="x14">
            <control shapeId="1099783" r:id="rId10" name="MaterialCheck">
              <controlPr defaultSize="0" autoFill="0" autoLine="0" autoPict="0" macro="[0]!callMaterialColumn">
                <anchor moveWithCells="1" sizeWithCells="1">
                  <from>
                    <xdr:col>8</xdr:col>
                    <xdr:colOff>180975</xdr:colOff>
                    <xdr:row>1</xdr:row>
                    <xdr:rowOff>133350</xdr:rowOff>
                  </from>
                  <to>
                    <xdr:col>9</xdr:col>
                    <xdr:colOff>323850</xdr:colOff>
                    <xdr:row>3</xdr:row>
                    <xdr:rowOff>38100</xdr:rowOff>
                  </to>
                </anchor>
              </controlPr>
            </control>
          </mc:Choice>
        </mc:AlternateContent>
        <mc:AlternateContent xmlns:mc="http://schemas.openxmlformats.org/markup-compatibility/2006">
          <mc:Choice Requires="x14">
            <control shapeId="1099784" r:id="rId11" name="LaborCheck">
              <controlPr defaultSize="0" autoFill="0" autoLine="0" autoPict="0" macro="[0]!callLaborColumn">
                <anchor moveWithCells="1" sizeWithCells="1">
                  <from>
                    <xdr:col>8</xdr:col>
                    <xdr:colOff>180975</xdr:colOff>
                    <xdr:row>3</xdr:row>
                    <xdr:rowOff>9525</xdr:rowOff>
                  </from>
                  <to>
                    <xdr:col>9</xdr:col>
                    <xdr:colOff>323850</xdr:colOff>
                    <xdr:row>4</xdr:row>
                    <xdr:rowOff>76200</xdr:rowOff>
                  </to>
                </anchor>
              </controlPr>
            </control>
          </mc:Choice>
        </mc:AlternateContent>
        <mc:AlternateContent xmlns:mc="http://schemas.openxmlformats.org/markup-compatibility/2006">
          <mc:Choice Requires="x14">
            <control shapeId="1099785" r:id="rId12" name="EquipmentCheck">
              <controlPr defaultSize="0" autoFill="0" autoLine="0" autoPict="0" macro="[0]!callEquipmentColumn">
                <anchor moveWithCells="1" sizeWithCells="1">
                  <from>
                    <xdr:col>8</xdr:col>
                    <xdr:colOff>180975</xdr:colOff>
                    <xdr:row>4</xdr:row>
                    <xdr:rowOff>57150</xdr:rowOff>
                  </from>
                  <to>
                    <xdr:col>9</xdr:col>
                    <xdr:colOff>323850</xdr:colOff>
                    <xdr:row>5</xdr:row>
                    <xdr:rowOff>123825</xdr:rowOff>
                  </to>
                </anchor>
              </controlPr>
            </control>
          </mc:Choice>
        </mc:AlternateContent>
        <mc:AlternateContent xmlns:mc="http://schemas.openxmlformats.org/markup-compatibility/2006">
          <mc:Choice Requires="x14">
            <control shapeId="1099786" r:id="rId13" name="OtherCheck">
              <controlPr defaultSize="0" autoFill="0" autoLine="0" autoPict="0" macro="[0]!callOtherColumn">
                <anchor moveWithCells="1" sizeWithCells="1">
                  <from>
                    <xdr:col>8</xdr:col>
                    <xdr:colOff>180975</xdr:colOff>
                    <xdr:row>5</xdr:row>
                    <xdr:rowOff>95250</xdr:rowOff>
                  </from>
                  <to>
                    <xdr:col>9</xdr:col>
                    <xdr:colOff>323850</xdr:colOff>
                    <xdr:row>7</xdr:row>
                    <xdr:rowOff>0</xdr:rowOff>
                  </to>
                </anchor>
              </controlPr>
            </control>
          </mc:Choice>
        </mc:AlternateContent>
        <mc:AlternateContent xmlns:mc="http://schemas.openxmlformats.org/markup-compatibility/2006">
          <mc:Choice Requires="x14">
            <control shapeId="1099787" r:id="rId14" name="Button 11">
              <controlPr defaultSize="0" print="0" autoFill="0" autoPict="0" macro="[0]!jumpToSummary">
                <anchor moveWithCells="1" sizeWithCells="1">
                  <from>
                    <xdr:col>14</xdr:col>
                    <xdr:colOff>95250</xdr:colOff>
                    <xdr:row>1</xdr:row>
                    <xdr:rowOff>161925</xdr:rowOff>
                  </from>
                  <to>
                    <xdr:col>15</xdr:col>
                    <xdr:colOff>19050</xdr:colOff>
                    <xdr:row>3</xdr:row>
                    <xdr:rowOff>57150</xdr:rowOff>
                  </to>
                </anchor>
              </controlPr>
            </control>
          </mc:Choice>
        </mc:AlternateContent>
        <mc:AlternateContent xmlns:mc="http://schemas.openxmlformats.org/markup-compatibility/2006">
          <mc:Choice Requires="x14">
            <control shapeId="1099788" r:id="rId15" name="Button 12">
              <controlPr defaultSize="0" print="0" autoFill="0" autoPict="0" macro="[0]!jumpToDetail">
                <anchor moveWithCells="1" sizeWithCells="1">
                  <from>
                    <xdr:col>14</xdr:col>
                    <xdr:colOff>95250</xdr:colOff>
                    <xdr:row>3</xdr:row>
                    <xdr:rowOff>104775</xdr:rowOff>
                  </from>
                  <to>
                    <xdr:col>15</xdr:col>
                    <xdr:colOff>19050</xdr:colOff>
                    <xdr:row>5</xdr:row>
                    <xdr:rowOff>9525</xdr:rowOff>
                  </to>
                </anchor>
              </controlPr>
            </control>
          </mc:Choice>
        </mc:AlternateContent>
        <mc:AlternateContent xmlns:mc="http://schemas.openxmlformats.org/markup-compatibility/2006">
          <mc:Choice Requires="x14">
            <control shapeId="1099789" r:id="rId16" name="Button 13">
              <controlPr locked="0" defaultSize="0" autoFill="0" autoPict="0" macro="[0]!Module5.runQAQC">
                <anchor moveWithCells="1" sizeWithCells="1">
                  <from>
                    <xdr:col>7</xdr:col>
                    <xdr:colOff>1914525</xdr:colOff>
                    <xdr:row>6</xdr:row>
                    <xdr:rowOff>114300</xdr:rowOff>
                  </from>
                  <to>
                    <xdr:col>7</xdr:col>
                    <xdr:colOff>2266950</xdr:colOff>
                    <xdr:row>8</xdr:row>
                    <xdr:rowOff>19050</xdr:rowOff>
                  </to>
                </anchor>
              </controlPr>
            </control>
          </mc:Choice>
        </mc:AlternateContent>
        <mc:AlternateContent xmlns:mc="http://schemas.openxmlformats.org/markup-compatibility/2006">
          <mc:Choice Requires="x14">
            <control shapeId="1099790" r:id="rId17" name="Button 14">
              <controlPr locked="0" defaultSize="0" autoFill="0" autoPict="0" macro="[0]!Module5.undoQAQC">
                <anchor moveWithCells="1" sizeWithCells="1">
                  <from>
                    <xdr:col>7</xdr:col>
                    <xdr:colOff>2352675</xdr:colOff>
                    <xdr:row>6</xdr:row>
                    <xdr:rowOff>114300</xdr:rowOff>
                  </from>
                  <to>
                    <xdr:col>7</xdr:col>
                    <xdr:colOff>2714625</xdr:colOff>
                    <xdr:row>8</xdr:row>
                    <xdr:rowOff>19050</xdr:rowOff>
                  </to>
                </anchor>
              </controlPr>
            </control>
          </mc:Choice>
        </mc:AlternateContent>
        <mc:AlternateContent xmlns:mc="http://schemas.openxmlformats.org/markup-compatibility/2006">
          <mc:Choice Requires="x14">
            <control shapeId="1099791" r:id="rId18" name="Button 15">
              <controlPr defaultSize="0" print="0" autoFill="0" autoPict="0" macro="[0]!Module12.ControlQuanti">
                <anchor moveWithCells="1" sizeWithCells="1">
                  <from>
                    <xdr:col>15</xdr:col>
                    <xdr:colOff>295275</xdr:colOff>
                    <xdr:row>1</xdr:row>
                    <xdr:rowOff>57150</xdr:rowOff>
                  </from>
                  <to>
                    <xdr:col>16</xdr:col>
                    <xdr:colOff>400050</xdr:colOff>
                    <xdr:row>4</xdr:row>
                    <xdr:rowOff>9525</xdr:rowOff>
                  </to>
                </anchor>
              </controlPr>
            </control>
          </mc:Choice>
        </mc:AlternateContent>
        <mc:AlternateContent xmlns:mc="http://schemas.openxmlformats.org/markup-compatibility/2006">
          <mc:Choice Requires="x14">
            <control shapeId="1099792" r:id="rId19" name="Button 16">
              <controlPr defaultSize="0" print="0" autoFill="0" autoPict="0" macro="[0]!itemSelector_Click">
                <anchor moveWithCells="1" sizeWithCells="1">
                  <from>
                    <xdr:col>15</xdr:col>
                    <xdr:colOff>304800</xdr:colOff>
                    <xdr:row>4</xdr:row>
                    <xdr:rowOff>114300</xdr:rowOff>
                  </from>
                  <to>
                    <xdr:col>16</xdr:col>
                    <xdr:colOff>409575</xdr:colOff>
                    <xdr:row>7</xdr:row>
                    <xdr:rowOff>57150</xdr:rowOff>
                  </to>
                </anchor>
              </controlPr>
            </control>
          </mc:Choice>
        </mc:AlternateContent>
        <mc:AlternateContent xmlns:mc="http://schemas.openxmlformats.org/markup-compatibility/2006">
          <mc:Choice Requires="x14">
            <control shapeId="1099793" r:id="rId20" name="Button 17">
              <controlPr locked="0" defaultSize="0" autoFill="0" autoPict="0" macro="[0]!hideEmptySections">
                <anchor moveWithCells="1" sizeWithCells="1">
                  <from>
                    <xdr:col>32</xdr:col>
                    <xdr:colOff>47625</xdr:colOff>
                    <xdr:row>2</xdr:row>
                    <xdr:rowOff>38100</xdr:rowOff>
                  </from>
                  <to>
                    <xdr:col>32</xdr:col>
                    <xdr:colOff>1504950</xdr:colOff>
                    <xdr:row>3</xdr:row>
                    <xdr:rowOff>123825</xdr:rowOff>
                  </to>
                </anchor>
              </controlPr>
            </control>
          </mc:Choice>
        </mc:AlternateContent>
        <mc:AlternateContent xmlns:mc="http://schemas.openxmlformats.org/markup-compatibility/2006">
          <mc:Choice Requires="x14">
            <control shapeId="1099794" r:id="rId21" name="Button 18">
              <controlPr locked="0" defaultSize="0" autoFill="0" autoPict="0" macro="[0]!unhideAllSections">
                <anchor moveWithCells="1" sizeWithCells="1">
                  <from>
                    <xdr:col>32</xdr:col>
                    <xdr:colOff>47625</xdr:colOff>
                    <xdr:row>4</xdr:row>
                    <xdr:rowOff>19050</xdr:rowOff>
                  </from>
                  <to>
                    <xdr:col>32</xdr:col>
                    <xdr:colOff>1504950</xdr:colOff>
                    <xdr:row>5</xdr:row>
                    <xdr:rowOff>114300</xdr:rowOff>
                  </to>
                </anchor>
              </controlPr>
            </control>
          </mc:Choice>
        </mc:AlternateContent>
        <mc:AlternateContent xmlns:mc="http://schemas.openxmlformats.org/markup-compatibility/2006">
          <mc:Choice Requires="x14">
            <control shapeId="1099795" r:id="rId22" name="Button 19">
              <controlPr defaultSize="0" print="0" autoFill="0" autoPict="0" macro="[0]!moveRows">
                <anchor moveWithCells="1" sizeWithCells="1">
                  <from>
                    <xdr:col>14</xdr:col>
                    <xdr:colOff>95250</xdr:colOff>
                    <xdr:row>5</xdr:row>
                    <xdr:rowOff>104775</xdr:rowOff>
                  </from>
                  <to>
                    <xdr:col>15</xdr:col>
                    <xdr:colOff>19050</xdr:colOff>
                    <xdr:row>7</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FEB76-038D-4857-939C-3DDBE7BC0154}">
  <sheetPr codeName="Sheet9"/>
  <dimension ref="A1:AU504"/>
  <sheetViews>
    <sheetView showZeros="0" view="pageBreakPreview" topLeftCell="B1" zoomScaleNormal="75" zoomScaleSheetLayoutView="100" workbookViewId="0">
      <pane ySplit="10" topLeftCell="A73" activePane="bottomLeft" state="frozen"/>
      <selection activeCell="H18" sqref="H18"/>
      <selection pane="bottomLeft" activeCell="D98" sqref="D98"/>
    </sheetView>
  </sheetViews>
  <sheetFormatPr defaultColWidth="9" defaultRowHeight="12.75" x14ac:dyDescent="0.2"/>
  <cols>
    <col min="1" max="1" width="3.5703125" style="143" hidden="1" customWidth="1"/>
    <col min="2" max="2" width="4.28515625" style="144" customWidth="1"/>
    <col min="3" max="3" width="4.28515625" style="145" customWidth="1"/>
    <col min="4" max="7" width="2.7109375" style="143" customWidth="1"/>
    <col min="8" max="8" width="42" style="143" customWidth="1"/>
    <col min="9" max="9" width="10" style="146" customWidth="1"/>
    <col min="10" max="10" width="6.140625" style="147" customWidth="1"/>
    <col min="11" max="13" width="10.85546875" style="148" hidden="1" customWidth="1"/>
    <col min="14" max="14" width="14.28515625" style="148" hidden="1" customWidth="1"/>
    <col min="15" max="15" width="12.42578125" style="149" customWidth="1"/>
    <col min="16" max="16" width="16.140625" style="146" customWidth="1"/>
    <col min="17" max="17" width="8" style="291" bestFit="1" customWidth="1"/>
    <col min="18" max="25" width="9" style="143" hidden="1" customWidth="1"/>
    <col min="26" max="28" width="12.140625" style="311" customWidth="1"/>
    <col min="29" max="29" width="12.140625" style="143" customWidth="1"/>
    <col min="30" max="30" width="28.140625" style="602" customWidth="1"/>
    <col min="31" max="32" width="12.140625" style="143" customWidth="1"/>
    <col min="33" max="33" width="43.140625" style="143" customWidth="1"/>
    <col min="34" max="35" width="13.28515625" style="143" customWidth="1"/>
    <col min="36" max="36" width="1.28515625" style="143" customWidth="1"/>
    <col min="37" max="38" width="13.28515625" style="143" customWidth="1"/>
    <col min="39" max="41" width="9" style="143" customWidth="1"/>
    <col min="42" max="256" width="9" style="143"/>
    <col min="257" max="257" width="0" style="143" hidden="1" customWidth="1"/>
    <col min="258" max="259" width="4.28515625" style="143" customWidth="1"/>
    <col min="260" max="263" width="2.7109375" style="143" customWidth="1"/>
    <col min="264" max="264" width="41.28515625" style="143" customWidth="1"/>
    <col min="265" max="265" width="10.140625" style="143" customWidth="1"/>
    <col min="266" max="266" width="6.28515625" style="143" customWidth="1"/>
    <col min="267" max="270" width="0" style="143" hidden="1" customWidth="1"/>
    <col min="271" max="271" width="12.28515625" style="143" customWidth="1"/>
    <col min="272" max="272" width="16.28515625" style="143" customWidth="1"/>
    <col min="273" max="273" width="9" style="143"/>
    <col min="274" max="281" width="0" style="143" hidden="1" customWidth="1"/>
    <col min="282" max="282" width="10.5703125" style="143" bestFit="1" customWidth="1"/>
    <col min="283" max="283" width="3.5703125" style="143" bestFit="1" customWidth="1"/>
    <col min="284" max="288" width="0" style="143" hidden="1" customWidth="1"/>
    <col min="289" max="289" width="41.85546875" style="143" customWidth="1"/>
    <col min="290" max="291" width="13.28515625" style="143" customWidth="1"/>
    <col min="292" max="292" width="1.42578125" style="143" customWidth="1"/>
    <col min="293" max="294" width="13.28515625" style="143" customWidth="1"/>
    <col min="295" max="512" width="9" style="143"/>
    <col min="513" max="513" width="0" style="143" hidden="1" customWidth="1"/>
    <col min="514" max="515" width="4.28515625" style="143" customWidth="1"/>
    <col min="516" max="519" width="2.7109375" style="143" customWidth="1"/>
    <col min="520" max="520" width="41.28515625" style="143" customWidth="1"/>
    <col min="521" max="521" width="10.140625" style="143" customWidth="1"/>
    <col min="522" max="522" width="6.28515625" style="143" customWidth="1"/>
    <col min="523" max="526" width="0" style="143" hidden="1" customWidth="1"/>
    <col min="527" max="527" width="12.28515625" style="143" customWidth="1"/>
    <col min="528" max="528" width="16.28515625" style="143" customWidth="1"/>
    <col min="529" max="529" width="9" style="143"/>
    <col min="530" max="537" width="0" style="143" hidden="1" customWidth="1"/>
    <col min="538" max="538" width="10.5703125" style="143" bestFit="1" customWidth="1"/>
    <col min="539" max="539" width="3.5703125" style="143" bestFit="1" customWidth="1"/>
    <col min="540" max="544" width="0" style="143" hidden="1" customWidth="1"/>
    <col min="545" max="545" width="41.85546875" style="143" customWidth="1"/>
    <col min="546" max="547" width="13.28515625" style="143" customWidth="1"/>
    <col min="548" max="548" width="1.42578125" style="143" customWidth="1"/>
    <col min="549" max="550" width="13.28515625" style="143" customWidth="1"/>
    <col min="551" max="768" width="9" style="143"/>
    <col min="769" max="769" width="0" style="143" hidden="1" customWidth="1"/>
    <col min="770" max="771" width="4.28515625" style="143" customWidth="1"/>
    <col min="772" max="775" width="2.7109375" style="143" customWidth="1"/>
    <col min="776" max="776" width="41.28515625" style="143" customWidth="1"/>
    <col min="777" max="777" width="10.140625" style="143" customWidth="1"/>
    <col min="778" max="778" width="6.28515625" style="143" customWidth="1"/>
    <col min="779" max="782" width="0" style="143" hidden="1" customWidth="1"/>
    <col min="783" max="783" width="12.28515625" style="143" customWidth="1"/>
    <col min="784" max="784" width="16.28515625" style="143" customWidth="1"/>
    <col min="785" max="785" width="9" style="143"/>
    <col min="786" max="793" width="0" style="143" hidden="1" customWidth="1"/>
    <col min="794" max="794" width="10.5703125" style="143" bestFit="1" customWidth="1"/>
    <col min="795" max="795" width="3.5703125" style="143" bestFit="1" customWidth="1"/>
    <col min="796" max="800" width="0" style="143" hidden="1" customWidth="1"/>
    <col min="801" max="801" width="41.85546875" style="143" customWidth="1"/>
    <col min="802" max="803" width="13.28515625" style="143" customWidth="1"/>
    <col min="804" max="804" width="1.42578125" style="143" customWidth="1"/>
    <col min="805" max="806" width="13.28515625" style="143" customWidth="1"/>
    <col min="807" max="1024" width="9" style="143"/>
    <col min="1025" max="1025" width="0" style="143" hidden="1" customWidth="1"/>
    <col min="1026" max="1027" width="4.28515625" style="143" customWidth="1"/>
    <col min="1028" max="1031" width="2.7109375" style="143" customWidth="1"/>
    <col min="1032" max="1032" width="41.28515625" style="143" customWidth="1"/>
    <col min="1033" max="1033" width="10.140625" style="143" customWidth="1"/>
    <col min="1034" max="1034" width="6.28515625" style="143" customWidth="1"/>
    <col min="1035" max="1038" width="0" style="143" hidden="1" customWidth="1"/>
    <col min="1039" max="1039" width="12.28515625" style="143" customWidth="1"/>
    <col min="1040" max="1040" width="16.28515625" style="143" customWidth="1"/>
    <col min="1041" max="1041" width="9" style="143"/>
    <col min="1042" max="1049" width="0" style="143" hidden="1" customWidth="1"/>
    <col min="1050" max="1050" width="10.5703125" style="143" bestFit="1" customWidth="1"/>
    <col min="1051" max="1051" width="3.5703125" style="143" bestFit="1" customWidth="1"/>
    <col min="1052" max="1056" width="0" style="143" hidden="1" customWidth="1"/>
    <col min="1057" max="1057" width="41.85546875" style="143" customWidth="1"/>
    <col min="1058" max="1059" width="13.28515625" style="143" customWidth="1"/>
    <col min="1060" max="1060" width="1.42578125" style="143" customWidth="1"/>
    <col min="1061" max="1062" width="13.28515625" style="143" customWidth="1"/>
    <col min="1063" max="1280" width="9" style="143"/>
    <col min="1281" max="1281" width="0" style="143" hidden="1" customWidth="1"/>
    <col min="1282" max="1283" width="4.28515625" style="143" customWidth="1"/>
    <col min="1284" max="1287" width="2.7109375" style="143" customWidth="1"/>
    <col min="1288" max="1288" width="41.28515625" style="143" customWidth="1"/>
    <col min="1289" max="1289" width="10.140625" style="143" customWidth="1"/>
    <col min="1290" max="1290" width="6.28515625" style="143" customWidth="1"/>
    <col min="1291" max="1294" width="0" style="143" hidden="1" customWidth="1"/>
    <col min="1295" max="1295" width="12.28515625" style="143" customWidth="1"/>
    <col min="1296" max="1296" width="16.28515625" style="143" customWidth="1"/>
    <col min="1297" max="1297" width="9" style="143"/>
    <col min="1298" max="1305" width="0" style="143" hidden="1" customWidth="1"/>
    <col min="1306" max="1306" width="10.5703125" style="143" bestFit="1" customWidth="1"/>
    <col min="1307" max="1307" width="3.5703125" style="143" bestFit="1" customWidth="1"/>
    <col min="1308" max="1312" width="0" style="143" hidden="1" customWidth="1"/>
    <col min="1313" max="1313" width="41.85546875" style="143" customWidth="1"/>
    <col min="1314" max="1315" width="13.28515625" style="143" customWidth="1"/>
    <col min="1316" max="1316" width="1.42578125" style="143" customWidth="1"/>
    <col min="1317" max="1318" width="13.28515625" style="143" customWidth="1"/>
    <col min="1319" max="1536" width="9" style="143"/>
    <col min="1537" max="1537" width="0" style="143" hidden="1" customWidth="1"/>
    <col min="1538" max="1539" width="4.28515625" style="143" customWidth="1"/>
    <col min="1540" max="1543" width="2.7109375" style="143" customWidth="1"/>
    <col min="1544" max="1544" width="41.28515625" style="143" customWidth="1"/>
    <col min="1545" max="1545" width="10.140625" style="143" customWidth="1"/>
    <col min="1546" max="1546" width="6.28515625" style="143" customWidth="1"/>
    <col min="1547" max="1550" width="0" style="143" hidden="1" customWidth="1"/>
    <col min="1551" max="1551" width="12.28515625" style="143" customWidth="1"/>
    <col min="1552" max="1552" width="16.28515625" style="143" customWidth="1"/>
    <col min="1553" max="1553" width="9" style="143"/>
    <col min="1554" max="1561" width="0" style="143" hidden="1" customWidth="1"/>
    <col min="1562" max="1562" width="10.5703125" style="143" bestFit="1" customWidth="1"/>
    <col min="1563" max="1563" width="3.5703125" style="143" bestFit="1" customWidth="1"/>
    <col min="1564" max="1568" width="0" style="143" hidden="1" customWidth="1"/>
    <col min="1569" max="1569" width="41.85546875" style="143" customWidth="1"/>
    <col min="1570" max="1571" width="13.28515625" style="143" customWidth="1"/>
    <col min="1572" max="1572" width="1.42578125" style="143" customWidth="1"/>
    <col min="1573" max="1574" width="13.28515625" style="143" customWidth="1"/>
    <col min="1575" max="1792" width="9" style="143"/>
    <col min="1793" max="1793" width="0" style="143" hidden="1" customWidth="1"/>
    <col min="1794" max="1795" width="4.28515625" style="143" customWidth="1"/>
    <col min="1796" max="1799" width="2.7109375" style="143" customWidth="1"/>
    <col min="1800" max="1800" width="41.28515625" style="143" customWidth="1"/>
    <col min="1801" max="1801" width="10.140625" style="143" customWidth="1"/>
    <col min="1802" max="1802" width="6.28515625" style="143" customWidth="1"/>
    <col min="1803" max="1806" width="0" style="143" hidden="1" customWidth="1"/>
    <col min="1807" max="1807" width="12.28515625" style="143" customWidth="1"/>
    <col min="1808" max="1808" width="16.28515625" style="143" customWidth="1"/>
    <col min="1809" max="1809" width="9" style="143"/>
    <col min="1810" max="1817" width="0" style="143" hidden="1" customWidth="1"/>
    <col min="1818" max="1818" width="10.5703125" style="143" bestFit="1" customWidth="1"/>
    <col min="1819" max="1819" width="3.5703125" style="143" bestFit="1" customWidth="1"/>
    <col min="1820" max="1824" width="0" style="143" hidden="1" customWidth="1"/>
    <col min="1825" max="1825" width="41.85546875" style="143" customWidth="1"/>
    <col min="1826" max="1827" width="13.28515625" style="143" customWidth="1"/>
    <col min="1828" max="1828" width="1.42578125" style="143" customWidth="1"/>
    <col min="1829" max="1830" width="13.28515625" style="143" customWidth="1"/>
    <col min="1831" max="2048" width="9" style="143"/>
    <col min="2049" max="2049" width="0" style="143" hidden="1" customWidth="1"/>
    <col min="2050" max="2051" width="4.28515625" style="143" customWidth="1"/>
    <col min="2052" max="2055" width="2.7109375" style="143" customWidth="1"/>
    <col min="2056" max="2056" width="41.28515625" style="143" customWidth="1"/>
    <col min="2057" max="2057" width="10.140625" style="143" customWidth="1"/>
    <col min="2058" max="2058" width="6.28515625" style="143" customWidth="1"/>
    <col min="2059" max="2062" width="0" style="143" hidden="1" customWidth="1"/>
    <col min="2063" max="2063" width="12.28515625" style="143" customWidth="1"/>
    <col min="2064" max="2064" width="16.28515625" style="143" customWidth="1"/>
    <col min="2065" max="2065" width="9" style="143"/>
    <col min="2066" max="2073" width="0" style="143" hidden="1" customWidth="1"/>
    <col min="2074" max="2074" width="10.5703125" style="143" bestFit="1" customWidth="1"/>
    <col min="2075" max="2075" width="3.5703125" style="143" bestFit="1" customWidth="1"/>
    <col min="2076" max="2080" width="0" style="143" hidden="1" customWidth="1"/>
    <col min="2081" max="2081" width="41.85546875" style="143" customWidth="1"/>
    <col min="2082" max="2083" width="13.28515625" style="143" customWidth="1"/>
    <col min="2084" max="2084" width="1.42578125" style="143" customWidth="1"/>
    <col min="2085" max="2086" width="13.28515625" style="143" customWidth="1"/>
    <col min="2087" max="2304" width="9" style="143"/>
    <col min="2305" max="2305" width="0" style="143" hidden="1" customWidth="1"/>
    <col min="2306" max="2307" width="4.28515625" style="143" customWidth="1"/>
    <col min="2308" max="2311" width="2.7109375" style="143" customWidth="1"/>
    <col min="2312" max="2312" width="41.28515625" style="143" customWidth="1"/>
    <col min="2313" max="2313" width="10.140625" style="143" customWidth="1"/>
    <col min="2314" max="2314" width="6.28515625" style="143" customWidth="1"/>
    <col min="2315" max="2318" width="0" style="143" hidden="1" customWidth="1"/>
    <col min="2319" max="2319" width="12.28515625" style="143" customWidth="1"/>
    <col min="2320" max="2320" width="16.28515625" style="143" customWidth="1"/>
    <col min="2321" max="2321" width="9" style="143"/>
    <col min="2322" max="2329" width="0" style="143" hidden="1" customWidth="1"/>
    <col min="2330" max="2330" width="10.5703125" style="143" bestFit="1" customWidth="1"/>
    <col min="2331" max="2331" width="3.5703125" style="143" bestFit="1" customWidth="1"/>
    <col min="2332" max="2336" width="0" style="143" hidden="1" customWidth="1"/>
    <col min="2337" max="2337" width="41.85546875" style="143" customWidth="1"/>
    <col min="2338" max="2339" width="13.28515625" style="143" customWidth="1"/>
    <col min="2340" max="2340" width="1.42578125" style="143" customWidth="1"/>
    <col min="2341" max="2342" width="13.28515625" style="143" customWidth="1"/>
    <col min="2343" max="2560" width="9" style="143"/>
    <col min="2561" max="2561" width="0" style="143" hidden="1" customWidth="1"/>
    <col min="2562" max="2563" width="4.28515625" style="143" customWidth="1"/>
    <col min="2564" max="2567" width="2.7109375" style="143" customWidth="1"/>
    <col min="2568" max="2568" width="41.28515625" style="143" customWidth="1"/>
    <col min="2569" max="2569" width="10.140625" style="143" customWidth="1"/>
    <col min="2570" max="2570" width="6.28515625" style="143" customWidth="1"/>
    <col min="2571" max="2574" width="0" style="143" hidden="1" customWidth="1"/>
    <col min="2575" max="2575" width="12.28515625" style="143" customWidth="1"/>
    <col min="2576" max="2576" width="16.28515625" style="143" customWidth="1"/>
    <col min="2577" max="2577" width="9" style="143"/>
    <col min="2578" max="2585" width="0" style="143" hidden="1" customWidth="1"/>
    <col min="2586" max="2586" width="10.5703125" style="143" bestFit="1" customWidth="1"/>
    <col min="2587" max="2587" width="3.5703125" style="143" bestFit="1" customWidth="1"/>
    <col min="2588" max="2592" width="0" style="143" hidden="1" customWidth="1"/>
    <col min="2593" max="2593" width="41.85546875" style="143" customWidth="1"/>
    <col min="2594" max="2595" width="13.28515625" style="143" customWidth="1"/>
    <col min="2596" max="2596" width="1.42578125" style="143" customWidth="1"/>
    <col min="2597" max="2598" width="13.28515625" style="143" customWidth="1"/>
    <col min="2599" max="2816" width="9" style="143"/>
    <col min="2817" max="2817" width="0" style="143" hidden="1" customWidth="1"/>
    <col min="2818" max="2819" width="4.28515625" style="143" customWidth="1"/>
    <col min="2820" max="2823" width="2.7109375" style="143" customWidth="1"/>
    <col min="2824" max="2824" width="41.28515625" style="143" customWidth="1"/>
    <col min="2825" max="2825" width="10.140625" style="143" customWidth="1"/>
    <col min="2826" max="2826" width="6.28515625" style="143" customWidth="1"/>
    <col min="2827" max="2830" width="0" style="143" hidden="1" customWidth="1"/>
    <col min="2831" max="2831" width="12.28515625" style="143" customWidth="1"/>
    <col min="2832" max="2832" width="16.28515625" style="143" customWidth="1"/>
    <col min="2833" max="2833" width="9" style="143"/>
    <col min="2834" max="2841" width="0" style="143" hidden="1" customWidth="1"/>
    <col min="2842" max="2842" width="10.5703125" style="143" bestFit="1" customWidth="1"/>
    <col min="2843" max="2843" width="3.5703125" style="143" bestFit="1" customWidth="1"/>
    <col min="2844" max="2848" width="0" style="143" hidden="1" customWidth="1"/>
    <col min="2849" max="2849" width="41.85546875" style="143" customWidth="1"/>
    <col min="2850" max="2851" width="13.28515625" style="143" customWidth="1"/>
    <col min="2852" max="2852" width="1.42578125" style="143" customWidth="1"/>
    <col min="2853" max="2854" width="13.28515625" style="143" customWidth="1"/>
    <col min="2855" max="3072" width="9" style="143"/>
    <col min="3073" max="3073" width="0" style="143" hidden="1" customWidth="1"/>
    <col min="3074" max="3075" width="4.28515625" style="143" customWidth="1"/>
    <col min="3076" max="3079" width="2.7109375" style="143" customWidth="1"/>
    <col min="3080" max="3080" width="41.28515625" style="143" customWidth="1"/>
    <col min="3081" max="3081" width="10.140625" style="143" customWidth="1"/>
    <col min="3082" max="3082" width="6.28515625" style="143" customWidth="1"/>
    <col min="3083" max="3086" width="0" style="143" hidden="1" customWidth="1"/>
    <col min="3087" max="3087" width="12.28515625" style="143" customWidth="1"/>
    <col min="3088" max="3088" width="16.28515625" style="143" customWidth="1"/>
    <col min="3089" max="3089" width="9" style="143"/>
    <col min="3090" max="3097" width="0" style="143" hidden="1" customWidth="1"/>
    <col min="3098" max="3098" width="10.5703125" style="143" bestFit="1" customWidth="1"/>
    <col min="3099" max="3099" width="3.5703125" style="143" bestFit="1" customWidth="1"/>
    <col min="3100" max="3104" width="0" style="143" hidden="1" customWidth="1"/>
    <col min="3105" max="3105" width="41.85546875" style="143" customWidth="1"/>
    <col min="3106" max="3107" width="13.28515625" style="143" customWidth="1"/>
    <col min="3108" max="3108" width="1.42578125" style="143" customWidth="1"/>
    <col min="3109" max="3110" width="13.28515625" style="143" customWidth="1"/>
    <col min="3111" max="3328" width="9" style="143"/>
    <col min="3329" max="3329" width="0" style="143" hidden="1" customWidth="1"/>
    <col min="3330" max="3331" width="4.28515625" style="143" customWidth="1"/>
    <col min="3332" max="3335" width="2.7109375" style="143" customWidth="1"/>
    <col min="3336" max="3336" width="41.28515625" style="143" customWidth="1"/>
    <col min="3337" max="3337" width="10.140625" style="143" customWidth="1"/>
    <col min="3338" max="3338" width="6.28515625" style="143" customWidth="1"/>
    <col min="3339" max="3342" width="0" style="143" hidden="1" customWidth="1"/>
    <col min="3343" max="3343" width="12.28515625" style="143" customWidth="1"/>
    <col min="3344" max="3344" width="16.28515625" style="143" customWidth="1"/>
    <col min="3345" max="3345" width="9" style="143"/>
    <col min="3346" max="3353" width="0" style="143" hidden="1" customWidth="1"/>
    <col min="3354" max="3354" width="10.5703125" style="143" bestFit="1" customWidth="1"/>
    <col min="3355" max="3355" width="3.5703125" style="143" bestFit="1" customWidth="1"/>
    <col min="3356" max="3360" width="0" style="143" hidden="1" customWidth="1"/>
    <col min="3361" max="3361" width="41.85546875" style="143" customWidth="1"/>
    <col min="3362" max="3363" width="13.28515625" style="143" customWidth="1"/>
    <col min="3364" max="3364" width="1.42578125" style="143" customWidth="1"/>
    <col min="3365" max="3366" width="13.28515625" style="143" customWidth="1"/>
    <col min="3367" max="3584" width="9" style="143"/>
    <col min="3585" max="3585" width="0" style="143" hidden="1" customWidth="1"/>
    <col min="3586" max="3587" width="4.28515625" style="143" customWidth="1"/>
    <col min="3588" max="3591" width="2.7109375" style="143" customWidth="1"/>
    <col min="3592" max="3592" width="41.28515625" style="143" customWidth="1"/>
    <col min="3593" max="3593" width="10.140625" style="143" customWidth="1"/>
    <col min="3594" max="3594" width="6.28515625" style="143" customWidth="1"/>
    <col min="3595" max="3598" width="0" style="143" hidden="1" customWidth="1"/>
    <col min="3599" max="3599" width="12.28515625" style="143" customWidth="1"/>
    <col min="3600" max="3600" width="16.28515625" style="143" customWidth="1"/>
    <col min="3601" max="3601" width="9" style="143"/>
    <col min="3602" max="3609" width="0" style="143" hidden="1" customWidth="1"/>
    <col min="3610" max="3610" width="10.5703125" style="143" bestFit="1" customWidth="1"/>
    <col min="3611" max="3611" width="3.5703125" style="143" bestFit="1" customWidth="1"/>
    <col min="3612" max="3616" width="0" style="143" hidden="1" customWidth="1"/>
    <col min="3617" max="3617" width="41.85546875" style="143" customWidth="1"/>
    <col min="3618" max="3619" width="13.28515625" style="143" customWidth="1"/>
    <col min="3620" max="3620" width="1.42578125" style="143" customWidth="1"/>
    <col min="3621" max="3622" width="13.28515625" style="143" customWidth="1"/>
    <col min="3623" max="3840" width="9" style="143"/>
    <col min="3841" max="3841" width="0" style="143" hidden="1" customWidth="1"/>
    <col min="3842" max="3843" width="4.28515625" style="143" customWidth="1"/>
    <col min="3844" max="3847" width="2.7109375" style="143" customWidth="1"/>
    <col min="3848" max="3848" width="41.28515625" style="143" customWidth="1"/>
    <col min="3849" max="3849" width="10.140625" style="143" customWidth="1"/>
    <col min="3850" max="3850" width="6.28515625" style="143" customWidth="1"/>
    <col min="3851" max="3854" width="0" style="143" hidden="1" customWidth="1"/>
    <col min="3855" max="3855" width="12.28515625" style="143" customWidth="1"/>
    <col min="3856" max="3856" width="16.28515625" style="143" customWidth="1"/>
    <col min="3857" max="3857" width="9" style="143"/>
    <col min="3858" max="3865" width="0" style="143" hidden="1" customWidth="1"/>
    <col min="3866" max="3866" width="10.5703125" style="143" bestFit="1" customWidth="1"/>
    <col min="3867" max="3867" width="3.5703125" style="143" bestFit="1" customWidth="1"/>
    <col min="3868" max="3872" width="0" style="143" hidden="1" customWidth="1"/>
    <col min="3873" max="3873" width="41.85546875" style="143" customWidth="1"/>
    <col min="3874" max="3875" width="13.28515625" style="143" customWidth="1"/>
    <col min="3876" max="3876" width="1.42578125" style="143" customWidth="1"/>
    <col min="3877" max="3878" width="13.28515625" style="143" customWidth="1"/>
    <col min="3879" max="4096" width="9" style="143"/>
    <col min="4097" max="4097" width="0" style="143" hidden="1" customWidth="1"/>
    <col min="4098" max="4099" width="4.28515625" style="143" customWidth="1"/>
    <col min="4100" max="4103" width="2.7109375" style="143" customWidth="1"/>
    <col min="4104" max="4104" width="41.28515625" style="143" customWidth="1"/>
    <col min="4105" max="4105" width="10.140625" style="143" customWidth="1"/>
    <col min="4106" max="4106" width="6.28515625" style="143" customWidth="1"/>
    <col min="4107" max="4110" width="0" style="143" hidden="1" customWidth="1"/>
    <col min="4111" max="4111" width="12.28515625" style="143" customWidth="1"/>
    <col min="4112" max="4112" width="16.28515625" style="143" customWidth="1"/>
    <col min="4113" max="4113" width="9" style="143"/>
    <col min="4114" max="4121" width="0" style="143" hidden="1" customWidth="1"/>
    <col min="4122" max="4122" width="10.5703125" style="143" bestFit="1" customWidth="1"/>
    <col min="4123" max="4123" width="3.5703125" style="143" bestFit="1" customWidth="1"/>
    <col min="4124" max="4128" width="0" style="143" hidden="1" customWidth="1"/>
    <col min="4129" max="4129" width="41.85546875" style="143" customWidth="1"/>
    <col min="4130" max="4131" width="13.28515625" style="143" customWidth="1"/>
    <col min="4132" max="4132" width="1.42578125" style="143" customWidth="1"/>
    <col min="4133" max="4134" width="13.28515625" style="143" customWidth="1"/>
    <col min="4135" max="4352" width="9" style="143"/>
    <col min="4353" max="4353" width="0" style="143" hidden="1" customWidth="1"/>
    <col min="4354" max="4355" width="4.28515625" style="143" customWidth="1"/>
    <col min="4356" max="4359" width="2.7109375" style="143" customWidth="1"/>
    <col min="4360" max="4360" width="41.28515625" style="143" customWidth="1"/>
    <col min="4361" max="4361" width="10.140625" style="143" customWidth="1"/>
    <col min="4362" max="4362" width="6.28515625" style="143" customWidth="1"/>
    <col min="4363" max="4366" width="0" style="143" hidden="1" customWidth="1"/>
    <col min="4367" max="4367" width="12.28515625" style="143" customWidth="1"/>
    <col min="4368" max="4368" width="16.28515625" style="143" customWidth="1"/>
    <col min="4369" max="4369" width="9" style="143"/>
    <col min="4370" max="4377" width="0" style="143" hidden="1" customWidth="1"/>
    <col min="4378" max="4378" width="10.5703125" style="143" bestFit="1" customWidth="1"/>
    <col min="4379" max="4379" width="3.5703125" style="143" bestFit="1" customWidth="1"/>
    <col min="4380" max="4384" width="0" style="143" hidden="1" customWidth="1"/>
    <col min="4385" max="4385" width="41.85546875" style="143" customWidth="1"/>
    <col min="4386" max="4387" width="13.28515625" style="143" customWidth="1"/>
    <col min="4388" max="4388" width="1.42578125" style="143" customWidth="1"/>
    <col min="4389" max="4390" width="13.28515625" style="143" customWidth="1"/>
    <col min="4391" max="4608" width="9" style="143"/>
    <col min="4609" max="4609" width="0" style="143" hidden="1" customWidth="1"/>
    <col min="4610" max="4611" width="4.28515625" style="143" customWidth="1"/>
    <col min="4612" max="4615" width="2.7109375" style="143" customWidth="1"/>
    <col min="4616" max="4616" width="41.28515625" style="143" customWidth="1"/>
    <col min="4617" max="4617" width="10.140625" style="143" customWidth="1"/>
    <col min="4618" max="4618" width="6.28515625" style="143" customWidth="1"/>
    <col min="4619" max="4622" width="0" style="143" hidden="1" customWidth="1"/>
    <col min="4623" max="4623" width="12.28515625" style="143" customWidth="1"/>
    <col min="4624" max="4624" width="16.28515625" style="143" customWidth="1"/>
    <col min="4625" max="4625" width="9" style="143"/>
    <col min="4626" max="4633" width="0" style="143" hidden="1" customWidth="1"/>
    <col min="4634" max="4634" width="10.5703125" style="143" bestFit="1" customWidth="1"/>
    <col min="4635" max="4635" width="3.5703125" style="143" bestFit="1" customWidth="1"/>
    <col min="4636" max="4640" width="0" style="143" hidden="1" customWidth="1"/>
    <col min="4641" max="4641" width="41.85546875" style="143" customWidth="1"/>
    <col min="4642" max="4643" width="13.28515625" style="143" customWidth="1"/>
    <col min="4644" max="4644" width="1.42578125" style="143" customWidth="1"/>
    <col min="4645" max="4646" width="13.28515625" style="143" customWidth="1"/>
    <col min="4647" max="4864" width="9" style="143"/>
    <col min="4865" max="4865" width="0" style="143" hidden="1" customWidth="1"/>
    <col min="4866" max="4867" width="4.28515625" style="143" customWidth="1"/>
    <col min="4868" max="4871" width="2.7109375" style="143" customWidth="1"/>
    <col min="4872" max="4872" width="41.28515625" style="143" customWidth="1"/>
    <col min="4873" max="4873" width="10.140625" style="143" customWidth="1"/>
    <col min="4874" max="4874" width="6.28515625" style="143" customWidth="1"/>
    <col min="4875" max="4878" width="0" style="143" hidden="1" customWidth="1"/>
    <col min="4879" max="4879" width="12.28515625" style="143" customWidth="1"/>
    <col min="4880" max="4880" width="16.28515625" style="143" customWidth="1"/>
    <col min="4881" max="4881" width="9" style="143"/>
    <col min="4882" max="4889" width="0" style="143" hidden="1" customWidth="1"/>
    <col min="4890" max="4890" width="10.5703125" style="143" bestFit="1" customWidth="1"/>
    <col min="4891" max="4891" width="3.5703125" style="143" bestFit="1" customWidth="1"/>
    <col min="4892" max="4896" width="0" style="143" hidden="1" customWidth="1"/>
    <col min="4897" max="4897" width="41.85546875" style="143" customWidth="1"/>
    <col min="4898" max="4899" width="13.28515625" style="143" customWidth="1"/>
    <col min="4900" max="4900" width="1.42578125" style="143" customWidth="1"/>
    <col min="4901" max="4902" width="13.28515625" style="143" customWidth="1"/>
    <col min="4903" max="5120" width="9" style="143"/>
    <col min="5121" max="5121" width="0" style="143" hidden="1" customWidth="1"/>
    <col min="5122" max="5123" width="4.28515625" style="143" customWidth="1"/>
    <col min="5124" max="5127" width="2.7109375" style="143" customWidth="1"/>
    <col min="5128" max="5128" width="41.28515625" style="143" customWidth="1"/>
    <col min="5129" max="5129" width="10.140625" style="143" customWidth="1"/>
    <col min="5130" max="5130" width="6.28515625" style="143" customWidth="1"/>
    <col min="5131" max="5134" width="0" style="143" hidden="1" customWidth="1"/>
    <col min="5135" max="5135" width="12.28515625" style="143" customWidth="1"/>
    <col min="5136" max="5136" width="16.28515625" style="143" customWidth="1"/>
    <col min="5137" max="5137" width="9" style="143"/>
    <col min="5138" max="5145" width="0" style="143" hidden="1" customWidth="1"/>
    <col min="5146" max="5146" width="10.5703125" style="143" bestFit="1" customWidth="1"/>
    <col min="5147" max="5147" width="3.5703125" style="143" bestFit="1" customWidth="1"/>
    <col min="5148" max="5152" width="0" style="143" hidden="1" customWidth="1"/>
    <col min="5153" max="5153" width="41.85546875" style="143" customWidth="1"/>
    <col min="5154" max="5155" width="13.28515625" style="143" customWidth="1"/>
    <col min="5156" max="5156" width="1.42578125" style="143" customWidth="1"/>
    <col min="5157" max="5158" width="13.28515625" style="143" customWidth="1"/>
    <col min="5159" max="5376" width="9" style="143"/>
    <col min="5377" max="5377" width="0" style="143" hidden="1" customWidth="1"/>
    <col min="5378" max="5379" width="4.28515625" style="143" customWidth="1"/>
    <col min="5380" max="5383" width="2.7109375" style="143" customWidth="1"/>
    <col min="5384" max="5384" width="41.28515625" style="143" customWidth="1"/>
    <col min="5385" max="5385" width="10.140625" style="143" customWidth="1"/>
    <col min="5386" max="5386" width="6.28515625" style="143" customWidth="1"/>
    <col min="5387" max="5390" width="0" style="143" hidden="1" customWidth="1"/>
    <col min="5391" max="5391" width="12.28515625" style="143" customWidth="1"/>
    <col min="5392" max="5392" width="16.28515625" style="143" customWidth="1"/>
    <col min="5393" max="5393" width="9" style="143"/>
    <col min="5394" max="5401" width="0" style="143" hidden="1" customWidth="1"/>
    <col min="5402" max="5402" width="10.5703125" style="143" bestFit="1" customWidth="1"/>
    <col min="5403" max="5403" width="3.5703125" style="143" bestFit="1" customWidth="1"/>
    <col min="5404" max="5408" width="0" style="143" hidden="1" customWidth="1"/>
    <col min="5409" max="5409" width="41.85546875" style="143" customWidth="1"/>
    <col min="5410" max="5411" width="13.28515625" style="143" customWidth="1"/>
    <col min="5412" max="5412" width="1.42578125" style="143" customWidth="1"/>
    <col min="5413" max="5414" width="13.28515625" style="143" customWidth="1"/>
    <col min="5415" max="5632" width="9" style="143"/>
    <col min="5633" max="5633" width="0" style="143" hidden="1" customWidth="1"/>
    <col min="5634" max="5635" width="4.28515625" style="143" customWidth="1"/>
    <col min="5636" max="5639" width="2.7109375" style="143" customWidth="1"/>
    <col min="5640" max="5640" width="41.28515625" style="143" customWidth="1"/>
    <col min="5641" max="5641" width="10.140625" style="143" customWidth="1"/>
    <col min="5642" max="5642" width="6.28515625" style="143" customWidth="1"/>
    <col min="5643" max="5646" width="0" style="143" hidden="1" customWidth="1"/>
    <col min="5647" max="5647" width="12.28515625" style="143" customWidth="1"/>
    <col min="5648" max="5648" width="16.28515625" style="143" customWidth="1"/>
    <col min="5649" max="5649" width="9" style="143"/>
    <col min="5650" max="5657" width="0" style="143" hidden="1" customWidth="1"/>
    <col min="5658" max="5658" width="10.5703125" style="143" bestFit="1" customWidth="1"/>
    <col min="5659" max="5659" width="3.5703125" style="143" bestFit="1" customWidth="1"/>
    <col min="5660" max="5664" width="0" style="143" hidden="1" customWidth="1"/>
    <col min="5665" max="5665" width="41.85546875" style="143" customWidth="1"/>
    <col min="5666" max="5667" width="13.28515625" style="143" customWidth="1"/>
    <col min="5668" max="5668" width="1.42578125" style="143" customWidth="1"/>
    <col min="5669" max="5670" width="13.28515625" style="143" customWidth="1"/>
    <col min="5671" max="5888" width="9" style="143"/>
    <col min="5889" max="5889" width="0" style="143" hidden="1" customWidth="1"/>
    <col min="5890" max="5891" width="4.28515625" style="143" customWidth="1"/>
    <col min="5892" max="5895" width="2.7109375" style="143" customWidth="1"/>
    <col min="5896" max="5896" width="41.28515625" style="143" customWidth="1"/>
    <col min="5897" max="5897" width="10.140625" style="143" customWidth="1"/>
    <col min="5898" max="5898" width="6.28515625" style="143" customWidth="1"/>
    <col min="5899" max="5902" width="0" style="143" hidden="1" customWidth="1"/>
    <col min="5903" max="5903" width="12.28515625" style="143" customWidth="1"/>
    <col min="5904" max="5904" width="16.28515625" style="143" customWidth="1"/>
    <col min="5905" max="5905" width="9" style="143"/>
    <col min="5906" max="5913" width="0" style="143" hidden="1" customWidth="1"/>
    <col min="5914" max="5914" width="10.5703125" style="143" bestFit="1" customWidth="1"/>
    <col min="5915" max="5915" width="3.5703125" style="143" bestFit="1" customWidth="1"/>
    <col min="5916" max="5920" width="0" style="143" hidden="1" customWidth="1"/>
    <col min="5921" max="5921" width="41.85546875" style="143" customWidth="1"/>
    <col min="5922" max="5923" width="13.28515625" style="143" customWidth="1"/>
    <col min="5924" max="5924" width="1.42578125" style="143" customWidth="1"/>
    <col min="5925" max="5926" width="13.28515625" style="143" customWidth="1"/>
    <col min="5927" max="6144" width="9" style="143"/>
    <col min="6145" max="6145" width="0" style="143" hidden="1" customWidth="1"/>
    <col min="6146" max="6147" width="4.28515625" style="143" customWidth="1"/>
    <col min="6148" max="6151" width="2.7109375" style="143" customWidth="1"/>
    <col min="6152" max="6152" width="41.28515625" style="143" customWidth="1"/>
    <col min="6153" max="6153" width="10.140625" style="143" customWidth="1"/>
    <col min="6154" max="6154" width="6.28515625" style="143" customWidth="1"/>
    <col min="6155" max="6158" width="0" style="143" hidden="1" customWidth="1"/>
    <col min="6159" max="6159" width="12.28515625" style="143" customWidth="1"/>
    <col min="6160" max="6160" width="16.28515625" style="143" customWidth="1"/>
    <col min="6161" max="6161" width="9" style="143"/>
    <col min="6162" max="6169" width="0" style="143" hidden="1" customWidth="1"/>
    <col min="6170" max="6170" width="10.5703125" style="143" bestFit="1" customWidth="1"/>
    <col min="6171" max="6171" width="3.5703125" style="143" bestFit="1" customWidth="1"/>
    <col min="6172" max="6176" width="0" style="143" hidden="1" customWidth="1"/>
    <col min="6177" max="6177" width="41.85546875" style="143" customWidth="1"/>
    <col min="6178" max="6179" width="13.28515625" style="143" customWidth="1"/>
    <col min="6180" max="6180" width="1.42578125" style="143" customWidth="1"/>
    <col min="6181" max="6182" width="13.28515625" style="143" customWidth="1"/>
    <col min="6183" max="6400" width="9" style="143"/>
    <col min="6401" max="6401" width="0" style="143" hidden="1" customWidth="1"/>
    <col min="6402" max="6403" width="4.28515625" style="143" customWidth="1"/>
    <col min="6404" max="6407" width="2.7109375" style="143" customWidth="1"/>
    <col min="6408" max="6408" width="41.28515625" style="143" customWidth="1"/>
    <col min="6409" max="6409" width="10.140625" style="143" customWidth="1"/>
    <col min="6410" max="6410" width="6.28515625" style="143" customWidth="1"/>
    <col min="6411" max="6414" width="0" style="143" hidden="1" customWidth="1"/>
    <col min="6415" max="6415" width="12.28515625" style="143" customWidth="1"/>
    <col min="6416" max="6416" width="16.28515625" style="143" customWidth="1"/>
    <col min="6417" max="6417" width="9" style="143"/>
    <col min="6418" max="6425" width="0" style="143" hidden="1" customWidth="1"/>
    <col min="6426" max="6426" width="10.5703125" style="143" bestFit="1" customWidth="1"/>
    <col min="6427" max="6427" width="3.5703125" style="143" bestFit="1" customWidth="1"/>
    <col min="6428" max="6432" width="0" style="143" hidden="1" customWidth="1"/>
    <col min="6433" max="6433" width="41.85546875" style="143" customWidth="1"/>
    <col min="6434" max="6435" width="13.28515625" style="143" customWidth="1"/>
    <col min="6436" max="6436" width="1.42578125" style="143" customWidth="1"/>
    <col min="6437" max="6438" width="13.28515625" style="143" customWidth="1"/>
    <col min="6439" max="6656" width="9" style="143"/>
    <col min="6657" max="6657" width="0" style="143" hidden="1" customWidth="1"/>
    <col min="6658" max="6659" width="4.28515625" style="143" customWidth="1"/>
    <col min="6660" max="6663" width="2.7109375" style="143" customWidth="1"/>
    <col min="6664" max="6664" width="41.28515625" style="143" customWidth="1"/>
    <col min="6665" max="6665" width="10.140625" style="143" customWidth="1"/>
    <col min="6666" max="6666" width="6.28515625" style="143" customWidth="1"/>
    <col min="6667" max="6670" width="0" style="143" hidden="1" customWidth="1"/>
    <col min="6671" max="6671" width="12.28515625" style="143" customWidth="1"/>
    <col min="6672" max="6672" width="16.28515625" style="143" customWidth="1"/>
    <col min="6673" max="6673" width="9" style="143"/>
    <col min="6674" max="6681" width="0" style="143" hidden="1" customWidth="1"/>
    <col min="6682" max="6682" width="10.5703125" style="143" bestFit="1" customWidth="1"/>
    <col min="6683" max="6683" width="3.5703125" style="143" bestFit="1" customWidth="1"/>
    <col min="6684" max="6688" width="0" style="143" hidden="1" customWidth="1"/>
    <col min="6689" max="6689" width="41.85546875" style="143" customWidth="1"/>
    <col min="6690" max="6691" width="13.28515625" style="143" customWidth="1"/>
    <col min="6692" max="6692" width="1.42578125" style="143" customWidth="1"/>
    <col min="6693" max="6694" width="13.28515625" style="143" customWidth="1"/>
    <col min="6695" max="6912" width="9" style="143"/>
    <col min="6913" max="6913" width="0" style="143" hidden="1" customWidth="1"/>
    <col min="6914" max="6915" width="4.28515625" style="143" customWidth="1"/>
    <col min="6916" max="6919" width="2.7109375" style="143" customWidth="1"/>
    <col min="6920" max="6920" width="41.28515625" style="143" customWidth="1"/>
    <col min="6921" max="6921" width="10.140625" style="143" customWidth="1"/>
    <col min="6922" max="6922" width="6.28515625" style="143" customWidth="1"/>
    <col min="6923" max="6926" width="0" style="143" hidden="1" customWidth="1"/>
    <col min="6927" max="6927" width="12.28515625" style="143" customWidth="1"/>
    <col min="6928" max="6928" width="16.28515625" style="143" customWidth="1"/>
    <col min="6929" max="6929" width="9" style="143"/>
    <col min="6930" max="6937" width="0" style="143" hidden="1" customWidth="1"/>
    <col min="6938" max="6938" width="10.5703125" style="143" bestFit="1" customWidth="1"/>
    <col min="6939" max="6939" width="3.5703125" style="143" bestFit="1" customWidth="1"/>
    <col min="6940" max="6944" width="0" style="143" hidden="1" customWidth="1"/>
    <col min="6945" max="6945" width="41.85546875" style="143" customWidth="1"/>
    <col min="6946" max="6947" width="13.28515625" style="143" customWidth="1"/>
    <col min="6948" max="6948" width="1.42578125" style="143" customWidth="1"/>
    <col min="6949" max="6950" width="13.28515625" style="143" customWidth="1"/>
    <col min="6951" max="7168" width="9" style="143"/>
    <col min="7169" max="7169" width="0" style="143" hidden="1" customWidth="1"/>
    <col min="7170" max="7171" width="4.28515625" style="143" customWidth="1"/>
    <col min="7172" max="7175" width="2.7109375" style="143" customWidth="1"/>
    <col min="7176" max="7176" width="41.28515625" style="143" customWidth="1"/>
    <col min="7177" max="7177" width="10.140625" style="143" customWidth="1"/>
    <col min="7178" max="7178" width="6.28515625" style="143" customWidth="1"/>
    <col min="7179" max="7182" width="0" style="143" hidden="1" customWidth="1"/>
    <col min="7183" max="7183" width="12.28515625" style="143" customWidth="1"/>
    <col min="7184" max="7184" width="16.28515625" style="143" customWidth="1"/>
    <col min="7185" max="7185" width="9" style="143"/>
    <col min="7186" max="7193" width="0" style="143" hidden="1" customWidth="1"/>
    <col min="7194" max="7194" width="10.5703125" style="143" bestFit="1" customWidth="1"/>
    <col min="7195" max="7195" width="3.5703125" style="143" bestFit="1" customWidth="1"/>
    <col min="7196" max="7200" width="0" style="143" hidden="1" customWidth="1"/>
    <col min="7201" max="7201" width="41.85546875" style="143" customWidth="1"/>
    <col min="7202" max="7203" width="13.28515625" style="143" customWidth="1"/>
    <col min="7204" max="7204" width="1.42578125" style="143" customWidth="1"/>
    <col min="7205" max="7206" width="13.28515625" style="143" customWidth="1"/>
    <col min="7207" max="7424" width="9" style="143"/>
    <col min="7425" max="7425" width="0" style="143" hidden="1" customWidth="1"/>
    <col min="7426" max="7427" width="4.28515625" style="143" customWidth="1"/>
    <col min="7428" max="7431" width="2.7109375" style="143" customWidth="1"/>
    <col min="7432" max="7432" width="41.28515625" style="143" customWidth="1"/>
    <col min="7433" max="7433" width="10.140625" style="143" customWidth="1"/>
    <col min="7434" max="7434" width="6.28515625" style="143" customWidth="1"/>
    <col min="7435" max="7438" width="0" style="143" hidden="1" customWidth="1"/>
    <col min="7439" max="7439" width="12.28515625" style="143" customWidth="1"/>
    <col min="7440" max="7440" width="16.28515625" style="143" customWidth="1"/>
    <col min="7441" max="7441" width="9" style="143"/>
    <col min="7442" max="7449" width="0" style="143" hidden="1" customWidth="1"/>
    <col min="7450" max="7450" width="10.5703125" style="143" bestFit="1" customWidth="1"/>
    <col min="7451" max="7451" width="3.5703125" style="143" bestFit="1" customWidth="1"/>
    <col min="7452" max="7456" width="0" style="143" hidden="1" customWidth="1"/>
    <col min="7457" max="7457" width="41.85546875" style="143" customWidth="1"/>
    <col min="7458" max="7459" width="13.28515625" style="143" customWidth="1"/>
    <col min="7460" max="7460" width="1.42578125" style="143" customWidth="1"/>
    <col min="7461" max="7462" width="13.28515625" style="143" customWidth="1"/>
    <col min="7463" max="7680" width="9" style="143"/>
    <col min="7681" max="7681" width="0" style="143" hidden="1" customWidth="1"/>
    <col min="7682" max="7683" width="4.28515625" style="143" customWidth="1"/>
    <col min="7684" max="7687" width="2.7109375" style="143" customWidth="1"/>
    <col min="7688" max="7688" width="41.28515625" style="143" customWidth="1"/>
    <col min="7689" max="7689" width="10.140625" style="143" customWidth="1"/>
    <col min="7690" max="7690" width="6.28515625" style="143" customWidth="1"/>
    <col min="7691" max="7694" width="0" style="143" hidden="1" customWidth="1"/>
    <col min="7695" max="7695" width="12.28515625" style="143" customWidth="1"/>
    <col min="7696" max="7696" width="16.28515625" style="143" customWidth="1"/>
    <col min="7697" max="7697" width="9" style="143"/>
    <col min="7698" max="7705" width="0" style="143" hidden="1" customWidth="1"/>
    <col min="7706" max="7706" width="10.5703125" style="143" bestFit="1" customWidth="1"/>
    <col min="7707" max="7707" width="3.5703125" style="143" bestFit="1" customWidth="1"/>
    <col min="7708" max="7712" width="0" style="143" hidden="1" customWidth="1"/>
    <col min="7713" max="7713" width="41.85546875" style="143" customWidth="1"/>
    <col min="7714" max="7715" width="13.28515625" style="143" customWidth="1"/>
    <col min="7716" max="7716" width="1.42578125" style="143" customWidth="1"/>
    <col min="7717" max="7718" width="13.28515625" style="143" customWidth="1"/>
    <col min="7719" max="7936" width="9" style="143"/>
    <col min="7937" max="7937" width="0" style="143" hidden="1" customWidth="1"/>
    <col min="7938" max="7939" width="4.28515625" style="143" customWidth="1"/>
    <col min="7940" max="7943" width="2.7109375" style="143" customWidth="1"/>
    <col min="7944" max="7944" width="41.28515625" style="143" customWidth="1"/>
    <col min="7945" max="7945" width="10.140625" style="143" customWidth="1"/>
    <col min="7946" max="7946" width="6.28515625" style="143" customWidth="1"/>
    <col min="7947" max="7950" width="0" style="143" hidden="1" customWidth="1"/>
    <col min="7951" max="7951" width="12.28515625" style="143" customWidth="1"/>
    <col min="7952" max="7952" width="16.28515625" style="143" customWidth="1"/>
    <col min="7953" max="7953" width="9" style="143"/>
    <col min="7954" max="7961" width="0" style="143" hidden="1" customWidth="1"/>
    <col min="7962" max="7962" width="10.5703125" style="143" bestFit="1" customWidth="1"/>
    <col min="7963" max="7963" width="3.5703125" style="143" bestFit="1" customWidth="1"/>
    <col min="7964" max="7968" width="0" style="143" hidden="1" customWidth="1"/>
    <col min="7969" max="7969" width="41.85546875" style="143" customWidth="1"/>
    <col min="7970" max="7971" width="13.28515625" style="143" customWidth="1"/>
    <col min="7972" max="7972" width="1.42578125" style="143" customWidth="1"/>
    <col min="7973" max="7974" width="13.28515625" style="143" customWidth="1"/>
    <col min="7975" max="8192" width="9" style="143"/>
    <col min="8193" max="8193" width="0" style="143" hidden="1" customWidth="1"/>
    <col min="8194" max="8195" width="4.28515625" style="143" customWidth="1"/>
    <col min="8196" max="8199" width="2.7109375" style="143" customWidth="1"/>
    <col min="8200" max="8200" width="41.28515625" style="143" customWidth="1"/>
    <col min="8201" max="8201" width="10.140625" style="143" customWidth="1"/>
    <col min="8202" max="8202" width="6.28515625" style="143" customWidth="1"/>
    <col min="8203" max="8206" width="0" style="143" hidden="1" customWidth="1"/>
    <col min="8207" max="8207" width="12.28515625" style="143" customWidth="1"/>
    <col min="8208" max="8208" width="16.28515625" style="143" customWidth="1"/>
    <col min="8209" max="8209" width="9" style="143"/>
    <col min="8210" max="8217" width="0" style="143" hidden="1" customWidth="1"/>
    <col min="8218" max="8218" width="10.5703125" style="143" bestFit="1" customWidth="1"/>
    <col min="8219" max="8219" width="3.5703125" style="143" bestFit="1" customWidth="1"/>
    <col min="8220" max="8224" width="0" style="143" hidden="1" customWidth="1"/>
    <col min="8225" max="8225" width="41.85546875" style="143" customWidth="1"/>
    <col min="8226" max="8227" width="13.28515625" style="143" customWidth="1"/>
    <col min="8228" max="8228" width="1.42578125" style="143" customWidth="1"/>
    <col min="8229" max="8230" width="13.28515625" style="143" customWidth="1"/>
    <col min="8231" max="8448" width="9" style="143"/>
    <col min="8449" max="8449" width="0" style="143" hidden="1" customWidth="1"/>
    <col min="8450" max="8451" width="4.28515625" style="143" customWidth="1"/>
    <col min="8452" max="8455" width="2.7109375" style="143" customWidth="1"/>
    <col min="8456" max="8456" width="41.28515625" style="143" customWidth="1"/>
    <col min="8457" max="8457" width="10.140625" style="143" customWidth="1"/>
    <col min="8458" max="8458" width="6.28515625" style="143" customWidth="1"/>
    <col min="8459" max="8462" width="0" style="143" hidden="1" customWidth="1"/>
    <col min="8463" max="8463" width="12.28515625" style="143" customWidth="1"/>
    <col min="8464" max="8464" width="16.28515625" style="143" customWidth="1"/>
    <col min="8465" max="8465" width="9" style="143"/>
    <col min="8466" max="8473" width="0" style="143" hidden="1" customWidth="1"/>
    <col min="8474" max="8474" width="10.5703125" style="143" bestFit="1" customWidth="1"/>
    <col min="8475" max="8475" width="3.5703125" style="143" bestFit="1" customWidth="1"/>
    <col min="8476" max="8480" width="0" style="143" hidden="1" customWidth="1"/>
    <col min="8481" max="8481" width="41.85546875" style="143" customWidth="1"/>
    <col min="8482" max="8483" width="13.28515625" style="143" customWidth="1"/>
    <col min="8484" max="8484" width="1.42578125" style="143" customWidth="1"/>
    <col min="8485" max="8486" width="13.28515625" style="143" customWidth="1"/>
    <col min="8487" max="8704" width="9" style="143"/>
    <col min="8705" max="8705" width="0" style="143" hidden="1" customWidth="1"/>
    <col min="8706" max="8707" width="4.28515625" style="143" customWidth="1"/>
    <col min="8708" max="8711" width="2.7109375" style="143" customWidth="1"/>
    <col min="8712" max="8712" width="41.28515625" style="143" customWidth="1"/>
    <col min="8713" max="8713" width="10.140625" style="143" customWidth="1"/>
    <col min="8714" max="8714" width="6.28515625" style="143" customWidth="1"/>
    <col min="8715" max="8718" width="0" style="143" hidden="1" customWidth="1"/>
    <col min="8719" max="8719" width="12.28515625" style="143" customWidth="1"/>
    <col min="8720" max="8720" width="16.28515625" style="143" customWidth="1"/>
    <col min="8721" max="8721" width="9" style="143"/>
    <col min="8722" max="8729" width="0" style="143" hidden="1" customWidth="1"/>
    <col min="8730" max="8730" width="10.5703125" style="143" bestFit="1" customWidth="1"/>
    <col min="8731" max="8731" width="3.5703125" style="143" bestFit="1" customWidth="1"/>
    <col min="8732" max="8736" width="0" style="143" hidden="1" customWidth="1"/>
    <col min="8737" max="8737" width="41.85546875" style="143" customWidth="1"/>
    <col min="8738" max="8739" width="13.28515625" style="143" customWidth="1"/>
    <col min="8740" max="8740" width="1.42578125" style="143" customWidth="1"/>
    <col min="8741" max="8742" width="13.28515625" style="143" customWidth="1"/>
    <col min="8743" max="8960" width="9" style="143"/>
    <col min="8961" max="8961" width="0" style="143" hidden="1" customWidth="1"/>
    <col min="8962" max="8963" width="4.28515625" style="143" customWidth="1"/>
    <col min="8964" max="8967" width="2.7109375" style="143" customWidth="1"/>
    <col min="8968" max="8968" width="41.28515625" style="143" customWidth="1"/>
    <col min="8969" max="8969" width="10.140625" style="143" customWidth="1"/>
    <col min="8970" max="8970" width="6.28515625" style="143" customWidth="1"/>
    <col min="8971" max="8974" width="0" style="143" hidden="1" customWidth="1"/>
    <col min="8975" max="8975" width="12.28515625" style="143" customWidth="1"/>
    <col min="8976" max="8976" width="16.28515625" style="143" customWidth="1"/>
    <col min="8977" max="8977" width="9" style="143"/>
    <col min="8978" max="8985" width="0" style="143" hidden="1" customWidth="1"/>
    <col min="8986" max="8986" width="10.5703125" style="143" bestFit="1" customWidth="1"/>
    <col min="8987" max="8987" width="3.5703125" style="143" bestFit="1" customWidth="1"/>
    <col min="8988" max="8992" width="0" style="143" hidden="1" customWidth="1"/>
    <col min="8993" max="8993" width="41.85546875" style="143" customWidth="1"/>
    <col min="8994" max="8995" width="13.28515625" style="143" customWidth="1"/>
    <col min="8996" max="8996" width="1.42578125" style="143" customWidth="1"/>
    <col min="8997" max="8998" width="13.28515625" style="143" customWidth="1"/>
    <col min="8999" max="9216" width="9" style="143"/>
    <col min="9217" max="9217" width="0" style="143" hidden="1" customWidth="1"/>
    <col min="9218" max="9219" width="4.28515625" style="143" customWidth="1"/>
    <col min="9220" max="9223" width="2.7109375" style="143" customWidth="1"/>
    <col min="9224" max="9224" width="41.28515625" style="143" customWidth="1"/>
    <col min="9225" max="9225" width="10.140625" style="143" customWidth="1"/>
    <col min="9226" max="9226" width="6.28515625" style="143" customWidth="1"/>
    <col min="9227" max="9230" width="0" style="143" hidden="1" customWidth="1"/>
    <col min="9231" max="9231" width="12.28515625" style="143" customWidth="1"/>
    <col min="9232" max="9232" width="16.28515625" style="143" customWidth="1"/>
    <col min="9233" max="9233" width="9" style="143"/>
    <col min="9234" max="9241" width="0" style="143" hidden="1" customWidth="1"/>
    <col min="9242" max="9242" width="10.5703125" style="143" bestFit="1" customWidth="1"/>
    <col min="9243" max="9243" width="3.5703125" style="143" bestFit="1" customWidth="1"/>
    <col min="9244" max="9248" width="0" style="143" hidden="1" customWidth="1"/>
    <col min="9249" max="9249" width="41.85546875" style="143" customWidth="1"/>
    <col min="9250" max="9251" width="13.28515625" style="143" customWidth="1"/>
    <col min="9252" max="9252" width="1.42578125" style="143" customWidth="1"/>
    <col min="9253" max="9254" width="13.28515625" style="143" customWidth="1"/>
    <col min="9255" max="9472" width="9" style="143"/>
    <col min="9473" max="9473" width="0" style="143" hidden="1" customWidth="1"/>
    <col min="9474" max="9475" width="4.28515625" style="143" customWidth="1"/>
    <col min="9476" max="9479" width="2.7109375" style="143" customWidth="1"/>
    <col min="9480" max="9480" width="41.28515625" style="143" customWidth="1"/>
    <col min="9481" max="9481" width="10.140625" style="143" customWidth="1"/>
    <col min="9482" max="9482" width="6.28515625" style="143" customWidth="1"/>
    <col min="9483" max="9486" width="0" style="143" hidden="1" customWidth="1"/>
    <col min="9487" max="9487" width="12.28515625" style="143" customWidth="1"/>
    <col min="9488" max="9488" width="16.28515625" style="143" customWidth="1"/>
    <col min="9489" max="9489" width="9" style="143"/>
    <col min="9490" max="9497" width="0" style="143" hidden="1" customWidth="1"/>
    <col min="9498" max="9498" width="10.5703125" style="143" bestFit="1" customWidth="1"/>
    <col min="9499" max="9499" width="3.5703125" style="143" bestFit="1" customWidth="1"/>
    <col min="9500" max="9504" width="0" style="143" hidden="1" customWidth="1"/>
    <col min="9505" max="9505" width="41.85546875" style="143" customWidth="1"/>
    <col min="9506" max="9507" width="13.28515625" style="143" customWidth="1"/>
    <col min="9508" max="9508" width="1.42578125" style="143" customWidth="1"/>
    <col min="9509" max="9510" width="13.28515625" style="143" customWidth="1"/>
    <col min="9511" max="9728" width="9" style="143"/>
    <col min="9729" max="9729" width="0" style="143" hidden="1" customWidth="1"/>
    <col min="9730" max="9731" width="4.28515625" style="143" customWidth="1"/>
    <col min="9732" max="9735" width="2.7109375" style="143" customWidth="1"/>
    <col min="9736" max="9736" width="41.28515625" style="143" customWidth="1"/>
    <col min="9737" max="9737" width="10.140625" style="143" customWidth="1"/>
    <col min="9738" max="9738" width="6.28515625" style="143" customWidth="1"/>
    <col min="9739" max="9742" width="0" style="143" hidden="1" customWidth="1"/>
    <col min="9743" max="9743" width="12.28515625" style="143" customWidth="1"/>
    <col min="9744" max="9744" width="16.28515625" style="143" customWidth="1"/>
    <col min="9745" max="9745" width="9" style="143"/>
    <col min="9746" max="9753" width="0" style="143" hidden="1" customWidth="1"/>
    <col min="9754" max="9754" width="10.5703125" style="143" bestFit="1" customWidth="1"/>
    <col min="9755" max="9755" width="3.5703125" style="143" bestFit="1" customWidth="1"/>
    <col min="9756" max="9760" width="0" style="143" hidden="1" customWidth="1"/>
    <col min="9761" max="9761" width="41.85546875" style="143" customWidth="1"/>
    <col min="9762" max="9763" width="13.28515625" style="143" customWidth="1"/>
    <col min="9764" max="9764" width="1.42578125" style="143" customWidth="1"/>
    <col min="9765" max="9766" width="13.28515625" style="143" customWidth="1"/>
    <col min="9767" max="9984" width="9" style="143"/>
    <col min="9985" max="9985" width="0" style="143" hidden="1" customWidth="1"/>
    <col min="9986" max="9987" width="4.28515625" style="143" customWidth="1"/>
    <col min="9988" max="9991" width="2.7109375" style="143" customWidth="1"/>
    <col min="9992" max="9992" width="41.28515625" style="143" customWidth="1"/>
    <col min="9993" max="9993" width="10.140625" style="143" customWidth="1"/>
    <col min="9994" max="9994" width="6.28515625" style="143" customWidth="1"/>
    <col min="9995" max="9998" width="0" style="143" hidden="1" customWidth="1"/>
    <col min="9999" max="9999" width="12.28515625" style="143" customWidth="1"/>
    <col min="10000" max="10000" width="16.28515625" style="143" customWidth="1"/>
    <col min="10001" max="10001" width="9" style="143"/>
    <col min="10002" max="10009" width="0" style="143" hidden="1" customWidth="1"/>
    <col min="10010" max="10010" width="10.5703125" style="143" bestFit="1" customWidth="1"/>
    <col min="10011" max="10011" width="3.5703125" style="143" bestFit="1" customWidth="1"/>
    <col min="10012" max="10016" width="0" style="143" hidden="1" customWidth="1"/>
    <col min="10017" max="10017" width="41.85546875" style="143" customWidth="1"/>
    <col min="10018" max="10019" width="13.28515625" style="143" customWidth="1"/>
    <col min="10020" max="10020" width="1.42578125" style="143" customWidth="1"/>
    <col min="10021" max="10022" width="13.28515625" style="143" customWidth="1"/>
    <col min="10023" max="10240" width="9" style="143"/>
    <col min="10241" max="10241" width="0" style="143" hidden="1" customWidth="1"/>
    <col min="10242" max="10243" width="4.28515625" style="143" customWidth="1"/>
    <col min="10244" max="10247" width="2.7109375" style="143" customWidth="1"/>
    <col min="10248" max="10248" width="41.28515625" style="143" customWidth="1"/>
    <col min="10249" max="10249" width="10.140625" style="143" customWidth="1"/>
    <col min="10250" max="10250" width="6.28515625" style="143" customWidth="1"/>
    <col min="10251" max="10254" width="0" style="143" hidden="1" customWidth="1"/>
    <col min="10255" max="10255" width="12.28515625" style="143" customWidth="1"/>
    <col min="10256" max="10256" width="16.28515625" style="143" customWidth="1"/>
    <col min="10257" max="10257" width="9" style="143"/>
    <col min="10258" max="10265" width="0" style="143" hidden="1" customWidth="1"/>
    <col min="10266" max="10266" width="10.5703125" style="143" bestFit="1" customWidth="1"/>
    <col min="10267" max="10267" width="3.5703125" style="143" bestFit="1" customWidth="1"/>
    <col min="10268" max="10272" width="0" style="143" hidden="1" customWidth="1"/>
    <col min="10273" max="10273" width="41.85546875" style="143" customWidth="1"/>
    <col min="10274" max="10275" width="13.28515625" style="143" customWidth="1"/>
    <col min="10276" max="10276" width="1.42578125" style="143" customWidth="1"/>
    <col min="10277" max="10278" width="13.28515625" style="143" customWidth="1"/>
    <col min="10279" max="10496" width="9" style="143"/>
    <col min="10497" max="10497" width="0" style="143" hidden="1" customWidth="1"/>
    <col min="10498" max="10499" width="4.28515625" style="143" customWidth="1"/>
    <col min="10500" max="10503" width="2.7109375" style="143" customWidth="1"/>
    <col min="10504" max="10504" width="41.28515625" style="143" customWidth="1"/>
    <col min="10505" max="10505" width="10.140625" style="143" customWidth="1"/>
    <col min="10506" max="10506" width="6.28515625" style="143" customWidth="1"/>
    <col min="10507" max="10510" width="0" style="143" hidden="1" customWidth="1"/>
    <col min="10511" max="10511" width="12.28515625" style="143" customWidth="1"/>
    <col min="10512" max="10512" width="16.28515625" style="143" customWidth="1"/>
    <col min="10513" max="10513" width="9" style="143"/>
    <col min="10514" max="10521" width="0" style="143" hidden="1" customWidth="1"/>
    <col min="10522" max="10522" width="10.5703125" style="143" bestFit="1" customWidth="1"/>
    <col min="10523" max="10523" width="3.5703125" style="143" bestFit="1" customWidth="1"/>
    <col min="10524" max="10528" width="0" style="143" hidden="1" customWidth="1"/>
    <col min="10529" max="10529" width="41.85546875" style="143" customWidth="1"/>
    <col min="10530" max="10531" width="13.28515625" style="143" customWidth="1"/>
    <col min="10532" max="10532" width="1.42578125" style="143" customWidth="1"/>
    <col min="10533" max="10534" width="13.28515625" style="143" customWidth="1"/>
    <col min="10535" max="10752" width="9" style="143"/>
    <col min="10753" max="10753" width="0" style="143" hidden="1" customWidth="1"/>
    <col min="10754" max="10755" width="4.28515625" style="143" customWidth="1"/>
    <col min="10756" max="10759" width="2.7109375" style="143" customWidth="1"/>
    <col min="10760" max="10760" width="41.28515625" style="143" customWidth="1"/>
    <col min="10761" max="10761" width="10.140625" style="143" customWidth="1"/>
    <col min="10762" max="10762" width="6.28515625" style="143" customWidth="1"/>
    <col min="10763" max="10766" width="0" style="143" hidden="1" customWidth="1"/>
    <col min="10767" max="10767" width="12.28515625" style="143" customWidth="1"/>
    <col min="10768" max="10768" width="16.28515625" style="143" customWidth="1"/>
    <col min="10769" max="10769" width="9" style="143"/>
    <col min="10770" max="10777" width="0" style="143" hidden="1" customWidth="1"/>
    <col min="10778" max="10778" width="10.5703125" style="143" bestFit="1" customWidth="1"/>
    <col min="10779" max="10779" width="3.5703125" style="143" bestFit="1" customWidth="1"/>
    <col min="10780" max="10784" width="0" style="143" hidden="1" customWidth="1"/>
    <col min="10785" max="10785" width="41.85546875" style="143" customWidth="1"/>
    <col min="10786" max="10787" width="13.28515625" style="143" customWidth="1"/>
    <col min="10788" max="10788" width="1.42578125" style="143" customWidth="1"/>
    <col min="10789" max="10790" width="13.28515625" style="143" customWidth="1"/>
    <col min="10791" max="11008" width="9" style="143"/>
    <col min="11009" max="11009" width="0" style="143" hidden="1" customWidth="1"/>
    <col min="11010" max="11011" width="4.28515625" style="143" customWidth="1"/>
    <col min="11012" max="11015" width="2.7109375" style="143" customWidth="1"/>
    <col min="11016" max="11016" width="41.28515625" style="143" customWidth="1"/>
    <col min="11017" max="11017" width="10.140625" style="143" customWidth="1"/>
    <col min="11018" max="11018" width="6.28515625" style="143" customWidth="1"/>
    <col min="11019" max="11022" width="0" style="143" hidden="1" customWidth="1"/>
    <col min="11023" max="11023" width="12.28515625" style="143" customWidth="1"/>
    <col min="11024" max="11024" width="16.28515625" style="143" customWidth="1"/>
    <col min="11025" max="11025" width="9" style="143"/>
    <col min="11026" max="11033" width="0" style="143" hidden="1" customWidth="1"/>
    <col min="11034" max="11034" width="10.5703125" style="143" bestFit="1" customWidth="1"/>
    <col min="11035" max="11035" width="3.5703125" style="143" bestFit="1" customWidth="1"/>
    <col min="11036" max="11040" width="0" style="143" hidden="1" customWidth="1"/>
    <col min="11041" max="11041" width="41.85546875" style="143" customWidth="1"/>
    <col min="11042" max="11043" width="13.28515625" style="143" customWidth="1"/>
    <col min="11044" max="11044" width="1.42578125" style="143" customWidth="1"/>
    <col min="11045" max="11046" width="13.28515625" style="143" customWidth="1"/>
    <col min="11047" max="11264" width="9" style="143"/>
    <col min="11265" max="11265" width="0" style="143" hidden="1" customWidth="1"/>
    <col min="11266" max="11267" width="4.28515625" style="143" customWidth="1"/>
    <col min="11268" max="11271" width="2.7109375" style="143" customWidth="1"/>
    <col min="11272" max="11272" width="41.28515625" style="143" customWidth="1"/>
    <col min="11273" max="11273" width="10.140625" style="143" customWidth="1"/>
    <col min="11274" max="11274" width="6.28515625" style="143" customWidth="1"/>
    <col min="11275" max="11278" width="0" style="143" hidden="1" customWidth="1"/>
    <col min="11279" max="11279" width="12.28515625" style="143" customWidth="1"/>
    <col min="11280" max="11280" width="16.28515625" style="143" customWidth="1"/>
    <col min="11281" max="11281" width="9" style="143"/>
    <col min="11282" max="11289" width="0" style="143" hidden="1" customWidth="1"/>
    <col min="11290" max="11290" width="10.5703125" style="143" bestFit="1" customWidth="1"/>
    <col min="11291" max="11291" width="3.5703125" style="143" bestFit="1" customWidth="1"/>
    <col min="11292" max="11296" width="0" style="143" hidden="1" customWidth="1"/>
    <col min="11297" max="11297" width="41.85546875" style="143" customWidth="1"/>
    <col min="11298" max="11299" width="13.28515625" style="143" customWidth="1"/>
    <col min="11300" max="11300" width="1.42578125" style="143" customWidth="1"/>
    <col min="11301" max="11302" width="13.28515625" style="143" customWidth="1"/>
    <col min="11303" max="11520" width="9" style="143"/>
    <col min="11521" max="11521" width="0" style="143" hidden="1" customWidth="1"/>
    <col min="11522" max="11523" width="4.28515625" style="143" customWidth="1"/>
    <col min="11524" max="11527" width="2.7109375" style="143" customWidth="1"/>
    <col min="11528" max="11528" width="41.28515625" style="143" customWidth="1"/>
    <col min="11529" max="11529" width="10.140625" style="143" customWidth="1"/>
    <col min="11530" max="11530" width="6.28515625" style="143" customWidth="1"/>
    <col min="11531" max="11534" width="0" style="143" hidden="1" customWidth="1"/>
    <col min="11535" max="11535" width="12.28515625" style="143" customWidth="1"/>
    <col min="11536" max="11536" width="16.28515625" style="143" customWidth="1"/>
    <col min="11537" max="11537" width="9" style="143"/>
    <col min="11538" max="11545" width="0" style="143" hidden="1" customWidth="1"/>
    <col min="11546" max="11546" width="10.5703125" style="143" bestFit="1" customWidth="1"/>
    <col min="11547" max="11547" width="3.5703125" style="143" bestFit="1" customWidth="1"/>
    <col min="11548" max="11552" width="0" style="143" hidden="1" customWidth="1"/>
    <col min="11553" max="11553" width="41.85546875" style="143" customWidth="1"/>
    <col min="11554" max="11555" width="13.28515625" style="143" customWidth="1"/>
    <col min="11556" max="11556" width="1.42578125" style="143" customWidth="1"/>
    <col min="11557" max="11558" width="13.28515625" style="143" customWidth="1"/>
    <col min="11559" max="11776" width="9" style="143"/>
    <col min="11777" max="11777" width="0" style="143" hidden="1" customWidth="1"/>
    <col min="11778" max="11779" width="4.28515625" style="143" customWidth="1"/>
    <col min="11780" max="11783" width="2.7109375" style="143" customWidth="1"/>
    <col min="11784" max="11784" width="41.28515625" style="143" customWidth="1"/>
    <col min="11785" max="11785" width="10.140625" style="143" customWidth="1"/>
    <col min="11786" max="11786" width="6.28515625" style="143" customWidth="1"/>
    <col min="11787" max="11790" width="0" style="143" hidden="1" customWidth="1"/>
    <col min="11791" max="11791" width="12.28515625" style="143" customWidth="1"/>
    <col min="11792" max="11792" width="16.28515625" style="143" customWidth="1"/>
    <col min="11793" max="11793" width="9" style="143"/>
    <col min="11794" max="11801" width="0" style="143" hidden="1" customWidth="1"/>
    <col min="11802" max="11802" width="10.5703125" style="143" bestFit="1" customWidth="1"/>
    <col min="11803" max="11803" width="3.5703125" style="143" bestFit="1" customWidth="1"/>
    <col min="11804" max="11808" width="0" style="143" hidden="1" customWidth="1"/>
    <col min="11809" max="11809" width="41.85546875" style="143" customWidth="1"/>
    <col min="11810" max="11811" width="13.28515625" style="143" customWidth="1"/>
    <col min="11812" max="11812" width="1.42578125" style="143" customWidth="1"/>
    <col min="11813" max="11814" width="13.28515625" style="143" customWidth="1"/>
    <col min="11815" max="12032" width="9" style="143"/>
    <col min="12033" max="12033" width="0" style="143" hidden="1" customWidth="1"/>
    <col min="12034" max="12035" width="4.28515625" style="143" customWidth="1"/>
    <col min="12036" max="12039" width="2.7109375" style="143" customWidth="1"/>
    <col min="12040" max="12040" width="41.28515625" style="143" customWidth="1"/>
    <col min="12041" max="12041" width="10.140625" style="143" customWidth="1"/>
    <col min="12042" max="12042" width="6.28515625" style="143" customWidth="1"/>
    <col min="12043" max="12046" width="0" style="143" hidden="1" customWidth="1"/>
    <col min="12047" max="12047" width="12.28515625" style="143" customWidth="1"/>
    <col min="12048" max="12048" width="16.28515625" style="143" customWidth="1"/>
    <col min="12049" max="12049" width="9" style="143"/>
    <col min="12050" max="12057" width="0" style="143" hidden="1" customWidth="1"/>
    <col min="12058" max="12058" width="10.5703125" style="143" bestFit="1" customWidth="1"/>
    <col min="12059" max="12059" width="3.5703125" style="143" bestFit="1" customWidth="1"/>
    <col min="12060" max="12064" width="0" style="143" hidden="1" customWidth="1"/>
    <col min="12065" max="12065" width="41.85546875" style="143" customWidth="1"/>
    <col min="12066" max="12067" width="13.28515625" style="143" customWidth="1"/>
    <col min="12068" max="12068" width="1.42578125" style="143" customWidth="1"/>
    <col min="12069" max="12070" width="13.28515625" style="143" customWidth="1"/>
    <col min="12071" max="12288" width="9" style="143"/>
    <col min="12289" max="12289" width="0" style="143" hidden="1" customWidth="1"/>
    <col min="12290" max="12291" width="4.28515625" style="143" customWidth="1"/>
    <col min="12292" max="12295" width="2.7109375" style="143" customWidth="1"/>
    <col min="12296" max="12296" width="41.28515625" style="143" customWidth="1"/>
    <col min="12297" max="12297" width="10.140625" style="143" customWidth="1"/>
    <col min="12298" max="12298" width="6.28515625" style="143" customWidth="1"/>
    <col min="12299" max="12302" width="0" style="143" hidden="1" customWidth="1"/>
    <col min="12303" max="12303" width="12.28515625" style="143" customWidth="1"/>
    <col min="12304" max="12304" width="16.28515625" style="143" customWidth="1"/>
    <col min="12305" max="12305" width="9" style="143"/>
    <col min="12306" max="12313" width="0" style="143" hidden="1" customWidth="1"/>
    <col min="12314" max="12314" width="10.5703125" style="143" bestFit="1" customWidth="1"/>
    <col min="12315" max="12315" width="3.5703125" style="143" bestFit="1" customWidth="1"/>
    <col min="12316" max="12320" width="0" style="143" hidden="1" customWidth="1"/>
    <col min="12321" max="12321" width="41.85546875" style="143" customWidth="1"/>
    <col min="12322" max="12323" width="13.28515625" style="143" customWidth="1"/>
    <col min="12324" max="12324" width="1.42578125" style="143" customWidth="1"/>
    <col min="12325" max="12326" width="13.28515625" style="143" customWidth="1"/>
    <col min="12327" max="12544" width="9" style="143"/>
    <col min="12545" max="12545" width="0" style="143" hidden="1" customWidth="1"/>
    <col min="12546" max="12547" width="4.28515625" style="143" customWidth="1"/>
    <col min="12548" max="12551" width="2.7109375" style="143" customWidth="1"/>
    <col min="12552" max="12552" width="41.28515625" style="143" customWidth="1"/>
    <col min="12553" max="12553" width="10.140625" style="143" customWidth="1"/>
    <col min="12554" max="12554" width="6.28515625" style="143" customWidth="1"/>
    <col min="12555" max="12558" width="0" style="143" hidden="1" customWidth="1"/>
    <col min="12559" max="12559" width="12.28515625" style="143" customWidth="1"/>
    <col min="12560" max="12560" width="16.28515625" style="143" customWidth="1"/>
    <col min="12561" max="12561" width="9" style="143"/>
    <col min="12562" max="12569" width="0" style="143" hidden="1" customWidth="1"/>
    <col min="12570" max="12570" width="10.5703125" style="143" bestFit="1" customWidth="1"/>
    <col min="12571" max="12571" width="3.5703125" style="143" bestFit="1" customWidth="1"/>
    <col min="12572" max="12576" width="0" style="143" hidden="1" customWidth="1"/>
    <col min="12577" max="12577" width="41.85546875" style="143" customWidth="1"/>
    <col min="12578" max="12579" width="13.28515625" style="143" customWidth="1"/>
    <col min="12580" max="12580" width="1.42578125" style="143" customWidth="1"/>
    <col min="12581" max="12582" width="13.28515625" style="143" customWidth="1"/>
    <col min="12583" max="12800" width="9" style="143"/>
    <col min="12801" max="12801" width="0" style="143" hidden="1" customWidth="1"/>
    <col min="12802" max="12803" width="4.28515625" style="143" customWidth="1"/>
    <col min="12804" max="12807" width="2.7109375" style="143" customWidth="1"/>
    <col min="12808" max="12808" width="41.28515625" style="143" customWidth="1"/>
    <col min="12809" max="12809" width="10.140625" style="143" customWidth="1"/>
    <col min="12810" max="12810" width="6.28515625" style="143" customWidth="1"/>
    <col min="12811" max="12814" width="0" style="143" hidden="1" customWidth="1"/>
    <col min="12815" max="12815" width="12.28515625" style="143" customWidth="1"/>
    <col min="12816" max="12816" width="16.28515625" style="143" customWidth="1"/>
    <col min="12817" max="12817" width="9" style="143"/>
    <col min="12818" max="12825" width="0" style="143" hidden="1" customWidth="1"/>
    <col min="12826" max="12826" width="10.5703125" style="143" bestFit="1" customWidth="1"/>
    <col min="12827" max="12827" width="3.5703125" style="143" bestFit="1" customWidth="1"/>
    <col min="12828" max="12832" width="0" style="143" hidden="1" customWidth="1"/>
    <col min="12833" max="12833" width="41.85546875" style="143" customWidth="1"/>
    <col min="12834" max="12835" width="13.28515625" style="143" customWidth="1"/>
    <col min="12836" max="12836" width="1.42578125" style="143" customWidth="1"/>
    <col min="12837" max="12838" width="13.28515625" style="143" customWidth="1"/>
    <col min="12839" max="13056" width="9" style="143"/>
    <col min="13057" max="13057" width="0" style="143" hidden="1" customWidth="1"/>
    <col min="13058" max="13059" width="4.28515625" style="143" customWidth="1"/>
    <col min="13060" max="13063" width="2.7109375" style="143" customWidth="1"/>
    <col min="13064" max="13064" width="41.28515625" style="143" customWidth="1"/>
    <col min="13065" max="13065" width="10.140625" style="143" customWidth="1"/>
    <col min="13066" max="13066" width="6.28515625" style="143" customWidth="1"/>
    <col min="13067" max="13070" width="0" style="143" hidden="1" customWidth="1"/>
    <col min="13071" max="13071" width="12.28515625" style="143" customWidth="1"/>
    <col min="13072" max="13072" width="16.28515625" style="143" customWidth="1"/>
    <col min="13073" max="13073" width="9" style="143"/>
    <col min="13074" max="13081" width="0" style="143" hidden="1" customWidth="1"/>
    <col min="13082" max="13082" width="10.5703125" style="143" bestFit="1" customWidth="1"/>
    <col min="13083" max="13083" width="3.5703125" style="143" bestFit="1" customWidth="1"/>
    <col min="13084" max="13088" width="0" style="143" hidden="1" customWidth="1"/>
    <col min="13089" max="13089" width="41.85546875" style="143" customWidth="1"/>
    <col min="13090" max="13091" width="13.28515625" style="143" customWidth="1"/>
    <col min="13092" max="13092" width="1.42578125" style="143" customWidth="1"/>
    <col min="13093" max="13094" width="13.28515625" style="143" customWidth="1"/>
    <col min="13095" max="13312" width="9" style="143"/>
    <col min="13313" max="13313" width="0" style="143" hidden="1" customWidth="1"/>
    <col min="13314" max="13315" width="4.28515625" style="143" customWidth="1"/>
    <col min="13316" max="13319" width="2.7109375" style="143" customWidth="1"/>
    <col min="13320" max="13320" width="41.28515625" style="143" customWidth="1"/>
    <col min="13321" max="13321" width="10.140625" style="143" customWidth="1"/>
    <col min="13322" max="13322" width="6.28515625" style="143" customWidth="1"/>
    <col min="13323" max="13326" width="0" style="143" hidden="1" customWidth="1"/>
    <col min="13327" max="13327" width="12.28515625" style="143" customWidth="1"/>
    <col min="13328" max="13328" width="16.28515625" style="143" customWidth="1"/>
    <col min="13329" max="13329" width="9" style="143"/>
    <col min="13330" max="13337" width="0" style="143" hidden="1" customWidth="1"/>
    <col min="13338" max="13338" width="10.5703125" style="143" bestFit="1" customWidth="1"/>
    <col min="13339" max="13339" width="3.5703125" style="143" bestFit="1" customWidth="1"/>
    <col min="13340" max="13344" width="0" style="143" hidden="1" customWidth="1"/>
    <col min="13345" max="13345" width="41.85546875" style="143" customWidth="1"/>
    <col min="13346" max="13347" width="13.28515625" style="143" customWidth="1"/>
    <col min="13348" max="13348" width="1.42578125" style="143" customWidth="1"/>
    <col min="13349" max="13350" width="13.28515625" style="143" customWidth="1"/>
    <col min="13351" max="13568" width="9" style="143"/>
    <col min="13569" max="13569" width="0" style="143" hidden="1" customWidth="1"/>
    <col min="13570" max="13571" width="4.28515625" style="143" customWidth="1"/>
    <col min="13572" max="13575" width="2.7109375" style="143" customWidth="1"/>
    <col min="13576" max="13576" width="41.28515625" style="143" customWidth="1"/>
    <col min="13577" max="13577" width="10.140625" style="143" customWidth="1"/>
    <col min="13578" max="13578" width="6.28515625" style="143" customWidth="1"/>
    <col min="13579" max="13582" width="0" style="143" hidden="1" customWidth="1"/>
    <col min="13583" max="13583" width="12.28515625" style="143" customWidth="1"/>
    <col min="13584" max="13584" width="16.28515625" style="143" customWidth="1"/>
    <col min="13585" max="13585" width="9" style="143"/>
    <col min="13586" max="13593" width="0" style="143" hidden="1" customWidth="1"/>
    <col min="13594" max="13594" width="10.5703125" style="143" bestFit="1" customWidth="1"/>
    <col min="13595" max="13595" width="3.5703125" style="143" bestFit="1" customWidth="1"/>
    <col min="13596" max="13600" width="0" style="143" hidden="1" customWidth="1"/>
    <col min="13601" max="13601" width="41.85546875" style="143" customWidth="1"/>
    <col min="13602" max="13603" width="13.28515625" style="143" customWidth="1"/>
    <col min="13604" max="13604" width="1.42578125" style="143" customWidth="1"/>
    <col min="13605" max="13606" width="13.28515625" style="143" customWidth="1"/>
    <col min="13607" max="13824" width="9" style="143"/>
    <col min="13825" max="13825" width="0" style="143" hidden="1" customWidth="1"/>
    <col min="13826" max="13827" width="4.28515625" style="143" customWidth="1"/>
    <col min="13828" max="13831" width="2.7109375" style="143" customWidth="1"/>
    <col min="13832" max="13832" width="41.28515625" style="143" customWidth="1"/>
    <col min="13833" max="13833" width="10.140625" style="143" customWidth="1"/>
    <col min="13834" max="13834" width="6.28515625" style="143" customWidth="1"/>
    <col min="13835" max="13838" width="0" style="143" hidden="1" customWidth="1"/>
    <col min="13839" max="13839" width="12.28515625" style="143" customWidth="1"/>
    <col min="13840" max="13840" width="16.28515625" style="143" customWidth="1"/>
    <col min="13841" max="13841" width="9" style="143"/>
    <col min="13842" max="13849" width="0" style="143" hidden="1" customWidth="1"/>
    <col min="13850" max="13850" width="10.5703125" style="143" bestFit="1" customWidth="1"/>
    <col min="13851" max="13851" width="3.5703125" style="143" bestFit="1" customWidth="1"/>
    <col min="13852" max="13856" width="0" style="143" hidden="1" customWidth="1"/>
    <col min="13857" max="13857" width="41.85546875" style="143" customWidth="1"/>
    <col min="13858" max="13859" width="13.28515625" style="143" customWidth="1"/>
    <col min="13860" max="13860" width="1.42578125" style="143" customWidth="1"/>
    <col min="13861" max="13862" width="13.28515625" style="143" customWidth="1"/>
    <col min="13863" max="14080" width="9" style="143"/>
    <col min="14081" max="14081" width="0" style="143" hidden="1" customWidth="1"/>
    <col min="14082" max="14083" width="4.28515625" style="143" customWidth="1"/>
    <col min="14084" max="14087" width="2.7109375" style="143" customWidth="1"/>
    <col min="14088" max="14088" width="41.28515625" style="143" customWidth="1"/>
    <col min="14089" max="14089" width="10.140625" style="143" customWidth="1"/>
    <col min="14090" max="14090" width="6.28515625" style="143" customWidth="1"/>
    <col min="14091" max="14094" width="0" style="143" hidden="1" customWidth="1"/>
    <col min="14095" max="14095" width="12.28515625" style="143" customWidth="1"/>
    <col min="14096" max="14096" width="16.28515625" style="143" customWidth="1"/>
    <col min="14097" max="14097" width="9" style="143"/>
    <col min="14098" max="14105" width="0" style="143" hidden="1" customWidth="1"/>
    <col min="14106" max="14106" width="10.5703125" style="143" bestFit="1" customWidth="1"/>
    <col min="14107" max="14107" width="3.5703125" style="143" bestFit="1" customWidth="1"/>
    <col min="14108" max="14112" width="0" style="143" hidden="1" customWidth="1"/>
    <col min="14113" max="14113" width="41.85546875" style="143" customWidth="1"/>
    <col min="14114" max="14115" width="13.28515625" style="143" customWidth="1"/>
    <col min="14116" max="14116" width="1.42578125" style="143" customWidth="1"/>
    <col min="14117" max="14118" width="13.28515625" style="143" customWidth="1"/>
    <col min="14119" max="14336" width="9" style="143"/>
    <col min="14337" max="14337" width="0" style="143" hidden="1" customWidth="1"/>
    <col min="14338" max="14339" width="4.28515625" style="143" customWidth="1"/>
    <col min="14340" max="14343" width="2.7109375" style="143" customWidth="1"/>
    <col min="14344" max="14344" width="41.28515625" style="143" customWidth="1"/>
    <col min="14345" max="14345" width="10.140625" style="143" customWidth="1"/>
    <col min="14346" max="14346" width="6.28515625" style="143" customWidth="1"/>
    <col min="14347" max="14350" width="0" style="143" hidden="1" customWidth="1"/>
    <col min="14351" max="14351" width="12.28515625" style="143" customWidth="1"/>
    <col min="14352" max="14352" width="16.28515625" style="143" customWidth="1"/>
    <col min="14353" max="14353" width="9" style="143"/>
    <col min="14354" max="14361" width="0" style="143" hidden="1" customWidth="1"/>
    <col min="14362" max="14362" width="10.5703125" style="143" bestFit="1" customWidth="1"/>
    <col min="14363" max="14363" width="3.5703125" style="143" bestFit="1" customWidth="1"/>
    <col min="14364" max="14368" width="0" style="143" hidden="1" customWidth="1"/>
    <col min="14369" max="14369" width="41.85546875" style="143" customWidth="1"/>
    <col min="14370" max="14371" width="13.28515625" style="143" customWidth="1"/>
    <col min="14372" max="14372" width="1.42578125" style="143" customWidth="1"/>
    <col min="14373" max="14374" width="13.28515625" style="143" customWidth="1"/>
    <col min="14375" max="14592" width="9" style="143"/>
    <col min="14593" max="14593" width="0" style="143" hidden="1" customWidth="1"/>
    <col min="14594" max="14595" width="4.28515625" style="143" customWidth="1"/>
    <col min="14596" max="14599" width="2.7109375" style="143" customWidth="1"/>
    <col min="14600" max="14600" width="41.28515625" style="143" customWidth="1"/>
    <col min="14601" max="14601" width="10.140625" style="143" customWidth="1"/>
    <col min="14602" max="14602" width="6.28515625" style="143" customWidth="1"/>
    <col min="14603" max="14606" width="0" style="143" hidden="1" customWidth="1"/>
    <col min="14607" max="14607" width="12.28515625" style="143" customWidth="1"/>
    <col min="14608" max="14608" width="16.28515625" style="143" customWidth="1"/>
    <col min="14609" max="14609" width="9" style="143"/>
    <col min="14610" max="14617" width="0" style="143" hidden="1" customWidth="1"/>
    <col min="14618" max="14618" width="10.5703125" style="143" bestFit="1" customWidth="1"/>
    <col min="14619" max="14619" width="3.5703125" style="143" bestFit="1" customWidth="1"/>
    <col min="14620" max="14624" width="0" style="143" hidden="1" customWidth="1"/>
    <col min="14625" max="14625" width="41.85546875" style="143" customWidth="1"/>
    <col min="14626" max="14627" width="13.28515625" style="143" customWidth="1"/>
    <col min="14628" max="14628" width="1.42578125" style="143" customWidth="1"/>
    <col min="14629" max="14630" width="13.28515625" style="143" customWidth="1"/>
    <col min="14631" max="14848" width="9" style="143"/>
    <col min="14849" max="14849" width="0" style="143" hidden="1" customWidth="1"/>
    <col min="14850" max="14851" width="4.28515625" style="143" customWidth="1"/>
    <col min="14852" max="14855" width="2.7109375" style="143" customWidth="1"/>
    <col min="14856" max="14856" width="41.28515625" style="143" customWidth="1"/>
    <col min="14857" max="14857" width="10.140625" style="143" customWidth="1"/>
    <col min="14858" max="14858" width="6.28515625" style="143" customWidth="1"/>
    <col min="14859" max="14862" width="0" style="143" hidden="1" customWidth="1"/>
    <col min="14863" max="14863" width="12.28515625" style="143" customWidth="1"/>
    <col min="14864" max="14864" width="16.28515625" style="143" customWidth="1"/>
    <col min="14865" max="14865" width="9" style="143"/>
    <col min="14866" max="14873" width="0" style="143" hidden="1" customWidth="1"/>
    <col min="14874" max="14874" width="10.5703125" style="143" bestFit="1" customWidth="1"/>
    <col min="14875" max="14875" width="3.5703125" style="143" bestFit="1" customWidth="1"/>
    <col min="14876" max="14880" width="0" style="143" hidden="1" customWidth="1"/>
    <col min="14881" max="14881" width="41.85546875" style="143" customWidth="1"/>
    <col min="14882" max="14883" width="13.28515625" style="143" customWidth="1"/>
    <col min="14884" max="14884" width="1.42578125" style="143" customWidth="1"/>
    <col min="14885" max="14886" width="13.28515625" style="143" customWidth="1"/>
    <col min="14887" max="15104" width="9" style="143"/>
    <col min="15105" max="15105" width="0" style="143" hidden="1" customWidth="1"/>
    <col min="15106" max="15107" width="4.28515625" style="143" customWidth="1"/>
    <col min="15108" max="15111" width="2.7109375" style="143" customWidth="1"/>
    <col min="15112" max="15112" width="41.28515625" style="143" customWidth="1"/>
    <col min="15113" max="15113" width="10.140625" style="143" customWidth="1"/>
    <col min="15114" max="15114" width="6.28515625" style="143" customWidth="1"/>
    <col min="15115" max="15118" width="0" style="143" hidden="1" customWidth="1"/>
    <col min="15119" max="15119" width="12.28515625" style="143" customWidth="1"/>
    <col min="15120" max="15120" width="16.28515625" style="143" customWidth="1"/>
    <col min="15121" max="15121" width="9" style="143"/>
    <col min="15122" max="15129" width="0" style="143" hidden="1" customWidth="1"/>
    <col min="15130" max="15130" width="10.5703125" style="143" bestFit="1" customWidth="1"/>
    <col min="15131" max="15131" width="3.5703125" style="143" bestFit="1" customWidth="1"/>
    <col min="15132" max="15136" width="0" style="143" hidden="1" customWidth="1"/>
    <col min="15137" max="15137" width="41.85546875" style="143" customWidth="1"/>
    <col min="15138" max="15139" width="13.28515625" style="143" customWidth="1"/>
    <col min="15140" max="15140" width="1.42578125" style="143" customWidth="1"/>
    <col min="15141" max="15142" width="13.28515625" style="143" customWidth="1"/>
    <col min="15143" max="15360" width="9" style="143"/>
    <col min="15361" max="15361" width="0" style="143" hidden="1" customWidth="1"/>
    <col min="15362" max="15363" width="4.28515625" style="143" customWidth="1"/>
    <col min="15364" max="15367" width="2.7109375" style="143" customWidth="1"/>
    <col min="15368" max="15368" width="41.28515625" style="143" customWidth="1"/>
    <col min="15369" max="15369" width="10.140625" style="143" customWidth="1"/>
    <col min="15370" max="15370" width="6.28515625" style="143" customWidth="1"/>
    <col min="15371" max="15374" width="0" style="143" hidden="1" customWidth="1"/>
    <col min="15375" max="15375" width="12.28515625" style="143" customWidth="1"/>
    <col min="15376" max="15376" width="16.28515625" style="143" customWidth="1"/>
    <col min="15377" max="15377" width="9" style="143"/>
    <col min="15378" max="15385" width="0" style="143" hidden="1" customWidth="1"/>
    <col min="15386" max="15386" width="10.5703125" style="143" bestFit="1" customWidth="1"/>
    <col min="15387" max="15387" width="3.5703125" style="143" bestFit="1" customWidth="1"/>
    <col min="15388" max="15392" width="0" style="143" hidden="1" customWidth="1"/>
    <col min="15393" max="15393" width="41.85546875" style="143" customWidth="1"/>
    <col min="15394" max="15395" width="13.28515625" style="143" customWidth="1"/>
    <col min="15396" max="15396" width="1.42578125" style="143" customWidth="1"/>
    <col min="15397" max="15398" width="13.28515625" style="143" customWidth="1"/>
    <col min="15399" max="15616" width="9" style="143"/>
    <col min="15617" max="15617" width="0" style="143" hidden="1" customWidth="1"/>
    <col min="15618" max="15619" width="4.28515625" style="143" customWidth="1"/>
    <col min="15620" max="15623" width="2.7109375" style="143" customWidth="1"/>
    <col min="15624" max="15624" width="41.28515625" style="143" customWidth="1"/>
    <col min="15625" max="15625" width="10.140625" style="143" customWidth="1"/>
    <col min="15626" max="15626" width="6.28515625" style="143" customWidth="1"/>
    <col min="15627" max="15630" width="0" style="143" hidden="1" customWidth="1"/>
    <col min="15631" max="15631" width="12.28515625" style="143" customWidth="1"/>
    <col min="15632" max="15632" width="16.28515625" style="143" customWidth="1"/>
    <col min="15633" max="15633" width="9" style="143"/>
    <col min="15634" max="15641" width="0" style="143" hidden="1" customWidth="1"/>
    <col min="15642" max="15642" width="10.5703125" style="143" bestFit="1" customWidth="1"/>
    <col min="15643" max="15643" width="3.5703125" style="143" bestFit="1" customWidth="1"/>
    <col min="15644" max="15648" width="0" style="143" hidden="1" customWidth="1"/>
    <col min="15649" max="15649" width="41.85546875" style="143" customWidth="1"/>
    <col min="15650" max="15651" width="13.28515625" style="143" customWidth="1"/>
    <col min="15652" max="15652" width="1.42578125" style="143" customWidth="1"/>
    <col min="15653" max="15654" width="13.28515625" style="143" customWidth="1"/>
    <col min="15655" max="15872" width="9" style="143"/>
    <col min="15873" max="15873" width="0" style="143" hidden="1" customWidth="1"/>
    <col min="15874" max="15875" width="4.28515625" style="143" customWidth="1"/>
    <col min="15876" max="15879" width="2.7109375" style="143" customWidth="1"/>
    <col min="15880" max="15880" width="41.28515625" style="143" customWidth="1"/>
    <col min="15881" max="15881" width="10.140625" style="143" customWidth="1"/>
    <col min="15882" max="15882" width="6.28515625" style="143" customWidth="1"/>
    <col min="15883" max="15886" width="0" style="143" hidden="1" customWidth="1"/>
    <col min="15887" max="15887" width="12.28515625" style="143" customWidth="1"/>
    <col min="15888" max="15888" width="16.28515625" style="143" customWidth="1"/>
    <col min="15889" max="15889" width="9" style="143"/>
    <col min="15890" max="15897" width="0" style="143" hidden="1" customWidth="1"/>
    <col min="15898" max="15898" width="10.5703125" style="143" bestFit="1" customWidth="1"/>
    <col min="15899" max="15899" width="3.5703125" style="143" bestFit="1" customWidth="1"/>
    <col min="15900" max="15904" width="0" style="143" hidden="1" customWidth="1"/>
    <col min="15905" max="15905" width="41.85546875" style="143" customWidth="1"/>
    <col min="15906" max="15907" width="13.28515625" style="143" customWidth="1"/>
    <col min="15908" max="15908" width="1.42578125" style="143" customWidth="1"/>
    <col min="15909" max="15910" width="13.28515625" style="143" customWidth="1"/>
    <col min="15911" max="16128" width="9" style="143"/>
    <col min="16129" max="16129" width="0" style="143" hidden="1" customWidth="1"/>
    <col min="16130" max="16131" width="4.28515625" style="143" customWidth="1"/>
    <col min="16132" max="16135" width="2.7109375" style="143" customWidth="1"/>
    <col min="16136" max="16136" width="41.28515625" style="143" customWidth="1"/>
    <col min="16137" max="16137" width="10.140625" style="143" customWidth="1"/>
    <col min="16138" max="16138" width="6.28515625" style="143" customWidth="1"/>
    <col min="16139" max="16142" width="0" style="143" hidden="1" customWidth="1"/>
    <col min="16143" max="16143" width="12.28515625" style="143" customWidth="1"/>
    <col min="16144" max="16144" width="16.28515625" style="143" customWidth="1"/>
    <col min="16145" max="16145" width="9" style="143"/>
    <col min="16146" max="16153" width="0" style="143" hidden="1" customWidth="1"/>
    <col min="16154" max="16154" width="10.5703125" style="143" bestFit="1" customWidth="1"/>
    <col min="16155" max="16155" width="3.5703125" style="143" bestFit="1" customWidth="1"/>
    <col min="16156" max="16160" width="0" style="143" hidden="1" customWidth="1"/>
    <col min="16161" max="16161" width="41.85546875" style="143" customWidth="1"/>
    <col min="16162" max="16163" width="13.28515625" style="143" customWidth="1"/>
    <col min="16164" max="16164" width="1.42578125" style="143" customWidth="1"/>
    <col min="16165" max="16166" width="13.28515625" style="143" customWidth="1"/>
    <col min="16167" max="16384" width="9" style="143"/>
  </cols>
  <sheetData>
    <row r="1" spans="1:47" x14ac:dyDescent="0.2">
      <c r="A1" s="143" t="s">
        <v>241</v>
      </c>
      <c r="AP1" s="239" t="s">
        <v>937</v>
      </c>
      <c r="AQ1" s="239" t="s">
        <v>938</v>
      </c>
      <c r="AR1" s="239" t="s">
        <v>939</v>
      </c>
      <c r="AS1" s="239" t="s">
        <v>940</v>
      </c>
      <c r="AT1" s="239" t="s">
        <v>941</v>
      </c>
      <c r="AU1" s="239" t="s">
        <v>679</v>
      </c>
    </row>
    <row r="2" spans="1:47" x14ac:dyDescent="0.2">
      <c r="A2" s="143" t="s">
        <v>20</v>
      </c>
      <c r="D2" s="145"/>
      <c r="G2" s="151" t="s">
        <v>14</v>
      </c>
      <c r="H2" s="143" t="str">
        <f>project_name</f>
        <v>Hunt County Government Building</v>
      </c>
      <c r="AP2" s="240" t="s">
        <v>942</v>
      </c>
      <c r="AQ2" s="240">
        <f>SUM(AQ3:AQ14)</f>
        <v>135541</v>
      </c>
      <c r="AR2" s="240">
        <f>SUM(AR3:AR14)</f>
        <v>0</v>
      </c>
      <c r="AS2" s="240">
        <f>SUM(AS3:AS14)</f>
        <v>0</v>
      </c>
      <c r="AT2" s="240">
        <f>SUM(AT3:AT14)</f>
        <v>0</v>
      </c>
      <c r="AU2" s="240">
        <f>SUM(AU3:AU14)</f>
        <v>0</v>
      </c>
    </row>
    <row r="3" spans="1:47" x14ac:dyDescent="0.2">
      <c r="A3" s="143" t="s">
        <v>1773</v>
      </c>
      <c r="D3" s="145"/>
      <c r="G3" s="151" t="s">
        <v>243</v>
      </c>
      <c r="H3" s="230" t="s">
        <v>991</v>
      </c>
      <c r="AP3" s="228" t="s">
        <v>1767</v>
      </c>
      <c r="AQ3" s="143">
        <v>-26380</v>
      </c>
      <c r="AR3" s="228">
        <v>0</v>
      </c>
      <c r="AS3" s="228">
        <v>0</v>
      </c>
      <c r="AT3" s="228">
        <v>0</v>
      </c>
      <c r="AU3" s="228">
        <f t="shared" ref="AU3:AU14" si="0">ROUND(AS3 * AT3,1)</f>
        <v>0</v>
      </c>
    </row>
    <row r="4" spans="1:47" x14ac:dyDescent="0.2">
      <c r="A4" s="143" t="s">
        <v>1774</v>
      </c>
      <c r="D4" s="145"/>
      <c r="G4" s="151" t="s">
        <v>16</v>
      </c>
      <c r="H4" s="143" t="str">
        <f>project_location</f>
        <v>Greenville, TX</v>
      </c>
      <c r="AP4" s="228" t="s">
        <v>1768</v>
      </c>
      <c r="AQ4" s="228">
        <v>5492</v>
      </c>
      <c r="AR4" s="228"/>
      <c r="AS4" s="228"/>
      <c r="AT4" s="228"/>
      <c r="AU4" s="228">
        <f t="shared" si="0"/>
        <v>0</v>
      </c>
    </row>
    <row r="5" spans="1:47" x14ac:dyDescent="0.2">
      <c r="A5" s="143" t="s">
        <v>1772</v>
      </c>
      <c r="D5" s="145"/>
      <c r="G5" s="151" t="s">
        <v>15</v>
      </c>
      <c r="H5" s="143" t="str">
        <f>estimate_detail</f>
        <v>CONSTRUCTION DOCUMENTS ESTIMATE</v>
      </c>
      <c r="AP5" s="228" t="s">
        <v>1769</v>
      </c>
      <c r="AQ5" s="228">
        <v>52671</v>
      </c>
      <c r="AR5" s="228"/>
      <c r="AS5" s="228"/>
      <c r="AT5" s="228"/>
      <c r="AU5" s="228">
        <f t="shared" si="0"/>
        <v>0</v>
      </c>
    </row>
    <row r="6" spans="1:47" x14ac:dyDescent="0.2">
      <c r="A6" s="143" t="s">
        <v>1772</v>
      </c>
      <c r="D6" s="145"/>
      <c r="G6" s="151" t="s">
        <v>245</v>
      </c>
      <c r="H6" s="152">
        <v>135541</v>
      </c>
      <c r="AP6" s="228" t="s">
        <v>1770</v>
      </c>
      <c r="AQ6" s="228">
        <v>46462</v>
      </c>
      <c r="AR6" s="228"/>
      <c r="AS6" s="228"/>
      <c r="AT6" s="228"/>
      <c r="AU6" s="228">
        <f t="shared" si="0"/>
        <v>0</v>
      </c>
    </row>
    <row r="7" spans="1:47" x14ac:dyDescent="0.2">
      <c r="A7" s="143" t="s">
        <v>1772</v>
      </c>
      <c r="D7" s="145"/>
      <c r="G7" s="151" t="s">
        <v>246</v>
      </c>
      <c r="H7" s="152">
        <v>135541</v>
      </c>
      <c r="AP7" s="228" t="s">
        <v>1771</v>
      </c>
      <c r="AQ7" s="228">
        <f>882+7394+472</f>
        <v>8748</v>
      </c>
      <c r="AR7" s="228"/>
      <c r="AS7" s="228"/>
      <c r="AT7" s="228"/>
      <c r="AU7" s="228">
        <f t="shared" si="0"/>
        <v>0</v>
      </c>
    </row>
    <row r="8" spans="1:47" x14ac:dyDescent="0.2">
      <c r="A8" s="143" t="s">
        <v>1041</v>
      </c>
      <c r="D8" s="145"/>
      <c r="G8" s="151" t="s">
        <v>248</v>
      </c>
      <c r="H8" s="153" t="b">
        <v>1</v>
      </c>
      <c r="AP8" s="143" t="s">
        <v>1746</v>
      </c>
      <c r="AQ8" s="143">
        <v>48548</v>
      </c>
      <c r="AR8" s="228"/>
      <c r="AS8" s="228"/>
      <c r="AT8" s="228"/>
      <c r="AU8" s="228">
        <f t="shared" si="0"/>
        <v>0</v>
      </c>
    </row>
    <row r="9" spans="1:47" ht="13.9" customHeight="1" x14ac:dyDescent="0.2">
      <c r="A9" s="143" t="s">
        <v>173</v>
      </c>
      <c r="F9" s="151"/>
      <c r="G9" s="151"/>
      <c r="H9" s="153"/>
      <c r="AP9" s="228" t="s">
        <v>948</v>
      </c>
      <c r="AQ9" s="228"/>
      <c r="AR9" s="228"/>
      <c r="AS9" s="228"/>
      <c r="AT9" s="228"/>
      <c r="AU9" s="228">
        <f t="shared" si="0"/>
        <v>0</v>
      </c>
    </row>
    <row r="10" spans="1:47" s="154" customFormat="1" ht="13.9" customHeight="1" thickBot="1" x14ac:dyDescent="0.25">
      <c r="B10" s="155"/>
      <c r="C10" s="156"/>
      <c r="D10" s="154" t="s">
        <v>249</v>
      </c>
      <c r="I10" s="157" t="s">
        <v>250</v>
      </c>
      <c r="J10" s="158" t="s">
        <v>251</v>
      </c>
      <c r="K10" s="159" t="s">
        <v>252</v>
      </c>
      <c r="L10" s="159" t="s">
        <v>253</v>
      </c>
      <c r="M10" s="159" t="s">
        <v>254</v>
      </c>
      <c r="N10" s="159" t="s">
        <v>255</v>
      </c>
      <c r="O10" s="160" t="s">
        <v>256</v>
      </c>
      <c r="P10" s="157" t="s">
        <v>257</v>
      </c>
      <c r="Q10" s="292" t="s">
        <v>258</v>
      </c>
      <c r="R10" s="154" t="s">
        <v>259</v>
      </c>
      <c r="S10" s="154" t="s">
        <v>260</v>
      </c>
      <c r="T10" s="154" t="s">
        <v>261</v>
      </c>
      <c r="U10" s="154" t="s">
        <v>262</v>
      </c>
      <c r="V10" s="154" t="s">
        <v>263</v>
      </c>
      <c r="W10" s="154" t="s">
        <v>264</v>
      </c>
      <c r="X10" s="154" t="s">
        <v>265</v>
      </c>
      <c r="Y10" s="154" t="s">
        <v>266</v>
      </c>
      <c r="Z10" s="313"/>
      <c r="AA10" s="313"/>
      <c r="AB10" s="313"/>
      <c r="AD10" s="603" t="s">
        <v>1591</v>
      </c>
      <c r="AP10" s="241" t="s">
        <v>949</v>
      </c>
      <c r="AQ10" s="241"/>
      <c r="AR10" s="241"/>
      <c r="AS10" s="241"/>
      <c r="AT10" s="241"/>
      <c r="AU10" s="241">
        <f t="shared" si="0"/>
        <v>0</v>
      </c>
    </row>
    <row r="11" spans="1:47" x14ac:dyDescent="0.2">
      <c r="B11" s="145"/>
      <c r="AP11" s="228" t="s">
        <v>950</v>
      </c>
      <c r="AQ11" s="228"/>
      <c r="AR11" s="228"/>
      <c r="AS11" s="228"/>
      <c r="AT11" s="228"/>
      <c r="AU11" s="228">
        <f t="shared" si="0"/>
        <v>0</v>
      </c>
    </row>
    <row r="12" spans="1:47" x14ac:dyDescent="0.2">
      <c r="B12" s="145"/>
      <c r="AP12" s="228" t="s">
        <v>951</v>
      </c>
      <c r="AQ12" s="228"/>
      <c r="AR12" s="228"/>
      <c r="AS12" s="228"/>
      <c r="AT12" s="228"/>
      <c r="AU12" s="228">
        <f t="shared" si="0"/>
        <v>0</v>
      </c>
    </row>
    <row r="13" spans="1:47" x14ac:dyDescent="0.2">
      <c r="B13" s="145"/>
      <c r="AP13" s="228" t="s">
        <v>952</v>
      </c>
      <c r="AQ13" s="228"/>
      <c r="AR13" s="228"/>
      <c r="AS13" s="228"/>
      <c r="AT13" s="228"/>
      <c r="AU13" s="228">
        <f t="shared" si="0"/>
        <v>0</v>
      </c>
    </row>
    <row r="14" spans="1:47" x14ac:dyDescent="0.2">
      <c r="B14" s="145"/>
      <c r="AP14" s="228" t="s">
        <v>953</v>
      </c>
      <c r="AQ14" s="228"/>
      <c r="AR14" s="228"/>
      <c r="AS14" s="228"/>
      <c r="AT14" s="228"/>
      <c r="AU14" s="228">
        <f t="shared" si="0"/>
        <v>0</v>
      </c>
    </row>
    <row r="15" spans="1:47" ht="15.75" customHeight="1" x14ac:dyDescent="0.25">
      <c r="AG15" s="162"/>
      <c r="AH15" s="163"/>
      <c r="AI15" s="164"/>
      <c r="AJ15" s="163"/>
      <c r="AK15" s="163"/>
      <c r="AL15" s="286" t="s">
        <v>961</v>
      </c>
    </row>
    <row r="16" spans="1:47" ht="15.75" customHeight="1" x14ac:dyDescent="0.25">
      <c r="AG16" s="162"/>
      <c r="AH16" s="163"/>
      <c r="AI16" s="164"/>
      <c r="AJ16" s="163"/>
      <c r="AK16" s="163"/>
      <c r="AL16" s="166" t="str">
        <f>SUB_NAME</f>
        <v>SITE</v>
      </c>
    </row>
    <row r="17" spans="8:38" ht="12.75" customHeight="1" x14ac:dyDescent="0.2">
      <c r="AG17" s="167"/>
      <c r="AH17" s="168"/>
      <c r="AI17" s="169"/>
      <c r="AJ17" s="169"/>
      <c r="AK17" s="169"/>
      <c r="AL17" s="170" t="str">
        <f>project_location</f>
        <v>Greenville, TX</v>
      </c>
    </row>
    <row r="18" spans="8:38" ht="9" customHeight="1" x14ac:dyDescent="0.2">
      <c r="AG18" s="167"/>
      <c r="AH18" s="168"/>
      <c r="AI18" s="169"/>
      <c r="AJ18" s="169"/>
      <c r="AK18" s="169"/>
      <c r="AL18" s="171"/>
    </row>
    <row r="19" spans="8:38" ht="18.75" customHeight="1" x14ac:dyDescent="0.25">
      <c r="AG19" s="172" t="str">
        <f>estimate_detail</f>
        <v>CONSTRUCTION DOCUMENTS ESTIMATE</v>
      </c>
      <c r="AH19" s="163"/>
      <c r="AI19" s="173"/>
      <c r="AJ19" s="173"/>
      <c r="AK19" s="173"/>
      <c r="AL19" s="174" t="str">
        <f>"OCMI JOB #: "&amp; job_number &amp; " | " &amp; date</f>
        <v>OCMI JOB #: 240540.000 | 24 December 2024</v>
      </c>
    </row>
    <row r="20" spans="8:38" ht="12.75" customHeight="1" thickBot="1" x14ac:dyDescent="0.25">
      <c r="H20" s="151"/>
      <c r="I20" s="143"/>
      <c r="AG20" s="175"/>
      <c r="AH20" s="175"/>
      <c r="AI20" s="176"/>
      <c r="AJ20" s="175"/>
      <c r="AK20" s="175"/>
      <c r="AL20" s="177"/>
    </row>
    <row r="21" spans="8:38" ht="28.5" customHeight="1" thickBot="1" x14ac:dyDescent="0.25">
      <c r="H21" s="151"/>
      <c r="AG21" s="644" t="str">
        <f>IF(site,"SITE SUMMARY","BUILDING SUMMARY")</f>
        <v>SITE SUMMARY</v>
      </c>
      <c r="AH21" s="644"/>
      <c r="AI21" s="644"/>
      <c r="AJ21" s="644"/>
      <c r="AK21" s="644"/>
      <c r="AL21" s="644"/>
    </row>
    <row r="22" spans="8:38" x14ac:dyDescent="0.2">
      <c r="H22" s="151"/>
      <c r="I22" s="143"/>
      <c r="AG22" s="175"/>
      <c r="AH22" s="175"/>
      <c r="AI22" s="176"/>
      <c r="AJ22" s="175"/>
      <c r="AK22" s="175"/>
      <c r="AL22" s="177"/>
    </row>
    <row r="23" spans="8:38" x14ac:dyDescent="0.2">
      <c r="H23" s="151"/>
      <c r="I23" s="143"/>
      <c r="AG23" s="178" t="s">
        <v>0</v>
      </c>
      <c r="AH23" s="179"/>
      <c r="AI23" s="180" t="s">
        <v>1</v>
      </c>
      <c r="AJ23" s="181"/>
      <c r="AK23" s="181"/>
      <c r="AL23" s="182" t="str">
        <f>IF(PageUom="Imperial", "$/SF AREA", "$/M2 AREA")</f>
        <v>$/SF AREA</v>
      </c>
    </row>
    <row r="24" spans="8:38" x14ac:dyDescent="0.2">
      <c r="H24" s="151"/>
      <c r="I24" s="152"/>
      <c r="AG24" s="183"/>
      <c r="AH24" s="175"/>
      <c r="AI24" s="176"/>
      <c r="AJ24" s="175"/>
      <c r="AK24" s="175"/>
      <c r="AL24" s="177"/>
    </row>
    <row r="25" spans="8:38" ht="12" hidden="1" customHeight="1" x14ac:dyDescent="0.2">
      <c r="H25" s="151"/>
      <c r="I25" s="152"/>
      <c r="AG25" s="183" t="s">
        <v>267</v>
      </c>
      <c r="AH25" s="175"/>
      <c r="AI25" s="176">
        <f>P101</f>
        <v>0</v>
      </c>
      <c r="AJ25" s="175"/>
      <c r="AK25" s="175"/>
      <c r="AL25" s="177">
        <f t="shared" ref="AL25:AL51" si="1">+AI25/$AI$90</f>
        <v>0</v>
      </c>
    </row>
    <row r="26" spans="8:38" ht="12" customHeight="1" x14ac:dyDescent="0.2">
      <c r="H26" s="151"/>
      <c r="I26" s="152"/>
      <c r="AF26" s="216"/>
      <c r="AG26" s="183" t="s">
        <v>268</v>
      </c>
      <c r="AH26" s="175"/>
      <c r="AI26" s="176">
        <f>P114</f>
        <v>48372</v>
      </c>
      <c r="AJ26" s="175"/>
      <c r="AK26" s="175"/>
      <c r="AL26" s="177">
        <f t="shared" si="1"/>
        <v>0.35688094377347074</v>
      </c>
    </row>
    <row r="27" spans="8:38" ht="12" hidden="1" customHeight="1" x14ac:dyDescent="0.2">
      <c r="AF27" s="216"/>
      <c r="AG27" s="183" t="s">
        <v>269</v>
      </c>
      <c r="AH27" s="175"/>
      <c r="AI27" s="176">
        <f>P119</f>
        <v>0</v>
      </c>
      <c r="AJ27" s="175"/>
      <c r="AK27" s="175"/>
      <c r="AL27" s="177">
        <f t="shared" si="1"/>
        <v>0</v>
      </c>
    </row>
    <row r="28" spans="8:38" ht="12" hidden="1" customHeight="1" x14ac:dyDescent="0.2">
      <c r="H28" s="151"/>
      <c r="AF28" s="216"/>
      <c r="AG28" s="183" t="s">
        <v>270</v>
      </c>
      <c r="AH28" s="175"/>
      <c r="AI28" s="176">
        <f>P124</f>
        <v>0</v>
      </c>
      <c r="AJ28" s="175"/>
      <c r="AK28" s="175"/>
      <c r="AL28" s="177">
        <f t="shared" si="1"/>
        <v>0</v>
      </c>
    </row>
    <row r="29" spans="8:38" ht="12" hidden="1" customHeight="1" x14ac:dyDescent="0.2">
      <c r="H29" s="151"/>
      <c r="AF29" s="216"/>
      <c r="AG29" s="183" t="s">
        <v>271</v>
      </c>
      <c r="AH29" s="175"/>
      <c r="AI29" s="176">
        <f>P129</f>
        <v>0</v>
      </c>
      <c r="AJ29" s="175"/>
      <c r="AK29" s="175"/>
      <c r="AL29" s="177">
        <f t="shared" si="1"/>
        <v>0</v>
      </c>
    </row>
    <row r="30" spans="8:38" ht="12" hidden="1" customHeight="1" x14ac:dyDescent="0.2">
      <c r="H30" s="151"/>
      <c r="AF30" s="216"/>
      <c r="AG30" s="183" t="s">
        <v>272</v>
      </c>
      <c r="AH30" s="175"/>
      <c r="AI30" s="176">
        <f>P134</f>
        <v>0</v>
      </c>
      <c r="AJ30" s="175"/>
      <c r="AK30" s="175"/>
      <c r="AL30" s="177">
        <f t="shared" si="1"/>
        <v>0</v>
      </c>
    </row>
    <row r="31" spans="8:38" ht="12" hidden="1" customHeight="1" x14ac:dyDescent="0.2">
      <c r="H31" s="151"/>
      <c r="AF31" s="216"/>
      <c r="AG31" s="183" t="s">
        <v>273</v>
      </c>
      <c r="AH31" s="175"/>
      <c r="AI31" s="176">
        <f>P139</f>
        <v>0</v>
      </c>
      <c r="AJ31" s="175"/>
      <c r="AK31" s="175"/>
      <c r="AL31" s="177">
        <f t="shared" si="1"/>
        <v>0</v>
      </c>
    </row>
    <row r="32" spans="8:38" ht="12" hidden="1" customHeight="1" x14ac:dyDescent="0.2">
      <c r="H32" s="151"/>
      <c r="AF32" s="216"/>
      <c r="AG32" s="183" t="s">
        <v>274</v>
      </c>
      <c r="AH32" s="175"/>
      <c r="AI32" s="176">
        <f>P144</f>
        <v>0</v>
      </c>
      <c r="AJ32" s="175"/>
      <c r="AK32" s="175"/>
      <c r="AL32" s="177">
        <f t="shared" si="1"/>
        <v>0</v>
      </c>
    </row>
    <row r="33" spans="8:38" ht="12" hidden="1" customHeight="1" x14ac:dyDescent="0.2">
      <c r="H33" s="151"/>
      <c r="AF33" s="216"/>
      <c r="AG33" s="183" t="s">
        <v>275</v>
      </c>
      <c r="AH33" s="175"/>
      <c r="AI33" s="176">
        <f>P149</f>
        <v>0</v>
      </c>
      <c r="AJ33" s="175"/>
      <c r="AK33" s="175"/>
      <c r="AL33" s="177">
        <f t="shared" si="1"/>
        <v>0</v>
      </c>
    </row>
    <row r="34" spans="8:38" ht="12" hidden="1" customHeight="1" x14ac:dyDescent="0.2">
      <c r="H34" s="151"/>
      <c r="AF34" s="216"/>
      <c r="AG34" s="183" t="s">
        <v>276</v>
      </c>
      <c r="AH34" s="175"/>
      <c r="AI34" s="176">
        <f>P154</f>
        <v>0</v>
      </c>
      <c r="AJ34" s="175"/>
      <c r="AK34" s="175"/>
      <c r="AL34" s="177">
        <f t="shared" si="1"/>
        <v>0</v>
      </c>
    </row>
    <row r="35" spans="8:38" ht="12" hidden="1" customHeight="1" x14ac:dyDescent="0.2">
      <c r="H35" s="151"/>
      <c r="AF35" s="216"/>
      <c r="AG35" s="183" t="s">
        <v>277</v>
      </c>
      <c r="AH35" s="175"/>
      <c r="AI35" s="176">
        <f>P159</f>
        <v>0</v>
      </c>
      <c r="AJ35" s="175"/>
      <c r="AK35" s="175"/>
      <c r="AL35" s="177">
        <f t="shared" si="1"/>
        <v>0</v>
      </c>
    </row>
    <row r="36" spans="8:38" ht="12" hidden="1" customHeight="1" x14ac:dyDescent="0.2">
      <c r="H36" s="151"/>
      <c r="AF36" s="216"/>
      <c r="AG36" s="183" t="s">
        <v>278</v>
      </c>
      <c r="AH36" s="175"/>
      <c r="AI36" s="176">
        <f>P164</f>
        <v>0</v>
      </c>
      <c r="AJ36" s="175"/>
      <c r="AK36" s="175"/>
      <c r="AL36" s="177">
        <f t="shared" si="1"/>
        <v>0</v>
      </c>
    </row>
    <row r="37" spans="8:38" ht="12" hidden="1" customHeight="1" x14ac:dyDescent="0.2">
      <c r="H37" s="151"/>
      <c r="AF37" s="216"/>
      <c r="AG37" s="183" t="s">
        <v>279</v>
      </c>
      <c r="AH37" s="175"/>
      <c r="AI37" s="176">
        <f>P169</f>
        <v>0</v>
      </c>
      <c r="AJ37" s="175"/>
      <c r="AK37" s="175"/>
      <c r="AL37" s="177">
        <f t="shared" si="1"/>
        <v>0</v>
      </c>
    </row>
    <row r="38" spans="8:38" ht="12" hidden="1" customHeight="1" x14ac:dyDescent="0.2">
      <c r="H38" s="151"/>
      <c r="AF38" s="216"/>
      <c r="AG38" s="183" t="s">
        <v>280</v>
      </c>
      <c r="AH38" s="175"/>
      <c r="AI38" s="176">
        <f>P174</f>
        <v>0</v>
      </c>
      <c r="AJ38" s="175"/>
      <c r="AK38" s="175"/>
      <c r="AL38" s="177">
        <f t="shared" si="1"/>
        <v>0</v>
      </c>
    </row>
    <row r="39" spans="8:38" ht="12" hidden="1" customHeight="1" x14ac:dyDescent="0.2">
      <c r="H39" s="151"/>
      <c r="AF39" s="216"/>
      <c r="AG39" s="183" t="s">
        <v>281</v>
      </c>
      <c r="AH39" s="175"/>
      <c r="AI39" s="176">
        <f>P179</f>
        <v>0</v>
      </c>
      <c r="AJ39" s="175"/>
      <c r="AK39" s="175"/>
      <c r="AL39" s="177">
        <f t="shared" si="1"/>
        <v>0</v>
      </c>
    </row>
    <row r="40" spans="8:38" ht="12" hidden="1" customHeight="1" x14ac:dyDescent="0.2">
      <c r="AF40" s="216"/>
      <c r="AG40" s="183" t="s">
        <v>282</v>
      </c>
      <c r="AH40" s="175"/>
      <c r="AI40" s="176">
        <f>P184</f>
        <v>0</v>
      </c>
      <c r="AJ40" s="175"/>
      <c r="AK40" s="175"/>
      <c r="AL40" s="177">
        <f t="shared" si="1"/>
        <v>0</v>
      </c>
    </row>
    <row r="41" spans="8:38" ht="12" hidden="1" customHeight="1" x14ac:dyDescent="0.2">
      <c r="AF41" s="216"/>
      <c r="AG41" s="183" t="s">
        <v>283</v>
      </c>
      <c r="AH41" s="175"/>
      <c r="AI41" s="176">
        <f>P189</f>
        <v>0</v>
      </c>
      <c r="AJ41" s="175"/>
      <c r="AK41" s="175"/>
      <c r="AL41" s="177">
        <f t="shared" si="1"/>
        <v>0</v>
      </c>
    </row>
    <row r="42" spans="8:38" ht="12" hidden="1" customHeight="1" x14ac:dyDescent="0.2">
      <c r="AF42" s="216"/>
      <c r="AG42" s="183" t="s">
        <v>284</v>
      </c>
      <c r="AH42" s="175"/>
      <c r="AI42" s="176">
        <f>P194</f>
        <v>0</v>
      </c>
      <c r="AJ42" s="175"/>
      <c r="AK42" s="175"/>
      <c r="AL42" s="177">
        <f t="shared" si="1"/>
        <v>0</v>
      </c>
    </row>
    <row r="43" spans="8:38" ht="12" hidden="1" customHeight="1" x14ac:dyDescent="0.2">
      <c r="AF43" s="216"/>
      <c r="AG43" s="183" t="s">
        <v>285</v>
      </c>
      <c r="AH43" s="175"/>
      <c r="AI43" s="176">
        <f>P199</f>
        <v>0</v>
      </c>
      <c r="AJ43" s="175"/>
      <c r="AK43" s="175"/>
      <c r="AL43" s="177">
        <f t="shared" si="1"/>
        <v>0</v>
      </c>
    </row>
    <row r="44" spans="8:38" ht="12" hidden="1" customHeight="1" x14ac:dyDescent="0.2">
      <c r="AF44" s="216"/>
      <c r="AG44" s="183" t="s">
        <v>286</v>
      </c>
      <c r="AH44" s="175"/>
      <c r="AI44" s="176">
        <f>P204</f>
        <v>0</v>
      </c>
      <c r="AJ44" s="175"/>
      <c r="AK44" s="175"/>
      <c r="AL44" s="177">
        <f t="shared" si="1"/>
        <v>0</v>
      </c>
    </row>
    <row r="45" spans="8:38" ht="12" customHeight="1" x14ac:dyDescent="0.2">
      <c r="AF45" s="216"/>
      <c r="AG45" s="183" t="s">
        <v>287</v>
      </c>
      <c r="AH45" s="175"/>
      <c r="AI45" s="176">
        <f>P260</f>
        <v>208729</v>
      </c>
      <c r="AJ45" s="175"/>
      <c r="AK45" s="175"/>
      <c r="AL45" s="177">
        <f t="shared" si="1"/>
        <v>1.5399694557366406</v>
      </c>
    </row>
    <row r="46" spans="8:38" ht="12" customHeight="1" x14ac:dyDescent="0.2">
      <c r="AF46" s="216"/>
      <c r="AG46" s="183" t="s">
        <v>288</v>
      </c>
      <c r="AH46" s="175"/>
      <c r="AI46" s="176">
        <f>P392</f>
        <v>1824227</v>
      </c>
      <c r="AJ46" s="175"/>
      <c r="AK46" s="175"/>
      <c r="AL46" s="177">
        <f t="shared" si="1"/>
        <v>13.458857467482163</v>
      </c>
    </row>
    <row r="47" spans="8:38" ht="12" customHeight="1" x14ac:dyDescent="0.2">
      <c r="AF47" s="216"/>
      <c r="AG47" s="183" t="s">
        <v>289</v>
      </c>
      <c r="AH47" s="175"/>
      <c r="AI47" s="176">
        <f>P444</f>
        <v>413694</v>
      </c>
      <c r="AJ47" s="175"/>
      <c r="AK47" s="175"/>
      <c r="AL47" s="177">
        <f t="shared" si="1"/>
        <v>3.0521687164769333</v>
      </c>
    </row>
    <row r="48" spans="8:38" ht="13.5" hidden="1" customHeight="1" x14ac:dyDescent="0.2">
      <c r="AG48" s="183" t="s">
        <v>290</v>
      </c>
      <c r="AH48" s="175"/>
      <c r="AI48" s="176">
        <f>P448</f>
        <v>0</v>
      </c>
      <c r="AJ48" s="175"/>
      <c r="AK48" s="175"/>
      <c r="AL48" s="177">
        <f t="shared" si="1"/>
        <v>0</v>
      </c>
    </row>
    <row r="49" spans="8:38" ht="13.5" hidden="1" customHeight="1" x14ac:dyDescent="0.2">
      <c r="H49" s="151"/>
      <c r="AG49" s="183" t="s">
        <v>291</v>
      </c>
      <c r="AH49" s="175"/>
      <c r="AI49" s="176">
        <f>P452</f>
        <v>0</v>
      </c>
      <c r="AJ49" s="175"/>
      <c r="AK49" s="175"/>
      <c r="AL49" s="177">
        <f t="shared" si="1"/>
        <v>0</v>
      </c>
    </row>
    <row r="50" spans="8:38" ht="13.5" hidden="1" customHeight="1" x14ac:dyDescent="0.2">
      <c r="H50" s="151"/>
      <c r="AG50" s="183" t="s">
        <v>292</v>
      </c>
      <c r="AH50" s="175"/>
      <c r="AI50" s="176">
        <f>P456</f>
        <v>0</v>
      </c>
      <c r="AJ50" s="175"/>
      <c r="AK50" s="175"/>
      <c r="AL50" s="177">
        <f t="shared" si="1"/>
        <v>0</v>
      </c>
    </row>
    <row r="51" spans="8:38" ht="13.5" hidden="1" customHeight="1" x14ac:dyDescent="0.2">
      <c r="AG51" s="183" t="s">
        <v>293</v>
      </c>
      <c r="AH51" s="175"/>
      <c r="AI51" s="176">
        <f>P460</f>
        <v>0</v>
      </c>
      <c r="AJ51" s="175"/>
      <c r="AK51" s="175"/>
      <c r="AL51" s="177">
        <f t="shared" si="1"/>
        <v>0</v>
      </c>
    </row>
    <row r="52" spans="8:38" ht="4.1500000000000004" customHeight="1" x14ac:dyDescent="0.2">
      <c r="AG52" s="175"/>
      <c r="AH52" s="184"/>
      <c r="AI52" s="185"/>
      <c r="AJ52" s="175"/>
      <c r="AK52" s="175"/>
      <c r="AL52" s="186"/>
    </row>
    <row r="53" spans="8:38" ht="13.9" customHeight="1" x14ac:dyDescent="0.2">
      <c r="AG53" s="187" t="str">
        <f>IF(SUMSQ(AH55:AH58,AK55:AK58)&gt;0,"SUBTOTAL",IF(site,"NET DIRECT SITE COST","NET DIRECT BUILDING COST"))</f>
        <v>NET DIRECT SITE COST</v>
      </c>
      <c r="AH53" s="184"/>
      <c r="AI53" s="176">
        <f>SUM(AI25:AI52)</f>
        <v>2495022</v>
      </c>
      <c r="AJ53" s="175"/>
      <c r="AK53" s="175"/>
      <c r="AL53" s="188">
        <f>+AI53/$AI$90</f>
        <v>18.407876583469207</v>
      </c>
    </row>
    <row r="54" spans="8:38" hidden="1" x14ac:dyDescent="0.2">
      <c r="H54" s="151"/>
      <c r="AG54" s="175"/>
      <c r="AH54" s="184"/>
      <c r="AI54" s="176"/>
      <c r="AJ54" s="175"/>
      <c r="AK54" s="175"/>
      <c r="AL54" s="188"/>
    </row>
    <row r="55" spans="8:38" hidden="1" x14ac:dyDescent="0.2">
      <c r="AG55" s="187" t="str">
        <f>UPPER(INDEX(Markups,1,1))</f>
        <v>DESIGN CONTINGENCY</v>
      </c>
      <c r="AH55" s="184">
        <f>IF(INDEX(Markups,1,5), 0,INDEX(Markups,1,4))</f>
        <v>0</v>
      </c>
      <c r="AI55" s="176">
        <f>+IF(compounding,SUM(AI$53:AI54)*AH55,AI$53*AH55)</f>
        <v>0</v>
      </c>
      <c r="AJ55" s="175"/>
      <c r="AK55" s="175">
        <v>0</v>
      </c>
      <c r="AL55" s="177">
        <f>+AI55/$AI$90</f>
        <v>0</v>
      </c>
    </row>
    <row r="56" spans="8:38" hidden="1" x14ac:dyDescent="0.2">
      <c r="AG56" s="187" t="str">
        <f>UPPER(INDEX(Markups,2,1))</f>
        <v>ESCALATION TO MIDPOINT 02/2026</v>
      </c>
      <c r="AH56" s="184">
        <f>IF(INDEX(Markups,2,5), 0,INDEX(Markups,2,4))</f>
        <v>0</v>
      </c>
      <c r="AI56" s="176">
        <f>+IF(compounding,SUM(AI$53:AI55)*AH56,AI$53*AH56)</f>
        <v>0</v>
      </c>
      <c r="AJ56" s="175"/>
      <c r="AK56" s="175">
        <v>0</v>
      </c>
      <c r="AL56" s="177">
        <f>+AI56/$AI$90</f>
        <v>0</v>
      </c>
    </row>
    <row r="57" spans="8:38" hidden="1" x14ac:dyDescent="0.2">
      <c r="AG57" s="187" t="str">
        <f>UPPER(INDEX(Markups,3,1))</f>
        <v>MARKUP 3</v>
      </c>
      <c r="AH57" s="184">
        <f>IF(INDEX(Markups,3,5), 0,INDEX(Markups,3,4))</f>
        <v>0</v>
      </c>
      <c r="AI57" s="176">
        <f>+IF(compounding,SUM(AI$53:AI56)*AH57,AI$53*AH57)</f>
        <v>0</v>
      </c>
      <c r="AJ57" s="175"/>
      <c r="AK57" s="175">
        <v>0</v>
      </c>
      <c r="AL57" s="177">
        <f>+AI57/$AI$90</f>
        <v>0</v>
      </c>
    </row>
    <row r="58" spans="8:38" hidden="1" x14ac:dyDescent="0.2">
      <c r="AG58" s="187" t="str">
        <f>UPPER(INDEX(Markups,4,1))</f>
        <v>MARKUP 4</v>
      </c>
      <c r="AH58" s="184">
        <f>IF(INDEX(Markups,4,5), 0,INDEX(Markups,4,4))</f>
        <v>0</v>
      </c>
      <c r="AI58" s="176">
        <f>+IF(compounding,SUM(AI$53:AI57)*AH58,AI$53*AH58)</f>
        <v>0</v>
      </c>
      <c r="AJ58" s="175"/>
      <c r="AK58" s="175">
        <v>0</v>
      </c>
      <c r="AL58" s="177">
        <f>+AI58/$AI$90</f>
        <v>0</v>
      </c>
    </row>
    <row r="59" spans="8:38" ht="11.25" hidden="1" customHeight="1" x14ac:dyDescent="0.2">
      <c r="AG59" s="187"/>
      <c r="AH59" s="184"/>
      <c r="AI59" s="185"/>
      <c r="AJ59" s="175"/>
      <c r="AK59" s="175"/>
      <c r="AL59" s="189"/>
    </row>
    <row r="60" spans="8:38" ht="24.75" hidden="1" customHeight="1" x14ac:dyDescent="0.2">
      <c r="AG60" s="190" t="str">
        <f>IF(site,"NET DIRECT SITE COST","NET DIRECT BUILDING COST")</f>
        <v>NET DIRECT SITE COST</v>
      </c>
      <c r="AH60" s="191"/>
      <c r="AI60" s="192">
        <f>SUM(AI53:AI59)</f>
        <v>2495022</v>
      </c>
      <c r="AJ60" s="191"/>
      <c r="AK60" s="191"/>
      <c r="AL60" s="193">
        <f>+AI60/$AI$90</f>
        <v>18.407876583469207</v>
      </c>
    </row>
    <row r="61" spans="8:38" ht="4.1500000000000004" hidden="1" customHeight="1" x14ac:dyDescent="0.2">
      <c r="AG61" s="187"/>
      <c r="AH61" s="184"/>
      <c r="AI61" s="176"/>
      <c r="AJ61" s="175"/>
      <c r="AK61" s="175"/>
      <c r="AL61" s="188"/>
    </row>
    <row r="62" spans="8:38" x14ac:dyDescent="0.2">
      <c r="AG62" s="187" t="str">
        <f>UPPER(INDEX(Markups,5,1))</f>
        <v>DESIGN CONTINGENCY</v>
      </c>
      <c r="AH62" s="194">
        <f>IF(INDEX(Markups,5,5), 0,INDEX(Markups,5,4))</f>
        <v>0.03</v>
      </c>
      <c r="AI62" s="195">
        <f>+IF(compounding,AI60*AH62,AI$60*AH62)</f>
        <v>74850.66</v>
      </c>
      <c r="AJ62" s="175"/>
      <c r="AK62" s="175"/>
      <c r="AL62" s="196">
        <f>+AI62/$AI$90</f>
        <v>0.55223629750407632</v>
      </c>
    </row>
    <row r="63" spans="8:38" ht="4.1500000000000004" customHeight="1" x14ac:dyDescent="0.2">
      <c r="AG63" s="187"/>
      <c r="AH63" s="184"/>
      <c r="AI63" s="176"/>
      <c r="AJ63" s="175"/>
      <c r="AK63" s="175"/>
      <c r="AL63" s="177"/>
    </row>
    <row r="64" spans="8:38" x14ac:dyDescent="0.2">
      <c r="AG64" s="187" t="s">
        <v>132</v>
      </c>
      <c r="AH64" s="184"/>
      <c r="AI64" s="176">
        <f>SUM(AI60:AI62)</f>
        <v>2569872.66</v>
      </c>
      <c r="AJ64" s="175"/>
      <c r="AK64" s="175"/>
      <c r="AL64" s="177">
        <f>+AI64/$AI$90</f>
        <v>18.960112880973284</v>
      </c>
    </row>
    <row r="65" spans="33:38" x14ac:dyDescent="0.2">
      <c r="AG65" s="187" t="str">
        <f>UPPER(INDEX(Markups,6,1))</f>
        <v>ESCALATION TO MIDPOINT 02/2026</v>
      </c>
      <c r="AH65" s="194">
        <f>IF(INDEX(Markups,6,5), 0,INDEX(Markups,6,4))</f>
        <v>4.4336448261620198E-2</v>
      </c>
      <c r="AI65" s="195">
        <f>+IF(compounding,AI64*AH65,AI$60*AH65)</f>
        <v>113939.02622904228</v>
      </c>
      <c r="AJ65" s="175"/>
      <c r="AK65" s="175"/>
      <c r="AL65" s="196">
        <f>+AI65/$AI$90</f>
        <v>0.84062406378175081</v>
      </c>
    </row>
    <row r="66" spans="33:38" ht="4.1500000000000004" hidden="1" customHeight="1" x14ac:dyDescent="0.2">
      <c r="AG66" s="187"/>
      <c r="AH66" s="184"/>
      <c r="AI66" s="176"/>
      <c r="AJ66" s="175"/>
      <c r="AK66" s="175"/>
      <c r="AL66" s="177"/>
    </row>
    <row r="67" spans="33:38" hidden="1" x14ac:dyDescent="0.2">
      <c r="AG67" s="187" t="s">
        <v>132</v>
      </c>
      <c r="AH67" s="184"/>
      <c r="AI67" s="176">
        <f>SUM(AI64:AI65)</f>
        <v>2683811.6862290422</v>
      </c>
      <c r="AJ67" s="175"/>
      <c r="AK67" s="175"/>
      <c r="AL67" s="177">
        <f>+AI67/$AI$90</f>
        <v>19.800736944755034</v>
      </c>
    </row>
    <row r="68" spans="33:38" hidden="1" x14ac:dyDescent="0.2">
      <c r="AG68" s="187" t="str">
        <f>UPPER(INDEX(Markups,7,1))</f>
        <v>CONTRACTOR CONTINGENCY</v>
      </c>
      <c r="AH68" s="194">
        <f>IF(INDEX(Markups,7,5), 0,INDEX(Markups,7,4))</f>
        <v>0</v>
      </c>
      <c r="AI68" s="195">
        <f>+IF(compounding,AI67*AH68,AI$60*AH68)</f>
        <v>0</v>
      </c>
      <c r="AJ68" s="175"/>
      <c r="AK68" s="175"/>
      <c r="AL68" s="196">
        <f>+AI68/$AI$90</f>
        <v>0</v>
      </c>
    </row>
    <row r="69" spans="33:38" ht="4.1500000000000004" customHeight="1" x14ac:dyDescent="0.2">
      <c r="AG69" s="187"/>
      <c r="AH69" s="184"/>
      <c r="AI69" s="176"/>
      <c r="AJ69" s="175"/>
      <c r="AK69" s="175"/>
      <c r="AL69" s="177"/>
    </row>
    <row r="70" spans="33:38" x14ac:dyDescent="0.2">
      <c r="AG70" s="187" t="s">
        <v>132</v>
      </c>
      <c r="AH70" s="184"/>
      <c r="AI70" s="176">
        <f>SUM(AI67:AI68)</f>
        <v>2683811.6862290422</v>
      </c>
      <c r="AJ70" s="175"/>
      <c r="AK70" s="175"/>
      <c r="AL70" s="177">
        <f>+AI70/$AI$90</f>
        <v>19.800736944755034</v>
      </c>
    </row>
    <row r="71" spans="33:38" x14ac:dyDescent="0.2">
      <c r="AG71" s="187" t="str">
        <f>UPPER(INDEX(Markups,8,1))</f>
        <v>GENERAL CONDITIONS/REQUIREMENTS</v>
      </c>
      <c r="AH71" s="194">
        <f>IF(INDEX(Markups,8,5), 0,INDEX(Markups,8,4))</f>
        <v>0.12</v>
      </c>
      <c r="AI71" s="195">
        <f>+IF(compounding,AI70*AH71,AI$60*AH71)</f>
        <v>322057.40234748507</v>
      </c>
      <c r="AJ71" s="175"/>
      <c r="AK71" s="175"/>
      <c r="AL71" s="196">
        <f>+AI71/$AI$90</f>
        <v>2.376088433370604</v>
      </c>
    </row>
    <row r="72" spans="33:38" ht="4.1500000000000004" customHeight="1" x14ac:dyDescent="0.2">
      <c r="AG72" s="187"/>
      <c r="AH72" s="184"/>
      <c r="AI72" s="176"/>
      <c r="AJ72" s="175"/>
      <c r="AK72" s="175"/>
      <c r="AL72" s="177"/>
    </row>
    <row r="73" spans="33:38" x14ac:dyDescent="0.2">
      <c r="AG73" s="187" t="s">
        <v>132</v>
      </c>
      <c r="AH73" s="184"/>
      <c r="AI73" s="176">
        <f>SUM(AI70:AI71)</f>
        <v>3005869.0885765273</v>
      </c>
      <c r="AJ73" s="175"/>
      <c r="AK73" s="175"/>
      <c r="AL73" s="177">
        <f>+AI73/$AI$90</f>
        <v>22.176825378125638</v>
      </c>
    </row>
    <row r="74" spans="33:38" x14ac:dyDescent="0.2">
      <c r="AG74" s="187" t="str">
        <f>UPPER(INDEX(Markups,9,1))</f>
        <v>CONTRACTOR OVERHEAD AND PROFIT</v>
      </c>
      <c r="AH74" s="194">
        <f>IF(INDEX(Markups,9,5), 0,INDEX(Markups,9,4))</f>
        <v>0.08</v>
      </c>
      <c r="AI74" s="195">
        <f>+IF(compounding,AI73*AH74,AI$60*AH74)</f>
        <v>240469.52708612219</v>
      </c>
      <c r="AJ74" s="175"/>
      <c r="AK74" s="175"/>
      <c r="AL74" s="196">
        <f>+AI74/$AI$90</f>
        <v>1.7741460302500511</v>
      </c>
    </row>
    <row r="75" spans="33:38" ht="4.1500000000000004" customHeight="1" x14ac:dyDescent="0.2">
      <c r="AG75" s="187"/>
      <c r="AH75" s="184"/>
      <c r="AI75" s="176"/>
      <c r="AJ75" s="175"/>
      <c r="AK75" s="175"/>
      <c r="AL75" s="177"/>
    </row>
    <row r="76" spans="33:38" x14ac:dyDescent="0.2">
      <c r="AG76" s="187" t="s">
        <v>132</v>
      </c>
      <c r="AH76" s="184"/>
      <c r="AI76" s="176">
        <f>SUM(AI73:AI74)</f>
        <v>3246338.6156626493</v>
      </c>
      <c r="AJ76" s="175"/>
      <c r="AK76" s="175"/>
      <c r="AL76" s="177">
        <f>+AI76/$AI$90</f>
        <v>23.95097140837569</v>
      </c>
    </row>
    <row r="77" spans="33:38" x14ac:dyDescent="0.2">
      <c r="AG77" s="187" t="str">
        <f>UPPER(INDEX(Markups,10,1))</f>
        <v>INSURANCE AND BONDS</v>
      </c>
      <c r="AH77" s="194">
        <f>IF(INDEX(Markups,10,5), 0,INDEX(Markups,10,4))</f>
        <v>2.5000000000000001E-2</v>
      </c>
      <c r="AI77" s="195">
        <f>+IF(compounding,AI76*AH77,AI$60*AH77)</f>
        <v>81158.465391566235</v>
      </c>
      <c r="AJ77" s="175"/>
      <c r="AK77" s="175"/>
      <c r="AL77" s="196">
        <f>+AI77/$AI$90</f>
        <v>0.59877428520939224</v>
      </c>
    </row>
    <row r="78" spans="33:38" ht="4.1500000000000004" hidden="1" customHeight="1" x14ac:dyDescent="0.2">
      <c r="AG78" s="187"/>
      <c r="AH78" s="184"/>
      <c r="AI78" s="176"/>
      <c r="AJ78" s="175"/>
      <c r="AK78" s="175"/>
      <c r="AL78" s="177"/>
    </row>
    <row r="79" spans="33:38" hidden="1" x14ac:dyDescent="0.2">
      <c r="AG79" s="187" t="s">
        <v>132</v>
      </c>
      <c r="AH79" s="184"/>
      <c r="AI79" s="176">
        <f>SUM(AI76:AI77)</f>
        <v>3327497.0810542153</v>
      </c>
      <c r="AJ79" s="175"/>
      <c r="AK79" s="175"/>
      <c r="AL79" s="177">
        <f>+AI79/$AI$90</f>
        <v>24.549745693585081</v>
      </c>
    </row>
    <row r="80" spans="33:38" hidden="1" x14ac:dyDescent="0.2">
      <c r="AG80" s="187" t="str">
        <f>UPPER(INDEX(Markups,11,1))</f>
        <v>BONDS: CONTRACTOR</v>
      </c>
      <c r="AH80" s="194">
        <f>IF(INDEX(Markups,11,5), 0,INDEX(Markups,11,4))</f>
        <v>0</v>
      </c>
      <c r="AI80" s="195">
        <f>+IF(compounding,AI79*AH80,AI$60*AH80)</f>
        <v>0</v>
      </c>
      <c r="AJ80" s="175"/>
      <c r="AK80" s="175"/>
      <c r="AL80" s="196">
        <f>+AI80/$AI$90</f>
        <v>0</v>
      </c>
    </row>
    <row r="81" spans="4:38" ht="4.1500000000000004" hidden="1" customHeight="1" x14ac:dyDescent="0.2">
      <c r="AG81" s="187"/>
      <c r="AH81" s="184"/>
      <c r="AI81" s="176"/>
      <c r="AJ81" s="175"/>
      <c r="AK81" s="175"/>
      <c r="AL81" s="177"/>
    </row>
    <row r="82" spans="4:38" hidden="1" x14ac:dyDescent="0.2">
      <c r="AG82" s="187" t="s">
        <v>132</v>
      </c>
      <c r="AH82" s="184"/>
      <c r="AI82" s="176">
        <f>SUM(AI79:AI80)</f>
        <v>3327497.0810542153</v>
      </c>
      <c r="AJ82" s="175"/>
      <c r="AK82" s="175"/>
      <c r="AL82" s="177">
        <f>+AI82/$AI$90</f>
        <v>24.549745693585081</v>
      </c>
    </row>
    <row r="83" spans="4:38" hidden="1" x14ac:dyDescent="0.2">
      <c r="AG83" s="187" t="str">
        <f>UPPER(INDEX(Markups,12,1))</f>
        <v>BONDS: SUBCONTRACTOR</v>
      </c>
      <c r="AH83" s="194">
        <f>IF(INDEX(Markups,12,5), 0,INDEX(Markups,12,4))</f>
        <v>0</v>
      </c>
      <c r="AI83" s="195">
        <f>+IF(compounding,AI82*AH83,AI$60*AH83)</f>
        <v>0</v>
      </c>
      <c r="AJ83" s="175"/>
      <c r="AK83" s="175"/>
      <c r="AL83" s="196">
        <f>+AI83/$AI$90</f>
        <v>0</v>
      </c>
    </row>
    <row r="84" spans="4:38" ht="4.1500000000000004" hidden="1" customHeight="1" x14ac:dyDescent="0.2">
      <c r="AG84" s="187"/>
      <c r="AH84" s="184"/>
      <c r="AI84" s="176"/>
      <c r="AJ84" s="175"/>
      <c r="AK84" s="175"/>
      <c r="AL84" s="177"/>
    </row>
    <row r="85" spans="4:38" hidden="1" x14ac:dyDescent="0.2">
      <c r="AG85" s="187" t="s">
        <v>132</v>
      </c>
      <c r="AH85" s="184"/>
      <c r="AI85" s="176">
        <f>SUM(AI82:AI83)</f>
        <v>3327497.0810542153</v>
      </c>
      <c r="AJ85" s="175"/>
      <c r="AK85" s="175"/>
      <c r="AL85" s="177">
        <f>+AI85/$AI$90</f>
        <v>24.549745693585081</v>
      </c>
    </row>
    <row r="86" spans="4:38" hidden="1" x14ac:dyDescent="0.2">
      <c r="AG86" s="187" t="str">
        <f>UPPER(INDEX(Markups,13,1))</f>
        <v>LOSS DUE TO ESCALATION</v>
      </c>
      <c r="AH86" s="194">
        <f>IF(INDEX(Markups,13,5), 0,INDEX(Markups,13,4))</f>
        <v>0</v>
      </c>
      <c r="AI86" s="195">
        <f>+IF(compounding,AI85*AH86,AI$60*AH86)</f>
        <v>0</v>
      </c>
      <c r="AJ86" s="175"/>
      <c r="AK86" s="175"/>
      <c r="AL86" s="196">
        <f>+AI86/$AI$90</f>
        <v>0</v>
      </c>
    </row>
    <row r="87" spans="4:38" ht="4.1500000000000004" customHeight="1" x14ac:dyDescent="0.2">
      <c r="AG87" s="187"/>
      <c r="AH87" s="184"/>
      <c r="AI87" s="197"/>
      <c r="AJ87" s="175"/>
      <c r="AK87" s="175"/>
      <c r="AL87" s="198"/>
    </row>
    <row r="88" spans="4:38" ht="24.75" customHeight="1" x14ac:dyDescent="0.2">
      <c r="AG88" s="190" t="str">
        <f>IF(site,"TOTAL SITE COST","TOTAL BUILDING COST")</f>
        <v>TOTAL SITE COST</v>
      </c>
      <c r="AH88" s="191"/>
      <c r="AI88" s="192">
        <f>SUM(AI85:AI86)</f>
        <v>3327497.0810542153</v>
      </c>
      <c r="AJ88" s="191"/>
      <c r="AK88" s="191"/>
      <c r="AL88" s="193">
        <f>+AI88/$AI$90</f>
        <v>24.549745693585081</v>
      </c>
    </row>
    <row r="89" spans="4:38" ht="4.1500000000000004" customHeight="1" x14ac:dyDescent="0.2">
      <c r="AG89" s="175"/>
      <c r="AH89" s="175"/>
      <c r="AI89" s="176"/>
      <c r="AJ89" s="175"/>
      <c r="AK89" s="175"/>
      <c r="AL89" s="177"/>
    </row>
    <row r="90" spans="4:38" ht="12" customHeight="1" x14ac:dyDescent="0.2">
      <c r="AH90" s="199" t="str">
        <f>IF(site, "TOTAL SITE AREA:", "GROSS FLOOR AREA:")</f>
        <v>TOTAL SITE AREA:</v>
      </c>
      <c r="AI90" s="200">
        <f>GFA</f>
        <v>135541</v>
      </c>
      <c r="AJ90" s="175" t="str">
        <f>IF(PageUom="Imperial", "SF", "M2")</f>
        <v>SF</v>
      </c>
    </row>
    <row r="91" spans="4:38" ht="15.75" customHeight="1" x14ac:dyDescent="0.25">
      <c r="D91" s="162"/>
      <c r="E91" s="163"/>
      <c r="F91" s="164"/>
      <c r="G91" s="163"/>
      <c r="H91" s="163"/>
      <c r="I91" s="143"/>
      <c r="J91" s="163"/>
      <c r="K91" s="163"/>
      <c r="L91" s="163"/>
      <c r="M91" s="163"/>
      <c r="N91" s="163"/>
      <c r="O91" s="163"/>
      <c r="P91" s="165" t="str">
        <f>project_name</f>
        <v>Hunt County Government Building</v>
      </c>
    </row>
    <row r="92" spans="4:38" ht="15.75" customHeight="1" x14ac:dyDescent="0.25">
      <c r="D92" s="162"/>
      <c r="E92" s="163"/>
      <c r="F92" s="164"/>
      <c r="G92" s="163"/>
      <c r="H92" s="163"/>
      <c r="I92" s="143"/>
      <c r="J92" s="173"/>
      <c r="K92" s="173"/>
      <c r="L92" s="173"/>
      <c r="M92" s="173"/>
      <c r="N92" s="173"/>
      <c r="O92" s="173"/>
      <c r="P92" s="166" t="str">
        <f>SUB_NAME</f>
        <v>SITE</v>
      </c>
    </row>
    <row r="93" spans="4:38" ht="12.75" customHeight="1" x14ac:dyDescent="0.25">
      <c r="D93" s="167"/>
      <c r="E93" s="168"/>
      <c r="F93" s="169"/>
      <c r="G93" s="169"/>
      <c r="H93" s="169"/>
      <c r="I93" s="143"/>
      <c r="J93" s="173"/>
      <c r="K93" s="173"/>
      <c r="L93" s="173"/>
      <c r="M93" s="173"/>
      <c r="N93" s="173"/>
      <c r="O93" s="173"/>
      <c r="P93" s="170" t="str">
        <f>project_location</f>
        <v>Greenville, TX</v>
      </c>
    </row>
    <row r="94" spans="4:38" ht="9" customHeight="1" x14ac:dyDescent="0.25">
      <c r="D94" s="167"/>
      <c r="E94" s="168"/>
      <c r="F94" s="169"/>
      <c r="G94" s="169"/>
      <c r="H94" s="169"/>
      <c r="I94" s="143"/>
      <c r="J94" s="173"/>
      <c r="K94" s="173"/>
      <c r="L94" s="173"/>
      <c r="M94" s="173"/>
      <c r="N94" s="173"/>
      <c r="O94" s="173"/>
      <c r="P94" s="171"/>
    </row>
    <row r="95" spans="4:38" ht="18.75" customHeight="1" x14ac:dyDescent="0.25">
      <c r="D95" s="172" t="str">
        <f>estimate_detail</f>
        <v>CONSTRUCTION DOCUMENTS ESTIMATE</v>
      </c>
      <c r="E95" s="163"/>
      <c r="F95" s="173"/>
      <c r="G95" s="173"/>
      <c r="H95" s="173"/>
      <c r="I95" s="143"/>
      <c r="J95" s="173"/>
      <c r="K95" s="173"/>
      <c r="L95" s="173"/>
      <c r="M95" s="173"/>
      <c r="N95" s="173"/>
      <c r="O95" s="173"/>
      <c r="P95" s="174" t="str">
        <f>"OCMI JOB #: "&amp; job_number &amp; " | " &amp; date</f>
        <v>OCMI JOB #: 240540.000 | 24 December 2024</v>
      </c>
    </row>
    <row r="96" spans="4:38" ht="12.75" customHeight="1" x14ac:dyDescent="0.25">
      <c r="D96" s="175"/>
      <c r="E96" s="175"/>
      <c r="F96" s="176"/>
      <c r="G96" s="175"/>
      <c r="H96" s="175"/>
      <c r="I96" s="177"/>
      <c r="J96" s="173"/>
      <c r="K96" s="173"/>
      <c r="L96" s="173"/>
      <c r="M96" s="173"/>
      <c r="N96" s="173"/>
      <c r="O96" s="173"/>
      <c r="P96" s="201"/>
    </row>
    <row r="97" spans="1:30" ht="12.75" customHeight="1" x14ac:dyDescent="0.2">
      <c r="C97" s="202"/>
      <c r="D97" s="203" t="s">
        <v>249</v>
      </c>
      <c r="E97" s="203"/>
      <c r="F97" s="203"/>
      <c r="G97" s="203"/>
      <c r="H97" s="204"/>
      <c r="I97" s="205" t="s">
        <v>250</v>
      </c>
      <c r="J97" s="206" t="s">
        <v>251</v>
      </c>
      <c r="K97" s="207" t="s">
        <v>252</v>
      </c>
      <c r="L97" s="208" t="s">
        <v>253</v>
      </c>
      <c r="M97" s="209" t="s">
        <v>254</v>
      </c>
      <c r="N97" s="209" t="s">
        <v>255</v>
      </c>
      <c r="O97" s="210" t="s">
        <v>256</v>
      </c>
      <c r="P97" s="211" t="s">
        <v>257</v>
      </c>
      <c r="Q97" s="293" t="s">
        <v>258</v>
      </c>
      <c r="R97" s="213" t="s">
        <v>259</v>
      </c>
      <c r="S97" s="213" t="s">
        <v>260</v>
      </c>
      <c r="T97" s="213" t="s">
        <v>261</v>
      </c>
      <c r="U97" s="213" t="s">
        <v>262</v>
      </c>
      <c r="V97" s="213" t="s">
        <v>263</v>
      </c>
      <c r="W97" s="213" t="s">
        <v>264</v>
      </c>
      <c r="X97" s="213" t="s">
        <v>265</v>
      </c>
      <c r="Y97" s="213" t="s">
        <v>266</v>
      </c>
    </row>
    <row r="99" spans="1:30" hidden="1" x14ac:dyDescent="0.2">
      <c r="A99" s="143" t="s">
        <v>294</v>
      </c>
      <c r="D99" s="214" t="s">
        <v>267</v>
      </c>
      <c r="E99" s="215"/>
      <c r="F99" s="215"/>
      <c r="G99" s="215"/>
      <c r="H99" s="215"/>
      <c r="K99" s="149"/>
      <c r="L99" s="149"/>
      <c r="M99" s="149"/>
      <c r="N99" s="149"/>
      <c r="P99" s="216"/>
      <c r="Q99" s="291">
        <f>IF(O99=0,0,IF(X99=0,"manual",O99/((R99*tax*markup*IF(Y99&lt;&gt;"",VLOOKUP(LEFT(Y99,2),cityindex,2,0),1))+S99*markup*difficulty*IF(Y99&lt;&gt;"",VLOOKUP(LEFT(Y99,2),cityindex,3,0),1)+W99*markup*difficulty*IF(Y99&lt;&gt;"",VLOOKUP(LEFT(Y99,2),cityindex,3,0),1))))</f>
        <v>0</v>
      </c>
      <c r="S99" s="143">
        <f t="shared" ref="S99:S110" si="2">U99*V99</f>
        <v>0</v>
      </c>
      <c r="X99" s="143">
        <f t="shared" ref="X99:X110" si="3">SUM(R99,S99,W99)</f>
        <v>0</v>
      </c>
    </row>
    <row r="100" spans="1:30" ht="12.75" hidden="1" customHeight="1" x14ac:dyDescent="0.2">
      <c r="K100" s="149">
        <f>R100*tax*markup*IF(Y100&lt;&gt;"",VLOOKUP(LEFT(Y100,2),cityindex,2,0),1)</f>
        <v>0</v>
      </c>
      <c r="L100" s="149">
        <f>S100*markup*difficulty*IF(Y100&lt;&gt;"",VLOOKUP(LEFT(Y100,2),cityindex,3,0),1)</f>
        <v>0</v>
      </c>
      <c r="M100" s="149">
        <f>W100*markup*difficulty*IF(Y100&lt;&gt;"",VLOOKUP(LEFT(Y100,2),cityindex,3,0),1)</f>
        <v>0</v>
      </c>
      <c r="N100" s="149"/>
      <c r="O100" s="149">
        <f>SUM(K100:N100)*embed</f>
        <v>0</v>
      </c>
      <c r="P100" s="216">
        <f>ROUND((O100*I100),0)</f>
        <v>0</v>
      </c>
      <c r="Q100" s="291">
        <f>IF(O100=0,0,IF(X100=0,"manual",O100/((R100*tax*markup*IF(Y100&lt;&gt;"",VLOOKUP(LEFT(Y100,2),cityindex,2,0),1))+S100*markup*difficulty*IF(Y100&lt;&gt;"",VLOOKUP(LEFT(Y100,2),cityindex,3,0),1)+W100*markup*difficulty*IF(Y100&lt;&gt;"",VLOOKUP(LEFT(Y100,2),cityindex,3,0),1))))</f>
        <v>0</v>
      </c>
      <c r="S100" s="143">
        <f t="shared" si="2"/>
        <v>0</v>
      </c>
      <c r="X100" s="143">
        <f t="shared" si="3"/>
        <v>0</v>
      </c>
    </row>
    <row r="101" spans="1:30" ht="24.75" hidden="1" customHeight="1" x14ac:dyDescent="0.2">
      <c r="D101" s="217" t="str">
        <f>"TOTAL - " &amp; D99</f>
        <v>TOTAL - 01  GENERAL REQUIREMENTS</v>
      </c>
      <c r="E101" s="217"/>
      <c r="F101" s="217"/>
      <c r="G101" s="217"/>
      <c r="H101" s="217"/>
      <c r="I101" s="218"/>
      <c r="J101" s="219"/>
      <c r="K101" s="220"/>
      <c r="L101" s="220"/>
      <c r="M101" s="220"/>
      <c r="N101" s="220"/>
      <c r="O101" s="221"/>
      <c r="P101" s="222">
        <f>SUM(P99:P100)</f>
        <v>0</v>
      </c>
      <c r="S101" s="143">
        <f t="shared" si="2"/>
        <v>0</v>
      </c>
      <c r="X101" s="143">
        <f t="shared" si="3"/>
        <v>0</v>
      </c>
      <c r="Z101" s="314">
        <f>P101/GFA</f>
        <v>0</v>
      </c>
      <c r="AA101" s="315" t="s">
        <v>295</v>
      </c>
    </row>
    <row r="102" spans="1:30" hidden="1" x14ac:dyDescent="0.2">
      <c r="K102" s="149"/>
      <c r="L102" s="149"/>
      <c r="M102" s="149"/>
      <c r="N102" s="149"/>
      <c r="P102" s="216"/>
      <c r="Q102" s="291">
        <f>IF(O102=0,0,IF(X102=0,"manual",O102/((R102*tax*markup*IF(Y102&lt;&gt;"",VLOOKUP(LEFT(Y102,2),cityindex,2,0),1))+S102*markup*difficulty*IF(Y102&lt;&gt;"",VLOOKUP(LEFT(Y102,2),cityindex,3,0),1)+W102*markup*difficulty*IF(Y102&lt;&gt;"",VLOOKUP(LEFT(Y102,2),cityindex,3,0),1))))</f>
        <v>0</v>
      </c>
      <c r="S102" s="143">
        <f t="shared" si="2"/>
        <v>0</v>
      </c>
      <c r="X102" s="143">
        <f t="shared" si="3"/>
        <v>0</v>
      </c>
    </row>
    <row r="103" spans="1:30" x14ac:dyDescent="0.2">
      <c r="D103" s="214" t="s">
        <v>268</v>
      </c>
      <c r="E103" s="215"/>
      <c r="F103" s="215"/>
      <c r="G103" s="215"/>
      <c r="H103" s="215"/>
      <c r="K103" s="149"/>
      <c r="L103" s="149"/>
      <c r="M103" s="149"/>
      <c r="N103" s="149"/>
      <c r="P103" s="216"/>
      <c r="Q103" s="291">
        <f>IF(O103=0,0,IF(X103=0,"manual",O103/((R103*tax*markup*IF(Y103&lt;&gt;"",VLOOKUP(LEFT(Y103,2),cityindex,2,0),1))+S103*markup*difficulty*IF(Y103&lt;&gt;"",VLOOKUP(LEFT(Y103,2),cityindex,3,0),1)+W103*markup*difficulty*IF(Y103&lt;&gt;"",VLOOKUP(LEFT(Y103,2),cityindex,3,0),1))))</f>
        <v>0</v>
      </c>
      <c r="S103" s="143">
        <f t="shared" si="2"/>
        <v>0</v>
      </c>
      <c r="X103" s="143">
        <f t="shared" si="3"/>
        <v>0</v>
      </c>
      <c r="AD103" s="604"/>
    </row>
    <row r="104" spans="1:30" x14ac:dyDescent="0.2">
      <c r="D104" s="228"/>
      <c r="E104" s="228" t="s">
        <v>1042</v>
      </c>
      <c r="F104" s="228"/>
      <c r="G104" s="228"/>
      <c r="H104" s="228"/>
      <c r="I104" s="230"/>
      <c r="J104" s="231"/>
      <c r="K104" s="232">
        <f t="shared" ref="K104:K113" si="4">R104*tax*markup*IF(Y104&lt;&gt;"",VLOOKUP(LEFT(Y104,2),cityindex,2,0),1)</f>
        <v>0</v>
      </c>
      <c r="L104" s="232">
        <f t="shared" ref="L104:L113" si="5">S104*markup*difficulty*IF(Y104&lt;&gt;"",VLOOKUP(LEFT(Y104,2),cityindex,3,0),1)</f>
        <v>0</v>
      </c>
      <c r="M104" s="232">
        <f t="shared" ref="M104:M113" si="6">W104*markup*difficulty*IF(Y104&lt;&gt;"",VLOOKUP(LEFT(Y104,2),cityindex,3,0),1)</f>
        <v>0</v>
      </c>
      <c r="N104" s="232"/>
      <c r="O104" s="232">
        <f t="shared" ref="O104:O113" si="7">SUM(K104:N104)*embed</f>
        <v>0</v>
      </c>
      <c r="P104" s="233">
        <f t="shared" ref="P104:P113" si="8">ROUND((O104*I104),0)</f>
        <v>0</v>
      </c>
      <c r="Q104" s="291">
        <f t="shared" ref="Q104:Q110" si="9">IF(O104=0,0,IF(X104=0,"manual",(O104/(R104*tax*markup*IF(Y104&lt;&gt;"",VLOOKUP(LEFT(Y104,2),cityindex,2,0),1)+S104*markup*difficulty*IF(Y104&lt;&gt;"",VLOOKUP(LEFT(Y104,2),cityindex,3,0),1)+W104*markup*difficulty*IF(Y104&lt;&gt;"",VLOOKUP(LEFT(Y104,2),cityindex,3,0),1)))-1))</f>
        <v>0</v>
      </c>
      <c r="S104" s="143">
        <f t="shared" si="2"/>
        <v>0</v>
      </c>
      <c r="X104" s="143">
        <f t="shared" si="3"/>
        <v>0</v>
      </c>
      <c r="AD104" s="604" t="s">
        <v>1645</v>
      </c>
    </row>
    <row r="105" spans="1:30" x14ac:dyDescent="0.2">
      <c r="D105" s="228"/>
      <c r="E105" s="228"/>
      <c r="F105" s="228" t="s">
        <v>1644</v>
      </c>
      <c r="G105" s="228"/>
      <c r="H105" s="228"/>
      <c r="I105" s="230">
        <v>26838</v>
      </c>
      <c r="J105" s="231" t="s">
        <v>301</v>
      </c>
      <c r="K105" s="232">
        <f>R105*tax*markup*IF(Y105&lt;&gt;"",VLOOKUP(LEFT(Y105,2),cityindex,2,0),1)</f>
        <v>0</v>
      </c>
      <c r="L105" s="232">
        <f>S105*markup*difficulty*IF(Y105&lt;&gt;"",VLOOKUP(LEFT(Y105,2),cityindex,3,0),1)</f>
        <v>0.78986476097087521</v>
      </c>
      <c r="M105" s="232">
        <f>W105*markup*difficulty*IF(Y105&lt;&gt;"",VLOOKUP(LEFT(Y105,2),cityindex,3,0),1)</f>
        <v>5.0033881348035145E-2</v>
      </c>
      <c r="N105" s="232"/>
      <c r="O105" s="232">
        <f>SUM(K105:N105)*embed</f>
        <v>0.83989864231891032</v>
      </c>
      <c r="P105" s="233">
        <f>ROUND((O105*I105),0)</f>
        <v>22541</v>
      </c>
      <c r="Q105" s="291">
        <f t="shared" si="9"/>
        <v>0</v>
      </c>
      <c r="R105" s="143">
        <v>0</v>
      </c>
      <c r="S105" s="143">
        <f>U105*V105</f>
        <v>0.63442952688423704</v>
      </c>
      <c r="T105" s="143" t="s">
        <v>979</v>
      </c>
      <c r="U105" s="143">
        <v>39.536377033321841</v>
      </c>
      <c r="V105" s="143">
        <v>1.604672897442096E-2</v>
      </c>
      <c r="W105" s="143">
        <v>4.0187856504445896E-2</v>
      </c>
      <c r="X105" s="143">
        <f>SUM(R105,S105,W105)</f>
        <v>0.67461738338868293</v>
      </c>
      <c r="Y105" s="143" t="s">
        <v>307</v>
      </c>
      <c r="AD105" s="604"/>
    </row>
    <row r="106" spans="1:30" x14ac:dyDescent="0.2">
      <c r="D106" s="228"/>
      <c r="E106" s="228"/>
      <c r="F106" s="228" t="s">
        <v>1044</v>
      </c>
      <c r="G106" s="228"/>
      <c r="H106" s="228"/>
      <c r="I106" s="230">
        <v>13163</v>
      </c>
      <c r="J106" s="231" t="s">
        <v>301</v>
      </c>
      <c r="K106" s="232">
        <f t="shared" si="4"/>
        <v>0.54777842414890399</v>
      </c>
      <c r="L106" s="232">
        <f t="shared" si="5"/>
        <v>0.28935641959345798</v>
      </c>
      <c r="M106" s="232">
        <f t="shared" si="6"/>
        <v>0.18579993168802192</v>
      </c>
      <c r="N106" s="232"/>
      <c r="O106" s="232">
        <f t="shared" si="7"/>
        <v>1.0229347754303839</v>
      </c>
      <c r="P106" s="233">
        <f t="shared" si="8"/>
        <v>13465</v>
      </c>
      <c r="Q106" s="291">
        <f t="shared" si="9"/>
        <v>0</v>
      </c>
      <c r="R106" s="143">
        <v>0.40645050346338996</v>
      </c>
      <c r="S106" s="143">
        <f t="shared" si="2"/>
        <v>0.23241479485418309</v>
      </c>
      <c r="T106" s="143" t="s">
        <v>1040</v>
      </c>
      <c r="U106" s="143">
        <v>57.934497485353006</v>
      </c>
      <c r="V106" s="143">
        <v>4.0116822436052401E-3</v>
      </c>
      <c r="W106" s="143">
        <v>0.14923689292210596</v>
      </c>
      <c r="X106" s="143">
        <f t="shared" si="3"/>
        <v>0.78810219123967906</v>
      </c>
      <c r="Y106" s="143" t="s">
        <v>1043</v>
      </c>
      <c r="AD106" s="604"/>
    </row>
    <row r="107" spans="1:30" x14ac:dyDescent="0.2">
      <c r="D107" s="228"/>
      <c r="E107" s="228"/>
      <c r="F107" s="228" t="s">
        <v>1600</v>
      </c>
      <c r="G107" s="228"/>
      <c r="H107" s="228"/>
      <c r="I107" s="230">
        <v>219</v>
      </c>
      <c r="J107" s="231" t="s">
        <v>301</v>
      </c>
      <c r="K107" s="232">
        <f>R107*tax*markup*IF(Y107&lt;&gt;"",VLOOKUP(LEFT(Y107,2),cityindex,2,0),1)</f>
        <v>0</v>
      </c>
      <c r="L107" s="232">
        <f>S107*markup*difficulty*IF(Y107&lt;&gt;"",VLOOKUP(LEFT(Y107,2),cityindex,3,0),1)</f>
        <v>4.0340290807213854</v>
      </c>
      <c r="M107" s="232">
        <f>W107*markup*difficulty*IF(Y107&lt;&gt;"",VLOOKUP(LEFT(Y107,2),cityindex,3,0),1)</f>
        <v>0.23831223804767296</v>
      </c>
      <c r="N107" s="232"/>
      <c r="O107" s="232">
        <f>SUM(K107:N107)*embed</f>
        <v>4.2723413187690582</v>
      </c>
      <c r="P107" s="233">
        <f>ROUND((O107*I107),0)</f>
        <v>936</v>
      </c>
      <c r="Q107" s="291">
        <f t="shared" si="9"/>
        <v>0</v>
      </c>
      <c r="R107" s="143">
        <v>0</v>
      </c>
      <c r="S107" s="143">
        <f>U107*V107</f>
        <v>3.2401840005794256</v>
      </c>
      <c r="T107" s="143" t="s">
        <v>1039</v>
      </c>
      <c r="U107" s="143">
        <v>44.135907146329629</v>
      </c>
      <c r="V107" s="143">
        <v>7.3413785057975897E-2</v>
      </c>
      <c r="W107" s="143">
        <v>0.19141545224712686</v>
      </c>
      <c r="X107" s="143">
        <f>SUM(R107,S107,W107)</f>
        <v>3.4315994528265525</v>
      </c>
      <c r="Y107" s="143" t="s">
        <v>1599</v>
      </c>
      <c r="AD107" s="604" t="s">
        <v>1316</v>
      </c>
    </row>
    <row r="108" spans="1:30" x14ac:dyDescent="0.2">
      <c r="D108" s="228"/>
      <c r="E108" s="228"/>
      <c r="F108" s="228" t="s">
        <v>1681</v>
      </c>
      <c r="G108" s="228"/>
      <c r="H108" s="228"/>
      <c r="I108" s="230">
        <v>75</v>
      </c>
      <c r="J108" s="231" t="s">
        <v>301</v>
      </c>
      <c r="K108" s="232">
        <f>R108*tax*markup*IF(Y108&lt;&gt;"",VLOOKUP(LEFT(Y108,2),cityindex,2,0),1)</f>
        <v>0</v>
      </c>
      <c r="L108" s="232">
        <f>S108*markup*difficulty*IF(Y108&lt;&gt;"",VLOOKUP(LEFT(Y108,2),cityindex,3,0),1)</f>
        <v>10.438831460639665</v>
      </c>
      <c r="M108" s="232">
        <f>W108*markup*difficulty*IF(Y108&lt;&gt;"",VLOOKUP(LEFT(Y108,2),cityindex,3,0),1)</f>
        <v>17.403313158658531</v>
      </c>
      <c r="N108" s="232"/>
      <c r="O108" s="232">
        <f>SUM(K108:N108)*embed</f>
        <v>27.842144619298196</v>
      </c>
      <c r="P108" s="233">
        <f>ROUND((O108*I108),0)</f>
        <v>2088</v>
      </c>
      <c r="Q108" s="291">
        <f t="shared" si="9"/>
        <v>0</v>
      </c>
      <c r="R108" s="143">
        <v>0</v>
      </c>
      <c r="S108" s="143">
        <f>U108*V108</f>
        <v>8.3846035828431038</v>
      </c>
      <c r="T108" s="143" t="s">
        <v>965</v>
      </c>
      <c r="U108" s="143">
        <v>30.337316807306259</v>
      </c>
      <c r="V108" s="143">
        <v>0.27637920769656882</v>
      </c>
      <c r="W108" s="143">
        <v>13.978564786071107</v>
      </c>
      <c r="X108" s="143">
        <f>SUM(R108,S108,W108)</f>
        <v>22.363168368914209</v>
      </c>
      <c r="Y108" s="143" t="s">
        <v>1601</v>
      </c>
      <c r="AD108" s="604" t="s">
        <v>1602</v>
      </c>
    </row>
    <row r="109" spans="1:30" x14ac:dyDescent="0.2">
      <c r="D109" s="228"/>
      <c r="E109" s="228"/>
      <c r="F109" s="228" t="s">
        <v>1603</v>
      </c>
      <c r="G109" s="228"/>
      <c r="H109" s="228"/>
      <c r="I109" s="230">
        <v>107</v>
      </c>
      <c r="J109" s="231" t="s">
        <v>309</v>
      </c>
      <c r="K109" s="232">
        <f>R109*tax*markup*IF(Y109&lt;&gt;"",VLOOKUP(LEFT(Y109,2),cityindex,2,0),1)</f>
        <v>0</v>
      </c>
      <c r="L109" s="232">
        <f>S109*markup*difficulty*IF(Y109&lt;&gt;"",VLOOKUP(LEFT(Y109,2),cityindex,3,0),1)</f>
        <v>2.56060758789789</v>
      </c>
      <c r="M109" s="232">
        <f>W109*markup*difficulty*IF(Y109&lt;&gt;"",VLOOKUP(LEFT(Y109,2),cityindex,3,0),1)</f>
        <v>3.034957368801682</v>
      </c>
      <c r="N109" s="232"/>
      <c r="O109" s="232">
        <f>SUM(K109:N109)*embed</f>
        <v>5.5955649566995724</v>
      </c>
      <c r="P109" s="233">
        <f>ROUND((O109*I109),0)</f>
        <v>599</v>
      </c>
      <c r="Q109" s="291">
        <f t="shared" si="9"/>
        <v>0</v>
      </c>
      <c r="R109" s="143">
        <v>0</v>
      </c>
      <c r="S109" s="143">
        <f>U109*V109</f>
        <v>2.0567129220063372</v>
      </c>
      <c r="T109" s="143" t="s">
        <v>965</v>
      </c>
      <c r="U109" s="143">
        <v>30.337316807306259</v>
      </c>
      <c r="V109" s="143">
        <v>6.7794819662858608E-2</v>
      </c>
      <c r="W109" s="143">
        <v>2.4377167620897042</v>
      </c>
      <c r="X109" s="143">
        <f>SUM(R109,S109,W109)</f>
        <v>4.4944296840960414</v>
      </c>
      <c r="Y109" s="143" t="s">
        <v>1604</v>
      </c>
      <c r="AD109" s="604" t="s">
        <v>1316</v>
      </c>
    </row>
    <row r="110" spans="1:30" x14ac:dyDescent="0.2">
      <c r="D110" s="228"/>
      <c r="E110" s="228"/>
      <c r="F110" s="228" t="s">
        <v>1046</v>
      </c>
      <c r="G110" s="228"/>
      <c r="H110" s="228"/>
      <c r="I110" s="230">
        <v>181</v>
      </c>
      <c r="J110" s="231" t="s">
        <v>309</v>
      </c>
      <c r="K110" s="232">
        <f t="shared" si="4"/>
        <v>0</v>
      </c>
      <c r="L110" s="232">
        <f t="shared" si="5"/>
        <v>1.0412465158532178</v>
      </c>
      <c r="M110" s="232">
        <f t="shared" si="6"/>
        <v>0.38150990652528799</v>
      </c>
      <c r="N110" s="232"/>
      <c r="O110" s="232">
        <f t="shared" si="7"/>
        <v>1.4227564223785059</v>
      </c>
      <c r="P110" s="233">
        <f t="shared" si="8"/>
        <v>258</v>
      </c>
      <c r="Q110" s="291">
        <f t="shared" si="9"/>
        <v>0</v>
      </c>
      <c r="R110" s="143">
        <v>0</v>
      </c>
      <c r="S110" s="143">
        <f t="shared" si="2"/>
        <v>0.83634258301463271</v>
      </c>
      <c r="T110" s="143" t="s">
        <v>965</v>
      </c>
      <c r="U110" s="143">
        <v>30.337316807306259</v>
      </c>
      <c r="V110" s="143">
        <v>2.7568113169890256E-2</v>
      </c>
      <c r="W110" s="143">
        <v>0.30643365985966903</v>
      </c>
      <c r="X110" s="143">
        <f t="shared" si="3"/>
        <v>1.1427762428743018</v>
      </c>
      <c r="Y110" s="143" t="s">
        <v>1045</v>
      </c>
      <c r="AD110" s="604" t="s">
        <v>1313</v>
      </c>
    </row>
    <row r="111" spans="1:30" x14ac:dyDescent="0.2">
      <c r="D111" s="228"/>
      <c r="E111" s="228"/>
      <c r="F111" s="228" t="s">
        <v>1786</v>
      </c>
      <c r="G111" s="228"/>
      <c r="H111" s="228"/>
      <c r="I111" s="230">
        <v>2</v>
      </c>
      <c r="J111" s="231" t="s">
        <v>390</v>
      </c>
      <c r="K111" s="232">
        <f>R111*tax*markup*IF(Y111&lt;&gt;"",VLOOKUP(LEFT(Y111,2),cityindex,2,0),1)</f>
        <v>0</v>
      </c>
      <c r="L111" s="232">
        <f>S111*markup*difficulty*IF(Y111&lt;&gt;"",VLOOKUP(LEFT(Y111,2),cityindex,3,0),1)</f>
        <v>236.33231223355062</v>
      </c>
      <c r="M111" s="232">
        <f>W111*markup*difficulty*IF(Y111&lt;&gt;"",VLOOKUP(LEFT(Y111,2),cityindex,3,0),1)</f>
        <v>17.820041162524422</v>
      </c>
      <c r="N111" s="232"/>
      <c r="O111" s="232">
        <f>SUM(K111:N111)*embed</f>
        <v>254.15235339607506</v>
      </c>
      <c r="P111" s="233">
        <f>ROUND((O111*I111),0)</f>
        <v>508</v>
      </c>
      <c r="Q111" s="291">
        <f>IF(O111=0,0,IF(X111=0,"manual",(O111/(R111*tax*markup*IF(Y111&lt;&gt;"",VLOOKUP(LEFT(Y111,2),cityindex,2,0),1)+S111*markup*difficulty*IF(Y111&lt;&gt;"",VLOOKUP(LEFT(Y111,2),cityindex,3,0),1)+W111*markup*difficulty*IF(Y111&lt;&gt;"",VLOOKUP(LEFT(Y111,2),cityindex,3,0),1)))-1))</f>
        <v>0</v>
      </c>
      <c r="R111" s="143">
        <v>0</v>
      </c>
      <c r="S111" s="143">
        <f>U111*V111</f>
        <v>189.82515038839406</v>
      </c>
      <c r="T111" s="143" t="s">
        <v>965</v>
      </c>
      <c r="U111" s="143">
        <v>30.337316807306259</v>
      </c>
      <c r="V111" s="143">
        <v>6.257150281091362</v>
      </c>
      <c r="W111" s="143">
        <v>14.313286074316803</v>
      </c>
      <c r="X111" s="143">
        <f>SUM(R111,S111,W111)</f>
        <v>204.13843646271087</v>
      </c>
      <c r="Y111" s="143" t="s">
        <v>1785</v>
      </c>
      <c r="AD111" s="604"/>
    </row>
    <row r="112" spans="1:30" x14ac:dyDescent="0.2">
      <c r="F112" s="143" t="s">
        <v>972</v>
      </c>
      <c r="I112" s="150">
        <v>0.2</v>
      </c>
      <c r="J112" s="147" t="s">
        <v>973</v>
      </c>
      <c r="K112" s="149">
        <f t="shared" si="4"/>
        <v>0</v>
      </c>
      <c r="L112" s="149">
        <f t="shared" si="5"/>
        <v>0</v>
      </c>
      <c r="M112" s="149">
        <f t="shared" si="6"/>
        <v>0</v>
      </c>
      <c r="N112" s="149">
        <f>SUM(P103:P110)</f>
        <v>39887</v>
      </c>
      <c r="O112" s="149">
        <f t="shared" si="7"/>
        <v>39887</v>
      </c>
      <c r="P112" s="233">
        <f t="shared" si="8"/>
        <v>7977</v>
      </c>
      <c r="Z112" s="236"/>
      <c r="AD112" s="604" t="s">
        <v>1602</v>
      </c>
    </row>
    <row r="113" spans="1:30" ht="12.75" customHeight="1" x14ac:dyDescent="0.2">
      <c r="A113" s="143" t="s">
        <v>296</v>
      </c>
      <c r="K113" s="149">
        <f t="shared" si="4"/>
        <v>0</v>
      </c>
      <c r="L113" s="149">
        <f t="shared" si="5"/>
        <v>0</v>
      </c>
      <c r="M113" s="149">
        <f t="shared" si="6"/>
        <v>0</v>
      </c>
      <c r="N113" s="149"/>
      <c r="O113" s="149">
        <f t="shared" si="7"/>
        <v>0</v>
      </c>
      <c r="P113" s="216">
        <f t="shared" si="8"/>
        <v>0</v>
      </c>
      <c r="Q113" s="298">
        <f>IF(O113=0,0,IF(X113=0,"manual",(O113/(R113*tax*markup*IF(Y113&lt;&gt;"",VLOOKUP(LEFT(Y113,2),cityindex,2,0),1)+S113*markup*difficulty*IF(Y113&lt;&gt;"",VLOOKUP(LEFT(Y113,2),cityindex,3,0),1)+W113*markup*difficulty*IF(Y113&lt;&gt;"",VLOOKUP(LEFT(Y113,2),cityindex,3,0),1)))-1))</f>
        <v>0</v>
      </c>
      <c r="S113" s="143">
        <f t="shared" ref="S113:S144" si="10">U113*V113</f>
        <v>0</v>
      </c>
      <c r="X113" s="143">
        <f t="shared" ref="X113:X144" si="11">SUM(R113,S113,W113)</f>
        <v>0</v>
      </c>
      <c r="AD113" s="605"/>
    </row>
    <row r="114" spans="1:30" ht="24.75" customHeight="1" x14ac:dyDescent="0.2">
      <c r="D114" s="217" t="str">
        <f>"TOTAL - " &amp; D103</f>
        <v>TOTAL - 02  EXISTING CONDITIONS</v>
      </c>
      <c r="E114" s="217"/>
      <c r="F114" s="217"/>
      <c r="G114" s="217"/>
      <c r="H114" s="217"/>
      <c r="I114" s="218"/>
      <c r="J114" s="219"/>
      <c r="K114" s="220"/>
      <c r="L114" s="220"/>
      <c r="M114" s="220"/>
      <c r="N114" s="220"/>
      <c r="O114" s="221"/>
      <c r="P114" s="222">
        <f>SUM(P103:P113)</f>
        <v>48372</v>
      </c>
      <c r="Q114" s="294" t="str">
        <f>_xlfn.CONCAT(TEXT(SUM(P114/GFA),"$#,##0.00"),"/SF")</f>
        <v>$0.36/SF</v>
      </c>
      <c r="S114" s="143">
        <f t="shared" si="10"/>
        <v>0</v>
      </c>
      <c r="X114" s="143">
        <f t="shared" si="11"/>
        <v>0</v>
      </c>
      <c r="AA114" s="315"/>
      <c r="AD114" s="604"/>
    </row>
    <row r="115" spans="1:30" x14ac:dyDescent="0.2">
      <c r="A115" s="143" t="s">
        <v>296</v>
      </c>
      <c r="K115" s="149">
        <f>R115*tax*markup*IF(Y115&lt;&gt;"",VLOOKUP(LEFT(Y115,2),cityindex,2,0),1)</f>
        <v>0</v>
      </c>
      <c r="L115" s="149">
        <f>S115*markup*difficulty*IF(Y115&lt;&gt;"",VLOOKUP(LEFT(Y115,2),cityindex,3,0),1)</f>
        <v>0</v>
      </c>
      <c r="M115" s="149">
        <f>W115*markup*difficulty*IF(Y115&lt;&gt;"",VLOOKUP(LEFT(Y115,2),cityindex,3,0),1)</f>
        <v>0</v>
      </c>
      <c r="N115" s="149"/>
      <c r="O115" s="149">
        <f>SUM(K115:N115)*embed</f>
        <v>0</v>
      </c>
      <c r="P115" s="216">
        <f>ROUND((O115*I115),0)</f>
        <v>0</v>
      </c>
      <c r="Q115" s="291">
        <f>IF(O115=0,0,IF(X115=0,"manual",O115/((R115*tax*markup*IF(Y115&lt;&gt;"",VLOOKUP(LEFT(Y115,2),cityindex,2,0),1))+S115*markup*difficulty*IF(Y115&lt;&gt;"",VLOOKUP(LEFT(Y115,2),cityindex,3,0),1)+W115*markup*difficulty*IF(Y115&lt;&gt;"",VLOOKUP(LEFT(Y115,2),cityindex,3,0),1))))</f>
        <v>0</v>
      </c>
      <c r="S115" s="143">
        <f t="shared" si="10"/>
        <v>0</v>
      </c>
      <c r="X115" s="143">
        <f t="shared" si="11"/>
        <v>0</v>
      </c>
      <c r="AD115" s="604"/>
    </row>
    <row r="116" spans="1:30" hidden="1" x14ac:dyDescent="0.2">
      <c r="D116" s="214" t="s">
        <v>269</v>
      </c>
      <c r="E116" s="215"/>
      <c r="F116" s="215"/>
      <c r="G116" s="215"/>
      <c r="H116" s="215"/>
      <c r="K116" s="149">
        <f>R116*tax*markup*IF(Y116&lt;&gt;"",VLOOKUP(LEFT(Y116,2),cityindex,2,0),1)</f>
        <v>0</v>
      </c>
      <c r="L116" s="149">
        <f>S116*markup*difficulty*IF(Y116&lt;&gt;"",VLOOKUP(LEFT(Y116,2),cityindex,3,0),1)</f>
        <v>0</v>
      </c>
      <c r="M116" s="149">
        <f>W116*markup*difficulty*IF(Y116&lt;&gt;"",VLOOKUP(LEFT(Y116,2),cityindex,3,0),1)</f>
        <v>0</v>
      </c>
      <c r="N116" s="149"/>
      <c r="O116" s="149">
        <f>SUM(K116:N116)*embed</f>
        <v>0</v>
      </c>
      <c r="P116" s="216">
        <f>ROUND((O116*I116),0)</f>
        <v>0</v>
      </c>
      <c r="Q116" s="291">
        <f>IF(O116=0,0,IF(X116=0,"manual",O116/((R116*tax*markup*IF(Y116&lt;&gt;"",VLOOKUP(LEFT(Y116,2),cityindex,2,0),1))+S116*markup*difficulty*IF(Y116&lt;&gt;"",VLOOKUP(LEFT(Y116,2),cityindex,3,0),1)+W116*markup*difficulty*IF(Y116&lt;&gt;"",VLOOKUP(LEFT(Y116,2),cityindex,3,0),1))))</f>
        <v>0</v>
      </c>
      <c r="S116" s="143">
        <f t="shared" si="10"/>
        <v>0</v>
      </c>
      <c r="X116" s="143">
        <f t="shared" si="11"/>
        <v>0</v>
      </c>
      <c r="AD116" s="604"/>
    </row>
    <row r="117" spans="1:30" hidden="1" x14ac:dyDescent="0.2">
      <c r="D117" s="228"/>
      <c r="E117" s="228"/>
      <c r="F117" s="228"/>
      <c r="G117" s="228"/>
      <c r="H117" s="228"/>
      <c r="I117" s="230"/>
      <c r="J117" s="231"/>
      <c r="K117" s="149">
        <f>R117*tax*markup*IF(Y117&lt;&gt;"",VLOOKUP(LEFT(Y117,2),cityindex,2,0),1)</f>
        <v>0</v>
      </c>
      <c r="L117" s="149">
        <f>S117*markup*difficulty*IF(Y117&lt;&gt;"",VLOOKUP(LEFT(Y117,2),cityindex,3,0),1)</f>
        <v>0</v>
      </c>
      <c r="M117" s="149">
        <f>W117*markup*difficulty*IF(Y117&lt;&gt;"",VLOOKUP(LEFT(Y117,2),cityindex,3,0),1)</f>
        <v>0</v>
      </c>
      <c r="N117" s="149"/>
      <c r="O117" s="149">
        <f>SUM(K117:N117)*embed</f>
        <v>0</v>
      </c>
      <c r="P117" s="216">
        <f>ROUND((O117*I117),0)</f>
        <v>0</v>
      </c>
      <c r="Q117" s="291">
        <f>IF(O117=0,0,IF(X117=0,"manual",(O117/(R117*tax*markup*IF(Y117&lt;&gt;"",VLOOKUP(LEFT(Y117,2),cityindex,2,0),1)+S117*markup*difficulty*IF(Y117&lt;&gt;"",VLOOKUP(LEFT(Y117,2),cityindex,3,0),1)+W117*markup*difficulty*IF(Y117&lt;&gt;"",VLOOKUP(LEFT(Y117,2),cityindex,3,0),1)))-1))</f>
        <v>0</v>
      </c>
      <c r="S117" s="143">
        <f t="shared" si="10"/>
        <v>0</v>
      </c>
      <c r="X117" s="143">
        <f t="shared" si="11"/>
        <v>0</v>
      </c>
      <c r="AD117" s="604"/>
    </row>
    <row r="118" spans="1:30" hidden="1" x14ac:dyDescent="0.2">
      <c r="K118" s="149">
        <f>R118*tax*markup*IF(Y118&lt;&gt;"",VLOOKUP(LEFT(Y118,2),cityindex,2,0),1)</f>
        <v>0</v>
      </c>
      <c r="L118" s="149">
        <f>S118*markup*difficulty*IF(Y118&lt;&gt;"",VLOOKUP(LEFT(Y118,2),cityindex,3,0),1)</f>
        <v>0</v>
      </c>
      <c r="M118" s="149">
        <f>W118*markup*difficulty*IF(Y118&lt;&gt;"",VLOOKUP(LEFT(Y118,2),cityindex,3,0),1)</f>
        <v>0</v>
      </c>
      <c r="N118" s="149"/>
      <c r="O118" s="149">
        <f>SUM(K118:N118)*embed</f>
        <v>0</v>
      </c>
      <c r="P118" s="216">
        <f>ROUND((O118*I118),0)</f>
        <v>0</v>
      </c>
      <c r="Q118" s="291">
        <f>IF(O118=0,0,IF(X118=0,"manual",O118/((R118*tax*markup*IF(Y118&lt;&gt;"",VLOOKUP(LEFT(Y118,2),cityindex,2,0),1))+S118*markup*difficulty*IF(Y118&lt;&gt;"",VLOOKUP(LEFT(Y118,2),cityindex,3,0),1)+W118*markup*difficulty*IF(Y118&lt;&gt;"",VLOOKUP(LEFT(Y118,2),cityindex,3,0),1))))</f>
        <v>0</v>
      </c>
      <c r="S118" s="143">
        <f t="shared" si="10"/>
        <v>0</v>
      </c>
      <c r="X118" s="143">
        <f t="shared" si="11"/>
        <v>0</v>
      </c>
      <c r="AD118" s="604"/>
    </row>
    <row r="119" spans="1:30" ht="24.75" hidden="1" customHeight="1" x14ac:dyDescent="0.2">
      <c r="D119" s="217" t="str">
        <f>"TOTAL - " &amp; D116</f>
        <v>TOTAL - 03  CONCRETE</v>
      </c>
      <c r="E119" s="217"/>
      <c r="F119" s="217"/>
      <c r="G119" s="217"/>
      <c r="H119" s="217"/>
      <c r="I119" s="218"/>
      <c r="J119" s="219"/>
      <c r="K119" s="220"/>
      <c r="L119" s="220"/>
      <c r="M119" s="220"/>
      <c r="N119" s="220"/>
      <c r="O119" s="221"/>
      <c r="P119" s="222">
        <f>SUM(P116:P118)</f>
        <v>0</v>
      </c>
      <c r="Q119" s="294" t="str">
        <f>_xlfn.CONCAT(TEXT(SUM(P119/GFA),"$#,##0.00"),"/SF")</f>
        <v>$0.00/SF</v>
      </c>
      <c r="S119" s="143">
        <f t="shared" si="10"/>
        <v>0</v>
      </c>
      <c r="X119" s="143">
        <f t="shared" si="11"/>
        <v>0</v>
      </c>
      <c r="Z119" s="314"/>
      <c r="AA119" s="315"/>
      <c r="AD119" s="604"/>
    </row>
    <row r="120" spans="1:30" hidden="1" x14ac:dyDescent="0.2">
      <c r="K120" s="149">
        <f>R120*tax*markup*IF(Y120&lt;&gt;"",VLOOKUP(LEFT(Y120,2),cityindex,2,0),1)</f>
        <v>0</v>
      </c>
      <c r="L120" s="149">
        <f>S120*markup*difficulty*IF(Y120&lt;&gt;"",VLOOKUP(LEFT(Y120,2),cityindex,3,0),1)</f>
        <v>0</v>
      </c>
      <c r="M120" s="149">
        <f>W120*markup*difficulty*IF(Y120&lt;&gt;"",VLOOKUP(LEFT(Y120,2),cityindex,3,0),1)</f>
        <v>0</v>
      </c>
      <c r="N120" s="149"/>
      <c r="O120" s="149">
        <f>SUM(K120:N120)*embed</f>
        <v>0</v>
      </c>
      <c r="P120" s="216">
        <f>ROUND((O120*I120),0)</f>
        <v>0</v>
      </c>
      <c r="Q120" s="291">
        <f>IF(O120=0,0,IF(X120=0,"manual",O120/((R120*tax*markup*IF(Y120&lt;&gt;"",VLOOKUP(LEFT(Y120,2),cityindex,2,0),1))+S120*markup*difficulty*IF(Y120&lt;&gt;"",VLOOKUP(LEFT(Y120,2),cityindex,3,0),1)+W120*markup*difficulty*IF(Y120&lt;&gt;"",VLOOKUP(LEFT(Y120,2),cityindex,3,0),1))))</f>
        <v>0</v>
      </c>
      <c r="S120" s="143">
        <f t="shared" si="10"/>
        <v>0</v>
      </c>
      <c r="X120" s="143">
        <f t="shared" si="11"/>
        <v>0</v>
      </c>
      <c r="AD120" s="604"/>
    </row>
    <row r="121" spans="1:30" hidden="1" x14ac:dyDescent="0.2">
      <c r="D121" s="214" t="s">
        <v>270</v>
      </c>
      <c r="E121" s="215"/>
      <c r="F121" s="215"/>
      <c r="G121" s="215"/>
      <c r="H121" s="215"/>
      <c r="K121" s="149">
        <f>R121*tax*markup*IF(Y121&lt;&gt;"",VLOOKUP(LEFT(Y121,2),cityindex,2,0),1)</f>
        <v>0</v>
      </c>
      <c r="L121" s="149">
        <f>S121*markup*difficulty*IF(Y121&lt;&gt;"",VLOOKUP(LEFT(Y121,2),cityindex,3,0),1)</f>
        <v>0</v>
      </c>
      <c r="M121" s="149">
        <f>W121*markup*difficulty*IF(Y121&lt;&gt;"",VLOOKUP(LEFT(Y121,2),cityindex,3,0),1)</f>
        <v>0</v>
      </c>
      <c r="N121" s="149"/>
      <c r="O121" s="149">
        <f>SUM(K121:N121)*embed</f>
        <v>0</v>
      </c>
      <c r="P121" s="216">
        <f>ROUND((O121*I121),0)</f>
        <v>0</v>
      </c>
      <c r="Q121" s="291">
        <f>IF(O121=0,0,IF(X121=0,"manual",O121/((R121*tax*markup*IF(Y121&lt;&gt;"",VLOOKUP(LEFT(Y121,2),cityindex,2,0),1))+S121*markup*difficulty*IF(Y121&lt;&gt;"",VLOOKUP(LEFT(Y121,2),cityindex,3,0),1)+W121*markup*difficulty*IF(Y121&lt;&gt;"",VLOOKUP(LEFT(Y121,2),cityindex,3,0),1))))</f>
        <v>0</v>
      </c>
      <c r="S121" s="143">
        <f t="shared" si="10"/>
        <v>0</v>
      </c>
      <c r="X121" s="143">
        <f t="shared" si="11"/>
        <v>0</v>
      </c>
      <c r="AD121" s="604"/>
    </row>
    <row r="122" spans="1:30" hidden="1" x14ac:dyDescent="0.2">
      <c r="D122" s="228"/>
      <c r="E122" s="228"/>
      <c r="F122" s="228"/>
      <c r="G122" s="228"/>
      <c r="H122" s="228"/>
      <c r="I122" s="230"/>
      <c r="J122" s="231"/>
      <c r="K122" s="149">
        <f>R122*tax*markup*IF(Y122&lt;&gt;"",VLOOKUP(LEFT(Y122,2),cityindex,2,0),1)</f>
        <v>0</v>
      </c>
      <c r="L122" s="149">
        <f>S122*markup*difficulty*IF(Y122&lt;&gt;"",VLOOKUP(LEFT(Y122,2),cityindex,3,0),1)</f>
        <v>0</v>
      </c>
      <c r="M122" s="149">
        <f>W122*markup*difficulty*IF(Y122&lt;&gt;"",VLOOKUP(LEFT(Y122,2),cityindex,3,0),1)</f>
        <v>0</v>
      </c>
      <c r="N122" s="149"/>
      <c r="O122" s="149">
        <f>SUM(K122:N122)*embed</f>
        <v>0</v>
      </c>
      <c r="P122" s="216">
        <f>ROUND((O122*I122),0)</f>
        <v>0</v>
      </c>
      <c r="Q122" s="291">
        <f>IF(O122=0,0,IF(X122=0,"manual",(O122/(R122*tax*markup*IF(Y122&lt;&gt;"",VLOOKUP(LEFT(Y122,2),cityindex,2,0),1)+S122*markup*difficulty*IF(Y122&lt;&gt;"",VLOOKUP(LEFT(Y122,2),cityindex,3,0),1)+W122*markup*difficulty*IF(Y122&lt;&gt;"",VLOOKUP(LEFT(Y122,2),cityindex,3,0),1)))-1))</f>
        <v>0</v>
      </c>
      <c r="S122" s="143">
        <f t="shared" si="10"/>
        <v>0</v>
      </c>
      <c r="X122" s="143">
        <f t="shared" si="11"/>
        <v>0</v>
      </c>
      <c r="AD122" s="604"/>
    </row>
    <row r="123" spans="1:30" hidden="1" x14ac:dyDescent="0.2">
      <c r="K123" s="149">
        <f>R123*tax*markup*IF(Y123&lt;&gt;"",VLOOKUP(LEFT(Y123,2),cityindex,2,0),1)</f>
        <v>0</v>
      </c>
      <c r="L123" s="149">
        <f>S123*markup*difficulty*IF(Y123&lt;&gt;"",VLOOKUP(LEFT(Y123,2),cityindex,3,0),1)</f>
        <v>0</v>
      </c>
      <c r="M123" s="149">
        <f>W123*markup*difficulty*IF(Y123&lt;&gt;"",VLOOKUP(LEFT(Y123,2),cityindex,3,0),1)</f>
        <v>0</v>
      </c>
      <c r="N123" s="149"/>
      <c r="O123" s="149">
        <f>SUM(K123:N123)*embed</f>
        <v>0</v>
      </c>
      <c r="P123" s="216">
        <f>ROUND((O123*I123),0)</f>
        <v>0</v>
      </c>
      <c r="Q123" s="291">
        <f>IF(O123=0,0,IF(X123=0,"manual",O123/((R123*tax*markup*IF(Y123&lt;&gt;"",VLOOKUP(LEFT(Y123,2),cityindex,2,0),1))+S123*markup*difficulty*IF(Y123&lt;&gt;"",VLOOKUP(LEFT(Y123,2),cityindex,3,0),1)+W123*markup*difficulty*IF(Y123&lt;&gt;"",VLOOKUP(LEFT(Y123,2),cityindex,3,0),1))))</f>
        <v>0</v>
      </c>
      <c r="S123" s="143">
        <f t="shared" si="10"/>
        <v>0</v>
      </c>
      <c r="X123" s="143">
        <f t="shared" si="11"/>
        <v>0</v>
      </c>
      <c r="AD123" s="604"/>
    </row>
    <row r="124" spans="1:30" ht="24.75" hidden="1" customHeight="1" x14ac:dyDescent="0.2">
      <c r="D124" s="217" t="str">
        <f>"TOTAL - " &amp; D121</f>
        <v>TOTAL - 04  MASONRY</v>
      </c>
      <c r="E124" s="217"/>
      <c r="F124" s="217"/>
      <c r="G124" s="217"/>
      <c r="H124" s="217"/>
      <c r="I124" s="218"/>
      <c r="J124" s="219"/>
      <c r="K124" s="220"/>
      <c r="L124" s="220"/>
      <c r="M124" s="220"/>
      <c r="N124" s="220"/>
      <c r="O124" s="221"/>
      <c r="P124" s="222">
        <f>SUM(P121:P123)</f>
        <v>0</v>
      </c>
      <c r="Q124" s="294" t="str">
        <f>_xlfn.CONCAT(TEXT(SUM(P124/GFA),"$#,##0.00"),"/SF")</f>
        <v>$0.00/SF</v>
      </c>
      <c r="S124" s="143">
        <f t="shared" si="10"/>
        <v>0</v>
      </c>
      <c r="X124" s="143">
        <f t="shared" si="11"/>
        <v>0</v>
      </c>
      <c r="Z124" s="314"/>
      <c r="AA124" s="315"/>
      <c r="AD124" s="604"/>
    </row>
    <row r="125" spans="1:30" hidden="1" x14ac:dyDescent="0.2">
      <c r="K125" s="149">
        <f>R125*tax*markup*IF(Y125&lt;&gt;"",VLOOKUP(LEFT(Y125,2),cityindex,2,0),1)</f>
        <v>0</v>
      </c>
      <c r="L125" s="149">
        <f>S125*markup*difficulty*IF(Y125&lt;&gt;"",VLOOKUP(LEFT(Y125,2),cityindex,3,0),1)</f>
        <v>0</v>
      </c>
      <c r="M125" s="149">
        <f>W125*markup*difficulty*IF(Y125&lt;&gt;"",VLOOKUP(LEFT(Y125,2),cityindex,3,0),1)</f>
        <v>0</v>
      </c>
      <c r="N125" s="149"/>
      <c r="O125" s="149">
        <f>SUM(K125:N125)*embed</f>
        <v>0</v>
      </c>
      <c r="P125" s="216">
        <f>ROUND((O125*I125),0)</f>
        <v>0</v>
      </c>
      <c r="Q125" s="291">
        <f>IF(O125=0,0,IF(X125=0,"manual",O125/((R125*tax*markup*IF(Y125&lt;&gt;"",VLOOKUP(LEFT(Y125,2),cityindex,2,0),1))+S125*markup*difficulty*IF(Y125&lt;&gt;"",VLOOKUP(LEFT(Y125,2),cityindex,3,0),1)+W125*markup*difficulty*IF(Y125&lt;&gt;"",VLOOKUP(LEFT(Y125,2),cityindex,3,0),1))))</f>
        <v>0</v>
      </c>
      <c r="S125" s="143">
        <f t="shared" si="10"/>
        <v>0</v>
      </c>
      <c r="X125" s="143">
        <f t="shared" si="11"/>
        <v>0</v>
      </c>
      <c r="AD125" s="604"/>
    </row>
    <row r="126" spans="1:30" hidden="1" x14ac:dyDescent="0.2">
      <c r="D126" s="214" t="s">
        <v>271</v>
      </c>
      <c r="E126" s="215"/>
      <c r="F126" s="215"/>
      <c r="G126" s="215"/>
      <c r="H126" s="215"/>
      <c r="K126" s="149">
        <f>R126*tax*markup*IF(Y126&lt;&gt;"",VLOOKUP(LEFT(Y126,2),cityindex,2,0),1)</f>
        <v>0</v>
      </c>
      <c r="L126" s="149">
        <f>S126*markup*difficulty*IF(Y126&lt;&gt;"",VLOOKUP(LEFT(Y126,2),cityindex,3,0),1)</f>
        <v>0</v>
      </c>
      <c r="M126" s="149">
        <f>W126*markup*difficulty*IF(Y126&lt;&gt;"",VLOOKUP(LEFT(Y126,2),cityindex,3,0),1)</f>
        <v>0</v>
      </c>
      <c r="N126" s="149"/>
      <c r="O126" s="149">
        <f>SUM(K126:N126)*embed</f>
        <v>0</v>
      </c>
      <c r="P126" s="216">
        <f>ROUND((O126*I126),0)</f>
        <v>0</v>
      </c>
      <c r="Q126" s="291">
        <f>IF(O126=0,0,IF(X126=0,"manual",O126/((R126*tax*markup*IF(Y126&lt;&gt;"",VLOOKUP(LEFT(Y126,2),cityindex,2,0),1))+S126*markup*difficulty*IF(Y126&lt;&gt;"",VLOOKUP(LEFT(Y126,2),cityindex,3,0),1)+W126*markup*difficulty*IF(Y126&lt;&gt;"",VLOOKUP(LEFT(Y126,2),cityindex,3,0),1))))</f>
        <v>0</v>
      </c>
      <c r="S126" s="143">
        <f t="shared" si="10"/>
        <v>0</v>
      </c>
      <c r="X126" s="143">
        <f t="shared" si="11"/>
        <v>0</v>
      </c>
      <c r="AD126" s="604"/>
    </row>
    <row r="127" spans="1:30" hidden="1" x14ac:dyDescent="0.2">
      <c r="D127" s="228"/>
      <c r="E127" s="228"/>
      <c r="F127" s="228"/>
      <c r="G127" s="228"/>
      <c r="H127" s="228"/>
      <c r="I127" s="230"/>
      <c r="J127" s="231"/>
      <c r="K127" s="149">
        <f>R127*tax*markup*IF(Y127&lt;&gt;"",VLOOKUP(LEFT(Y127,2),cityindex,2,0),1)</f>
        <v>0</v>
      </c>
      <c r="L127" s="149">
        <f>S127*markup*difficulty*IF(Y127&lt;&gt;"",VLOOKUP(LEFT(Y127,2),cityindex,3,0),1)</f>
        <v>0</v>
      </c>
      <c r="M127" s="149">
        <f>W127*markup*difficulty*IF(Y127&lt;&gt;"",VLOOKUP(LEFT(Y127,2),cityindex,3,0),1)</f>
        <v>0</v>
      </c>
      <c r="N127" s="149"/>
      <c r="O127" s="149">
        <f>SUM(K127:N127)*embed</f>
        <v>0</v>
      </c>
      <c r="P127" s="216">
        <f>ROUND((O127*I127),0)</f>
        <v>0</v>
      </c>
      <c r="Q127" s="291">
        <f>IF(O127=0,0,IF(X127=0,"manual",(O127/(R127*tax*markup*IF(Y127&lt;&gt;"",VLOOKUP(LEFT(Y127,2),cityindex,2,0),1)+S127*markup*difficulty*IF(Y127&lt;&gt;"",VLOOKUP(LEFT(Y127,2),cityindex,3,0),1)+W127*markup*difficulty*IF(Y127&lt;&gt;"",VLOOKUP(LEFT(Y127,2),cityindex,3,0),1)))-1))</f>
        <v>0</v>
      </c>
      <c r="S127" s="143">
        <f t="shared" si="10"/>
        <v>0</v>
      </c>
      <c r="X127" s="143">
        <f t="shared" si="11"/>
        <v>0</v>
      </c>
      <c r="AD127" s="604"/>
    </row>
    <row r="128" spans="1:30" hidden="1" x14ac:dyDescent="0.2">
      <c r="K128" s="149">
        <f>R128*tax*markup*IF(Y128&lt;&gt;"",VLOOKUP(LEFT(Y128,2),cityindex,2,0),1)</f>
        <v>0</v>
      </c>
      <c r="L128" s="149">
        <f>S128*markup*difficulty*IF(Y128&lt;&gt;"",VLOOKUP(LEFT(Y128,2),cityindex,3,0),1)</f>
        <v>0</v>
      </c>
      <c r="M128" s="149">
        <f>W128*markup*difficulty*IF(Y128&lt;&gt;"",VLOOKUP(LEFT(Y128,2),cityindex,3,0),1)</f>
        <v>0</v>
      </c>
      <c r="N128" s="149"/>
      <c r="O128" s="149">
        <f>SUM(K128:N128)*embed</f>
        <v>0</v>
      </c>
      <c r="P128" s="216">
        <f>ROUND((O128*I128),0)</f>
        <v>0</v>
      </c>
      <c r="Q128" s="291">
        <f>IF(O128=0,0,IF(X128=0,"manual",O128/((R128*tax*markup*IF(Y128&lt;&gt;"",VLOOKUP(LEFT(Y128,2),cityindex,2,0),1))+S128*markup*difficulty*IF(Y128&lt;&gt;"",VLOOKUP(LEFT(Y128,2),cityindex,3,0),1)+W128*markup*difficulty*IF(Y128&lt;&gt;"",VLOOKUP(LEFT(Y128,2),cityindex,3,0),1))))</f>
        <v>0</v>
      </c>
      <c r="S128" s="143">
        <f t="shared" si="10"/>
        <v>0</v>
      </c>
      <c r="X128" s="143">
        <f t="shared" si="11"/>
        <v>0</v>
      </c>
      <c r="AD128" s="604"/>
    </row>
    <row r="129" spans="4:30" ht="24.75" hidden="1" customHeight="1" x14ac:dyDescent="0.2">
      <c r="D129" s="217" t="str">
        <f>"TOTAL - " &amp; D126</f>
        <v>TOTAL - 05  METALS</v>
      </c>
      <c r="E129" s="217"/>
      <c r="F129" s="217"/>
      <c r="G129" s="217"/>
      <c r="H129" s="217"/>
      <c r="I129" s="218"/>
      <c r="J129" s="219"/>
      <c r="K129" s="220"/>
      <c r="L129" s="220"/>
      <c r="M129" s="220"/>
      <c r="N129" s="220"/>
      <c r="O129" s="221"/>
      <c r="P129" s="222">
        <f>SUM(P126:P128)</f>
        <v>0</v>
      </c>
      <c r="Q129" s="294" t="str">
        <f>_xlfn.CONCAT(TEXT(SUM(P129/GFA),"$#,##0.00"),"/SF")</f>
        <v>$0.00/SF</v>
      </c>
      <c r="S129" s="143">
        <f t="shared" si="10"/>
        <v>0</v>
      </c>
      <c r="X129" s="143">
        <f t="shared" si="11"/>
        <v>0</v>
      </c>
      <c r="Z129" s="314"/>
      <c r="AA129" s="315"/>
      <c r="AD129" s="604"/>
    </row>
    <row r="130" spans="4:30" hidden="1" x14ac:dyDescent="0.2">
      <c r="K130" s="149">
        <f>R130*tax*markup*IF(Y130&lt;&gt;"",VLOOKUP(LEFT(Y130,2),cityindex,2,0),1)</f>
        <v>0</v>
      </c>
      <c r="L130" s="149">
        <f>S130*markup*difficulty*IF(Y130&lt;&gt;"",VLOOKUP(LEFT(Y130,2),cityindex,3,0),1)</f>
        <v>0</v>
      </c>
      <c r="M130" s="149">
        <f>W130*markup*difficulty*IF(Y130&lt;&gt;"",VLOOKUP(LEFT(Y130,2),cityindex,3,0),1)</f>
        <v>0</v>
      </c>
      <c r="N130" s="149"/>
      <c r="O130" s="149">
        <f>SUM(K130:N130)*embed</f>
        <v>0</v>
      </c>
      <c r="P130" s="216">
        <f>ROUND((O130*I130),0)</f>
        <v>0</v>
      </c>
      <c r="Q130" s="291">
        <f>IF(O130=0,0,IF(X130=0,"manual",O130/((R130*tax*markup*IF(Y130&lt;&gt;"",VLOOKUP(LEFT(Y130,2),cityindex,2,0),1))+S130*markup*difficulty*IF(Y130&lt;&gt;"",VLOOKUP(LEFT(Y130,2),cityindex,3,0),1)+W130*markup*difficulty*IF(Y130&lt;&gt;"",VLOOKUP(LEFT(Y130,2),cityindex,3,0),1))))</f>
        <v>0</v>
      </c>
      <c r="S130" s="143">
        <f t="shared" si="10"/>
        <v>0</v>
      </c>
      <c r="X130" s="143">
        <f t="shared" si="11"/>
        <v>0</v>
      </c>
      <c r="AD130" s="604"/>
    </row>
    <row r="131" spans="4:30" hidden="1" x14ac:dyDescent="0.2">
      <c r="D131" s="214" t="s">
        <v>272</v>
      </c>
      <c r="E131" s="215"/>
      <c r="F131" s="215"/>
      <c r="G131" s="215"/>
      <c r="H131" s="215"/>
      <c r="K131" s="149">
        <f>R131*tax*markup*IF(Y131&lt;&gt;"",VLOOKUP(LEFT(Y131,2),cityindex,2,0),1)</f>
        <v>0</v>
      </c>
      <c r="L131" s="149">
        <f>S131*markup*difficulty*IF(Y131&lt;&gt;"",VLOOKUP(LEFT(Y131,2),cityindex,3,0),1)</f>
        <v>0</v>
      </c>
      <c r="M131" s="149">
        <f>W131*markup*difficulty*IF(Y131&lt;&gt;"",VLOOKUP(LEFT(Y131,2),cityindex,3,0),1)</f>
        <v>0</v>
      </c>
      <c r="N131" s="149"/>
      <c r="O131" s="149">
        <f>SUM(K131:N131)*embed</f>
        <v>0</v>
      </c>
      <c r="P131" s="216">
        <f>ROUND((O131*I131),0)</f>
        <v>0</v>
      </c>
      <c r="Q131" s="291">
        <f>IF(O131=0,0,IF(X131=0,"manual",O131/((R131*tax*markup*IF(Y131&lt;&gt;"",VLOOKUP(LEFT(Y131,2),cityindex,2,0),1))+S131*markup*difficulty*IF(Y131&lt;&gt;"",VLOOKUP(LEFT(Y131,2),cityindex,3,0),1)+W131*markup*difficulty*IF(Y131&lt;&gt;"",VLOOKUP(LEFT(Y131,2),cityindex,3,0),1))))</f>
        <v>0</v>
      </c>
      <c r="S131" s="143">
        <f t="shared" si="10"/>
        <v>0</v>
      </c>
      <c r="X131" s="143">
        <f t="shared" si="11"/>
        <v>0</v>
      </c>
      <c r="AD131" s="604"/>
    </row>
    <row r="132" spans="4:30" hidden="1" x14ac:dyDescent="0.2">
      <c r="D132" s="228"/>
      <c r="E132" s="228"/>
      <c r="F132" s="228"/>
      <c r="G132" s="228"/>
      <c r="H132" s="228"/>
      <c r="I132" s="230"/>
      <c r="J132" s="231"/>
      <c r="K132" s="149">
        <f>R132*tax*markup*IF(Y132&lt;&gt;"",VLOOKUP(LEFT(Y132,2),cityindex,2,0),1)</f>
        <v>0</v>
      </c>
      <c r="L132" s="149">
        <f>S132*markup*difficulty*IF(Y132&lt;&gt;"",VLOOKUP(LEFT(Y132,2),cityindex,3,0),1)</f>
        <v>0</v>
      </c>
      <c r="M132" s="149">
        <f>W132*markup*difficulty*IF(Y132&lt;&gt;"",VLOOKUP(LEFT(Y132,2),cityindex,3,0),1)</f>
        <v>0</v>
      </c>
      <c r="N132" s="149"/>
      <c r="O132" s="149">
        <f>SUM(K132:N132)*embed</f>
        <v>0</v>
      </c>
      <c r="P132" s="216">
        <f>ROUND((O132*I132),0)</f>
        <v>0</v>
      </c>
      <c r="Q132" s="291">
        <f>IF(O132=0,0,IF(X132=0,"manual",(O132/(R132*tax*markup*IF(Y132&lt;&gt;"",VLOOKUP(LEFT(Y132,2),cityindex,2,0),1)+S132*markup*difficulty*IF(Y132&lt;&gt;"",VLOOKUP(LEFT(Y132,2),cityindex,3,0),1)+W132*markup*difficulty*IF(Y132&lt;&gt;"",VLOOKUP(LEFT(Y132,2),cityindex,3,0),1)))-1))</f>
        <v>0</v>
      </c>
      <c r="S132" s="143">
        <f t="shared" si="10"/>
        <v>0</v>
      </c>
      <c r="X132" s="143">
        <f t="shared" si="11"/>
        <v>0</v>
      </c>
      <c r="AD132" s="604"/>
    </row>
    <row r="133" spans="4:30" hidden="1" x14ac:dyDescent="0.2">
      <c r="K133" s="149">
        <f>R133*tax*markup*IF(Y133&lt;&gt;"",VLOOKUP(LEFT(Y133,2),cityindex,2,0),1)</f>
        <v>0</v>
      </c>
      <c r="L133" s="149">
        <f>S133*markup*difficulty*IF(Y133&lt;&gt;"",VLOOKUP(LEFT(Y133,2),cityindex,3,0),1)</f>
        <v>0</v>
      </c>
      <c r="M133" s="149">
        <f>W133*markup*difficulty*IF(Y133&lt;&gt;"",VLOOKUP(LEFT(Y133,2),cityindex,3,0),1)</f>
        <v>0</v>
      </c>
      <c r="N133" s="149"/>
      <c r="O133" s="149">
        <f>SUM(K133:N133)*embed</f>
        <v>0</v>
      </c>
      <c r="P133" s="216">
        <f>ROUND((O133*I133),0)</f>
        <v>0</v>
      </c>
      <c r="Q133" s="291">
        <f>IF(O133=0,0,IF(X133=0,"manual",O133/((R133*tax*markup*IF(Y133&lt;&gt;"",VLOOKUP(LEFT(Y133,2),cityindex,2,0),1))+S133*markup*difficulty*IF(Y133&lt;&gt;"",VLOOKUP(LEFT(Y133,2),cityindex,3,0),1)+W133*markup*difficulty*IF(Y133&lt;&gt;"",VLOOKUP(LEFT(Y133,2),cityindex,3,0),1))))</f>
        <v>0</v>
      </c>
      <c r="S133" s="143">
        <f t="shared" si="10"/>
        <v>0</v>
      </c>
      <c r="X133" s="143">
        <f t="shared" si="11"/>
        <v>0</v>
      </c>
      <c r="AD133" s="604"/>
    </row>
    <row r="134" spans="4:30" ht="24.75" hidden="1" customHeight="1" x14ac:dyDescent="0.2">
      <c r="D134" s="217" t="str">
        <f>"TOTAL - " &amp; D131</f>
        <v>TOTAL - 06  WOOD, PLASTICS, AND COMPOSITES</v>
      </c>
      <c r="E134" s="217"/>
      <c r="F134" s="217"/>
      <c r="G134" s="217"/>
      <c r="H134" s="217"/>
      <c r="I134" s="218"/>
      <c r="J134" s="219"/>
      <c r="K134" s="220"/>
      <c r="L134" s="220"/>
      <c r="M134" s="220"/>
      <c r="N134" s="220"/>
      <c r="O134" s="221"/>
      <c r="P134" s="222">
        <f>SUM(P131:P133)</f>
        <v>0</v>
      </c>
      <c r="Q134" s="294" t="str">
        <f>_xlfn.CONCAT(TEXT(SUM(P134/GFA),"$#,##0.00"),"/SF")</f>
        <v>$0.00/SF</v>
      </c>
      <c r="S134" s="143">
        <f t="shared" si="10"/>
        <v>0</v>
      </c>
      <c r="X134" s="143">
        <f t="shared" si="11"/>
        <v>0</v>
      </c>
      <c r="Z134" s="314"/>
      <c r="AA134" s="315"/>
      <c r="AD134" s="604"/>
    </row>
    <row r="135" spans="4:30" hidden="1" x14ac:dyDescent="0.2">
      <c r="K135" s="149">
        <f>R135*tax*markup*IF(Y135&lt;&gt;"",VLOOKUP(LEFT(Y135,2),cityindex,2,0),1)</f>
        <v>0</v>
      </c>
      <c r="L135" s="149">
        <f>S135*markup*difficulty*IF(Y135&lt;&gt;"",VLOOKUP(LEFT(Y135,2),cityindex,3,0),1)</f>
        <v>0</v>
      </c>
      <c r="M135" s="149">
        <f>W135*markup*difficulty*IF(Y135&lt;&gt;"",VLOOKUP(LEFT(Y135,2),cityindex,3,0),1)</f>
        <v>0</v>
      </c>
      <c r="N135" s="149"/>
      <c r="O135" s="149">
        <f>SUM(K135:N135)*embed</f>
        <v>0</v>
      </c>
      <c r="P135" s="216">
        <f>ROUND((O135*I135),0)</f>
        <v>0</v>
      </c>
      <c r="Q135" s="291">
        <f>IF(O135=0,0,IF(X135=0,"manual",O135/((R135*tax*markup*IF(Y135&lt;&gt;"",VLOOKUP(LEFT(Y135,2),cityindex,2,0),1))+S135*markup*difficulty*IF(Y135&lt;&gt;"",VLOOKUP(LEFT(Y135,2),cityindex,3,0),1)+W135*markup*difficulty*IF(Y135&lt;&gt;"",VLOOKUP(LEFT(Y135,2),cityindex,3,0),1))))</f>
        <v>0</v>
      </c>
      <c r="S135" s="143">
        <f t="shared" si="10"/>
        <v>0</v>
      </c>
      <c r="X135" s="143">
        <f t="shared" si="11"/>
        <v>0</v>
      </c>
      <c r="AD135" s="604"/>
    </row>
    <row r="136" spans="4:30" hidden="1" x14ac:dyDescent="0.2">
      <c r="D136" s="214" t="s">
        <v>273</v>
      </c>
      <c r="E136" s="215"/>
      <c r="F136" s="215"/>
      <c r="G136" s="215"/>
      <c r="H136" s="215"/>
      <c r="K136" s="149">
        <f>R136*tax*markup*IF(Y136&lt;&gt;"",VLOOKUP(LEFT(Y136,2),cityindex,2,0),1)</f>
        <v>0</v>
      </c>
      <c r="L136" s="149">
        <f>S136*markup*difficulty*IF(Y136&lt;&gt;"",VLOOKUP(LEFT(Y136,2),cityindex,3,0),1)</f>
        <v>0</v>
      </c>
      <c r="M136" s="149">
        <f>W136*markup*difficulty*IF(Y136&lt;&gt;"",VLOOKUP(LEFT(Y136,2),cityindex,3,0),1)</f>
        <v>0</v>
      </c>
      <c r="N136" s="149"/>
      <c r="O136" s="149">
        <f>SUM(K136:N136)*embed</f>
        <v>0</v>
      </c>
      <c r="P136" s="216">
        <f>ROUND((O136*I136),0)</f>
        <v>0</v>
      </c>
      <c r="Q136" s="291">
        <f>IF(O136=0,0,IF(X136=0,"manual",O136/((R136*tax*markup*IF(Y136&lt;&gt;"",VLOOKUP(LEFT(Y136,2),cityindex,2,0),1))+S136*markup*difficulty*IF(Y136&lt;&gt;"",VLOOKUP(LEFT(Y136,2),cityindex,3,0),1)+W136*markup*difficulty*IF(Y136&lt;&gt;"",VLOOKUP(LEFT(Y136,2),cityindex,3,0),1))))</f>
        <v>0</v>
      </c>
      <c r="S136" s="143">
        <f t="shared" si="10"/>
        <v>0</v>
      </c>
      <c r="X136" s="143">
        <f t="shared" si="11"/>
        <v>0</v>
      </c>
      <c r="AD136" s="604"/>
    </row>
    <row r="137" spans="4:30" hidden="1" x14ac:dyDescent="0.2">
      <c r="D137" s="228"/>
      <c r="E137" s="228"/>
      <c r="F137" s="228"/>
      <c r="G137" s="228"/>
      <c r="H137" s="228"/>
      <c r="I137" s="230"/>
      <c r="J137" s="231"/>
      <c r="K137" s="149">
        <f>R137*tax*markup*IF(Y137&lt;&gt;"",VLOOKUP(LEFT(Y137,2),cityindex,2,0),1)</f>
        <v>0</v>
      </c>
      <c r="L137" s="149">
        <f>S137*markup*difficulty*IF(Y137&lt;&gt;"",VLOOKUP(LEFT(Y137,2),cityindex,3,0),1)</f>
        <v>0</v>
      </c>
      <c r="M137" s="149">
        <f>W137*markup*difficulty*IF(Y137&lt;&gt;"",VLOOKUP(LEFT(Y137,2),cityindex,3,0),1)</f>
        <v>0</v>
      </c>
      <c r="N137" s="149"/>
      <c r="O137" s="149">
        <f>SUM(K137:N137)*embed</f>
        <v>0</v>
      </c>
      <c r="P137" s="216">
        <f>ROUND((O137*I137),0)</f>
        <v>0</v>
      </c>
      <c r="Q137" s="291">
        <f>IF(O137=0,0,IF(X137=0,"manual",(O137/(R137*tax*markup*IF(Y137&lt;&gt;"",VLOOKUP(LEFT(Y137,2),cityindex,2,0),1)+S137*markup*difficulty*IF(Y137&lt;&gt;"",VLOOKUP(LEFT(Y137,2),cityindex,3,0),1)+W137*markup*difficulty*IF(Y137&lt;&gt;"",VLOOKUP(LEFT(Y137,2),cityindex,3,0),1)))-1))</f>
        <v>0</v>
      </c>
      <c r="S137" s="143">
        <f t="shared" si="10"/>
        <v>0</v>
      </c>
      <c r="X137" s="143">
        <f t="shared" si="11"/>
        <v>0</v>
      </c>
      <c r="AD137" s="604"/>
    </row>
    <row r="138" spans="4:30" hidden="1" x14ac:dyDescent="0.2">
      <c r="K138" s="149">
        <f>R138*tax*markup*IF(Y138&lt;&gt;"",VLOOKUP(LEFT(Y138,2),cityindex,2,0),1)</f>
        <v>0</v>
      </c>
      <c r="L138" s="149">
        <f>S138*markup*difficulty*IF(Y138&lt;&gt;"",VLOOKUP(LEFT(Y138,2),cityindex,3,0),1)</f>
        <v>0</v>
      </c>
      <c r="M138" s="149">
        <f>W138*markup*difficulty*IF(Y138&lt;&gt;"",VLOOKUP(LEFT(Y138,2),cityindex,3,0),1)</f>
        <v>0</v>
      </c>
      <c r="N138" s="149"/>
      <c r="O138" s="149">
        <f>SUM(K138:N138)*embed</f>
        <v>0</v>
      </c>
      <c r="P138" s="216">
        <f>ROUND((O138*I138),0)</f>
        <v>0</v>
      </c>
      <c r="Q138" s="291">
        <f>IF(O138=0,0,IF(X138=0,"manual",O138/((R138*tax*markup*IF(Y138&lt;&gt;"",VLOOKUP(LEFT(Y138,2),cityindex,2,0),1))+S138*markup*difficulty*IF(Y138&lt;&gt;"",VLOOKUP(LEFT(Y138,2),cityindex,3,0),1)+W138*markup*difficulty*IF(Y138&lt;&gt;"",VLOOKUP(LEFT(Y138,2),cityindex,3,0),1))))</f>
        <v>0</v>
      </c>
      <c r="S138" s="143">
        <f t="shared" si="10"/>
        <v>0</v>
      </c>
      <c r="X138" s="143">
        <f t="shared" si="11"/>
        <v>0</v>
      </c>
      <c r="AD138" s="604"/>
    </row>
    <row r="139" spans="4:30" ht="24.75" hidden="1" customHeight="1" x14ac:dyDescent="0.2">
      <c r="D139" s="217" t="str">
        <f>"TOTAL - " &amp; D136</f>
        <v>TOTAL - 07  THERMAL AND MOISTURE PROTECTION</v>
      </c>
      <c r="E139" s="217"/>
      <c r="F139" s="217"/>
      <c r="G139" s="217"/>
      <c r="H139" s="217"/>
      <c r="I139" s="218"/>
      <c r="J139" s="219"/>
      <c r="K139" s="220"/>
      <c r="L139" s="220"/>
      <c r="M139" s="220"/>
      <c r="N139" s="220"/>
      <c r="O139" s="221"/>
      <c r="P139" s="222">
        <f>SUM(P136:P138)</f>
        <v>0</v>
      </c>
      <c r="Q139" s="294" t="str">
        <f>_xlfn.CONCAT(TEXT(SUM(P139/GFA),"$#,##0.00"),"/SF")</f>
        <v>$0.00/SF</v>
      </c>
      <c r="S139" s="143">
        <f t="shared" si="10"/>
        <v>0</v>
      </c>
      <c r="X139" s="143">
        <f t="shared" si="11"/>
        <v>0</v>
      </c>
      <c r="Z139" s="314"/>
      <c r="AA139" s="315"/>
      <c r="AD139" s="604"/>
    </row>
    <row r="140" spans="4:30" hidden="1" x14ac:dyDescent="0.2">
      <c r="K140" s="149">
        <f>R140*tax*markup*IF(Y140&lt;&gt;"",VLOOKUP(LEFT(Y140,2),cityindex,2,0),1)</f>
        <v>0</v>
      </c>
      <c r="L140" s="149">
        <f>S140*markup*difficulty*IF(Y140&lt;&gt;"",VLOOKUP(LEFT(Y140,2),cityindex,3,0),1)</f>
        <v>0</v>
      </c>
      <c r="M140" s="149">
        <f>W140*markup*difficulty*IF(Y140&lt;&gt;"",VLOOKUP(LEFT(Y140,2),cityindex,3,0),1)</f>
        <v>0</v>
      </c>
      <c r="N140" s="149"/>
      <c r="O140" s="149">
        <f>SUM(K140:N140)*embed</f>
        <v>0</v>
      </c>
      <c r="P140" s="216">
        <f>ROUND((O140*I140),0)</f>
        <v>0</v>
      </c>
      <c r="Q140" s="291">
        <f>IF(O140=0,0,IF(X140=0,"manual",O140/((R140*tax*markup*IF(Y140&lt;&gt;"",VLOOKUP(LEFT(Y140,2),cityindex,2,0),1))+S140*markup*difficulty*IF(Y140&lt;&gt;"",VLOOKUP(LEFT(Y140,2),cityindex,3,0),1)+W140*markup*difficulty*IF(Y140&lt;&gt;"",VLOOKUP(LEFT(Y140,2),cityindex,3,0),1))))</f>
        <v>0</v>
      </c>
      <c r="S140" s="143">
        <f t="shared" si="10"/>
        <v>0</v>
      </c>
      <c r="X140" s="143">
        <f t="shared" si="11"/>
        <v>0</v>
      </c>
      <c r="AD140" s="604"/>
    </row>
    <row r="141" spans="4:30" hidden="1" x14ac:dyDescent="0.2">
      <c r="D141" s="214" t="s">
        <v>274</v>
      </c>
      <c r="E141" s="215"/>
      <c r="F141" s="215"/>
      <c r="G141" s="215"/>
      <c r="H141" s="215"/>
      <c r="K141" s="149">
        <f>R141*tax*markup*IF(Y141&lt;&gt;"",VLOOKUP(LEFT(Y141,2),cityindex,2,0),1)</f>
        <v>0</v>
      </c>
      <c r="L141" s="149">
        <f>S141*markup*difficulty*IF(Y141&lt;&gt;"",VLOOKUP(LEFT(Y141,2),cityindex,3,0),1)</f>
        <v>0</v>
      </c>
      <c r="M141" s="149">
        <f>W141*markup*difficulty*IF(Y141&lt;&gt;"",VLOOKUP(LEFT(Y141,2),cityindex,3,0),1)</f>
        <v>0</v>
      </c>
      <c r="N141" s="149"/>
      <c r="O141" s="149">
        <f>SUM(K141:N141)*embed</f>
        <v>0</v>
      </c>
      <c r="P141" s="216">
        <f>ROUND((O141*I141),0)</f>
        <v>0</v>
      </c>
      <c r="Q141" s="291">
        <f>IF(O141=0,0,IF(X141=0,"manual",O141/((R141*tax*markup*IF(Y141&lt;&gt;"",VLOOKUP(LEFT(Y141,2),cityindex,2,0),1))+S141*markup*difficulty*IF(Y141&lt;&gt;"",VLOOKUP(LEFT(Y141,2),cityindex,3,0),1)+W141*markup*difficulty*IF(Y141&lt;&gt;"",VLOOKUP(LEFT(Y141,2),cityindex,3,0),1))))</f>
        <v>0</v>
      </c>
      <c r="S141" s="143">
        <f t="shared" si="10"/>
        <v>0</v>
      </c>
      <c r="X141" s="143">
        <f t="shared" si="11"/>
        <v>0</v>
      </c>
      <c r="AD141" s="604"/>
    </row>
    <row r="142" spans="4:30" hidden="1" x14ac:dyDescent="0.2">
      <c r="D142" s="228"/>
      <c r="E142" s="228"/>
      <c r="F142" s="228"/>
      <c r="G142" s="228"/>
      <c r="H142" s="228"/>
      <c r="I142" s="230"/>
      <c r="J142" s="231"/>
      <c r="K142" s="149">
        <f>R142*tax*markup*IF(Y142&lt;&gt;"",VLOOKUP(LEFT(Y142,2),cityindex,2,0),1)</f>
        <v>0</v>
      </c>
      <c r="L142" s="149">
        <f>S142*markup*difficulty*IF(Y142&lt;&gt;"",VLOOKUP(LEFT(Y142,2),cityindex,3,0),1)</f>
        <v>0</v>
      </c>
      <c r="M142" s="149">
        <f>W142*markup*difficulty*IF(Y142&lt;&gt;"",VLOOKUP(LEFT(Y142,2),cityindex,3,0),1)</f>
        <v>0</v>
      </c>
      <c r="N142" s="149"/>
      <c r="O142" s="149">
        <f>SUM(K142:N142)*embed</f>
        <v>0</v>
      </c>
      <c r="P142" s="216">
        <f>ROUND((O142*I142),0)</f>
        <v>0</v>
      </c>
      <c r="Q142" s="291">
        <f>IF(O142=0,0,IF(X142=0,"manual",(O142/(R142*tax*markup*IF(Y142&lt;&gt;"",VLOOKUP(LEFT(Y142,2),cityindex,2,0),1)+S142*markup*difficulty*IF(Y142&lt;&gt;"",VLOOKUP(LEFT(Y142,2),cityindex,3,0),1)+W142*markup*difficulty*IF(Y142&lt;&gt;"",VLOOKUP(LEFT(Y142,2),cityindex,3,0),1)))-1))</f>
        <v>0</v>
      </c>
      <c r="S142" s="143">
        <f t="shared" si="10"/>
        <v>0</v>
      </c>
      <c r="X142" s="143">
        <f t="shared" si="11"/>
        <v>0</v>
      </c>
      <c r="AD142" s="604"/>
    </row>
    <row r="143" spans="4:30" hidden="1" x14ac:dyDescent="0.2">
      <c r="K143" s="149">
        <f>R143*tax*markup*IF(Y143&lt;&gt;"",VLOOKUP(LEFT(Y143,2),cityindex,2,0),1)</f>
        <v>0</v>
      </c>
      <c r="L143" s="149">
        <f>S143*markup*difficulty*IF(Y143&lt;&gt;"",VLOOKUP(LEFT(Y143,2),cityindex,3,0),1)</f>
        <v>0</v>
      </c>
      <c r="M143" s="149">
        <f>W143*markup*difficulty*IF(Y143&lt;&gt;"",VLOOKUP(LEFT(Y143,2),cityindex,3,0),1)</f>
        <v>0</v>
      </c>
      <c r="N143" s="149"/>
      <c r="O143" s="149">
        <f>SUM(K143:N143)*embed</f>
        <v>0</v>
      </c>
      <c r="P143" s="216">
        <f>ROUND((O143*I143),0)</f>
        <v>0</v>
      </c>
      <c r="Q143" s="291">
        <f>IF(O143=0,0,IF(X143=0,"manual",O143/((R143*tax*markup*IF(Y143&lt;&gt;"",VLOOKUP(LEFT(Y143,2),cityindex,2,0),1))+S143*markup*difficulty*IF(Y143&lt;&gt;"",VLOOKUP(LEFT(Y143,2),cityindex,3,0),1)+W143*markup*difficulty*IF(Y143&lt;&gt;"",VLOOKUP(LEFT(Y143,2),cityindex,3,0),1))))</f>
        <v>0</v>
      </c>
      <c r="S143" s="143">
        <f t="shared" si="10"/>
        <v>0</v>
      </c>
      <c r="X143" s="143">
        <f t="shared" si="11"/>
        <v>0</v>
      </c>
      <c r="AD143" s="604"/>
    </row>
    <row r="144" spans="4:30" ht="24.75" hidden="1" customHeight="1" x14ac:dyDescent="0.2">
      <c r="D144" s="217" t="str">
        <f>"TOTAL - " &amp; D141</f>
        <v>TOTAL - 08  OPENINGS</v>
      </c>
      <c r="E144" s="217"/>
      <c r="F144" s="217"/>
      <c r="G144" s="217"/>
      <c r="H144" s="217"/>
      <c r="I144" s="218"/>
      <c r="J144" s="219"/>
      <c r="K144" s="220"/>
      <c r="L144" s="220"/>
      <c r="M144" s="220"/>
      <c r="N144" s="220"/>
      <c r="O144" s="221"/>
      <c r="P144" s="222">
        <f>SUM(P141:P143)</f>
        <v>0</v>
      </c>
      <c r="Q144" s="294" t="str">
        <f>_xlfn.CONCAT(TEXT(SUM(P144/GFA),"$#,##0.00"),"/SF")</f>
        <v>$0.00/SF</v>
      </c>
      <c r="S144" s="143">
        <f t="shared" si="10"/>
        <v>0</v>
      </c>
      <c r="X144" s="143">
        <f t="shared" si="11"/>
        <v>0</v>
      </c>
      <c r="Z144" s="314"/>
      <c r="AA144" s="315"/>
      <c r="AD144" s="604"/>
    </row>
    <row r="145" spans="4:30" hidden="1" x14ac:dyDescent="0.2">
      <c r="K145" s="149">
        <f>R145*tax*markup*IF(Y145&lt;&gt;"",VLOOKUP(LEFT(Y145,2),cityindex,2,0),1)</f>
        <v>0</v>
      </c>
      <c r="L145" s="149">
        <f>S145*markup*difficulty*IF(Y145&lt;&gt;"",VLOOKUP(LEFT(Y145,2),cityindex,3,0),1)</f>
        <v>0</v>
      </c>
      <c r="M145" s="149">
        <f>W145*markup*difficulty*IF(Y145&lt;&gt;"",VLOOKUP(LEFT(Y145,2),cityindex,3,0),1)</f>
        <v>0</v>
      </c>
      <c r="N145" s="149"/>
      <c r="O145" s="149">
        <f>SUM(K145:N145)*embed</f>
        <v>0</v>
      </c>
      <c r="P145" s="216">
        <f>ROUND((O145*I145),0)</f>
        <v>0</v>
      </c>
      <c r="Q145" s="291">
        <f>IF(O145=0,0,IF(X145=0,"manual",O145/((R145*tax*markup*IF(Y145&lt;&gt;"",VLOOKUP(LEFT(Y145,2),cityindex,2,0),1))+S145*markup*difficulty*IF(Y145&lt;&gt;"",VLOOKUP(LEFT(Y145,2),cityindex,3,0),1)+W145*markup*difficulty*IF(Y145&lt;&gt;"",VLOOKUP(LEFT(Y145,2),cityindex,3,0),1))))</f>
        <v>0</v>
      </c>
      <c r="S145" s="143">
        <f t="shared" ref="S145:S176" si="12">U145*V145</f>
        <v>0</v>
      </c>
      <c r="X145" s="143">
        <f t="shared" ref="X145:X176" si="13">SUM(R145,S145,W145)</f>
        <v>0</v>
      </c>
      <c r="AD145" s="604"/>
    </row>
    <row r="146" spans="4:30" hidden="1" x14ac:dyDescent="0.2">
      <c r="D146" s="214" t="s">
        <v>275</v>
      </c>
      <c r="E146" s="215"/>
      <c r="F146" s="215"/>
      <c r="G146" s="215"/>
      <c r="H146" s="215"/>
      <c r="K146" s="149">
        <f>R146*tax*markup*IF(Y146&lt;&gt;"",VLOOKUP(LEFT(Y146,2),cityindex,2,0),1)</f>
        <v>0</v>
      </c>
      <c r="L146" s="149">
        <f>S146*markup*difficulty*IF(Y146&lt;&gt;"",VLOOKUP(LEFT(Y146,2),cityindex,3,0),1)</f>
        <v>0</v>
      </c>
      <c r="M146" s="149">
        <f>W146*markup*difficulty*IF(Y146&lt;&gt;"",VLOOKUP(LEFT(Y146,2),cityindex,3,0),1)</f>
        <v>0</v>
      </c>
      <c r="N146" s="149"/>
      <c r="O146" s="149">
        <f>SUM(K146:N146)*embed</f>
        <v>0</v>
      </c>
      <c r="P146" s="216">
        <f>ROUND((O146*I146),0)</f>
        <v>0</v>
      </c>
      <c r="Q146" s="291">
        <f>IF(O146=0,0,IF(X146=0,"manual",O146/((R146*tax*markup*IF(Y146&lt;&gt;"",VLOOKUP(LEFT(Y146,2),cityindex,2,0),1))+S146*markup*difficulty*IF(Y146&lt;&gt;"",VLOOKUP(LEFT(Y146,2),cityindex,3,0),1)+W146*markup*difficulty*IF(Y146&lt;&gt;"",VLOOKUP(LEFT(Y146,2),cityindex,3,0),1))))</f>
        <v>0</v>
      </c>
      <c r="S146" s="143">
        <f t="shared" si="12"/>
        <v>0</v>
      </c>
      <c r="X146" s="143">
        <f t="shared" si="13"/>
        <v>0</v>
      </c>
      <c r="AD146" s="604"/>
    </row>
    <row r="147" spans="4:30" hidden="1" x14ac:dyDescent="0.2">
      <c r="D147" s="228"/>
      <c r="E147" s="228"/>
      <c r="F147" s="228"/>
      <c r="G147" s="228"/>
      <c r="H147" s="228"/>
      <c r="I147" s="230"/>
      <c r="J147" s="231"/>
      <c r="K147" s="149">
        <f>R147*tax*markup*IF(Y147&lt;&gt;"",VLOOKUP(LEFT(Y147,2),cityindex,2,0),1)</f>
        <v>0</v>
      </c>
      <c r="L147" s="149">
        <f>S147*markup*difficulty*IF(Y147&lt;&gt;"",VLOOKUP(LEFT(Y147,2),cityindex,3,0),1)</f>
        <v>0</v>
      </c>
      <c r="M147" s="149">
        <f>W147*markup*difficulty*IF(Y147&lt;&gt;"",VLOOKUP(LEFT(Y147,2),cityindex,3,0),1)</f>
        <v>0</v>
      </c>
      <c r="N147" s="149"/>
      <c r="O147" s="149">
        <f>SUM(K147:N147)*embed</f>
        <v>0</v>
      </c>
      <c r="P147" s="216">
        <f>ROUND((O147*I147),0)</f>
        <v>0</v>
      </c>
      <c r="Q147" s="291">
        <f>IF(O147=0,0,IF(X147=0,"manual",(O147/(R147*tax*markup*IF(Y147&lt;&gt;"",VLOOKUP(LEFT(Y147,2),cityindex,2,0),1)+S147*markup*difficulty*IF(Y147&lt;&gt;"",VLOOKUP(LEFT(Y147,2),cityindex,3,0),1)+W147*markup*difficulty*IF(Y147&lt;&gt;"",VLOOKUP(LEFT(Y147,2),cityindex,3,0),1)))-1))</f>
        <v>0</v>
      </c>
      <c r="S147" s="143">
        <f t="shared" si="12"/>
        <v>0</v>
      </c>
      <c r="X147" s="143">
        <f t="shared" si="13"/>
        <v>0</v>
      </c>
      <c r="AD147" s="604"/>
    </row>
    <row r="148" spans="4:30" hidden="1" x14ac:dyDescent="0.2">
      <c r="K148" s="149">
        <f>R148*tax*markup*IF(Y148&lt;&gt;"",VLOOKUP(LEFT(Y148,2),cityindex,2,0),1)</f>
        <v>0</v>
      </c>
      <c r="L148" s="149">
        <f>S148*markup*difficulty*IF(Y148&lt;&gt;"",VLOOKUP(LEFT(Y148,2),cityindex,3,0),1)</f>
        <v>0</v>
      </c>
      <c r="M148" s="149">
        <f>W148*markup*difficulty*IF(Y148&lt;&gt;"",VLOOKUP(LEFT(Y148,2),cityindex,3,0),1)</f>
        <v>0</v>
      </c>
      <c r="N148" s="149"/>
      <c r="O148" s="149">
        <f>SUM(K148:N148)*embed</f>
        <v>0</v>
      </c>
      <c r="P148" s="216">
        <f>ROUND((O148*I148),0)</f>
        <v>0</v>
      </c>
      <c r="Q148" s="291">
        <f>IF(O148=0,0,IF(X148=0,"manual",O148/((R148*tax*markup*IF(Y148&lt;&gt;"",VLOOKUP(LEFT(Y148,2),cityindex,2,0),1))+S148*markup*difficulty*IF(Y148&lt;&gt;"",VLOOKUP(LEFT(Y148,2),cityindex,3,0),1)+W148*markup*difficulty*IF(Y148&lt;&gt;"",VLOOKUP(LEFT(Y148,2),cityindex,3,0),1))))</f>
        <v>0</v>
      </c>
      <c r="S148" s="143">
        <f t="shared" si="12"/>
        <v>0</v>
      </c>
      <c r="X148" s="143">
        <f t="shared" si="13"/>
        <v>0</v>
      </c>
      <c r="AD148" s="604"/>
    </row>
    <row r="149" spans="4:30" ht="24.75" hidden="1" customHeight="1" x14ac:dyDescent="0.2">
      <c r="D149" s="217" t="str">
        <f>"TOTAL - " &amp; D146</f>
        <v>TOTAL - 09  FINISHES</v>
      </c>
      <c r="E149" s="217"/>
      <c r="F149" s="217"/>
      <c r="G149" s="217"/>
      <c r="H149" s="217"/>
      <c r="I149" s="218"/>
      <c r="J149" s="219"/>
      <c r="K149" s="220"/>
      <c r="L149" s="220"/>
      <c r="M149" s="220"/>
      <c r="N149" s="220"/>
      <c r="O149" s="221"/>
      <c r="P149" s="222">
        <f>SUM(P146:P148)</f>
        <v>0</v>
      </c>
      <c r="Q149" s="294" t="str">
        <f>_xlfn.CONCAT(TEXT(SUM(P149/GFA),"$#,##0.00"),"/SF")</f>
        <v>$0.00/SF</v>
      </c>
      <c r="S149" s="143">
        <f t="shared" si="12"/>
        <v>0</v>
      </c>
      <c r="X149" s="143">
        <f t="shared" si="13"/>
        <v>0</v>
      </c>
      <c r="Z149" s="314"/>
      <c r="AA149" s="315"/>
      <c r="AD149" s="604"/>
    </row>
    <row r="150" spans="4:30" hidden="1" x14ac:dyDescent="0.2">
      <c r="K150" s="149">
        <f>R150*tax*markup*IF(Y150&lt;&gt;"",VLOOKUP(LEFT(Y150,2),cityindex,2,0),1)</f>
        <v>0</v>
      </c>
      <c r="L150" s="149">
        <f>S150*markup*difficulty*IF(Y150&lt;&gt;"",VLOOKUP(LEFT(Y150,2),cityindex,3,0),1)</f>
        <v>0</v>
      </c>
      <c r="M150" s="149">
        <f>W150*markup*difficulty*IF(Y150&lt;&gt;"",VLOOKUP(LEFT(Y150,2),cityindex,3,0),1)</f>
        <v>0</v>
      </c>
      <c r="N150" s="149"/>
      <c r="O150" s="149">
        <f>SUM(K150:N150)*embed</f>
        <v>0</v>
      </c>
      <c r="P150" s="216">
        <f>ROUND((O150*I150),0)</f>
        <v>0</v>
      </c>
      <c r="Q150" s="291">
        <f>IF(O150=0,0,IF(X150=0,"manual",O150/((R150*tax*markup*IF(Y150&lt;&gt;"",VLOOKUP(LEFT(Y150,2),cityindex,2,0),1))+S150*markup*difficulty*IF(Y150&lt;&gt;"",VLOOKUP(LEFT(Y150,2),cityindex,3,0),1)+W150*markup*difficulty*IF(Y150&lt;&gt;"",VLOOKUP(LEFT(Y150,2),cityindex,3,0),1))))</f>
        <v>0</v>
      </c>
      <c r="S150" s="143">
        <f t="shared" si="12"/>
        <v>0</v>
      </c>
      <c r="X150" s="143">
        <f t="shared" si="13"/>
        <v>0</v>
      </c>
      <c r="AD150" s="604"/>
    </row>
    <row r="151" spans="4:30" hidden="1" x14ac:dyDescent="0.2">
      <c r="D151" s="214" t="s">
        <v>276</v>
      </c>
      <c r="E151" s="215"/>
      <c r="F151" s="215"/>
      <c r="G151" s="215"/>
      <c r="H151" s="215"/>
      <c r="K151" s="149">
        <f>R151*tax*markup*IF(Y151&lt;&gt;"",VLOOKUP(LEFT(Y151,2),cityindex,2,0),1)</f>
        <v>0</v>
      </c>
      <c r="L151" s="149">
        <f>S151*markup*difficulty*IF(Y151&lt;&gt;"",VLOOKUP(LEFT(Y151,2),cityindex,3,0),1)</f>
        <v>0</v>
      </c>
      <c r="M151" s="149">
        <f>W151*markup*difficulty*IF(Y151&lt;&gt;"",VLOOKUP(LEFT(Y151,2),cityindex,3,0),1)</f>
        <v>0</v>
      </c>
      <c r="N151" s="149"/>
      <c r="O151" s="149">
        <f>SUM(K151:N151)*embed</f>
        <v>0</v>
      </c>
      <c r="P151" s="216">
        <f>ROUND((O151*I151),0)</f>
        <v>0</v>
      </c>
      <c r="Q151" s="291">
        <f>IF(O151=0,0,IF(X151=0,"manual",O151/((R151*tax*markup*IF(Y151&lt;&gt;"",VLOOKUP(LEFT(Y151,2),cityindex,2,0),1))+S151*markup*difficulty*IF(Y151&lt;&gt;"",VLOOKUP(LEFT(Y151,2),cityindex,3,0),1)+W151*markup*difficulty*IF(Y151&lt;&gt;"",VLOOKUP(LEFT(Y151,2),cityindex,3,0),1))))</f>
        <v>0</v>
      </c>
      <c r="S151" s="143">
        <f t="shared" si="12"/>
        <v>0</v>
      </c>
      <c r="X151" s="143">
        <f t="shared" si="13"/>
        <v>0</v>
      </c>
      <c r="AD151" s="604"/>
    </row>
    <row r="152" spans="4:30" hidden="1" x14ac:dyDescent="0.2">
      <c r="D152" s="228"/>
      <c r="E152" s="228"/>
      <c r="F152" s="228"/>
      <c r="G152" s="228"/>
      <c r="H152" s="228"/>
      <c r="I152" s="230"/>
      <c r="J152" s="231"/>
      <c r="K152" s="149">
        <f>R152*tax*markup*IF(Y152&lt;&gt;"",VLOOKUP(LEFT(Y152,2),cityindex,2,0),1)</f>
        <v>0</v>
      </c>
      <c r="L152" s="149">
        <f>S152*markup*difficulty*IF(Y152&lt;&gt;"",VLOOKUP(LEFT(Y152,2),cityindex,3,0),1)</f>
        <v>0</v>
      </c>
      <c r="M152" s="149">
        <f>W152*markup*difficulty*IF(Y152&lt;&gt;"",VLOOKUP(LEFT(Y152,2),cityindex,3,0),1)</f>
        <v>0</v>
      </c>
      <c r="N152" s="149"/>
      <c r="O152" s="149">
        <f>SUM(K152:N152)*embed</f>
        <v>0</v>
      </c>
      <c r="P152" s="216">
        <f>ROUND((O152*I152),0)</f>
        <v>0</v>
      </c>
      <c r="Q152" s="291">
        <f>IF(O152=0,0,IF(X152=0,"manual",(O152/(R152*tax*markup*IF(Y152&lt;&gt;"",VLOOKUP(LEFT(Y152,2),cityindex,2,0),1)+S152*markup*difficulty*IF(Y152&lt;&gt;"",VLOOKUP(LEFT(Y152,2),cityindex,3,0),1)+W152*markup*difficulty*IF(Y152&lt;&gt;"",VLOOKUP(LEFT(Y152,2),cityindex,3,0),1)))-1))</f>
        <v>0</v>
      </c>
      <c r="S152" s="143">
        <f t="shared" si="12"/>
        <v>0</v>
      </c>
      <c r="X152" s="143">
        <f t="shared" si="13"/>
        <v>0</v>
      </c>
      <c r="AD152" s="604"/>
    </row>
    <row r="153" spans="4:30" hidden="1" x14ac:dyDescent="0.2">
      <c r="K153" s="149">
        <f>R153*tax*markup*IF(Y153&lt;&gt;"",VLOOKUP(LEFT(Y153,2),cityindex,2,0),1)</f>
        <v>0</v>
      </c>
      <c r="L153" s="149">
        <f>S153*markup*difficulty*IF(Y153&lt;&gt;"",VLOOKUP(LEFT(Y153,2),cityindex,3,0),1)</f>
        <v>0</v>
      </c>
      <c r="M153" s="149">
        <f>W153*markup*difficulty*IF(Y153&lt;&gt;"",VLOOKUP(LEFT(Y153,2),cityindex,3,0),1)</f>
        <v>0</v>
      </c>
      <c r="N153" s="149"/>
      <c r="O153" s="149">
        <f>SUM(K153:N153)*embed</f>
        <v>0</v>
      </c>
      <c r="P153" s="216">
        <f>ROUND((O153*I153),0)</f>
        <v>0</v>
      </c>
      <c r="Q153" s="291">
        <f>IF(O153=0,0,IF(X153=0,"manual",O153/((R153*tax*markup*IF(Y153&lt;&gt;"",VLOOKUP(LEFT(Y153,2),cityindex,2,0),1))+S153*markup*difficulty*IF(Y153&lt;&gt;"",VLOOKUP(LEFT(Y153,2),cityindex,3,0),1)+W153*markup*difficulty*IF(Y153&lt;&gt;"",VLOOKUP(LEFT(Y153,2),cityindex,3,0),1))))</f>
        <v>0</v>
      </c>
      <c r="S153" s="143">
        <f t="shared" si="12"/>
        <v>0</v>
      </c>
      <c r="X153" s="143">
        <f t="shared" si="13"/>
        <v>0</v>
      </c>
      <c r="AD153" s="604"/>
    </row>
    <row r="154" spans="4:30" ht="24.75" hidden="1" customHeight="1" x14ac:dyDescent="0.2">
      <c r="D154" s="217" t="str">
        <f>"TOTAL - " &amp; D151</f>
        <v>TOTAL - 10  SPECIALTIES</v>
      </c>
      <c r="E154" s="217"/>
      <c r="F154" s="217"/>
      <c r="G154" s="217"/>
      <c r="H154" s="217"/>
      <c r="I154" s="218"/>
      <c r="J154" s="219"/>
      <c r="K154" s="220"/>
      <c r="L154" s="220"/>
      <c r="M154" s="220"/>
      <c r="N154" s="220"/>
      <c r="O154" s="221"/>
      <c r="P154" s="222">
        <f>SUM(P151:P153)</f>
        <v>0</v>
      </c>
      <c r="Q154" s="294" t="str">
        <f>_xlfn.CONCAT(TEXT(SUM(P154/GFA),"$#,##0.00"),"/SF")</f>
        <v>$0.00/SF</v>
      </c>
      <c r="S154" s="143">
        <f t="shared" si="12"/>
        <v>0</v>
      </c>
      <c r="X154" s="143">
        <f t="shared" si="13"/>
        <v>0</v>
      </c>
      <c r="Z154" s="314"/>
      <c r="AA154" s="315"/>
      <c r="AD154" s="604"/>
    </row>
    <row r="155" spans="4:30" hidden="1" x14ac:dyDescent="0.2">
      <c r="K155" s="149">
        <f>R155*tax*markup*IF(Y155&lt;&gt;"",VLOOKUP(LEFT(Y155,2),cityindex,2,0),1)</f>
        <v>0</v>
      </c>
      <c r="L155" s="149">
        <f>S155*markup*difficulty*IF(Y155&lt;&gt;"",VLOOKUP(LEFT(Y155,2),cityindex,3,0),1)</f>
        <v>0</v>
      </c>
      <c r="M155" s="149">
        <f>W155*markup*difficulty*IF(Y155&lt;&gt;"",VLOOKUP(LEFT(Y155,2),cityindex,3,0),1)</f>
        <v>0</v>
      </c>
      <c r="N155" s="149"/>
      <c r="O155" s="149">
        <f>SUM(K155:N155)*embed</f>
        <v>0</v>
      </c>
      <c r="P155" s="216">
        <f>ROUND((O155*I155),0)</f>
        <v>0</v>
      </c>
      <c r="Q155" s="291">
        <f>IF(O155=0,0,IF(X155=0,"manual",O155/((R155*tax*markup*IF(Y155&lt;&gt;"",VLOOKUP(LEFT(Y155,2),cityindex,2,0),1))+S155*markup*difficulty*IF(Y155&lt;&gt;"",VLOOKUP(LEFT(Y155,2),cityindex,3,0),1)+W155*markup*difficulty*IF(Y155&lt;&gt;"",VLOOKUP(LEFT(Y155,2),cityindex,3,0),1))))</f>
        <v>0</v>
      </c>
      <c r="S155" s="143">
        <f t="shared" si="12"/>
        <v>0</v>
      </c>
      <c r="X155" s="143">
        <f t="shared" si="13"/>
        <v>0</v>
      </c>
      <c r="AD155" s="604"/>
    </row>
    <row r="156" spans="4:30" hidden="1" x14ac:dyDescent="0.2">
      <c r="D156" s="214" t="s">
        <v>277</v>
      </c>
      <c r="E156" s="215"/>
      <c r="F156" s="215"/>
      <c r="G156" s="215"/>
      <c r="H156" s="215"/>
      <c r="K156" s="149">
        <f>R156*tax*markup*IF(Y156&lt;&gt;"",VLOOKUP(LEFT(Y156,2),cityindex,2,0),1)</f>
        <v>0</v>
      </c>
      <c r="L156" s="149">
        <f>S156*markup*difficulty*IF(Y156&lt;&gt;"",VLOOKUP(LEFT(Y156,2),cityindex,3,0),1)</f>
        <v>0</v>
      </c>
      <c r="M156" s="149">
        <f>W156*markup*difficulty*IF(Y156&lt;&gt;"",VLOOKUP(LEFT(Y156,2),cityindex,3,0),1)</f>
        <v>0</v>
      </c>
      <c r="N156" s="149"/>
      <c r="O156" s="149">
        <f>SUM(K156:N156)*embed</f>
        <v>0</v>
      </c>
      <c r="P156" s="216">
        <f>ROUND((O156*I156),0)</f>
        <v>0</v>
      </c>
      <c r="Q156" s="291">
        <f>IF(O156=0,0,IF(X156=0,"manual",O156/((R156*tax*markup*IF(Y156&lt;&gt;"",VLOOKUP(LEFT(Y156,2),cityindex,2,0),1))+S156*markup*difficulty*IF(Y156&lt;&gt;"",VLOOKUP(LEFT(Y156,2),cityindex,3,0),1)+W156*markup*difficulty*IF(Y156&lt;&gt;"",VLOOKUP(LEFT(Y156,2),cityindex,3,0),1))))</f>
        <v>0</v>
      </c>
      <c r="S156" s="143">
        <f t="shared" si="12"/>
        <v>0</v>
      </c>
      <c r="X156" s="143">
        <f t="shared" si="13"/>
        <v>0</v>
      </c>
      <c r="AD156" s="604"/>
    </row>
    <row r="157" spans="4:30" hidden="1" x14ac:dyDescent="0.2">
      <c r="D157" s="228"/>
      <c r="E157" s="228"/>
      <c r="F157" s="228"/>
      <c r="G157" s="228"/>
      <c r="H157" s="228"/>
      <c r="I157" s="230"/>
      <c r="J157" s="231"/>
      <c r="K157" s="149">
        <f>R157*tax*markup*IF(Y157&lt;&gt;"",VLOOKUP(LEFT(Y157,2),cityindex,2,0),1)</f>
        <v>0</v>
      </c>
      <c r="L157" s="149">
        <f>S157*markup*difficulty*IF(Y157&lt;&gt;"",VLOOKUP(LEFT(Y157,2),cityindex,3,0),1)</f>
        <v>0</v>
      </c>
      <c r="M157" s="149">
        <f>W157*markup*difficulty*IF(Y157&lt;&gt;"",VLOOKUP(LEFT(Y157,2),cityindex,3,0),1)</f>
        <v>0</v>
      </c>
      <c r="N157" s="149"/>
      <c r="O157" s="149">
        <f>SUM(K157:N157)*embed</f>
        <v>0</v>
      </c>
      <c r="P157" s="216">
        <f>ROUND((O157*I157),0)</f>
        <v>0</v>
      </c>
      <c r="Q157" s="291">
        <f>IF(O157=0,0,IF(X157=0,"manual",(O157/(R157*tax*markup*IF(Y157&lt;&gt;"",VLOOKUP(LEFT(Y157,2),cityindex,2,0),1)+S157*markup*difficulty*IF(Y157&lt;&gt;"",VLOOKUP(LEFT(Y157,2),cityindex,3,0),1)+W157*markup*difficulty*IF(Y157&lt;&gt;"",VLOOKUP(LEFT(Y157,2),cityindex,3,0),1)))-1))</f>
        <v>0</v>
      </c>
      <c r="S157" s="143">
        <f t="shared" si="12"/>
        <v>0</v>
      </c>
      <c r="X157" s="143">
        <f t="shared" si="13"/>
        <v>0</v>
      </c>
      <c r="AD157" s="604"/>
    </row>
    <row r="158" spans="4:30" hidden="1" x14ac:dyDescent="0.2">
      <c r="K158" s="149">
        <f>R158*tax*markup*IF(Y158&lt;&gt;"",VLOOKUP(LEFT(Y158,2),cityindex,2,0),1)</f>
        <v>0</v>
      </c>
      <c r="L158" s="149">
        <f>S158*markup*difficulty*IF(Y158&lt;&gt;"",VLOOKUP(LEFT(Y158,2),cityindex,3,0),1)</f>
        <v>0</v>
      </c>
      <c r="M158" s="149">
        <f>W158*markup*difficulty*IF(Y158&lt;&gt;"",VLOOKUP(LEFT(Y158,2),cityindex,3,0),1)</f>
        <v>0</v>
      </c>
      <c r="N158" s="149"/>
      <c r="O158" s="149">
        <f>SUM(K158:N158)*embed</f>
        <v>0</v>
      </c>
      <c r="P158" s="216">
        <f>ROUND((O158*I158),0)</f>
        <v>0</v>
      </c>
      <c r="Q158" s="291">
        <f>IF(O158=0,0,IF(X158=0,"manual",O158/((R158*tax*markup*IF(Y158&lt;&gt;"",VLOOKUP(LEFT(Y158,2),cityindex,2,0),1))+S158*markup*difficulty*IF(Y158&lt;&gt;"",VLOOKUP(LEFT(Y158,2),cityindex,3,0),1)+W158*markup*difficulty*IF(Y158&lt;&gt;"",VLOOKUP(LEFT(Y158,2),cityindex,3,0),1))))</f>
        <v>0</v>
      </c>
      <c r="S158" s="143">
        <f t="shared" si="12"/>
        <v>0</v>
      </c>
      <c r="X158" s="143">
        <f t="shared" si="13"/>
        <v>0</v>
      </c>
      <c r="AD158" s="604"/>
    </row>
    <row r="159" spans="4:30" ht="24.75" hidden="1" customHeight="1" x14ac:dyDescent="0.2">
      <c r="D159" s="217" t="str">
        <f>"TOTAL - " &amp; D156</f>
        <v>TOTAL - 11  EQUIPMENT</v>
      </c>
      <c r="E159" s="217"/>
      <c r="F159" s="217"/>
      <c r="G159" s="217"/>
      <c r="H159" s="217"/>
      <c r="I159" s="218"/>
      <c r="J159" s="219"/>
      <c r="K159" s="220"/>
      <c r="L159" s="220"/>
      <c r="M159" s="220"/>
      <c r="N159" s="220"/>
      <c r="O159" s="221"/>
      <c r="P159" s="222">
        <f>SUM(P156:P158)</f>
        <v>0</v>
      </c>
      <c r="Q159" s="294" t="str">
        <f>_xlfn.CONCAT(TEXT(SUM(P159/GFA),"$#,##0.00"),"/SF")</f>
        <v>$0.00/SF</v>
      </c>
      <c r="S159" s="143">
        <f t="shared" si="12"/>
        <v>0</v>
      </c>
      <c r="X159" s="143">
        <f t="shared" si="13"/>
        <v>0</v>
      </c>
      <c r="Z159" s="314"/>
      <c r="AA159" s="315"/>
      <c r="AD159" s="604"/>
    </row>
    <row r="160" spans="4:30" hidden="1" x14ac:dyDescent="0.2">
      <c r="K160" s="149">
        <f>R160*tax*markup*IF(Y160&lt;&gt;"",VLOOKUP(LEFT(Y160,2),cityindex,2,0),1)</f>
        <v>0</v>
      </c>
      <c r="L160" s="149">
        <f>S160*markup*difficulty*IF(Y160&lt;&gt;"",VLOOKUP(LEFT(Y160,2),cityindex,3,0),1)</f>
        <v>0</v>
      </c>
      <c r="M160" s="149">
        <f>W160*markup*difficulty*IF(Y160&lt;&gt;"",VLOOKUP(LEFT(Y160,2),cityindex,3,0),1)</f>
        <v>0</v>
      </c>
      <c r="N160" s="149"/>
      <c r="O160" s="149">
        <f>SUM(K160:N160)*embed</f>
        <v>0</v>
      </c>
      <c r="P160" s="216">
        <f>ROUND((O160*I160),0)</f>
        <v>0</v>
      </c>
      <c r="Q160" s="291">
        <f>IF(O160=0,0,IF(X160=0,"manual",O160/((R160*tax*markup*IF(Y160&lt;&gt;"",VLOOKUP(LEFT(Y160,2),cityindex,2,0),1))+S160*markup*difficulty*IF(Y160&lt;&gt;"",VLOOKUP(LEFT(Y160,2),cityindex,3,0),1)+W160*markup*difficulty*IF(Y160&lt;&gt;"",VLOOKUP(LEFT(Y160,2),cityindex,3,0),1))))</f>
        <v>0</v>
      </c>
      <c r="S160" s="143">
        <f t="shared" si="12"/>
        <v>0</v>
      </c>
      <c r="X160" s="143">
        <f t="shared" si="13"/>
        <v>0</v>
      </c>
      <c r="AD160" s="604"/>
    </row>
    <row r="161" spans="4:30" hidden="1" x14ac:dyDescent="0.2">
      <c r="D161" s="214" t="s">
        <v>278</v>
      </c>
      <c r="E161" s="215"/>
      <c r="F161" s="215"/>
      <c r="G161" s="215"/>
      <c r="H161" s="215"/>
      <c r="K161" s="149">
        <f>R161*tax*markup*IF(Y161&lt;&gt;"",VLOOKUP(LEFT(Y161,2),cityindex,2,0),1)</f>
        <v>0</v>
      </c>
      <c r="L161" s="149">
        <f>S161*markup*difficulty*IF(Y161&lt;&gt;"",VLOOKUP(LEFT(Y161,2),cityindex,3,0),1)</f>
        <v>0</v>
      </c>
      <c r="M161" s="149">
        <f>W161*markup*difficulty*IF(Y161&lt;&gt;"",VLOOKUP(LEFT(Y161,2),cityindex,3,0),1)</f>
        <v>0</v>
      </c>
      <c r="N161" s="149"/>
      <c r="O161" s="149">
        <f>SUM(K161:N161)*embed</f>
        <v>0</v>
      </c>
      <c r="P161" s="216">
        <f>ROUND((O161*I161),0)</f>
        <v>0</v>
      </c>
      <c r="Q161" s="291">
        <f>IF(O161=0,0,IF(X161=0,"manual",O161/((R161*tax*markup*IF(Y161&lt;&gt;"",VLOOKUP(LEFT(Y161,2),cityindex,2,0),1))+S161*markup*difficulty*IF(Y161&lt;&gt;"",VLOOKUP(LEFT(Y161,2),cityindex,3,0),1)+W161*markup*difficulty*IF(Y161&lt;&gt;"",VLOOKUP(LEFT(Y161,2),cityindex,3,0),1))))</f>
        <v>0</v>
      </c>
      <c r="S161" s="143">
        <f t="shared" si="12"/>
        <v>0</v>
      </c>
      <c r="X161" s="143">
        <f t="shared" si="13"/>
        <v>0</v>
      </c>
      <c r="AD161" s="604"/>
    </row>
    <row r="162" spans="4:30" hidden="1" x14ac:dyDescent="0.2">
      <c r="D162" s="228"/>
      <c r="E162" s="228"/>
      <c r="F162" s="228"/>
      <c r="G162" s="228"/>
      <c r="H162" s="228"/>
      <c r="I162" s="230"/>
      <c r="J162" s="231"/>
      <c r="K162" s="149">
        <f>R162*tax*markup*IF(Y162&lt;&gt;"",VLOOKUP(LEFT(Y162,2),cityindex,2,0),1)</f>
        <v>0</v>
      </c>
      <c r="L162" s="149">
        <f>S162*markup*difficulty*IF(Y162&lt;&gt;"",VLOOKUP(LEFT(Y162,2),cityindex,3,0),1)</f>
        <v>0</v>
      </c>
      <c r="M162" s="149">
        <f>W162*markup*difficulty*IF(Y162&lt;&gt;"",VLOOKUP(LEFT(Y162,2),cityindex,3,0),1)</f>
        <v>0</v>
      </c>
      <c r="N162" s="149"/>
      <c r="O162" s="149">
        <f>SUM(K162:N162)*embed</f>
        <v>0</v>
      </c>
      <c r="P162" s="216">
        <f>ROUND((O162*I162),0)</f>
        <v>0</v>
      </c>
      <c r="Q162" s="291">
        <f>IF(O162=0,0,IF(X162=0,"manual",(O162/(R162*tax*markup*IF(Y162&lt;&gt;"",VLOOKUP(LEFT(Y162,2),cityindex,2,0),1)+S162*markup*difficulty*IF(Y162&lt;&gt;"",VLOOKUP(LEFT(Y162,2),cityindex,3,0),1)+W162*markup*difficulty*IF(Y162&lt;&gt;"",VLOOKUP(LEFT(Y162,2),cityindex,3,0),1)))-1))</f>
        <v>0</v>
      </c>
      <c r="S162" s="143">
        <f t="shared" si="12"/>
        <v>0</v>
      </c>
      <c r="X162" s="143">
        <f t="shared" si="13"/>
        <v>0</v>
      </c>
      <c r="AD162" s="604"/>
    </row>
    <row r="163" spans="4:30" hidden="1" x14ac:dyDescent="0.2">
      <c r="K163" s="149">
        <f>R163*tax*markup*IF(Y163&lt;&gt;"",VLOOKUP(LEFT(Y163,2),cityindex,2,0),1)</f>
        <v>0</v>
      </c>
      <c r="L163" s="149">
        <f>S163*markup*difficulty*IF(Y163&lt;&gt;"",VLOOKUP(LEFT(Y163,2),cityindex,3,0),1)</f>
        <v>0</v>
      </c>
      <c r="M163" s="149">
        <f>W163*markup*difficulty*IF(Y163&lt;&gt;"",VLOOKUP(LEFT(Y163,2),cityindex,3,0),1)</f>
        <v>0</v>
      </c>
      <c r="N163" s="149"/>
      <c r="O163" s="149">
        <f>SUM(K163:N163)*embed</f>
        <v>0</v>
      </c>
      <c r="P163" s="216">
        <f>ROUND((O163*I163),0)</f>
        <v>0</v>
      </c>
      <c r="Q163" s="291">
        <f>IF(O163=0,0,IF(X163=0,"manual",O163/((R163*tax*markup*IF(Y163&lt;&gt;"",VLOOKUP(LEFT(Y163,2),cityindex,2,0),1))+S163*markup*difficulty*IF(Y163&lt;&gt;"",VLOOKUP(LEFT(Y163,2),cityindex,3,0),1)+W163*markup*difficulty*IF(Y163&lt;&gt;"",VLOOKUP(LEFT(Y163,2),cityindex,3,0),1))))</f>
        <v>0</v>
      </c>
      <c r="S163" s="143">
        <f t="shared" si="12"/>
        <v>0</v>
      </c>
      <c r="X163" s="143">
        <f t="shared" si="13"/>
        <v>0</v>
      </c>
      <c r="AD163" s="604"/>
    </row>
    <row r="164" spans="4:30" ht="24.75" hidden="1" customHeight="1" x14ac:dyDescent="0.2">
      <c r="D164" s="217" t="str">
        <f>"TOTAL - " &amp; D161</f>
        <v>TOTAL - 12  FURNISHINGS</v>
      </c>
      <c r="E164" s="217"/>
      <c r="F164" s="217"/>
      <c r="G164" s="217"/>
      <c r="H164" s="217"/>
      <c r="I164" s="218"/>
      <c r="J164" s="219"/>
      <c r="K164" s="220"/>
      <c r="L164" s="220"/>
      <c r="M164" s="220"/>
      <c r="N164" s="220"/>
      <c r="O164" s="221"/>
      <c r="P164" s="222">
        <f>SUM(P161:P163)</f>
        <v>0</v>
      </c>
      <c r="Q164" s="294" t="str">
        <f>_xlfn.CONCAT(TEXT(SUM(P164/GFA),"$#,##0.00"),"/SF")</f>
        <v>$0.00/SF</v>
      </c>
      <c r="S164" s="143">
        <f t="shared" si="12"/>
        <v>0</v>
      </c>
      <c r="X164" s="143">
        <f t="shared" si="13"/>
        <v>0</v>
      </c>
      <c r="Z164" s="314"/>
      <c r="AA164" s="315"/>
      <c r="AD164" s="604"/>
    </row>
    <row r="165" spans="4:30" hidden="1" x14ac:dyDescent="0.2">
      <c r="K165" s="149">
        <f>R165*tax*markup*IF(Y165&lt;&gt;"",VLOOKUP(LEFT(Y165,2),cityindex,2,0),1)</f>
        <v>0</v>
      </c>
      <c r="L165" s="149">
        <f>S165*markup*difficulty*IF(Y165&lt;&gt;"",VLOOKUP(LEFT(Y165,2),cityindex,3,0),1)</f>
        <v>0</v>
      </c>
      <c r="M165" s="149">
        <f>W165*markup*difficulty*IF(Y165&lt;&gt;"",VLOOKUP(LEFT(Y165,2),cityindex,3,0),1)</f>
        <v>0</v>
      </c>
      <c r="N165" s="149"/>
      <c r="O165" s="149">
        <f>SUM(K165:N165)*embed</f>
        <v>0</v>
      </c>
      <c r="P165" s="216">
        <f>ROUND((O165*I165),0)</f>
        <v>0</v>
      </c>
      <c r="Q165" s="291">
        <f>IF(O165=0,0,IF(X165=0,"manual",O165/((R165*tax*markup*IF(Y165&lt;&gt;"",VLOOKUP(LEFT(Y165,2),cityindex,2,0),1))+S165*markup*difficulty*IF(Y165&lt;&gt;"",VLOOKUP(LEFT(Y165,2),cityindex,3,0),1)+W165*markup*difficulty*IF(Y165&lt;&gt;"",VLOOKUP(LEFT(Y165,2),cityindex,3,0),1))))</f>
        <v>0</v>
      </c>
      <c r="S165" s="143">
        <f t="shared" si="12"/>
        <v>0</v>
      </c>
      <c r="X165" s="143">
        <f t="shared" si="13"/>
        <v>0</v>
      </c>
      <c r="AD165" s="604"/>
    </row>
    <row r="166" spans="4:30" hidden="1" x14ac:dyDescent="0.2">
      <c r="D166" s="214" t="s">
        <v>279</v>
      </c>
      <c r="E166" s="215"/>
      <c r="F166" s="215"/>
      <c r="G166" s="215"/>
      <c r="H166" s="215"/>
      <c r="K166" s="149">
        <f>R166*tax*markup*IF(Y166&lt;&gt;"",VLOOKUP(LEFT(Y166,2),cityindex,2,0),1)</f>
        <v>0</v>
      </c>
      <c r="L166" s="149">
        <f>S166*markup*difficulty*IF(Y166&lt;&gt;"",VLOOKUP(LEFT(Y166,2),cityindex,3,0),1)</f>
        <v>0</v>
      </c>
      <c r="M166" s="149">
        <f>W166*markup*difficulty*IF(Y166&lt;&gt;"",VLOOKUP(LEFT(Y166,2),cityindex,3,0),1)</f>
        <v>0</v>
      </c>
      <c r="N166" s="149"/>
      <c r="O166" s="149">
        <f>SUM(K166:N166)*embed</f>
        <v>0</v>
      </c>
      <c r="P166" s="216">
        <f>ROUND((O166*I166),0)</f>
        <v>0</v>
      </c>
      <c r="Q166" s="291">
        <f>IF(O166=0,0,IF(X166=0,"manual",O166/((R166*tax*markup*IF(Y166&lt;&gt;"",VLOOKUP(LEFT(Y166,2),cityindex,2,0),1))+S166*markup*difficulty*IF(Y166&lt;&gt;"",VLOOKUP(LEFT(Y166,2),cityindex,3,0),1)+W166*markup*difficulty*IF(Y166&lt;&gt;"",VLOOKUP(LEFT(Y166,2),cityindex,3,0),1))))</f>
        <v>0</v>
      </c>
      <c r="S166" s="143">
        <f t="shared" si="12"/>
        <v>0</v>
      </c>
      <c r="X166" s="143">
        <f t="shared" si="13"/>
        <v>0</v>
      </c>
      <c r="AD166" s="604"/>
    </row>
    <row r="167" spans="4:30" hidden="1" x14ac:dyDescent="0.2">
      <c r="D167" s="228"/>
      <c r="E167" s="228"/>
      <c r="F167" s="228"/>
      <c r="G167" s="228"/>
      <c r="H167" s="228"/>
      <c r="I167" s="230"/>
      <c r="J167" s="231"/>
      <c r="K167" s="149">
        <f>R167*tax*markup*IF(Y167&lt;&gt;"",VLOOKUP(LEFT(Y167,2),cityindex,2,0),1)</f>
        <v>0</v>
      </c>
      <c r="L167" s="149">
        <f>S167*markup*difficulty*IF(Y167&lt;&gt;"",VLOOKUP(LEFT(Y167,2),cityindex,3,0),1)</f>
        <v>0</v>
      </c>
      <c r="M167" s="149">
        <f>W167*markup*difficulty*IF(Y167&lt;&gt;"",VLOOKUP(LEFT(Y167,2),cityindex,3,0),1)</f>
        <v>0</v>
      </c>
      <c r="N167" s="149"/>
      <c r="O167" s="149">
        <f>SUM(K167:N167)*embed</f>
        <v>0</v>
      </c>
      <c r="P167" s="216">
        <f>ROUND((O167*I167),0)</f>
        <v>0</v>
      </c>
      <c r="Q167" s="291">
        <f>IF(O167=0,0,IF(X167=0,"manual",(O167/(R167*tax*markup*IF(Y167&lt;&gt;"",VLOOKUP(LEFT(Y167,2),cityindex,2,0),1)+S167*markup*difficulty*IF(Y167&lt;&gt;"",VLOOKUP(LEFT(Y167,2),cityindex,3,0),1)+W167*markup*difficulty*IF(Y167&lt;&gt;"",VLOOKUP(LEFT(Y167,2),cityindex,3,0),1)))-1))</f>
        <v>0</v>
      </c>
      <c r="S167" s="143">
        <f t="shared" si="12"/>
        <v>0</v>
      </c>
      <c r="X167" s="143">
        <f t="shared" si="13"/>
        <v>0</v>
      </c>
      <c r="AD167" s="604"/>
    </row>
    <row r="168" spans="4:30" hidden="1" x14ac:dyDescent="0.2">
      <c r="K168" s="149">
        <f>R168*tax*markup*IF(Y168&lt;&gt;"",VLOOKUP(LEFT(Y168,2),cityindex,2,0),1)</f>
        <v>0</v>
      </c>
      <c r="L168" s="149">
        <f>S168*markup*difficulty*IF(Y168&lt;&gt;"",VLOOKUP(LEFT(Y168,2),cityindex,3,0),1)</f>
        <v>0</v>
      </c>
      <c r="M168" s="149">
        <f>W168*markup*difficulty*IF(Y168&lt;&gt;"",VLOOKUP(LEFT(Y168,2),cityindex,3,0),1)</f>
        <v>0</v>
      </c>
      <c r="N168" s="149"/>
      <c r="O168" s="149">
        <f>SUM(K168:N168)*embed</f>
        <v>0</v>
      </c>
      <c r="P168" s="216">
        <f>ROUND((O168*I168),0)</f>
        <v>0</v>
      </c>
      <c r="Q168" s="291">
        <f>IF(O168=0,0,IF(X168=0,"manual",O168/((R168*tax*markup*IF(Y168&lt;&gt;"",VLOOKUP(LEFT(Y168,2),cityindex,2,0),1))+S168*markup*difficulty*IF(Y168&lt;&gt;"",VLOOKUP(LEFT(Y168,2),cityindex,3,0),1)+W168*markup*difficulty*IF(Y168&lt;&gt;"",VLOOKUP(LEFT(Y168,2),cityindex,3,0),1))))</f>
        <v>0</v>
      </c>
      <c r="S168" s="143">
        <f t="shared" si="12"/>
        <v>0</v>
      </c>
      <c r="X168" s="143">
        <f t="shared" si="13"/>
        <v>0</v>
      </c>
      <c r="AD168" s="604"/>
    </row>
    <row r="169" spans="4:30" ht="24.75" hidden="1" customHeight="1" x14ac:dyDescent="0.2">
      <c r="D169" s="217" t="str">
        <f>"TOTAL - " &amp; D166</f>
        <v>TOTAL - 13  SPECIAL CONSTRUCTION</v>
      </c>
      <c r="E169" s="217"/>
      <c r="F169" s="217"/>
      <c r="G169" s="217"/>
      <c r="H169" s="217"/>
      <c r="I169" s="218"/>
      <c r="J169" s="219"/>
      <c r="K169" s="220"/>
      <c r="L169" s="220"/>
      <c r="M169" s="220"/>
      <c r="N169" s="220"/>
      <c r="O169" s="221"/>
      <c r="P169" s="222">
        <f>SUM(P166:P168)</f>
        <v>0</v>
      </c>
      <c r="Q169" s="294" t="str">
        <f>_xlfn.CONCAT(TEXT(SUM(P169/GFA),"$#,##0.00"),"/SF")</f>
        <v>$0.00/SF</v>
      </c>
      <c r="S169" s="143">
        <f t="shared" si="12"/>
        <v>0</v>
      </c>
      <c r="X169" s="143">
        <f t="shared" si="13"/>
        <v>0</v>
      </c>
      <c r="Z169" s="314"/>
      <c r="AA169" s="315"/>
      <c r="AD169" s="604"/>
    </row>
    <row r="170" spans="4:30" hidden="1" x14ac:dyDescent="0.2">
      <c r="K170" s="149">
        <f>R170*tax*markup*IF(Y170&lt;&gt;"",VLOOKUP(LEFT(Y170,2),cityindex,2,0),1)</f>
        <v>0</v>
      </c>
      <c r="L170" s="149">
        <f>S170*markup*difficulty*IF(Y170&lt;&gt;"",VLOOKUP(LEFT(Y170,2),cityindex,3,0),1)</f>
        <v>0</v>
      </c>
      <c r="M170" s="149">
        <f>W170*markup*difficulty*IF(Y170&lt;&gt;"",VLOOKUP(LEFT(Y170,2),cityindex,3,0),1)</f>
        <v>0</v>
      </c>
      <c r="N170" s="149"/>
      <c r="O170" s="149">
        <f>SUM(K170:N170)*embed</f>
        <v>0</v>
      </c>
      <c r="P170" s="216">
        <f>ROUND((O170*I170),0)</f>
        <v>0</v>
      </c>
      <c r="Q170" s="291">
        <f>IF(O170=0,0,IF(X170=0,"manual",O170/((R170*tax*markup*IF(Y170&lt;&gt;"",VLOOKUP(LEFT(Y170,2),cityindex,2,0),1))+S170*markup*difficulty*IF(Y170&lt;&gt;"",VLOOKUP(LEFT(Y170,2),cityindex,3,0),1)+W170*markup*difficulty*IF(Y170&lt;&gt;"",VLOOKUP(LEFT(Y170,2),cityindex,3,0),1))))</f>
        <v>0</v>
      </c>
      <c r="S170" s="143">
        <f t="shared" si="12"/>
        <v>0</v>
      </c>
      <c r="X170" s="143">
        <f t="shared" si="13"/>
        <v>0</v>
      </c>
      <c r="AD170" s="604"/>
    </row>
    <row r="171" spans="4:30" hidden="1" x14ac:dyDescent="0.2">
      <c r="D171" s="214" t="s">
        <v>280</v>
      </c>
      <c r="E171" s="215"/>
      <c r="F171" s="215"/>
      <c r="G171" s="215"/>
      <c r="H171" s="215"/>
      <c r="K171" s="149">
        <f>R171*tax*markup*IF(Y171&lt;&gt;"",VLOOKUP(LEFT(Y171,2),cityindex,2,0),1)</f>
        <v>0</v>
      </c>
      <c r="L171" s="149">
        <f>S171*markup*difficulty*IF(Y171&lt;&gt;"",VLOOKUP(LEFT(Y171,2),cityindex,3,0),1)</f>
        <v>0</v>
      </c>
      <c r="M171" s="149">
        <f>W171*markup*difficulty*IF(Y171&lt;&gt;"",VLOOKUP(LEFT(Y171,2),cityindex,3,0),1)</f>
        <v>0</v>
      </c>
      <c r="N171" s="149"/>
      <c r="O171" s="149">
        <f>SUM(K171:N171)*embed</f>
        <v>0</v>
      </c>
      <c r="P171" s="216">
        <f>ROUND((O171*I171),0)</f>
        <v>0</v>
      </c>
      <c r="Q171" s="291">
        <f>IF(O171=0,0,IF(X171=0,"manual",O171/((R171*tax*markup*IF(Y171&lt;&gt;"",VLOOKUP(LEFT(Y171,2),cityindex,2,0),1))+S171*markup*difficulty*IF(Y171&lt;&gt;"",VLOOKUP(LEFT(Y171,2),cityindex,3,0),1)+W171*markup*difficulty*IF(Y171&lt;&gt;"",VLOOKUP(LEFT(Y171,2),cityindex,3,0),1))))</f>
        <v>0</v>
      </c>
      <c r="S171" s="143">
        <f t="shared" si="12"/>
        <v>0</v>
      </c>
      <c r="X171" s="143">
        <f t="shared" si="13"/>
        <v>0</v>
      </c>
      <c r="AD171" s="604"/>
    </row>
    <row r="172" spans="4:30" hidden="1" x14ac:dyDescent="0.2">
      <c r="D172" s="228"/>
      <c r="E172" s="228"/>
      <c r="F172" s="228"/>
      <c r="G172" s="228"/>
      <c r="H172" s="228"/>
      <c r="I172" s="230"/>
      <c r="J172" s="231"/>
      <c r="K172" s="149">
        <f>R172*tax*markup*IF(Y172&lt;&gt;"",VLOOKUP(LEFT(Y172,2),cityindex,2,0),1)</f>
        <v>0</v>
      </c>
      <c r="L172" s="149">
        <f>S172*markup*difficulty*IF(Y172&lt;&gt;"",VLOOKUP(LEFT(Y172,2),cityindex,3,0),1)</f>
        <v>0</v>
      </c>
      <c r="M172" s="149">
        <f>W172*markup*difficulty*IF(Y172&lt;&gt;"",VLOOKUP(LEFT(Y172,2),cityindex,3,0),1)</f>
        <v>0</v>
      </c>
      <c r="N172" s="149"/>
      <c r="O172" s="149">
        <f>SUM(K172:N172)*embed</f>
        <v>0</v>
      </c>
      <c r="P172" s="216">
        <f>ROUND((O172*I172),0)</f>
        <v>0</v>
      </c>
      <c r="Q172" s="291">
        <f>IF(O172=0,0,IF(X172=0,"manual",(O172/(R172*tax*markup*IF(Y172&lt;&gt;"",VLOOKUP(LEFT(Y172,2),cityindex,2,0),1)+S172*markup*difficulty*IF(Y172&lt;&gt;"",VLOOKUP(LEFT(Y172,2),cityindex,3,0),1)+W172*markup*difficulty*IF(Y172&lt;&gt;"",VLOOKUP(LEFT(Y172,2),cityindex,3,0),1)))-1))</f>
        <v>0</v>
      </c>
      <c r="S172" s="143">
        <f t="shared" si="12"/>
        <v>0</v>
      </c>
      <c r="X172" s="143">
        <f t="shared" si="13"/>
        <v>0</v>
      </c>
      <c r="AD172" s="604"/>
    </row>
    <row r="173" spans="4:30" hidden="1" x14ac:dyDescent="0.2">
      <c r="K173" s="149">
        <f>R173*tax*markup*IF(Y173&lt;&gt;"",VLOOKUP(LEFT(Y173,2),cityindex,2,0),1)</f>
        <v>0</v>
      </c>
      <c r="L173" s="149">
        <f>S173*markup*difficulty*IF(Y173&lt;&gt;"",VLOOKUP(LEFT(Y173,2),cityindex,3,0),1)</f>
        <v>0</v>
      </c>
      <c r="M173" s="149">
        <f>W173*markup*difficulty*IF(Y173&lt;&gt;"",VLOOKUP(LEFT(Y173,2),cityindex,3,0),1)</f>
        <v>0</v>
      </c>
      <c r="N173" s="149"/>
      <c r="O173" s="149">
        <f>SUM(K173:N173)*embed</f>
        <v>0</v>
      </c>
      <c r="P173" s="216">
        <f>ROUND((O173*I173),0)</f>
        <v>0</v>
      </c>
      <c r="Q173" s="291">
        <f>IF(O173=0,0,IF(X173=0,"manual",O173/((R173*tax*markup*IF(Y173&lt;&gt;"",VLOOKUP(LEFT(Y173,2),cityindex,2,0),1))+S173*markup*difficulty*IF(Y173&lt;&gt;"",VLOOKUP(LEFT(Y173,2),cityindex,3,0),1)+W173*markup*difficulty*IF(Y173&lt;&gt;"",VLOOKUP(LEFT(Y173,2),cityindex,3,0),1))))</f>
        <v>0</v>
      </c>
      <c r="S173" s="143">
        <f t="shared" si="12"/>
        <v>0</v>
      </c>
      <c r="X173" s="143">
        <f t="shared" si="13"/>
        <v>0</v>
      </c>
      <c r="AD173" s="604"/>
    </row>
    <row r="174" spans="4:30" ht="24.75" hidden="1" customHeight="1" x14ac:dyDescent="0.2">
      <c r="D174" s="217" t="str">
        <f>"TOTAL - " &amp; D171</f>
        <v>TOTAL - 14  CONVEYING EQUIPMENT</v>
      </c>
      <c r="E174" s="217"/>
      <c r="F174" s="217"/>
      <c r="G174" s="217"/>
      <c r="H174" s="217"/>
      <c r="I174" s="218"/>
      <c r="J174" s="219"/>
      <c r="K174" s="220"/>
      <c r="L174" s="220"/>
      <c r="M174" s="220"/>
      <c r="N174" s="220"/>
      <c r="O174" s="221"/>
      <c r="P174" s="222">
        <f>SUM(P171:P173)</f>
        <v>0</v>
      </c>
      <c r="Q174" s="294" t="str">
        <f>_xlfn.CONCAT(TEXT(SUM(P174/GFA),"$#,##0.00"),"/SF")</f>
        <v>$0.00/SF</v>
      </c>
      <c r="S174" s="143">
        <f t="shared" si="12"/>
        <v>0</v>
      </c>
      <c r="X174" s="143">
        <f t="shared" si="13"/>
        <v>0</v>
      </c>
      <c r="Z174" s="314"/>
      <c r="AA174" s="315"/>
      <c r="AD174" s="604"/>
    </row>
    <row r="175" spans="4:30" hidden="1" x14ac:dyDescent="0.2">
      <c r="K175" s="149">
        <f>R175*tax*markup*IF(Y175&lt;&gt;"",VLOOKUP(LEFT(Y175,2),cityindex,2,0),1)</f>
        <v>0</v>
      </c>
      <c r="L175" s="149">
        <f>S175*markup*difficulty*IF(Y175&lt;&gt;"",VLOOKUP(LEFT(Y175,2),cityindex,3,0),1)</f>
        <v>0</v>
      </c>
      <c r="M175" s="149">
        <f>W175*markup*difficulty*IF(Y175&lt;&gt;"",VLOOKUP(LEFT(Y175,2),cityindex,3,0),1)</f>
        <v>0</v>
      </c>
      <c r="N175" s="149"/>
      <c r="O175" s="149">
        <f>SUM(K175:N175)*embed</f>
        <v>0</v>
      </c>
      <c r="P175" s="216">
        <f>ROUND((O175*I175),0)</f>
        <v>0</v>
      </c>
      <c r="Q175" s="291">
        <f>IF(O175=0,0,IF(X175=0,"manual",O175/((R175*tax*markup*IF(Y175&lt;&gt;"",VLOOKUP(LEFT(Y175,2),cityindex,2,0),1))+S175*markup*difficulty*IF(Y175&lt;&gt;"",VLOOKUP(LEFT(Y175,2),cityindex,3,0),1)+W175*markup*difficulty*IF(Y175&lt;&gt;"",VLOOKUP(LEFT(Y175,2),cityindex,3,0),1))))</f>
        <v>0</v>
      </c>
      <c r="S175" s="143">
        <f t="shared" si="12"/>
        <v>0</v>
      </c>
      <c r="X175" s="143">
        <f t="shared" si="13"/>
        <v>0</v>
      </c>
      <c r="AD175" s="604"/>
    </row>
    <row r="176" spans="4:30" hidden="1" x14ac:dyDescent="0.2">
      <c r="D176" s="214" t="s">
        <v>281</v>
      </c>
      <c r="E176" s="215"/>
      <c r="F176" s="215"/>
      <c r="G176" s="215"/>
      <c r="H176" s="215"/>
      <c r="K176" s="149">
        <f>R176*tax*markup*IF(Y176&lt;&gt;"",VLOOKUP(LEFT(Y176,2),cityindex,2,0),1)</f>
        <v>0</v>
      </c>
      <c r="L176" s="149">
        <f>S176*markup*difficulty*IF(Y176&lt;&gt;"",VLOOKUP(LEFT(Y176,2),cityindex,3,0),1)</f>
        <v>0</v>
      </c>
      <c r="M176" s="149">
        <f>W176*markup*difficulty*IF(Y176&lt;&gt;"",VLOOKUP(LEFT(Y176,2),cityindex,3,0),1)</f>
        <v>0</v>
      </c>
      <c r="N176" s="149"/>
      <c r="O176" s="149">
        <f>SUM(K176:N176)*embed</f>
        <v>0</v>
      </c>
      <c r="P176" s="216">
        <f>ROUND((O176*I176),0)</f>
        <v>0</v>
      </c>
      <c r="Q176" s="291">
        <f>IF(O176=0,0,IF(X176=0,"manual",O176/((R176*tax*markup*IF(Y176&lt;&gt;"",VLOOKUP(LEFT(Y176,2),cityindex,2,0),1))+S176*markup*difficulty*IF(Y176&lt;&gt;"",VLOOKUP(LEFT(Y176,2),cityindex,3,0),1)+W176*markup*difficulty*IF(Y176&lt;&gt;"",VLOOKUP(LEFT(Y176,2),cityindex,3,0),1))))</f>
        <v>0</v>
      </c>
      <c r="S176" s="143">
        <f t="shared" si="12"/>
        <v>0</v>
      </c>
      <c r="X176" s="143">
        <f t="shared" si="13"/>
        <v>0</v>
      </c>
      <c r="AD176" s="604"/>
    </row>
    <row r="177" spans="4:30" hidden="1" x14ac:dyDescent="0.2">
      <c r="D177" s="228"/>
      <c r="E177" s="228"/>
      <c r="F177" s="228"/>
      <c r="G177" s="228"/>
      <c r="H177" s="228"/>
      <c r="I177" s="230"/>
      <c r="J177" s="231"/>
      <c r="K177" s="149">
        <f>R177*tax*markup*IF(Y177&lt;&gt;"",VLOOKUP(LEFT(Y177,2),cityindex,2,0),1)</f>
        <v>0</v>
      </c>
      <c r="L177" s="149">
        <f>S177*markup*difficulty*IF(Y177&lt;&gt;"",VLOOKUP(LEFT(Y177,2),cityindex,3,0),1)</f>
        <v>0</v>
      </c>
      <c r="M177" s="149">
        <f>W177*markup*difficulty*IF(Y177&lt;&gt;"",VLOOKUP(LEFT(Y177,2),cityindex,3,0),1)</f>
        <v>0</v>
      </c>
      <c r="N177" s="149"/>
      <c r="O177" s="149">
        <f>SUM(K177:N177)*embed</f>
        <v>0</v>
      </c>
      <c r="P177" s="216">
        <f>ROUND((O177*I177),0)</f>
        <v>0</v>
      </c>
      <c r="Q177" s="291">
        <f>IF(O177=0,0,IF(X177=0,"manual",(O177/(R177*tax*markup*IF(Y177&lt;&gt;"",VLOOKUP(LEFT(Y177,2),cityindex,2,0),1)+S177*markup*difficulty*IF(Y177&lt;&gt;"",VLOOKUP(LEFT(Y177,2),cityindex,3,0),1)+W177*markup*difficulty*IF(Y177&lt;&gt;"",VLOOKUP(LEFT(Y177,2),cityindex,3,0),1)))-1))</f>
        <v>0</v>
      </c>
      <c r="S177" s="143">
        <f t="shared" ref="S177:S207" si="14">U177*V177</f>
        <v>0</v>
      </c>
      <c r="X177" s="143">
        <f t="shared" ref="X177:X207" si="15">SUM(R177,S177,W177)</f>
        <v>0</v>
      </c>
      <c r="AD177" s="604"/>
    </row>
    <row r="178" spans="4:30" hidden="1" x14ac:dyDescent="0.2">
      <c r="K178" s="149">
        <f>R178*tax*markup*IF(Y178&lt;&gt;"",VLOOKUP(LEFT(Y178,2),cityindex,2,0),1)</f>
        <v>0</v>
      </c>
      <c r="L178" s="149">
        <f>S178*markup*difficulty*IF(Y178&lt;&gt;"",VLOOKUP(LEFT(Y178,2),cityindex,3,0),1)</f>
        <v>0</v>
      </c>
      <c r="M178" s="149">
        <f>W178*markup*difficulty*IF(Y178&lt;&gt;"",VLOOKUP(LEFT(Y178,2),cityindex,3,0),1)</f>
        <v>0</v>
      </c>
      <c r="N178" s="149"/>
      <c r="O178" s="149">
        <f>SUM(K178:N178)*embed</f>
        <v>0</v>
      </c>
      <c r="P178" s="216">
        <f>ROUND((O178*I178),0)</f>
        <v>0</v>
      </c>
      <c r="Q178" s="291">
        <f>IF(O178=0,0,IF(X178=0,"manual",O178/((R178*tax*markup*IF(Y178&lt;&gt;"",VLOOKUP(LEFT(Y178,2),cityindex,2,0),1))+S178*markup*difficulty*IF(Y178&lt;&gt;"",VLOOKUP(LEFT(Y178,2),cityindex,3,0),1)+W178*markup*difficulty*IF(Y178&lt;&gt;"",VLOOKUP(LEFT(Y178,2),cityindex,3,0),1))))</f>
        <v>0</v>
      </c>
      <c r="S178" s="143">
        <f t="shared" si="14"/>
        <v>0</v>
      </c>
      <c r="X178" s="143">
        <f t="shared" si="15"/>
        <v>0</v>
      </c>
      <c r="AD178" s="604"/>
    </row>
    <row r="179" spans="4:30" ht="24.75" hidden="1" customHeight="1" x14ac:dyDescent="0.2">
      <c r="D179" s="217" t="str">
        <f>"TOTAL - " &amp; D176</f>
        <v>TOTAL - 21  FIRE SUPPRESSION</v>
      </c>
      <c r="E179" s="217"/>
      <c r="F179" s="217"/>
      <c r="G179" s="217"/>
      <c r="H179" s="217"/>
      <c r="I179" s="218"/>
      <c r="J179" s="219"/>
      <c r="K179" s="220"/>
      <c r="L179" s="220"/>
      <c r="M179" s="220"/>
      <c r="N179" s="220"/>
      <c r="O179" s="221"/>
      <c r="P179" s="222">
        <f>SUM(P176:P178)</f>
        <v>0</v>
      </c>
      <c r="Q179" s="294" t="str">
        <f>_xlfn.CONCAT(TEXT(SUM(P179/GFA),"$#,##0.00"),"/SF")</f>
        <v>$0.00/SF</v>
      </c>
      <c r="S179" s="143">
        <f t="shared" si="14"/>
        <v>0</v>
      </c>
      <c r="X179" s="143">
        <f t="shared" si="15"/>
        <v>0</v>
      </c>
      <c r="Z179" s="314"/>
      <c r="AA179" s="315"/>
      <c r="AD179" s="604"/>
    </row>
    <row r="180" spans="4:30" hidden="1" x14ac:dyDescent="0.2">
      <c r="K180" s="149">
        <f>R180*tax*markup*IF(Y180&lt;&gt;"",VLOOKUP(LEFT(Y180,2),cityindex,2,0),1)</f>
        <v>0</v>
      </c>
      <c r="L180" s="149">
        <f>S180*markup*difficulty*IF(Y180&lt;&gt;"",VLOOKUP(LEFT(Y180,2),cityindex,3,0),1)</f>
        <v>0</v>
      </c>
      <c r="M180" s="149">
        <f>W180*markup*difficulty*IF(Y180&lt;&gt;"",VLOOKUP(LEFT(Y180,2),cityindex,3,0),1)</f>
        <v>0</v>
      </c>
      <c r="N180" s="149"/>
      <c r="O180" s="149">
        <f>SUM(K180:N180)*embed</f>
        <v>0</v>
      </c>
      <c r="P180" s="216">
        <f>ROUND((O180*I180),0)</f>
        <v>0</v>
      </c>
      <c r="Q180" s="291">
        <f>IF(O180=0,0,IF(X180=0,"manual",O180/((R180*tax*markup*IF(Y180&lt;&gt;"",VLOOKUP(LEFT(Y180,2),cityindex,2,0),1))+S180*markup*difficulty*IF(Y180&lt;&gt;"",VLOOKUP(LEFT(Y180,2),cityindex,3,0),1)+W180*markup*difficulty*IF(Y180&lt;&gt;"",VLOOKUP(LEFT(Y180,2),cityindex,3,0),1))))</f>
        <v>0</v>
      </c>
      <c r="S180" s="143">
        <f t="shared" si="14"/>
        <v>0</v>
      </c>
      <c r="X180" s="143">
        <f t="shared" si="15"/>
        <v>0</v>
      </c>
      <c r="AD180" s="604"/>
    </row>
    <row r="181" spans="4:30" hidden="1" x14ac:dyDescent="0.2">
      <c r="D181" s="214" t="s">
        <v>282</v>
      </c>
      <c r="E181" s="215"/>
      <c r="F181" s="215"/>
      <c r="G181" s="215"/>
      <c r="H181" s="215"/>
      <c r="K181" s="149">
        <f>R181*tax*markup*IF(Y181&lt;&gt;"",VLOOKUP(LEFT(Y181,2),cityindex,2,0),1)</f>
        <v>0</v>
      </c>
      <c r="L181" s="149">
        <f>S181*markup*difficulty*IF(Y181&lt;&gt;"",VLOOKUP(LEFT(Y181,2),cityindex,3,0),1)</f>
        <v>0</v>
      </c>
      <c r="M181" s="149">
        <f>W181*markup*difficulty*IF(Y181&lt;&gt;"",VLOOKUP(LEFT(Y181,2),cityindex,3,0),1)</f>
        <v>0</v>
      </c>
      <c r="N181" s="149"/>
      <c r="O181" s="149">
        <f>SUM(K181:N181)*embed</f>
        <v>0</v>
      </c>
      <c r="P181" s="216">
        <f>ROUND((O181*I181),0)</f>
        <v>0</v>
      </c>
      <c r="Q181" s="291">
        <f>IF(O181=0,0,IF(X181=0,"manual",O181/((R181*tax*markup*IF(Y181&lt;&gt;"",VLOOKUP(LEFT(Y181,2),cityindex,2,0),1))+S181*markup*difficulty*IF(Y181&lt;&gt;"",VLOOKUP(LEFT(Y181,2),cityindex,3,0),1)+W181*markup*difficulty*IF(Y181&lt;&gt;"",VLOOKUP(LEFT(Y181,2),cityindex,3,0),1))))</f>
        <v>0</v>
      </c>
      <c r="S181" s="143">
        <f t="shared" si="14"/>
        <v>0</v>
      </c>
      <c r="X181" s="143">
        <f t="shared" si="15"/>
        <v>0</v>
      </c>
      <c r="AD181" s="604"/>
    </row>
    <row r="182" spans="4:30" hidden="1" x14ac:dyDescent="0.2">
      <c r="D182" s="228"/>
      <c r="E182" s="228"/>
      <c r="F182" s="228"/>
      <c r="G182" s="228"/>
      <c r="H182" s="228"/>
      <c r="I182" s="230"/>
      <c r="J182" s="231"/>
      <c r="K182" s="149">
        <f>R182*tax*markup*IF(Y182&lt;&gt;"",VLOOKUP(LEFT(Y182,2),cityindex,2,0),1)</f>
        <v>0</v>
      </c>
      <c r="L182" s="149">
        <f>S182*markup*difficulty*IF(Y182&lt;&gt;"",VLOOKUP(LEFT(Y182,2),cityindex,3,0),1)</f>
        <v>0</v>
      </c>
      <c r="M182" s="149">
        <f>W182*markup*difficulty*IF(Y182&lt;&gt;"",VLOOKUP(LEFT(Y182,2),cityindex,3,0),1)</f>
        <v>0</v>
      </c>
      <c r="N182" s="149"/>
      <c r="O182" s="149">
        <f>SUM(K182:N182)*embed</f>
        <v>0</v>
      </c>
      <c r="P182" s="216">
        <f>ROUND((O182*I182),0)</f>
        <v>0</v>
      </c>
      <c r="Q182" s="291">
        <f>IF(O182=0,0,IF(X182=0,"manual",(O182/(R182*tax*markup*IF(Y182&lt;&gt;"",VLOOKUP(LEFT(Y182,2),cityindex,2,0),1)+S182*markup*difficulty*IF(Y182&lt;&gt;"",VLOOKUP(LEFT(Y182,2),cityindex,3,0),1)+W182*markup*difficulty*IF(Y182&lt;&gt;"",VLOOKUP(LEFT(Y182,2),cityindex,3,0),1)))-1))</f>
        <v>0</v>
      </c>
      <c r="S182" s="143">
        <f t="shared" si="14"/>
        <v>0</v>
      </c>
      <c r="X182" s="143">
        <f t="shared" si="15"/>
        <v>0</v>
      </c>
      <c r="AD182" s="604"/>
    </row>
    <row r="183" spans="4:30" hidden="1" x14ac:dyDescent="0.2">
      <c r="K183" s="149">
        <f>R183*tax*markup*IF(Y183&lt;&gt;"",VLOOKUP(LEFT(Y183,2),cityindex,2,0),1)</f>
        <v>0</v>
      </c>
      <c r="L183" s="149">
        <f>S183*markup*difficulty*IF(Y183&lt;&gt;"",VLOOKUP(LEFT(Y183,2),cityindex,3,0),1)</f>
        <v>0</v>
      </c>
      <c r="M183" s="149">
        <f>W183*markup*difficulty*IF(Y183&lt;&gt;"",VLOOKUP(LEFT(Y183,2),cityindex,3,0),1)</f>
        <v>0</v>
      </c>
      <c r="N183" s="149"/>
      <c r="O183" s="149">
        <f>SUM(K183:N183)*embed</f>
        <v>0</v>
      </c>
      <c r="P183" s="216">
        <f>ROUND((O183*I183),0)</f>
        <v>0</v>
      </c>
      <c r="Q183" s="291">
        <f>IF(O183=0,0,IF(X183=0,"manual",O183/((R183*tax*markup*IF(Y183&lt;&gt;"",VLOOKUP(LEFT(Y183,2),cityindex,2,0),1))+S183*markup*difficulty*IF(Y183&lt;&gt;"",VLOOKUP(LEFT(Y183,2),cityindex,3,0),1)+W183*markup*difficulty*IF(Y183&lt;&gt;"",VLOOKUP(LEFT(Y183,2),cityindex,3,0),1))))</f>
        <v>0</v>
      </c>
      <c r="S183" s="143">
        <f t="shared" si="14"/>
        <v>0</v>
      </c>
      <c r="X183" s="143">
        <f t="shared" si="15"/>
        <v>0</v>
      </c>
      <c r="AD183" s="604"/>
    </row>
    <row r="184" spans="4:30" ht="24.75" hidden="1" customHeight="1" x14ac:dyDescent="0.2">
      <c r="D184" s="217" t="str">
        <f>"TOTAL - " &amp; D181</f>
        <v>TOTAL - 22  PLUMBING</v>
      </c>
      <c r="E184" s="217"/>
      <c r="F184" s="217"/>
      <c r="G184" s="217"/>
      <c r="H184" s="217"/>
      <c r="I184" s="218"/>
      <c r="J184" s="219"/>
      <c r="K184" s="220"/>
      <c r="L184" s="220"/>
      <c r="M184" s="220"/>
      <c r="N184" s="220"/>
      <c r="O184" s="221"/>
      <c r="P184" s="222">
        <f>SUM(P181:P183)</f>
        <v>0</v>
      </c>
      <c r="Q184" s="294" t="str">
        <f>_xlfn.CONCAT(TEXT(SUM(P184/GFA),"$#,##0.00"),"/SF")</f>
        <v>$0.00/SF</v>
      </c>
      <c r="S184" s="143">
        <f t="shared" si="14"/>
        <v>0</v>
      </c>
      <c r="X184" s="143">
        <f t="shared" si="15"/>
        <v>0</v>
      </c>
      <c r="Z184" s="314"/>
      <c r="AA184" s="315"/>
      <c r="AD184" s="604"/>
    </row>
    <row r="185" spans="4:30" hidden="1" x14ac:dyDescent="0.2">
      <c r="K185" s="149">
        <f>R185*tax*markup*IF(Y185&lt;&gt;"",VLOOKUP(LEFT(Y185,2),cityindex,2,0),1)</f>
        <v>0</v>
      </c>
      <c r="L185" s="149">
        <f>S185*markup*difficulty*IF(Y185&lt;&gt;"",VLOOKUP(LEFT(Y185,2),cityindex,3,0),1)</f>
        <v>0</v>
      </c>
      <c r="M185" s="149">
        <f>W185*markup*difficulty*IF(Y185&lt;&gt;"",VLOOKUP(LEFT(Y185,2),cityindex,3,0),1)</f>
        <v>0</v>
      </c>
      <c r="N185" s="149"/>
      <c r="O185" s="149">
        <f>SUM(K185:N185)*embed</f>
        <v>0</v>
      </c>
      <c r="P185" s="216">
        <f>ROUND((O185*I185),0)</f>
        <v>0</v>
      </c>
      <c r="Q185" s="291">
        <f>IF(O185=0,0,IF(X185=0,"manual",O185/((R185*tax*markup*IF(Y185&lt;&gt;"",VLOOKUP(LEFT(Y185,2),cityindex,2,0),1))+S185*markup*difficulty*IF(Y185&lt;&gt;"",VLOOKUP(LEFT(Y185,2),cityindex,3,0),1)+W185*markup*difficulty*IF(Y185&lt;&gt;"",VLOOKUP(LEFT(Y185,2),cityindex,3,0),1))))</f>
        <v>0</v>
      </c>
      <c r="S185" s="143">
        <f t="shared" si="14"/>
        <v>0</v>
      </c>
      <c r="X185" s="143">
        <f t="shared" si="15"/>
        <v>0</v>
      </c>
      <c r="AD185" s="604"/>
    </row>
    <row r="186" spans="4:30" hidden="1" x14ac:dyDescent="0.2">
      <c r="D186" s="214" t="s">
        <v>283</v>
      </c>
      <c r="E186" s="215"/>
      <c r="F186" s="215"/>
      <c r="G186" s="215"/>
      <c r="H186" s="215"/>
      <c r="K186" s="149">
        <f>R186*tax*markup*IF(Y186&lt;&gt;"",VLOOKUP(LEFT(Y186,2),cityindex,2,0),1)</f>
        <v>0</v>
      </c>
      <c r="L186" s="149">
        <f>S186*markup*difficulty*IF(Y186&lt;&gt;"",VLOOKUP(LEFT(Y186,2),cityindex,3,0),1)</f>
        <v>0</v>
      </c>
      <c r="M186" s="149">
        <f>W186*markup*difficulty*IF(Y186&lt;&gt;"",VLOOKUP(LEFT(Y186,2),cityindex,3,0),1)</f>
        <v>0</v>
      </c>
      <c r="N186" s="149"/>
      <c r="O186" s="149">
        <f>SUM(K186:N186)*embed</f>
        <v>0</v>
      </c>
      <c r="P186" s="216">
        <f>ROUND((O186*I186),0)</f>
        <v>0</v>
      </c>
      <c r="Q186" s="291">
        <f>IF(O186=0,0,IF(X186=0,"manual",O186/((R186*tax*markup*IF(Y186&lt;&gt;"",VLOOKUP(LEFT(Y186,2),cityindex,2,0),1))+S186*markup*difficulty*IF(Y186&lt;&gt;"",VLOOKUP(LEFT(Y186,2),cityindex,3,0),1)+W186*markup*difficulty*IF(Y186&lt;&gt;"",VLOOKUP(LEFT(Y186,2),cityindex,3,0),1))))</f>
        <v>0</v>
      </c>
      <c r="S186" s="143">
        <f t="shared" si="14"/>
        <v>0</v>
      </c>
      <c r="X186" s="143">
        <f t="shared" si="15"/>
        <v>0</v>
      </c>
      <c r="AD186" s="604"/>
    </row>
    <row r="187" spans="4:30" hidden="1" x14ac:dyDescent="0.2">
      <c r="D187" s="228"/>
      <c r="E187" s="228"/>
      <c r="F187" s="228"/>
      <c r="G187" s="228"/>
      <c r="H187" s="228"/>
      <c r="I187" s="230"/>
      <c r="J187" s="231"/>
      <c r="K187" s="149">
        <f>R187*tax*markup*IF(Y187&lt;&gt;"",VLOOKUP(LEFT(Y187,2),cityindex,2,0),1)</f>
        <v>0</v>
      </c>
      <c r="L187" s="149">
        <f>S187*markup*difficulty*IF(Y187&lt;&gt;"",VLOOKUP(LEFT(Y187,2),cityindex,3,0),1)</f>
        <v>0</v>
      </c>
      <c r="M187" s="149">
        <f>W187*markup*difficulty*IF(Y187&lt;&gt;"",VLOOKUP(LEFT(Y187,2),cityindex,3,0),1)</f>
        <v>0</v>
      </c>
      <c r="N187" s="149"/>
      <c r="O187" s="149">
        <f>SUM(K187:N187)*embed</f>
        <v>0</v>
      </c>
      <c r="P187" s="216">
        <f>ROUND((O187*I187),0)</f>
        <v>0</v>
      </c>
      <c r="Q187" s="291">
        <f>IF(O187=0,0,IF(X187=0,"manual",(O187/(R187*tax*markup*IF(Y187&lt;&gt;"",VLOOKUP(LEFT(Y187,2),cityindex,2,0),1)+S187*markup*difficulty*IF(Y187&lt;&gt;"",VLOOKUP(LEFT(Y187,2),cityindex,3,0),1)+W187*markup*difficulty*IF(Y187&lt;&gt;"",VLOOKUP(LEFT(Y187,2),cityindex,3,0),1)))-1))</f>
        <v>0</v>
      </c>
      <c r="S187" s="143">
        <f t="shared" si="14"/>
        <v>0</v>
      </c>
      <c r="X187" s="143">
        <f t="shared" si="15"/>
        <v>0</v>
      </c>
      <c r="AD187" s="604"/>
    </row>
    <row r="188" spans="4:30" hidden="1" x14ac:dyDescent="0.2">
      <c r="K188" s="149">
        <f>R188*tax*markup*IF(Y188&lt;&gt;"",VLOOKUP(LEFT(Y188,2),cityindex,2,0),1)</f>
        <v>0</v>
      </c>
      <c r="L188" s="149">
        <f>S188*markup*difficulty*IF(Y188&lt;&gt;"",VLOOKUP(LEFT(Y188,2),cityindex,3,0),1)</f>
        <v>0</v>
      </c>
      <c r="M188" s="149">
        <f>W188*markup*difficulty*IF(Y188&lt;&gt;"",VLOOKUP(LEFT(Y188,2),cityindex,3,0),1)</f>
        <v>0</v>
      </c>
      <c r="N188" s="149"/>
      <c r="O188" s="149">
        <f>SUM(K188:N188)*embed</f>
        <v>0</v>
      </c>
      <c r="P188" s="216">
        <f>ROUND((O188*I188),0)</f>
        <v>0</v>
      </c>
      <c r="Q188" s="291">
        <f>IF(O188=0,0,IF(X188=0,"manual",O188/((R188*tax*markup*IF(Y188&lt;&gt;"",VLOOKUP(LEFT(Y188,2),cityindex,2,0),1))+S188*markup*difficulty*IF(Y188&lt;&gt;"",VLOOKUP(LEFT(Y188,2),cityindex,3,0),1)+W188*markup*difficulty*IF(Y188&lt;&gt;"",VLOOKUP(LEFT(Y188,2),cityindex,3,0),1))))</f>
        <v>0</v>
      </c>
      <c r="S188" s="143">
        <f t="shared" si="14"/>
        <v>0</v>
      </c>
      <c r="X188" s="143">
        <f t="shared" si="15"/>
        <v>0</v>
      </c>
      <c r="AD188" s="604"/>
    </row>
    <row r="189" spans="4:30" ht="24.75" hidden="1" customHeight="1" x14ac:dyDescent="0.2">
      <c r="D189" s="217" t="str">
        <f>"TOTAL - " &amp; D186</f>
        <v>TOTAL - 23  HEATING, VENTILATING, AND AIR CONDITIONING</v>
      </c>
      <c r="E189" s="217"/>
      <c r="F189" s="217"/>
      <c r="G189" s="217"/>
      <c r="H189" s="217"/>
      <c r="I189" s="218"/>
      <c r="J189" s="219"/>
      <c r="K189" s="220"/>
      <c r="L189" s="220"/>
      <c r="M189" s="220"/>
      <c r="N189" s="220"/>
      <c r="O189" s="221"/>
      <c r="P189" s="222">
        <f>SUM(P186:P188)</f>
        <v>0</v>
      </c>
      <c r="Q189" s="294" t="str">
        <f>_xlfn.CONCAT(TEXT(SUM(P189/GFA),"$#,##0.00"),"/SF")</f>
        <v>$0.00/SF</v>
      </c>
      <c r="S189" s="143">
        <f t="shared" si="14"/>
        <v>0</v>
      </c>
      <c r="X189" s="143">
        <f t="shared" si="15"/>
        <v>0</v>
      </c>
      <c r="Z189" s="314"/>
      <c r="AA189" s="315"/>
      <c r="AD189" s="604"/>
    </row>
    <row r="190" spans="4:30" hidden="1" x14ac:dyDescent="0.2">
      <c r="K190" s="149">
        <f>R190*tax*markup*IF(Y190&lt;&gt;"",VLOOKUP(LEFT(Y190,2),cityindex,2,0),1)</f>
        <v>0</v>
      </c>
      <c r="L190" s="149">
        <f>S190*markup*difficulty*IF(Y190&lt;&gt;"",VLOOKUP(LEFT(Y190,2),cityindex,3,0),1)</f>
        <v>0</v>
      </c>
      <c r="M190" s="149">
        <f>W190*markup*difficulty*IF(Y190&lt;&gt;"",VLOOKUP(LEFT(Y190,2),cityindex,3,0),1)</f>
        <v>0</v>
      </c>
      <c r="N190" s="149"/>
      <c r="O190" s="149">
        <f>SUM(K190:N190)*embed</f>
        <v>0</v>
      </c>
      <c r="P190" s="216">
        <f>ROUND((O190*I190),0)</f>
        <v>0</v>
      </c>
      <c r="Q190" s="291">
        <f>IF(O190=0,0,IF(X190=0,"manual",O190/((R190*tax*markup*IF(Y190&lt;&gt;"",VLOOKUP(LEFT(Y190,2),cityindex,2,0),1))+S190*markup*difficulty*IF(Y190&lt;&gt;"",VLOOKUP(LEFT(Y190,2),cityindex,3,0),1)+W190*markup*difficulty*IF(Y190&lt;&gt;"",VLOOKUP(LEFT(Y190,2),cityindex,3,0),1))))</f>
        <v>0</v>
      </c>
      <c r="S190" s="143">
        <f t="shared" si="14"/>
        <v>0</v>
      </c>
      <c r="X190" s="143">
        <f t="shared" si="15"/>
        <v>0</v>
      </c>
      <c r="AD190" s="604"/>
    </row>
    <row r="191" spans="4:30" hidden="1" x14ac:dyDescent="0.2">
      <c r="D191" s="214" t="s">
        <v>284</v>
      </c>
      <c r="E191" s="215"/>
      <c r="F191" s="215"/>
      <c r="G191" s="215"/>
      <c r="H191" s="215"/>
      <c r="K191" s="149">
        <f>R191*tax*markup*IF(Y191&lt;&gt;"",VLOOKUP(LEFT(Y191,2),cityindex,2,0),1)</f>
        <v>0</v>
      </c>
      <c r="L191" s="149">
        <f>S191*markup*difficulty*IF(Y191&lt;&gt;"",VLOOKUP(LEFT(Y191,2),cityindex,3,0),1)</f>
        <v>0</v>
      </c>
      <c r="M191" s="149">
        <f>W191*markup*difficulty*IF(Y191&lt;&gt;"",VLOOKUP(LEFT(Y191,2),cityindex,3,0),1)</f>
        <v>0</v>
      </c>
      <c r="N191" s="149"/>
      <c r="O191" s="149">
        <f>SUM(K191:N191)*embed</f>
        <v>0</v>
      </c>
      <c r="P191" s="216">
        <f>ROUND((O191*I191),0)</f>
        <v>0</v>
      </c>
      <c r="Q191" s="291">
        <f>IF(O191=0,0,IF(X191=0,"manual",O191/((R191*tax*markup*IF(Y191&lt;&gt;"",VLOOKUP(LEFT(Y191,2),cityindex,2,0),1))+S191*markup*difficulty*IF(Y191&lt;&gt;"",VLOOKUP(LEFT(Y191,2),cityindex,3,0),1)+W191*markup*difficulty*IF(Y191&lt;&gt;"",VLOOKUP(LEFT(Y191,2),cityindex,3,0),1))))</f>
        <v>0</v>
      </c>
      <c r="S191" s="143">
        <f t="shared" si="14"/>
        <v>0</v>
      </c>
      <c r="X191" s="143">
        <f t="shared" si="15"/>
        <v>0</v>
      </c>
      <c r="AD191" s="604"/>
    </row>
    <row r="192" spans="4:30" hidden="1" x14ac:dyDescent="0.2">
      <c r="D192" s="228"/>
      <c r="E192" s="228"/>
      <c r="F192" s="228"/>
      <c r="G192" s="228"/>
      <c r="H192" s="228"/>
      <c r="I192" s="230"/>
      <c r="J192" s="231"/>
      <c r="K192" s="149">
        <f>R192*tax*markup*IF(Y192&lt;&gt;"",VLOOKUP(LEFT(Y192,2),cityindex,2,0),1)</f>
        <v>0</v>
      </c>
      <c r="L192" s="149">
        <f>S192*markup*difficulty*IF(Y192&lt;&gt;"",VLOOKUP(LEFT(Y192,2),cityindex,3,0),1)</f>
        <v>0</v>
      </c>
      <c r="M192" s="149">
        <f>W192*markup*difficulty*IF(Y192&lt;&gt;"",VLOOKUP(LEFT(Y192,2),cityindex,3,0),1)</f>
        <v>0</v>
      </c>
      <c r="N192" s="149"/>
      <c r="O192" s="149">
        <f>SUM(K192:N192)*embed</f>
        <v>0</v>
      </c>
      <c r="P192" s="216">
        <f>ROUND((O192*I192),0)</f>
        <v>0</v>
      </c>
      <c r="Q192" s="291">
        <f>IF(O192=0,0,IF(X192=0,"manual",(O192/(R192*tax*markup*IF(Y192&lt;&gt;"",VLOOKUP(LEFT(Y192,2),cityindex,2,0),1)+S192*markup*difficulty*IF(Y192&lt;&gt;"",VLOOKUP(LEFT(Y192,2),cityindex,3,0),1)+W192*markup*difficulty*IF(Y192&lt;&gt;"",VLOOKUP(LEFT(Y192,2),cityindex,3,0),1)))-1))</f>
        <v>0</v>
      </c>
      <c r="S192" s="143">
        <f t="shared" si="14"/>
        <v>0</v>
      </c>
      <c r="X192" s="143">
        <f t="shared" si="15"/>
        <v>0</v>
      </c>
      <c r="AD192" s="604"/>
    </row>
    <row r="193" spans="4:32" hidden="1" x14ac:dyDescent="0.2">
      <c r="K193" s="149">
        <f>R193*tax*markup*IF(Y193&lt;&gt;"",VLOOKUP(LEFT(Y193,2),cityindex,2,0),1)</f>
        <v>0</v>
      </c>
      <c r="L193" s="149">
        <f>S193*markup*difficulty*IF(Y193&lt;&gt;"",VLOOKUP(LEFT(Y193,2),cityindex,3,0),1)</f>
        <v>0</v>
      </c>
      <c r="M193" s="149">
        <f>W193*markup*difficulty*IF(Y193&lt;&gt;"",VLOOKUP(LEFT(Y193,2),cityindex,3,0),1)</f>
        <v>0</v>
      </c>
      <c r="N193" s="149"/>
      <c r="O193" s="149">
        <f>SUM(K193:N193)*embed</f>
        <v>0</v>
      </c>
      <c r="P193" s="216">
        <f>ROUND((O193*I193),0)</f>
        <v>0</v>
      </c>
      <c r="Q193" s="291">
        <f>IF(O193=0,0,IF(X193=0,"manual",O193/((R193*tax*markup*IF(Y193&lt;&gt;"",VLOOKUP(LEFT(Y193,2),cityindex,2,0),1))+S193*markup*difficulty*IF(Y193&lt;&gt;"",VLOOKUP(LEFT(Y193,2),cityindex,3,0),1)+W193*markup*difficulty*IF(Y193&lt;&gt;"",VLOOKUP(LEFT(Y193,2),cityindex,3,0),1))))</f>
        <v>0</v>
      </c>
      <c r="S193" s="143">
        <f t="shared" si="14"/>
        <v>0</v>
      </c>
      <c r="X193" s="143">
        <f t="shared" si="15"/>
        <v>0</v>
      </c>
      <c r="AD193" s="604"/>
    </row>
    <row r="194" spans="4:32" ht="24.75" hidden="1" customHeight="1" x14ac:dyDescent="0.2">
      <c r="D194" s="217" t="str">
        <f>"TOTAL - " &amp; D191</f>
        <v>TOTAL - 26  ELECTRICAL</v>
      </c>
      <c r="E194" s="217"/>
      <c r="F194" s="217"/>
      <c r="G194" s="217"/>
      <c r="H194" s="217"/>
      <c r="I194" s="218"/>
      <c r="J194" s="219"/>
      <c r="K194" s="220"/>
      <c r="L194" s="220"/>
      <c r="M194" s="220"/>
      <c r="N194" s="220"/>
      <c r="O194" s="221"/>
      <c r="P194" s="222">
        <f>SUM(P191:P193)</f>
        <v>0</v>
      </c>
      <c r="Q194" s="294" t="str">
        <f>_xlfn.CONCAT(TEXT(SUM(P194/GFA),"$#,##0.00"),"/SF")</f>
        <v>$0.00/SF</v>
      </c>
      <c r="S194" s="143">
        <f t="shared" si="14"/>
        <v>0</v>
      </c>
      <c r="X194" s="143">
        <f t="shared" si="15"/>
        <v>0</v>
      </c>
      <c r="Z194" s="314"/>
      <c r="AA194" s="315"/>
      <c r="AD194" s="604"/>
    </row>
    <row r="195" spans="4:32" hidden="1" x14ac:dyDescent="0.2">
      <c r="K195" s="149">
        <f>R195*tax*markup*IF(Y195&lt;&gt;"",VLOOKUP(LEFT(Y195,2),cityindex,2,0),1)</f>
        <v>0</v>
      </c>
      <c r="L195" s="149">
        <f>S195*markup*difficulty*IF(Y195&lt;&gt;"",VLOOKUP(LEFT(Y195,2),cityindex,3,0),1)</f>
        <v>0</v>
      </c>
      <c r="M195" s="149">
        <f>W195*markup*difficulty*IF(Y195&lt;&gt;"",VLOOKUP(LEFT(Y195,2),cityindex,3,0),1)</f>
        <v>0</v>
      </c>
      <c r="N195" s="149"/>
      <c r="O195" s="149">
        <f>SUM(K195:N195)*embed</f>
        <v>0</v>
      </c>
      <c r="P195" s="216">
        <f>ROUND((O195*I195),0)</f>
        <v>0</v>
      </c>
      <c r="Q195" s="291">
        <f>IF(O195=0,0,IF(X195=0,"manual",O195/((R195*tax*markup*IF(Y195&lt;&gt;"",VLOOKUP(LEFT(Y195,2),cityindex,2,0),1))+S195*markup*difficulty*IF(Y195&lt;&gt;"",VLOOKUP(LEFT(Y195,2),cityindex,3,0),1)+W195*markup*difficulty*IF(Y195&lt;&gt;"",VLOOKUP(LEFT(Y195,2),cityindex,3,0),1))))</f>
        <v>0</v>
      </c>
      <c r="S195" s="143">
        <f t="shared" si="14"/>
        <v>0</v>
      </c>
      <c r="X195" s="143">
        <f t="shared" si="15"/>
        <v>0</v>
      </c>
      <c r="AD195" s="604"/>
    </row>
    <row r="196" spans="4:32" hidden="1" x14ac:dyDescent="0.2">
      <c r="D196" s="214" t="s">
        <v>285</v>
      </c>
      <c r="E196" s="215"/>
      <c r="F196" s="215"/>
      <c r="G196" s="215"/>
      <c r="H196" s="215"/>
      <c r="K196" s="149">
        <f>R196*tax*markup*IF(Y196&lt;&gt;"",VLOOKUP(LEFT(Y196,2),cityindex,2,0),1)</f>
        <v>0</v>
      </c>
      <c r="L196" s="149">
        <f>S196*markup*difficulty*IF(Y196&lt;&gt;"",VLOOKUP(LEFT(Y196,2),cityindex,3,0),1)</f>
        <v>0</v>
      </c>
      <c r="M196" s="149">
        <f>W196*markup*difficulty*IF(Y196&lt;&gt;"",VLOOKUP(LEFT(Y196,2),cityindex,3,0),1)</f>
        <v>0</v>
      </c>
      <c r="N196" s="149"/>
      <c r="O196" s="149">
        <f>SUM(K196:N196)*embed</f>
        <v>0</v>
      </c>
      <c r="P196" s="216">
        <f>ROUND((O196*I196),0)</f>
        <v>0</v>
      </c>
      <c r="Q196" s="291">
        <f>IF(O196=0,0,IF(X196=0,"manual",O196/((R196*tax*markup*IF(Y196&lt;&gt;"",VLOOKUP(LEFT(Y196,2),cityindex,2,0),1))+S196*markup*difficulty*IF(Y196&lt;&gt;"",VLOOKUP(LEFT(Y196,2),cityindex,3,0),1)+W196*markup*difficulty*IF(Y196&lt;&gt;"",VLOOKUP(LEFT(Y196,2),cityindex,3,0),1))))</f>
        <v>0</v>
      </c>
      <c r="S196" s="143">
        <f t="shared" si="14"/>
        <v>0</v>
      </c>
      <c r="X196" s="143">
        <f t="shared" si="15"/>
        <v>0</v>
      </c>
      <c r="AD196" s="604"/>
    </row>
    <row r="197" spans="4:32" hidden="1" x14ac:dyDescent="0.2">
      <c r="D197" s="228"/>
      <c r="E197" s="228"/>
      <c r="F197" s="228"/>
      <c r="G197" s="228"/>
      <c r="H197" s="228"/>
      <c r="I197" s="230"/>
      <c r="J197" s="231"/>
      <c r="K197" s="149">
        <f>R197*tax*markup*IF(Y197&lt;&gt;"",VLOOKUP(LEFT(Y197,2),cityindex,2,0),1)</f>
        <v>0</v>
      </c>
      <c r="L197" s="149">
        <f>S197*markup*difficulty*IF(Y197&lt;&gt;"",VLOOKUP(LEFT(Y197,2),cityindex,3,0),1)</f>
        <v>0</v>
      </c>
      <c r="M197" s="149">
        <f>W197*markup*difficulty*IF(Y197&lt;&gt;"",VLOOKUP(LEFT(Y197,2),cityindex,3,0),1)</f>
        <v>0</v>
      </c>
      <c r="N197" s="149"/>
      <c r="O197" s="149">
        <f>SUM(K197:N197)*embed</f>
        <v>0</v>
      </c>
      <c r="P197" s="216">
        <f>ROUND((O197*I197),0)</f>
        <v>0</v>
      </c>
      <c r="Q197" s="291">
        <f>IF(O197=0,0,IF(X197=0,"manual",(O197/(R197*tax*markup*IF(Y197&lt;&gt;"",VLOOKUP(LEFT(Y197,2),cityindex,2,0),1)+S197*markup*difficulty*IF(Y197&lt;&gt;"",VLOOKUP(LEFT(Y197,2),cityindex,3,0),1)+W197*markup*difficulty*IF(Y197&lt;&gt;"",VLOOKUP(LEFT(Y197,2),cityindex,3,0),1)))-1))</f>
        <v>0</v>
      </c>
      <c r="S197" s="143">
        <f t="shared" si="14"/>
        <v>0</v>
      </c>
      <c r="X197" s="143">
        <f t="shared" si="15"/>
        <v>0</v>
      </c>
      <c r="AD197" s="604"/>
    </row>
    <row r="198" spans="4:32" hidden="1" x14ac:dyDescent="0.2">
      <c r="K198" s="149">
        <f>R198*tax*markup*IF(Y198&lt;&gt;"",VLOOKUP(LEFT(Y198,2),cityindex,2,0),1)</f>
        <v>0</v>
      </c>
      <c r="L198" s="149">
        <f>S198*markup*difficulty*IF(Y198&lt;&gt;"",VLOOKUP(LEFT(Y198,2),cityindex,3,0),1)</f>
        <v>0</v>
      </c>
      <c r="M198" s="149">
        <f>W198*markup*difficulty*IF(Y198&lt;&gt;"",VLOOKUP(LEFT(Y198,2),cityindex,3,0),1)</f>
        <v>0</v>
      </c>
      <c r="N198" s="149"/>
      <c r="O198" s="149">
        <f>SUM(K198:N198)*embed</f>
        <v>0</v>
      </c>
      <c r="P198" s="216">
        <f>ROUND((O198*I198),0)</f>
        <v>0</v>
      </c>
      <c r="Q198" s="291">
        <f>IF(O198=0,0,IF(X198=0,"manual",O198/((R198*tax*markup*IF(Y198&lt;&gt;"",VLOOKUP(LEFT(Y198,2),cityindex,2,0),1))+S198*markup*difficulty*IF(Y198&lt;&gt;"",VLOOKUP(LEFT(Y198,2),cityindex,3,0),1)+W198*markup*difficulty*IF(Y198&lt;&gt;"",VLOOKUP(LEFT(Y198,2),cityindex,3,0),1))))</f>
        <v>0</v>
      </c>
      <c r="S198" s="143">
        <f t="shared" si="14"/>
        <v>0</v>
      </c>
      <c r="X198" s="143">
        <f t="shared" si="15"/>
        <v>0</v>
      </c>
      <c r="AD198" s="604"/>
    </row>
    <row r="199" spans="4:32" ht="24.75" hidden="1" customHeight="1" x14ac:dyDescent="0.2">
      <c r="D199" s="217" t="str">
        <f>"TOTAL - " &amp; D196</f>
        <v>TOTAL - 27  COMMUNICATIONS</v>
      </c>
      <c r="E199" s="217"/>
      <c r="F199" s="217"/>
      <c r="G199" s="217"/>
      <c r="H199" s="217"/>
      <c r="I199" s="218"/>
      <c r="J199" s="219"/>
      <c r="K199" s="220"/>
      <c r="L199" s="220"/>
      <c r="M199" s="220"/>
      <c r="N199" s="220"/>
      <c r="O199" s="221"/>
      <c r="P199" s="222">
        <f>SUM(P196:P198)</f>
        <v>0</v>
      </c>
      <c r="Q199" s="294" t="str">
        <f>_xlfn.CONCAT(TEXT(SUM(P199/GFA),"$#,##0.00"),"/SF")</f>
        <v>$0.00/SF</v>
      </c>
      <c r="S199" s="143">
        <f t="shared" si="14"/>
        <v>0</v>
      </c>
      <c r="X199" s="143">
        <f t="shared" si="15"/>
        <v>0</v>
      </c>
      <c r="Z199" s="314"/>
      <c r="AA199" s="315"/>
      <c r="AD199" s="604"/>
    </row>
    <row r="200" spans="4:32" hidden="1" x14ac:dyDescent="0.2">
      <c r="K200" s="149">
        <f>R200*tax*markup*IF(Y200&lt;&gt;"",VLOOKUP(LEFT(Y200,2),cityindex,2,0),1)</f>
        <v>0</v>
      </c>
      <c r="L200" s="149">
        <f>S200*markup*difficulty*IF(Y200&lt;&gt;"",VLOOKUP(LEFT(Y200,2),cityindex,3,0),1)</f>
        <v>0</v>
      </c>
      <c r="M200" s="149">
        <f>W200*markup*difficulty*IF(Y200&lt;&gt;"",VLOOKUP(LEFT(Y200,2),cityindex,3,0),1)</f>
        <v>0</v>
      </c>
      <c r="N200" s="149"/>
      <c r="O200" s="149">
        <f>SUM(K200:N200)*embed</f>
        <v>0</v>
      </c>
      <c r="P200" s="216">
        <f>ROUND((O200*I200),0)</f>
        <v>0</v>
      </c>
      <c r="Q200" s="291">
        <f>IF(O200=0,0,IF(X200=0,"manual",O200/((R200*tax*markup*IF(Y200&lt;&gt;"",VLOOKUP(LEFT(Y200,2),cityindex,2,0),1))+S200*markup*difficulty*IF(Y200&lt;&gt;"",VLOOKUP(LEFT(Y200,2),cityindex,3,0),1)+W200*markup*difficulty*IF(Y200&lt;&gt;"",VLOOKUP(LEFT(Y200,2),cityindex,3,0),1))))</f>
        <v>0</v>
      </c>
      <c r="S200" s="143">
        <f t="shared" si="14"/>
        <v>0</v>
      </c>
      <c r="X200" s="143">
        <f t="shared" si="15"/>
        <v>0</v>
      </c>
      <c r="AD200" s="604"/>
    </row>
    <row r="201" spans="4:32" hidden="1" x14ac:dyDescent="0.2">
      <c r="D201" s="214" t="s">
        <v>286</v>
      </c>
      <c r="E201" s="215"/>
      <c r="F201" s="215"/>
      <c r="G201" s="215"/>
      <c r="H201" s="215"/>
      <c r="K201" s="149">
        <f>R201*tax*markup*IF(Y201&lt;&gt;"",VLOOKUP(LEFT(Y201,2),cityindex,2,0),1)</f>
        <v>0</v>
      </c>
      <c r="L201" s="149">
        <f>S201*markup*difficulty*IF(Y201&lt;&gt;"",VLOOKUP(LEFT(Y201,2),cityindex,3,0),1)</f>
        <v>0</v>
      </c>
      <c r="M201" s="149">
        <f>W201*markup*difficulty*IF(Y201&lt;&gt;"",VLOOKUP(LEFT(Y201,2),cityindex,3,0),1)</f>
        <v>0</v>
      </c>
      <c r="N201" s="149"/>
      <c r="O201" s="149">
        <f>SUM(K201:N201)*embed</f>
        <v>0</v>
      </c>
      <c r="P201" s="216">
        <f>ROUND((O201*I201),0)</f>
        <v>0</v>
      </c>
      <c r="Q201" s="291">
        <f>IF(O201=0,0,IF(X201=0,"manual",O201/((R201*tax*markup*IF(Y201&lt;&gt;"",VLOOKUP(LEFT(Y201,2),cityindex,2,0),1))+S201*markup*difficulty*IF(Y201&lt;&gt;"",VLOOKUP(LEFT(Y201,2),cityindex,3,0),1)+W201*markup*difficulty*IF(Y201&lt;&gt;"",VLOOKUP(LEFT(Y201,2),cityindex,3,0),1))))</f>
        <v>0</v>
      </c>
      <c r="S201" s="143">
        <f t="shared" si="14"/>
        <v>0</v>
      </c>
      <c r="X201" s="143">
        <f t="shared" si="15"/>
        <v>0</v>
      </c>
      <c r="AD201" s="604"/>
    </row>
    <row r="202" spans="4:32" hidden="1" x14ac:dyDescent="0.2">
      <c r="D202" s="228"/>
      <c r="E202" s="228"/>
      <c r="F202" s="228"/>
      <c r="G202" s="228"/>
      <c r="H202" s="228"/>
      <c r="I202" s="230"/>
      <c r="J202" s="231"/>
      <c r="K202" s="149">
        <f>R202*tax*markup*IF(Y202&lt;&gt;"",VLOOKUP(LEFT(Y202,2),cityindex,2,0),1)</f>
        <v>0</v>
      </c>
      <c r="L202" s="149">
        <f>S202*markup*difficulty*IF(Y202&lt;&gt;"",VLOOKUP(LEFT(Y202,2),cityindex,3,0),1)</f>
        <v>0</v>
      </c>
      <c r="M202" s="149">
        <f>W202*markup*difficulty*IF(Y202&lt;&gt;"",VLOOKUP(LEFT(Y202,2),cityindex,3,0),1)</f>
        <v>0</v>
      </c>
      <c r="N202" s="149"/>
      <c r="O202" s="149">
        <f>SUM(K202:N202)*embed</f>
        <v>0</v>
      </c>
      <c r="P202" s="216">
        <f>ROUND((O202*I202),0)</f>
        <v>0</v>
      </c>
      <c r="Q202" s="291">
        <f>IF(O202=0,0,IF(X202=0,"manual",(O202/(R202*tax*markup*IF(Y202&lt;&gt;"",VLOOKUP(LEFT(Y202,2),cityindex,2,0),1)+S202*markup*difficulty*IF(Y202&lt;&gt;"",VLOOKUP(LEFT(Y202,2),cityindex,3,0),1)+W202*markup*difficulty*IF(Y202&lt;&gt;"",VLOOKUP(LEFT(Y202,2),cityindex,3,0),1)))-1))</f>
        <v>0</v>
      </c>
      <c r="S202" s="143">
        <f t="shared" si="14"/>
        <v>0</v>
      </c>
      <c r="X202" s="143">
        <f t="shared" si="15"/>
        <v>0</v>
      </c>
      <c r="AD202" s="604"/>
    </row>
    <row r="203" spans="4:32" hidden="1" x14ac:dyDescent="0.2">
      <c r="K203" s="149">
        <f>R203*tax*markup*IF(Y203&lt;&gt;"",VLOOKUP(LEFT(Y203,2),cityindex,2,0),1)</f>
        <v>0</v>
      </c>
      <c r="L203" s="149">
        <f>S203*markup*difficulty*IF(Y203&lt;&gt;"",VLOOKUP(LEFT(Y203,2),cityindex,3,0),1)</f>
        <v>0</v>
      </c>
      <c r="M203" s="149">
        <f>W203*markup*difficulty*IF(Y203&lt;&gt;"",VLOOKUP(LEFT(Y203,2),cityindex,3,0),1)</f>
        <v>0</v>
      </c>
      <c r="N203" s="149"/>
      <c r="O203" s="149">
        <f>SUM(K203:N203)*embed</f>
        <v>0</v>
      </c>
      <c r="P203" s="216">
        <f>ROUND((O203*I203),0)</f>
        <v>0</v>
      </c>
      <c r="Q203" s="291">
        <f>IF(O203=0,0,IF(X203=0,"manual",O203/((R203*tax*markup*IF(Y203&lt;&gt;"",VLOOKUP(LEFT(Y203,2),cityindex,2,0),1))+S203*markup*difficulty*IF(Y203&lt;&gt;"",VLOOKUP(LEFT(Y203,2),cityindex,3,0),1)+W203*markup*difficulty*IF(Y203&lt;&gt;"",VLOOKUP(LEFT(Y203,2),cityindex,3,0),1))))</f>
        <v>0</v>
      </c>
      <c r="S203" s="143">
        <f t="shared" si="14"/>
        <v>0</v>
      </c>
      <c r="X203" s="143">
        <f t="shared" si="15"/>
        <v>0</v>
      </c>
      <c r="AD203" s="604"/>
    </row>
    <row r="204" spans="4:32" ht="24.75" hidden="1" customHeight="1" x14ac:dyDescent="0.2">
      <c r="D204" s="217" t="str">
        <f>"TOTAL - " &amp; D201</f>
        <v>TOTAL - 28  ELECTRONIC SAFETY AND SECURITY</v>
      </c>
      <c r="E204" s="217"/>
      <c r="F204" s="217"/>
      <c r="G204" s="217"/>
      <c r="H204" s="217"/>
      <c r="I204" s="218"/>
      <c r="J204" s="219"/>
      <c r="K204" s="220"/>
      <c r="L204" s="220"/>
      <c r="M204" s="220"/>
      <c r="N204" s="220"/>
      <c r="O204" s="221"/>
      <c r="P204" s="222">
        <f>SUM(P201:P203)</f>
        <v>0</v>
      </c>
      <c r="Q204" s="294" t="str">
        <f>_xlfn.CONCAT(TEXT(SUM(P204/GFA),"$#,##0.00"),"/SF")</f>
        <v>$0.00/SF</v>
      </c>
      <c r="S204" s="143">
        <f t="shared" si="14"/>
        <v>0</v>
      </c>
      <c r="X204" s="143">
        <f t="shared" si="15"/>
        <v>0</v>
      </c>
      <c r="Z204" s="314"/>
      <c r="AA204" s="315"/>
      <c r="AD204" s="604"/>
    </row>
    <row r="205" spans="4:32" hidden="1" x14ac:dyDescent="0.2">
      <c r="K205" s="149">
        <f>R205*tax*markup*IF(Y205&lt;&gt;"",VLOOKUP(LEFT(Y205,2),cityindex,2,0),1)</f>
        <v>0</v>
      </c>
      <c r="L205" s="149">
        <f>S205*markup*difficulty*IF(Y205&lt;&gt;"",VLOOKUP(LEFT(Y205,2),cityindex,3,0),1)</f>
        <v>0</v>
      </c>
      <c r="M205" s="149">
        <f t="shared" ref="M205:M216" si="16">W205*markup*difficulty*IF(Y205&lt;&gt;"",VLOOKUP(LEFT(Y205,2),cityindex,3,0),1)</f>
        <v>0</v>
      </c>
      <c r="N205" s="149"/>
      <c r="O205" s="149">
        <f t="shared" ref="O205:O240" si="17">SUM(K205:N205)*embed</f>
        <v>0</v>
      </c>
      <c r="P205" s="216">
        <f t="shared" ref="P205:P240" si="18">ROUND((O205*I205),0)</f>
        <v>0</v>
      </c>
      <c r="Q205" s="291">
        <f>IF(O205=0,0,IF(X205=0,"manual",O205/((R205*tax*markup*IF(Y205&lt;&gt;"",VLOOKUP(LEFT(Y205,2),cityindex,2,0),1))+S205*markup*difficulty*IF(Y205&lt;&gt;"",VLOOKUP(LEFT(Y205,2),cityindex,3,0),1)+W205*markup*difficulty*IF(Y205&lt;&gt;"",VLOOKUP(LEFT(Y205,2),cityindex,3,0),1))))</f>
        <v>0</v>
      </c>
      <c r="S205" s="143">
        <f t="shared" si="14"/>
        <v>0</v>
      </c>
      <c r="X205" s="143">
        <f t="shared" si="15"/>
        <v>0</v>
      </c>
      <c r="AD205" s="604"/>
    </row>
    <row r="206" spans="4:32" x14ac:dyDescent="0.2">
      <c r="D206" s="214" t="s">
        <v>287</v>
      </c>
      <c r="E206" s="215"/>
      <c r="F206" s="215"/>
      <c r="G206" s="215"/>
      <c r="H206" s="215"/>
      <c r="K206" s="149">
        <f>R206*tax*markup*IF(Y206&lt;&gt;"",VLOOKUP(LEFT(Y206,2),cityindex,2,0),1)</f>
        <v>0</v>
      </c>
      <c r="L206" s="149">
        <f>S206*markup*difficulty*IF(Y206&lt;&gt;"",VLOOKUP(LEFT(Y206,2),cityindex,3,0),1)</f>
        <v>0</v>
      </c>
      <c r="M206" s="149">
        <f t="shared" si="16"/>
        <v>0</v>
      </c>
      <c r="N206" s="149"/>
      <c r="O206" s="149">
        <f t="shared" si="17"/>
        <v>0</v>
      </c>
      <c r="P206" s="216">
        <f t="shared" si="18"/>
        <v>0</v>
      </c>
      <c r="Q206" s="291">
        <f>IF(O206=0,0,IF(X206=0,"manual",O206/((R206*tax*markup*IF(Y206&lt;&gt;"",VLOOKUP(LEFT(Y206,2),cityindex,2,0),1))+S206*markup*difficulty*IF(Y206&lt;&gt;"",VLOOKUP(LEFT(Y206,2),cityindex,3,0),1)+W206*markup*difficulty*IF(Y206&lt;&gt;"",VLOOKUP(LEFT(Y206,2),cityindex,3,0),1))))</f>
        <v>0</v>
      </c>
      <c r="S206" s="143">
        <f t="shared" si="14"/>
        <v>0</v>
      </c>
      <c r="X206" s="143">
        <f t="shared" si="15"/>
        <v>0</v>
      </c>
      <c r="AD206" s="604"/>
    </row>
    <row r="207" spans="4:32" x14ac:dyDescent="0.2">
      <c r="D207" s="228"/>
      <c r="E207" s="228" t="s">
        <v>1028</v>
      </c>
      <c r="F207" s="228"/>
      <c r="H207" s="228"/>
      <c r="I207" s="230"/>
      <c r="J207" s="231"/>
      <c r="K207" s="232">
        <f>R207*tax*markup*IF(Y207&lt;&gt;"",VLOOKUP(LEFT(Y207,2),cityindex,2,0),1)</f>
        <v>0</v>
      </c>
      <c r="L207" s="232">
        <f>S207*markup*difficulty*IF(Y207&lt;&gt;"",VLOOKUP(LEFT(Y207,2),cityindex,3,0),1)</f>
        <v>0</v>
      </c>
      <c r="M207" s="232">
        <f t="shared" si="16"/>
        <v>0</v>
      </c>
      <c r="N207" s="232"/>
      <c r="O207" s="232">
        <f t="shared" si="17"/>
        <v>0</v>
      </c>
      <c r="P207" s="233">
        <f t="shared" si="18"/>
        <v>0</v>
      </c>
      <c r="Q207" s="291">
        <f t="shared" ref="Q207:Q240" si="19">IF(O207=0,0,IF(X207=0,"manual",(O207/(R207*tax*markup*IF(Y207&lt;&gt;"",VLOOKUP(LEFT(Y207,2),cityindex,2,0),1)+S207*markup*difficulty*IF(Y207&lt;&gt;"",VLOOKUP(LEFT(Y207,2),cityindex,3,0),1)+W207*markup*difficulty*IF(Y207&lt;&gt;"",VLOOKUP(LEFT(Y207,2),cityindex,3,0),1)))-1))</f>
        <v>0</v>
      </c>
      <c r="S207" s="143">
        <f t="shared" si="14"/>
        <v>0</v>
      </c>
      <c r="X207" s="143">
        <f t="shared" si="15"/>
        <v>0</v>
      </c>
      <c r="AD207" s="604"/>
    </row>
    <row r="208" spans="4:32" x14ac:dyDescent="0.2">
      <c r="D208" s="228"/>
      <c r="E208" s="228"/>
      <c r="F208" s="228" t="s">
        <v>1314</v>
      </c>
      <c r="G208" s="228"/>
      <c r="H208" s="228"/>
      <c r="I208" s="230">
        <v>433</v>
      </c>
      <c r="J208" s="231" t="s">
        <v>309</v>
      </c>
      <c r="K208" s="232">
        <f>R208*tax*markup*IF(Y208&lt;&gt;"",VLOOKUP(LEFT(Y208,2),cityindex,2,0),1)+6.5</f>
        <v>6.5</v>
      </c>
      <c r="L208" s="232">
        <f>S208*markup*difficulty*IF(Y208&lt;&gt;"",VLOOKUP(LEFT(Y208,2),cityindex,3,0),1)+1</f>
        <v>1</v>
      </c>
      <c r="M208" s="232">
        <f t="shared" si="16"/>
        <v>0</v>
      </c>
      <c r="N208" s="232">
        <v>3</v>
      </c>
      <c r="O208" s="232">
        <f t="shared" si="17"/>
        <v>10.5</v>
      </c>
      <c r="P208" s="233">
        <f t="shared" si="18"/>
        <v>4547</v>
      </c>
      <c r="Q208" s="291" t="str">
        <f t="shared" si="19"/>
        <v>manual</v>
      </c>
      <c r="AA208" s="573"/>
      <c r="AC208" s="311"/>
      <c r="AD208" s="604" t="s">
        <v>1313</v>
      </c>
      <c r="AE208" s="236"/>
      <c r="AF208" s="236"/>
    </row>
    <row r="209" spans="1:32" x14ac:dyDescent="0.2">
      <c r="D209" s="228"/>
      <c r="E209" s="228"/>
      <c r="F209" s="228"/>
      <c r="G209" s="228" t="s">
        <v>1315</v>
      </c>
      <c r="H209" s="228"/>
      <c r="I209" s="230">
        <f>I208</f>
        <v>433</v>
      </c>
      <c r="J209" s="231" t="s">
        <v>309</v>
      </c>
      <c r="K209" s="232">
        <f>R209*tax*markup*IF(Y209&lt;&gt;"",VLOOKUP(LEFT(Y209,2),cityindex,2,0),1)</f>
        <v>0</v>
      </c>
      <c r="L209" s="232">
        <f>S209*markup*difficulty*IF(Y209&lt;&gt;"",VLOOKUP(LEFT(Y209,2),cityindex,3,0),1)</f>
        <v>0</v>
      </c>
      <c r="M209" s="232">
        <f t="shared" si="16"/>
        <v>0</v>
      </c>
      <c r="N209" s="232">
        <v>6.79</v>
      </c>
      <c r="O209" s="232">
        <f t="shared" si="17"/>
        <v>6.79</v>
      </c>
      <c r="P209" s="233">
        <f t="shared" si="18"/>
        <v>2940</v>
      </c>
      <c r="Q209" s="291" t="str">
        <f t="shared" si="19"/>
        <v>manual</v>
      </c>
      <c r="S209" s="143">
        <f t="shared" ref="S209:S240" si="20">U209*V209</f>
        <v>0</v>
      </c>
      <c r="X209" s="143">
        <f t="shared" ref="X209:X240" si="21">SUM(R209,S209,W209)</f>
        <v>0</v>
      </c>
      <c r="AA209" s="573"/>
      <c r="AC209" s="311"/>
      <c r="AD209" s="604"/>
      <c r="AE209" s="236"/>
      <c r="AF209" s="236"/>
    </row>
    <row r="210" spans="1:32" hidden="1" x14ac:dyDescent="0.2">
      <c r="D210" s="228"/>
      <c r="E210" s="228"/>
      <c r="F210" s="228"/>
      <c r="G210" s="228"/>
      <c r="H210" s="228"/>
      <c r="I210" s="230"/>
      <c r="J210" s="231"/>
      <c r="K210" s="232">
        <f>R210*tax*markup*IF(Y210&lt;&gt;"",VLOOKUP(LEFT(Y210,2),cityindex,2,0),1)</f>
        <v>0</v>
      </c>
      <c r="L210" s="232">
        <f>S210*markup*difficulty*IF(Y210&lt;&gt;"",VLOOKUP(LEFT(Y210,2),cityindex,3,0),1)</f>
        <v>0</v>
      </c>
      <c r="M210" s="232">
        <f t="shared" si="16"/>
        <v>0</v>
      </c>
      <c r="N210" s="232"/>
      <c r="O210" s="232">
        <f t="shared" si="17"/>
        <v>0</v>
      </c>
      <c r="P210" s="233">
        <f t="shared" si="18"/>
        <v>0</v>
      </c>
      <c r="Q210" s="291">
        <f t="shared" si="19"/>
        <v>0</v>
      </c>
      <c r="S210" s="143">
        <f t="shared" si="20"/>
        <v>0</v>
      </c>
      <c r="X210" s="143">
        <f t="shared" si="21"/>
        <v>0</v>
      </c>
      <c r="AD210" s="604"/>
    </row>
    <row r="211" spans="1:32" hidden="1" x14ac:dyDescent="0.2">
      <c r="A211" s="175"/>
      <c r="C211" s="202"/>
      <c r="D211" s="228"/>
      <c r="E211" s="228" t="str">
        <f>_xlfn.CONCAT("Concrete washout facility, ",Z212,"' x ",AA212,"'")</f>
        <v>Concrete washout facility, ' x 10'</v>
      </c>
      <c r="F211" s="228"/>
      <c r="G211" s="228"/>
      <c r="H211" s="228"/>
      <c r="I211" s="230"/>
      <c r="J211" s="231"/>
      <c r="K211" s="232">
        <f>R211*tax*markup*IF(Y211&lt;&gt;"",VLOOKUP(LEFT(Y211,2),cityindex,2,0),1)</f>
        <v>0</v>
      </c>
      <c r="L211" s="232">
        <f>S211*markup*difficulty*IF(Y211&lt;&gt;"",VLOOKUP(LEFT(Y211,2),cityindex,3,0),1)</f>
        <v>0</v>
      </c>
      <c r="M211" s="232">
        <f t="shared" si="16"/>
        <v>0</v>
      </c>
      <c r="N211" s="232"/>
      <c r="O211" s="232">
        <f t="shared" si="17"/>
        <v>0</v>
      </c>
      <c r="P211" s="233">
        <f t="shared" si="18"/>
        <v>0</v>
      </c>
      <c r="Q211" s="291">
        <f t="shared" si="19"/>
        <v>0</v>
      </c>
      <c r="R211" s="227"/>
      <c r="S211" s="227">
        <f t="shared" si="20"/>
        <v>0</v>
      </c>
      <c r="T211" s="227"/>
      <c r="U211" s="227"/>
      <c r="V211" s="227"/>
      <c r="W211" s="227"/>
      <c r="X211" s="227">
        <f t="shared" si="21"/>
        <v>0</v>
      </c>
      <c r="Y211" s="227"/>
      <c r="Z211" s="316"/>
      <c r="AA211" s="316" t="s">
        <v>1030</v>
      </c>
      <c r="AD211" s="604"/>
    </row>
    <row r="212" spans="1:32" hidden="1" x14ac:dyDescent="0.2">
      <c r="A212" s="175"/>
      <c r="C212" s="202"/>
      <c r="D212" s="228"/>
      <c r="E212" s="228"/>
      <c r="F212" s="228" t="s">
        <v>1031</v>
      </c>
      <c r="G212" s="228"/>
      <c r="H212" s="228"/>
      <c r="I212" s="230"/>
      <c r="J212" s="231" t="s">
        <v>301</v>
      </c>
      <c r="K212" s="232">
        <f>R212*tax*markup*IF(Y212&lt;&gt;"",VLOOKUP(LEFT(Y212,2),cityindex,2,0),1)</f>
        <v>5.9570452981700681</v>
      </c>
      <c r="L212" s="232">
        <f>S212*markup*difficulty*IF(Y212&lt;&gt;"",VLOOKUP(LEFT(Y212,2),cityindex,3,0),1)</f>
        <v>2.8584892121147054</v>
      </c>
      <c r="M212" s="232">
        <f t="shared" si="16"/>
        <v>0</v>
      </c>
      <c r="N212" s="232"/>
      <c r="O212" s="232">
        <f t="shared" si="17"/>
        <v>8.815534510284774</v>
      </c>
      <c r="P212" s="233">
        <f t="shared" si="18"/>
        <v>0</v>
      </c>
      <c r="Q212" s="291">
        <f t="shared" si="19"/>
        <v>0</v>
      </c>
      <c r="R212" s="227">
        <v>4.4201157874324588</v>
      </c>
      <c r="S212" s="227">
        <f t="shared" si="20"/>
        <v>2.2959752707748637</v>
      </c>
      <c r="T212" s="227" t="s">
        <v>982</v>
      </c>
      <c r="U212" s="227">
        <v>46.631314605846775</v>
      </c>
      <c r="V212" s="227">
        <v>4.9236769114954081E-2</v>
      </c>
      <c r="W212" s="227">
        <v>0</v>
      </c>
      <c r="X212" s="227">
        <f t="shared" si="21"/>
        <v>6.7160910582073221</v>
      </c>
      <c r="Y212" s="227" t="s">
        <v>1032</v>
      </c>
      <c r="Z212" s="316"/>
      <c r="AA212" s="316">
        <v>10</v>
      </c>
      <c r="AD212" s="604"/>
    </row>
    <row r="213" spans="1:32" hidden="1" x14ac:dyDescent="0.2">
      <c r="A213" s="175"/>
      <c r="C213" s="202"/>
      <c r="D213" s="228"/>
      <c r="E213" s="228"/>
      <c r="F213" s="228" t="s">
        <v>1033</v>
      </c>
      <c r="G213" s="228"/>
      <c r="H213" s="228"/>
      <c r="I213" s="230"/>
      <c r="J213" s="231" t="s">
        <v>588</v>
      </c>
      <c r="K213" s="232">
        <f>R213*tax*markup*IF(Y213&lt;&gt;"",VLOOKUP(LEFT(Y213,2),cityindex,2,0),1)</f>
        <v>1.2600100068999376</v>
      </c>
      <c r="L213" s="232">
        <f>S213*markup*difficulty*IF(Y213&lt;&gt;"",VLOOKUP(LEFT(Y213,2),cityindex,3,0),1)</f>
        <v>1.7005329296764209</v>
      </c>
      <c r="M213" s="232">
        <f t="shared" si="16"/>
        <v>0</v>
      </c>
      <c r="N213" s="232">
        <v>1.5</v>
      </c>
      <c r="O213" s="232">
        <f t="shared" si="17"/>
        <v>4.460542936576358</v>
      </c>
      <c r="P213" s="233">
        <f t="shared" si="18"/>
        <v>0</v>
      </c>
      <c r="Q213" s="291">
        <f t="shared" si="19"/>
        <v>0.50666382218885664</v>
      </c>
      <c r="R213" s="227">
        <v>0.93492492419558137</v>
      </c>
      <c r="S213" s="227">
        <f t="shared" si="20"/>
        <v>1.3658899033545548</v>
      </c>
      <c r="T213" s="227" t="s">
        <v>968</v>
      </c>
      <c r="U213" s="227">
        <v>50.790085122442285</v>
      </c>
      <c r="V213" s="227">
        <v>2.6892845327227417E-2</v>
      </c>
      <c r="W213" s="227">
        <v>0</v>
      </c>
      <c r="X213" s="227">
        <f t="shared" si="21"/>
        <v>2.3008148275501363</v>
      </c>
      <c r="Y213" s="227" t="s">
        <v>1034</v>
      </c>
      <c r="AD213" s="604"/>
    </row>
    <row r="214" spans="1:32" hidden="1" x14ac:dyDescent="0.2">
      <c r="A214" s="175"/>
      <c r="C214" s="202"/>
      <c r="D214" s="228"/>
      <c r="E214" s="228"/>
      <c r="F214" s="228" t="s">
        <v>1035</v>
      </c>
      <c r="G214" s="228"/>
      <c r="H214" s="228"/>
      <c r="I214" s="230"/>
      <c r="J214" s="231"/>
      <c r="K214" s="232">
        <f>R214*tax*markup*IF(Y214&lt;&gt;"",VLOOKUP(LEFT(Y214,2),cityindex,2,0),1)+2.55</f>
        <v>2.5499999999999998</v>
      </c>
      <c r="L214" s="232">
        <f>S214*markup*difficulty*IF(Y214&lt;&gt;"",VLOOKUP(LEFT(Y214,2),cityindex,3,0),1)+4.5</f>
        <v>4.5</v>
      </c>
      <c r="M214" s="232">
        <f t="shared" si="16"/>
        <v>0</v>
      </c>
      <c r="N214" s="232"/>
      <c r="O214" s="232">
        <f t="shared" si="17"/>
        <v>7.05</v>
      </c>
      <c r="P214" s="233">
        <f t="shared" si="18"/>
        <v>0</v>
      </c>
      <c r="Q214" s="291" t="str">
        <f t="shared" si="19"/>
        <v>manual</v>
      </c>
      <c r="R214" s="227"/>
      <c r="S214" s="227">
        <f t="shared" si="20"/>
        <v>0</v>
      </c>
      <c r="T214" s="227"/>
      <c r="U214" s="227"/>
      <c r="V214" s="227"/>
      <c r="W214" s="227"/>
      <c r="X214" s="227">
        <f t="shared" si="21"/>
        <v>0</v>
      </c>
      <c r="Y214" s="227"/>
      <c r="AD214" s="604"/>
    </row>
    <row r="215" spans="1:32" hidden="1" x14ac:dyDescent="0.2">
      <c r="A215" s="175"/>
      <c r="C215" s="202"/>
      <c r="D215" s="228"/>
      <c r="E215" s="228"/>
      <c r="F215" s="228" t="s">
        <v>1036</v>
      </c>
      <c r="G215" s="228"/>
      <c r="H215" s="228"/>
      <c r="I215" s="230"/>
      <c r="J215" s="231" t="s">
        <v>309</v>
      </c>
      <c r="K215" s="232">
        <f>R215*tax*markup*IF(Y215&lt;&gt;"",VLOOKUP(LEFT(Y215,2),cityindex,2,0),1)</f>
        <v>12.301140980248208</v>
      </c>
      <c r="L215" s="232">
        <f>S215*markup*difficulty*IF(Y215&lt;&gt;"",VLOOKUP(LEFT(Y215,2),cityindex,3,0),1)</f>
        <v>0.37454910642202083</v>
      </c>
      <c r="M215" s="232">
        <f t="shared" si="16"/>
        <v>0.15402118458556285</v>
      </c>
      <c r="N215" s="232"/>
      <c r="O215" s="232">
        <f t="shared" si="17"/>
        <v>12.829711271255793</v>
      </c>
      <c r="P215" s="233">
        <f t="shared" si="18"/>
        <v>0</v>
      </c>
      <c r="Q215" s="291">
        <f t="shared" si="19"/>
        <v>0</v>
      </c>
      <c r="R215" s="227">
        <v>9.1274221914898064</v>
      </c>
      <c r="S215" s="227">
        <f t="shared" si="20"/>
        <v>0.30084265576065927</v>
      </c>
      <c r="T215" s="227" t="s">
        <v>965</v>
      </c>
      <c r="U215" s="227">
        <v>30.337316807306259</v>
      </c>
      <c r="V215" s="227">
        <v>9.9165874711835463E-3</v>
      </c>
      <c r="W215" s="227">
        <v>0.12371179484784163</v>
      </c>
      <c r="X215" s="227">
        <f t="shared" si="21"/>
        <v>9.5519766420983068</v>
      </c>
      <c r="Y215" s="227" t="s">
        <v>1037</v>
      </c>
      <c r="AD215" s="604"/>
    </row>
    <row r="216" spans="1:32" hidden="1" x14ac:dyDescent="0.2">
      <c r="A216" s="175"/>
      <c r="C216" s="202"/>
      <c r="D216" s="228"/>
      <c r="E216" s="228"/>
      <c r="F216" s="228" t="s">
        <v>1038</v>
      </c>
      <c r="G216" s="228"/>
      <c r="H216" s="228"/>
      <c r="I216" s="230"/>
      <c r="J216" s="231"/>
      <c r="K216" s="232">
        <f>R216*tax*markup*IF(Y216&lt;&gt;"",VLOOKUP(LEFT(Y216,2),cityindex,2,0),1)</f>
        <v>0</v>
      </c>
      <c r="L216" s="232">
        <f>S216*markup*difficulty*IF(Y216&lt;&gt;"",VLOOKUP(LEFT(Y216,2),cityindex,3,0),1)</f>
        <v>0</v>
      </c>
      <c r="M216" s="232">
        <f t="shared" si="16"/>
        <v>0</v>
      </c>
      <c r="N216" s="232">
        <v>250</v>
      </c>
      <c r="O216" s="232">
        <f t="shared" si="17"/>
        <v>250</v>
      </c>
      <c r="P216" s="233">
        <f t="shared" si="18"/>
        <v>0</v>
      </c>
      <c r="Q216" s="291" t="str">
        <f t="shared" si="19"/>
        <v>manual</v>
      </c>
      <c r="R216" s="227"/>
      <c r="S216" s="227">
        <f t="shared" si="20"/>
        <v>0</v>
      </c>
      <c r="T216" s="227"/>
      <c r="U216" s="227"/>
      <c r="V216" s="227"/>
      <c r="W216" s="227"/>
      <c r="X216" s="227">
        <f t="shared" si="21"/>
        <v>0</v>
      </c>
      <c r="Y216" s="227"/>
      <c r="AD216" s="604"/>
    </row>
    <row r="217" spans="1:32" x14ac:dyDescent="0.2">
      <c r="D217" s="228"/>
      <c r="E217" s="228"/>
      <c r="F217" s="228" t="s">
        <v>1593</v>
      </c>
      <c r="G217" s="228"/>
      <c r="H217" s="228"/>
      <c r="I217" s="230">
        <v>35</v>
      </c>
      <c r="J217" s="231" t="s">
        <v>301</v>
      </c>
      <c r="K217" s="232">
        <f t="shared" ref="K217" si="22">R217*tax*markup*IF(Y217&lt;&gt;"",VLOOKUP(LEFT(Y217,2),cityindex,2,0),1)</f>
        <v>11.696166833678626</v>
      </c>
      <c r="L217" s="232">
        <f t="shared" ref="L217" si="23">S217*markup*difficulty*IF(Y217&lt;&gt;"",VLOOKUP(LEFT(Y217,2),cityindex,3,0),1)</f>
        <v>3.0113594012014619</v>
      </c>
      <c r="M217" s="232">
        <f t="shared" ref="M217" si="24">W217*markup*difficulty*IF(Y217&lt;&gt;"",VLOOKUP(LEFT(Y217,2),cityindex,3,0),1)</f>
        <v>1.2498845557460896</v>
      </c>
      <c r="N217" s="232"/>
      <c r="O217" s="232">
        <f>SUM(K217:N217)*embed</f>
        <v>15.957410790626177</v>
      </c>
      <c r="P217" s="233">
        <f>ROUND((O217*I217),0)</f>
        <v>559</v>
      </c>
      <c r="Q217" s="291">
        <f>IF(O217=0,0,IF(X217=0,"manual",(O217/(R217*tax*markup*IF(Y217&lt;&gt;"",VLOOKUP(LEFT(Y217,2),cityindex,2,0),1)+S217*markup*difficulty*IF(Y217&lt;&gt;"",VLOOKUP(LEFT(Y217,2),cityindex,3,0),1)+W217*markup*difficulty*IF(Y217&lt;&gt;"",VLOOKUP(LEFT(Y217,2),cityindex,3,0),1)))-1))</f>
        <v>0</v>
      </c>
      <c r="R217" s="143">
        <v>8.6785325755149003</v>
      </c>
      <c r="S217" s="143">
        <f t="shared" si="20"/>
        <v>2.418762571246154</v>
      </c>
      <c r="T217" s="143" t="s">
        <v>979</v>
      </c>
      <c r="U217" s="143">
        <v>39.536377033321841</v>
      </c>
      <c r="V217" s="143">
        <v>6.1178154214979921E-2</v>
      </c>
      <c r="W217" s="143">
        <v>1.0039233379486663</v>
      </c>
      <c r="X217" s="143">
        <f t="shared" si="21"/>
        <v>12.101218484709721</v>
      </c>
      <c r="Y217" s="143" t="s">
        <v>1592</v>
      </c>
      <c r="Z217" s="608"/>
      <c r="AA217" s="577"/>
      <c r="AB217" s="577"/>
      <c r="AC217" s="577"/>
      <c r="AD217" s="604" t="s">
        <v>1316</v>
      </c>
      <c r="AE217" s="236"/>
      <c r="AF217" s="236"/>
    </row>
    <row r="218" spans="1:32" x14ac:dyDescent="0.2">
      <c r="A218" s="175"/>
      <c r="C218" s="202"/>
      <c r="D218" s="228"/>
      <c r="E218" s="228"/>
      <c r="F218" s="228" t="s">
        <v>1320</v>
      </c>
      <c r="G218" s="228"/>
      <c r="H218" s="228"/>
      <c r="I218" s="230">
        <f>65+38</f>
        <v>103</v>
      </c>
      <c r="J218" s="231" t="s">
        <v>309</v>
      </c>
      <c r="K218" s="232">
        <f>R218*tax*markup*IF(Y218&lt;&gt;"",VLOOKUP(LEFT(Y218,2),cityindex,2,0),1)+1.04</f>
        <v>1.04</v>
      </c>
      <c r="L218" s="232">
        <f>S218*markup*difficulty*IF(Y218&lt;&gt;"",VLOOKUP(LEFT(Y218,2),cityindex,3,0),1)+2.01</f>
        <v>2.0099999999999998</v>
      </c>
      <c r="M218" s="232">
        <f>W218*markup*difficulty*IF(Y218&lt;&gt;"",VLOOKUP(LEFT(Y218,2),cityindex,3,0),1)+0.37</f>
        <v>0.37</v>
      </c>
      <c r="N218" s="232">
        <v>0.5</v>
      </c>
      <c r="O218" s="232">
        <f t="shared" si="17"/>
        <v>3.92</v>
      </c>
      <c r="P218" s="233">
        <f t="shared" si="18"/>
        <v>404</v>
      </c>
      <c r="Q218" s="291" t="str">
        <f t="shared" si="19"/>
        <v>manual</v>
      </c>
      <c r="R218" s="227"/>
      <c r="S218" s="227">
        <f t="shared" si="20"/>
        <v>0</v>
      </c>
      <c r="T218" s="227"/>
      <c r="U218" s="227"/>
      <c r="V218" s="227"/>
      <c r="W218" s="227"/>
      <c r="X218" s="227">
        <f t="shared" si="21"/>
        <v>0</v>
      </c>
      <c r="Y218" s="227"/>
      <c r="AD218" s="607" t="s">
        <v>1594</v>
      </c>
    </row>
    <row r="219" spans="1:32" x14ac:dyDescent="0.2">
      <c r="A219" s="175"/>
      <c r="C219" s="202"/>
      <c r="D219" s="228"/>
      <c r="E219" s="228"/>
      <c r="F219" s="228"/>
      <c r="G219" s="228" t="s">
        <v>1598</v>
      </c>
      <c r="H219" s="228"/>
      <c r="I219" s="230">
        <v>25</v>
      </c>
      <c r="J219" s="231" t="s">
        <v>390</v>
      </c>
      <c r="K219" s="232">
        <f>R219*tax*markup*IF(Y219&lt;&gt;"",VLOOKUP(LEFT(Y219,2),cityindex,2,0),1)</f>
        <v>0</v>
      </c>
      <c r="L219" s="232">
        <f>S219*markup*difficulty*IF(Y219&lt;&gt;"",VLOOKUP(LEFT(Y219,2),cityindex,3,0),1)</f>
        <v>0</v>
      </c>
      <c r="M219" s="232">
        <f>W219*markup*difficulty*IF(Y219&lt;&gt;"",VLOOKUP(LEFT(Y219,2),cityindex,3,0),1)</f>
        <v>0</v>
      </c>
      <c r="N219" s="232">
        <v>45.22</v>
      </c>
      <c r="O219" s="232">
        <f>SUM(K219:N219)*embed</f>
        <v>45.22</v>
      </c>
      <c r="P219" s="233">
        <f>ROUND((O219*I219),0)</f>
        <v>1131</v>
      </c>
      <c r="Q219" s="291" t="str">
        <f>IF(O219=0,0,IF(X219=0,"manual",(O219/(R219*tax*markup*IF(Y219&lt;&gt;"",VLOOKUP(LEFT(Y219,2),cityindex,2,0),1)+S219*markup*difficulty*IF(Y219&lt;&gt;"",VLOOKUP(LEFT(Y219,2),cityindex,3,0),1)+W219*markup*difficulty*IF(Y219&lt;&gt;"",VLOOKUP(LEFT(Y219,2),cityindex,3,0),1)))-1))</f>
        <v>manual</v>
      </c>
      <c r="R219" s="227"/>
      <c r="S219" s="227">
        <f>U219*V219</f>
        <v>0</v>
      </c>
      <c r="T219" s="227"/>
      <c r="U219" s="227"/>
      <c r="V219" s="227"/>
      <c r="W219" s="227"/>
      <c r="X219" s="227">
        <f>SUM(R219,S219,W219)</f>
        <v>0</v>
      </c>
      <c r="Y219" s="227"/>
      <c r="AD219" s="607"/>
    </row>
    <row r="220" spans="1:32" x14ac:dyDescent="0.2">
      <c r="A220" s="175"/>
      <c r="C220" s="202"/>
      <c r="D220" s="228"/>
      <c r="E220" s="228"/>
      <c r="F220" s="228" t="s">
        <v>1596</v>
      </c>
      <c r="G220" s="228"/>
      <c r="H220" s="228"/>
      <c r="I220" s="230">
        <v>366</v>
      </c>
      <c r="J220" s="231" t="s">
        <v>301</v>
      </c>
      <c r="K220" s="232">
        <f>R220*tax*markup*IF(Y220&lt;&gt;"",VLOOKUP(LEFT(Y220,2),cityindex,2,0),1)</f>
        <v>3.9048331278582249</v>
      </c>
      <c r="L220" s="232">
        <f>S220*markup*difficulty*IF(Y220&lt;&gt;"",VLOOKUP(LEFT(Y220,2),cityindex,3,0),1)</f>
        <v>5.797826752404271</v>
      </c>
      <c r="M220" s="232">
        <f>W220*markup*difficulty*IF(Y220&lt;&gt;"",VLOOKUP(LEFT(Y220,2),cityindex,3,0),1)</f>
        <v>2.4117502766183883</v>
      </c>
      <c r="N220" s="232"/>
      <c r="O220" s="232">
        <f>SUM(K220:N220)*embed</f>
        <v>12.114410156880885</v>
      </c>
      <c r="P220" s="233">
        <f>ROUND((O220*I220),0)</f>
        <v>4434</v>
      </c>
      <c r="Q220" s="291">
        <f>IF(O220=0,0,IF(X220=0,"manual",(O220/(R220*tax*markup*IF(Y220&lt;&gt;"",VLOOKUP(LEFT(Y220,2),cityindex,2,0),1)+S220*markup*difficulty*IF(Y220&lt;&gt;"",VLOOKUP(LEFT(Y220,2),cityindex,3,0),1)+W220*markup*difficulty*IF(Y220&lt;&gt;"",VLOOKUP(LEFT(Y220,2),cityindex,3,0),1)))-1))</f>
        <v>0</v>
      </c>
      <c r="R220" s="227">
        <v>2.8973784303835015</v>
      </c>
      <c r="S220" s="227">
        <f>U220*V220</f>
        <v>4.6568889577544343</v>
      </c>
      <c r="T220" s="227" t="s">
        <v>979</v>
      </c>
      <c r="U220" s="227">
        <v>39.536377033321841</v>
      </c>
      <c r="V220" s="227">
        <v>0.11778744809696497</v>
      </c>
      <c r="W220" s="227">
        <v>1.9371488165609543</v>
      </c>
      <c r="X220" s="227">
        <f>SUM(R220,S220,W220)</f>
        <v>9.4914162046988899</v>
      </c>
      <c r="Y220" s="227" t="s">
        <v>1595</v>
      </c>
      <c r="AD220" s="607" t="s">
        <v>1316</v>
      </c>
    </row>
    <row r="221" spans="1:32" x14ac:dyDescent="0.2">
      <c r="A221" s="175"/>
      <c r="C221" s="202"/>
      <c r="D221" s="228"/>
      <c r="E221" s="228"/>
      <c r="F221" s="228"/>
      <c r="G221" s="228" t="s">
        <v>1597</v>
      </c>
      <c r="H221" s="228"/>
      <c r="I221" s="230"/>
      <c r="J221" s="231"/>
      <c r="K221" s="232">
        <f>R221*tax*markup*IF(Y221&lt;&gt;"",VLOOKUP(LEFT(Y221,2),cityindex,2,0),1)</f>
        <v>0</v>
      </c>
      <c r="L221" s="232">
        <f>S221*markup*difficulty*IF(Y221&lt;&gt;"",VLOOKUP(LEFT(Y221,2),cityindex,3,0),1)</f>
        <v>0</v>
      </c>
      <c r="M221" s="232">
        <f>W221*markup*difficulty*IF(Y221&lt;&gt;"",VLOOKUP(LEFT(Y221,2),cityindex,3,0),1)</f>
        <v>0</v>
      </c>
      <c r="N221" s="232"/>
      <c r="O221" s="232">
        <f>SUM(K221:N221)*embed</f>
        <v>0</v>
      </c>
      <c r="P221" s="233">
        <f>ROUND((O221*I221),0)</f>
        <v>0</v>
      </c>
      <c r="Q221" s="291">
        <f>IF(O221=0,0,IF(X221=0,"manual",(O221/(R221*tax*markup*IF(Y221&lt;&gt;"",VLOOKUP(LEFT(Y221,2),cityindex,2,0),1)+S221*markup*difficulty*IF(Y221&lt;&gt;"",VLOOKUP(LEFT(Y221,2),cityindex,3,0),1)+W221*markup*difficulty*IF(Y221&lt;&gt;"",VLOOKUP(LEFT(Y221,2),cityindex,3,0),1)))-1))</f>
        <v>0</v>
      </c>
      <c r="R221" s="227"/>
      <c r="S221" s="227">
        <f>U221*V221</f>
        <v>0</v>
      </c>
      <c r="T221" s="227"/>
      <c r="U221" s="227"/>
      <c r="V221" s="227"/>
      <c r="W221" s="227"/>
      <c r="X221" s="227">
        <f>SUM(R221,S221,W221)</f>
        <v>0</v>
      </c>
      <c r="Y221" s="227"/>
      <c r="AD221" s="607"/>
    </row>
    <row r="222" spans="1:32" x14ac:dyDescent="0.2">
      <c r="D222" s="228"/>
      <c r="E222" s="228"/>
      <c r="F222" s="228"/>
      <c r="H222" s="228"/>
      <c r="I222" s="230"/>
      <c r="J222" s="231"/>
      <c r="K222" s="232">
        <f t="shared" ref="K222:K240" si="25">R222*tax*markup*IF(Y222&lt;&gt;"",VLOOKUP(LEFT(Y222,2),cityindex,2,0),1)</f>
        <v>0</v>
      </c>
      <c r="L222" s="232">
        <f t="shared" ref="L222:L240" si="26">S222*markup*difficulty*IF(Y222&lt;&gt;"",VLOOKUP(LEFT(Y222,2),cityindex,3,0),1)</f>
        <v>0</v>
      </c>
      <c r="M222" s="232">
        <f t="shared" ref="M222:M240" si="27">W222*markup*difficulty*IF(Y222&lt;&gt;"",VLOOKUP(LEFT(Y222,2),cityindex,3,0),1)</f>
        <v>0</v>
      </c>
      <c r="N222" s="232"/>
      <c r="O222" s="232">
        <f t="shared" si="17"/>
        <v>0</v>
      </c>
      <c r="P222" s="233">
        <f t="shared" si="18"/>
        <v>0</v>
      </c>
      <c r="Q222" s="291">
        <f t="shared" si="19"/>
        <v>0</v>
      </c>
      <c r="S222" s="143">
        <f t="shared" si="20"/>
        <v>0</v>
      </c>
      <c r="X222" s="143">
        <f t="shared" si="21"/>
        <v>0</v>
      </c>
      <c r="AA222" s="573"/>
      <c r="AC222" s="311"/>
      <c r="AD222" s="604"/>
      <c r="AE222" s="236"/>
      <c r="AF222" s="236"/>
    </row>
    <row r="223" spans="1:32" x14ac:dyDescent="0.2">
      <c r="A223" s="175"/>
      <c r="D223" s="228"/>
      <c r="F223" s="228" t="str">
        <f>_xlfn.CONCAT("Concrete washout facility, ",Z224,"' x ",AA224,"'")</f>
        <v>Concrete washout facility, 10' x 10'</v>
      </c>
      <c r="G223" s="228"/>
      <c r="H223" s="228"/>
      <c r="I223" s="230"/>
      <c r="J223" s="231"/>
      <c r="K223" s="232">
        <f t="shared" si="25"/>
        <v>0</v>
      </c>
      <c r="L223" s="232">
        <f t="shared" si="26"/>
        <v>0</v>
      </c>
      <c r="M223" s="232">
        <f t="shared" si="27"/>
        <v>0</v>
      </c>
      <c r="N223" s="232"/>
      <c r="O223" s="232">
        <f t="shared" si="17"/>
        <v>0</v>
      </c>
      <c r="P223" s="233">
        <f t="shared" si="18"/>
        <v>0</v>
      </c>
      <c r="Q223" s="291">
        <f t="shared" si="19"/>
        <v>0</v>
      </c>
      <c r="R223" s="227"/>
      <c r="S223" s="227">
        <f t="shared" si="20"/>
        <v>0</v>
      </c>
      <c r="T223" s="227"/>
      <c r="U223" s="227"/>
      <c r="V223" s="227"/>
      <c r="W223" s="227"/>
      <c r="X223" s="227">
        <f t="shared" si="21"/>
        <v>0</v>
      </c>
      <c r="Y223" s="227"/>
      <c r="Z223" s="574" t="s">
        <v>1029</v>
      </c>
      <c r="AA223" s="574" t="s">
        <v>1030</v>
      </c>
      <c r="AD223" s="604" t="s">
        <v>1313</v>
      </c>
    </row>
    <row r="224" spans="1:32" x14ac:dyDescent="0.2">
      <c r="A224" s="175"/>
      <c r="D224" s="228"/>
      <c r="F224" s="228"/>
      <c r="G224" s="228" t="s">
        <v>1031</v>
      </c>
      <c r="H224" s="228"/>
      <c r="I224" s="230">
        <f>Z224*AA224</f>
        <v>100</v>
      </c>
      <c r="J224" s="231" t="s">
        <v>301</v>
      </c>
      <c r="K224" s="232">
        <f t="shared" si="25"/>
        <v>5.9570452981700681</v>
      </c>
      <c r="L224" s="232">
        <f t="shared" si="26"/>
        <v>2.8584892121147054</v>
      </c>
      <c r="M224" s="232">
        <f t="shared" si="27"/>
        <v>0</v>
      </c>
      <c r="N224" s="232"/>
      <c r="O224" s="232">
        <f t="shared" si="17"/>
        <v>8.815534510284774</v>
      </c>
      <c r="P224" s="233">
        <f t="shared" si="18"/>
        <v>882</v>
      </c>
      <c r="Q224" s="291">
        <f t="shared" si="19"/>
        <v>0</v>
      </c>
      <c r="R224" s="227">
        <v>4.4201157874324588</v>
      </c>
      <c r="S224" s="227">
        <f t="shared" si="20"/>
        <v>2.2959752707748637</v>
      </c>
      <c r="T224" s="227" t="s">
        <v>982</v>
      </c>
      <c r="U224" s="227">
        <v>46.631314605846775</v>
      </c>
      <c r="V224" s="227">
        <v>4.9236769114954081E-2</v>
      </c>
      <c r="W224" s="227">
        <v>0</v>
      </c>
      <c r="X224" s="227">
        <f t="shared" si="21"/>
        <v>6.7160910582073221</v>
      </c>
      <c r="Y224" s="227" t="s">
        <v>1032</v>
      </c>
      <c r="Z224" s="574">
        <v>10</v>
      </c>
      <c r="AA224" s="574">
        <v>10</v>
      </c>
      <c r="AD224" s="604" t="s">
        <v>1313</v>
      </c>
    </row>
    <row r="225" spans="1:32" x14ac:dyDescent="0.2">
      <c r="A225" s="175"/>
      <c r="D225" s="228"/>
      <c r="F225" s="228"/>
      <c r="G225" s="228" t="s">
        <v>1033</v>
      </c>
      <c r="H225" s="228"/>
      <c r="I225" s="230">
        <f>(Z224+AA224+Z224+AA224)*2</f>
        <v>80</v>
      </c>
      <c r="J225" s="231" t="s">
        <v>588</v>
      </c>
      <c r="K225" s="232">
        <f t="shared" si="25"/>
        <v>1.2600100068999376</v>
      </c>
      <c r="L225" s="232">
        <f t="shared" si="26"/>
        <v>1.7005329296764209</v>
      </c>
      <c r="M225" s="232">
        <f t="shared" si="27"/>
        <v>0</v>
      </c>
      <c r="N225" s="232">
        <v>1.5</v>
      </c>
      <c r="O225" s="232">
        <f t="shared" si="17"/>
        <v>4.460542936576358</v>
      </c>
      <c r="P225" s="233">
        <f t="shared" si="18"/>
        <v>357</v>
      </c>
      <c r="Q225" s="291">
        <f t="shared" si="19"/>
        <v>0.50666382218885664</v>
      </c>
      <c r="R225" s="227">
        <v>0.93492492419558137</v>
      </c>
      <c r="S225" s="227">
        <f t="shared" si="20"/>
        <v>1.3658899033545548</v>
      </c>
      <c r="T225" s="227" t="s">
        <v>968</v>
      </c>
      <c r="U225" s="227">
        <v>50.790085122442285</v>
      </c>
      <c r="V225" s="227">
        <v>2.6892845327227417E-2</v>
      </c>
      <c r="W225" s="227">
        <v>0</v>
      </c>
      <c r="X225" s="227">
        <f t="shared" si="21"/>
        <v>2.3008148275501363</v>
      </c>
      <c r="Y225" s="227" t="s">
        <v>1034</v>
      </c>
      <c r="AD225" s="604" t="s">
        <v>1313</v>
      </c>
    </row>
    <row r="226" spans="1:32" x14ac:dyDescent="0.2">
      <c r="A226" s="175"/>
      <c r="D226" s="228"/>
      <c r="F226" s="228"/>
      <c r="G226" s="228" t="s">
        <v>1036</v>
      </c>
      <c r="H226" s="228"/>
      <c r="I226" s="230">
        <f>(Z224+Z224+AA224+AA224)*3</f>
        <v>120</v>
      </c>
      <c r="J226" s="231" t="s">
        <v>309</v>
      </c>
      <c r="K226" s="232">
        <f t="shared" si="25"/>
        <v>12.301140980248208</v>
      </c>
      <c r="L226" s="232">
        <f t="shared" si="26"/>
        <v>0.37454910642202083</v>
      </c>
      <c r="M226" s="232">
        <f t="shared" si="27"/>
        <v>0.15402118458556285</v>
      </c>
      <c r="N226" s="232"/>
      <c r="O226" s="232">
        <f t="shared" si="17"/>
        <v>12.829711271255793</v>
      </c>
      <c r="P226" s="233">
        <f t="shared" si="18"/>
        <v>1540</v>
      </c>
      <c r="Q226" s="291">
        <f t="shared" si="19"/>
        <v>0</v>
      </c>
      <c r="R226" s="227">
        <v>9.1274221914898064</v>
      </c>
      <c r="S226" s="227">
        <f t="shared" si="20"/>
        <v>0.30084265576065927</v>
      </c>
      <c r="T226" s="227" t="s">
        <v>965</v>
      </c>
      <c r="U226" s="227">
        <v>30.337316807306259</v>
      </c>
      <c r="V226" s="227">
        <v>9.9165874711835463E-3</v>
      </c>
      <c r="W226" s="227">
        <v>0.12371179484784163</v>
      </c>
      <c r="X226" s="227">
        <f t="shared" si="21"/>
        <v>9.5519766420983068</v>
      </c>
      <c r="Y226" s="227" t="s">
        <v>1037</v>
      </c>
      <c r="AD226" s="604" t="s">
        <v>1313</v>
      </c>
    </row>
    <row r="227" spans="1:32" x14ac:dyDescent="0.2">
      <c r="A227" s="175"/>
      <c r="D227" s="228"/>
      <c r="F227" s="228"/>
      <c r="G227" s="228" t="s">
        <v>1038</v>
      </c>
      <c r="H227" s="228"/>
      <c r="I227" s="230">
        <v>1</v>
      </c>
      <c r="J227" s="231" t="s">
        <v>390</v>
      </c>
      <c r="K227" s="232">
        <f t="shared" si="25"/>
        <v>0</v>
      </c>
      <c r="L227" s="232">
        <f t="shared" si="26"/>
        <v>0</v>
      </c>
      <c r="M227" s="232">
        <f t="shared" si="27"/>
        <v>0</v>
      </c>
      <c r="N227" s="232">
        <v>150</v>
      </c>
      <c r="O227" s="232">
        <f t="shared" si="17"/>
        <v>150</v>
      </c>
      <c r="P227" s="233">
        <f t="shared" si="18"/>
        <v>150</v>
      </c>
      <c r="Q227" s="291" t="str">
        <f t="shared" si="19"/>
        <v>manual</v>
      </c>
      <c r="R227" s="227"/>
      <c r="S227" s="227">
        <f t="shared" si="20"/>
        <v>0</v>
      </c>
      <c r="T227" s="227"/>
      <c r="U227" s="227"/>
      <c r="V227" s="227"/>
      <c r="W227" s="227"/>
      <c r="X227" s="227">
        <f t="shared" si="21"/>
        <v>0</v>
      </c>
      <c r="Y227" s="227"/>
      <c r="AD227" s="604" t="s">
        <v>1313</v>
      </c>
    </row>
    <row r="228" spans="1:32" x14ac:dyDescent="0.2">
      <c r="D228" s="228"/>
      <c r="E228" s="228"/>
      <c r="F228" s="228"/>
      <c r="G228" s="228"/>
      <c r="H228" s="228"/>
      <c r="I228" s="230"/>
      <c r="J228" s="231"/>
      <c r="K228" s="232">
        <f t="shared" si="25"/>
        <v>0</v>
      </c>
      <c r="L228" s="232">
        <f t="shared" si="26"/>
        <v>0</v>
      </c>
      <c r="M228" s="232">
        <f t="shared" si="27"/>
        <v>0</v>
      </c>
      <c r="N228" s="232"/>
      <c r="O228" s="232">
        <f t="shared" si="17"/>
        <v>0</v>
      </c>
      <c r="P228" s="233">
        <f t="shared" si="18"/>
        <v>0</v>
      </c>
      <c r="Q228" s="291">
        <f t="shared" si="19"/>
        <v>0</v>
      </c>
      <c r="S228" s="143">
        <f t="shared" si="20"/>
        <v>0</v>
      </c>
      <c r="X228" s="143">
        <f t="shared" si="21"/>
        <v>0</v>
      </c>
      <c r="Z228" s="143"/>
      <c r="AA228" s="573"/>
      <c r="AC228" s="311"/>
      <c r="AD228" s="604"/>
      <c r="AE228" s="236"/>
      <c r="AF228" s="236"/>
    </row>
    <row r="229" spans="1:32" x14ac:dyDescent="0.2">
      <c r="D229" s="228"/>
      <c r="E229" s="228"/>
      <c r="F229" s="228" t="s">
        <v>1317</v>
      </c>
      <c r="G229" s="228"/>
      <c r="H229" s="228"/>
      <c r="I229" s="230">
        <v>746</v>
      </c>
      <c r="J229" s="231" t="s">
        <v>301</v>
      </c>
      <c r="K229" s="232">
        <f t="shared" si="25"/>
        <v>4.9453947774862996</v>
      </c>
      <c r="L229" s="232">
        <f t="shared" si="26"/>
        <v>4.3586973072476392</v>
      </c>
      <c r="M229" s="232">
        <f t="shared" si="27"/>
        <v>0</v>
      </c>
      <c r="N229" s="232">
        <v>1.1000000000000001</v>
      </c>
      <c r="O229" s="232">
        <f t="shared" si="17"/>
        <v>10.404092084733938</v>
      </c>
      <c r="P229" s="233">
        <f t="shared" si="18"/>
        <v>7761</v>
      </c>
      <c r="Q229" s="291">
        <f t="shared" si="19"/>
        <v>0.11822754869385577</v>
      </c>
      <c r="R229" s="143">
        <v>3.6694731090542674</v>
      </c>
      <c r="S229" s="143">
        <f t="shared" si="20"/>
        <v>3.5009616925683846</v>
      </c>
      <c r="T229" s="143" t="s">
        <v>965</v>
      </c>
      <c r="U229" s="143">
        <v>30.337316807306259</v>
      </c>
      <c r="V229" s="143">
        <v>0.11540116467140014</v>
      </c>
      <c r="W229" s="143">
        <v>0</v>
      </c>
      <c r="X229" s="143">
        <f t="shared" si="21"/>
        <v>7.170434801622652</v>
      </c>
      <c r="Y229" s="143" t="s">
        <v>1318</v>
      </c>
      <c r="Z229" s="575"/>
      <c r="AA229" s="316"/>
      <c r="AB229" s="316"/>
      <c r="AC229" s="227"/>
      <c r="AD229" s="604" t="s">
        <v>1313</v>
      </c>
    </row>
    <row r="230" spans="1:32" x14ac:dyDescent="0.2">
      <c r="D230" s="228"/>
      <c r="E230" s="228"/>
      <c r="F230" s="228"/>
      <c r="G230" s="228" t="s">
        <v>1319</v>
      </c>
      <c r="H230" s="228"/>
      <c r="I230" s="230"/>
      <c r="J230" s="231"/>
      <c r="K230" s="232">
        <f t="shared" si="25"/>
        <v>0</v>
      </c>
      <c r="L230" s="232">
        <f t="shared" si="26"/>
        <v>0</v>
      </c>
      <c r="M230" s="232">
        <f t="shared" si="27"/>
        <v>0</v>
      </c>
      <c r="N230" s="232"/>
      <c r="O230" s="232">
        <f t="shared" si="17"/>
        <v>0</v>
      </c>
      <c r="P230" s="233">
        <f t="shared" si="18"/>
        <v>0</v>
      </c>
      <c r="Q230" s="291">
        <f t="shared" si="19"/>
        <v>0</v>
      </c>
      <c r="S230" s="143">
        <f t="shared" si="20"/>
        <v>0</v>
      </c>
      <c r="X230" s="143">
        <f t="shared" si="21"/>
        <v>0</v>
      </c>
      <c r="Z230" s="143"/>
      <c r="AA230" s="573"/>
      <c r="AC230" s="311"/>
      <c r="AD230" s="604"/>
      <c r="AE230" s="236"/>
      <c r="AF230" s="236"/>
    </row>
    <row r="231" spans="1:32" x14ac:dyDescent="0.2">
      <c r="D231" s="228"/>
      <c r="E231" s="228"/>
      <c r="F231" s="228"/>
      <c r="G231" s="228"/>
      <c r="H231" s="228"/>
      <c r="I231" s="230"/>
      <c r="J231" s="231"/>
      <c r="K231" s="232">
        <f t="shared" si="25"/>
        <v>0</v>
      </c>
      <c r="L231" s="232">
        <f t="shared" si="26"/>
        <v>0</v>
      </c>
      <c r="M231" s="232">
        <f t="shared" si="27"/>
        <v>0</v>
      </c>
      <c r="N231" s="232"/>
      <c r="O231" s="232">
        <f t="shared" si="17"/>
        <v>0</v>
      </c>
      <c r="P231" s="233">
        <f t="shared" si="18"/>
        <v>0</v>
      </c>
      <c r="Q231" s="291">
        <f t="shared" si="19"/>
        <v>0</v>
      </c>
      <c r="S231" s="143">
        <f t="shared" si="20"/>
        <v>0</v>
      </c>
      <c r="X231" s="143">
        <f t="shared" si="21"/>
        <v>0</v>
      </c>
      <c r="AD231" s="604"/>
    </row>
    <row r="232" spans="1:32" x14ac:dyDescent="0.2">
      <c r="A232" s="143" t="s">
        <v>296</v>
      </c>
      <c r="E232" s="143" t="s">
        <v>835</v>
      </c>
      <c r="K232" s="149">
        <f t="shared" si="25"/>
        <v>0</v>
      </c>
      <c r="L232" s="149">
        <f t="shared" si="26"/>
        <v>0</v>
      </c>
      <c r="M232" s="149">
        <f t="shared" si="27"/>
        <v>0</v>
      </c>
      <c r="N232" s="149"/>
      <c r="O232" s="149">
        <f t="shared" si="17"/>
        <v>0</v>
      </c>
      <c r="P232" s="216">
        <f t="shared" si="18"/>
        <v>0</v>
      </c>
      <c r="Q232" s="291">
        <f t="shared" si="19"/>
        <v>0</v>
      </c>
      <c r="R232" s="151"/>
      <c r="S232" s="151">
        <f t="shared" si="20"/>
        <v>0</v>
      </c>
      <c r="T232" s="151"/>
      <c r="U232" s="151"/>
      <c r="V232" s="151"/>
      <c r="W232" s="151"/>
      <c r="X232" s="151">
        <f t="shared" si="21"/>
        <v>0</v>
      </c>
      <c r="Y232" s="151"/>
      <c r="AD232" s="604"/>
    </row>
    <row r="233" spans="1:32" ht="12.75" customHeight="1" x14ac:dyDescent="0.2">
      <c r="D233" s="228"/>
      <c r="E233" s="228"/>
      <c r="F233" s="228" t="s">
        <v>1047</v>
      </c>
      <c r="G233" s="228"/>
      <c r="H233" s="228"/>
      <c r="I233" s="230">
        <f>I237-I105-I106-BUILDING!GFA</f>
        <v>114338</v>
      </c>
      <c r="J233" s="231" t="s">
        <v>301</v>
      </c>
      <c r="K233" s="232">
        <f t="shared" si="25"/>
        <v>9.1264933147495786E-2</v>
      </c>
      <c r="L233" s="232">
        <f t="shared" si="26"/>
        <v>7.2339104898364495E-2</v>
      </c>
      <c r="M233" s="232">
        <f t="shared" si="27"/>
        <v>0</v>
      </c>
      <c r="N233" s="232"/>
      <c r="O233" s="232">
        <f t="shared" si="17"/>
        <v>0.16360403804586027</v>
      </c>
      <c r="P233" s="233">
        <f t="shared" si="18"/>
        <v>18706</v>
      </c>
      <c r="Q233" s="291">
        <f t="shared" si="19"/>
        <v>0</v>
      </c>
      <c r="R233" s="151">
        <v>6.7718399248723873E-2</v>
      </c>
      <c r="S233" s="151">
        <f t="shared" si="20"/>
        <v>5.8103698713545773E-2</v>
      </c>
      <c r="T233" s="151" t="s">
        <v>1040</v>
      </c>
      <c r="U233" s="151">
        <v>57.934497485353006</v>
      </c>
      <c r="V233" s="151">
        <v>1.00292056090131E-3</v>
      </c>
      <c r="W233" s="151">
        <v>0</v>
      </c>
      <c r="X233" s="151">
        <f t="shared" si="21"/>
        <v>0.12582209796226965</v>
      </c>
      <c r="Y233" s="151" t="s">
        <v>1048</v>
      </c>
      <c r="AD233" s="604" t="s">
        <v>1647</v>
      </c>
    </row>
    <row r="234" spans="1:32" ht="12.75" customHeight="1" x14ac:dyDescent="0.2">
      <c r="D234" s="228"/>
      <c r="E234" s="228"/>
      <c r="F234" s="228" t="s">
        <v>1049</v>
      </c>
      <c r="G234" s="228"/>
      <c r="H234" s="228"/>
      <c r="I234" s="230">
        <f>I105+I106+16722</f>
        <v>56723</v>
      </c>
      <c r="J234" s="231" t="s">
        <v>301</v>
      </c>
      <c r="K234" s="232">
        <f t="shared" si="25"/>
        <v>9.1264933147495786E-2</v>
      </c>
      <c r="L234" s="232">
        <f t="shared" si="26"/>
        <v>0.14467820979672899</v>
      </c>
      <c r="M234" s="232">
        <f t="shared" si="27"/>
        <v>0</v>
      </c>
      <c r="N234" s="232"/>
      <c r="O234" s="232">
        <f t="shared" si="17"/>
        <v>0.23594314294422478</v>
      </c>
      <c r="P234" s="233">
        <f t="shared" si="18"/>
        <v>13383</v>
      </c>
      <c r="Q234" s="291">
        <f t="shared" si="19"/>
        <v>0</v>
      </c>
      <c r="R234" s="151">
        <v>6.7718399248723873E-2</v>
      </c>
      <c r="S234" s="151">
        <f t="shared" si="20"/>
        <v>0.11620739742709155</v>
      </c>
      <c r="T234" s="151" t="s">
        <v>1040</v>
      </c>
      <c r="U234" s="151">
        <v>57.934497485353006</v>
      </c>
      <c r="V234" s="151">
        <v>2.00584112180262E-3</v>
      </c>
      <c r="W234" s="151">
        <v>0</v>
      </c>
      <c r="X234" s="151">
        <f t="shared" si="21"/>
        <v>0.18392579667581543</v>
      </c>
      <c r="Y234" s="151" t="s">
        <v>1050</v>
      </c>
      <c r="Z234" s="311" t="s">
        <v>1646</v>
      </c>
      <c r="AD234" s="604" t="s">
        <v>1648</v>
      </c>
    </row>
    <row r="235" spans="1:32" x14ac:dyDescent="0.2">
      <c r="A235" s="143" t="s">
        <v>296</v>
      </c>
      <c r="K235" s="149">
        <f t="shared" si="25"/>
        <v>0</v>
      </c>
      <c r="L235" s="149">
        <f t="shared" si="26"/>
        <v>0</v>
      </c>
      <c r="M235" s="149">
        <f t="shared" si="27"/>
        <v>0</v>
      </c>
      <c r="N235" s="149"/>
      <c r="O235" s="149">
        <f t="shared" si="17"/>
        <v>0</v>
      </c>
      <c r="P235" s="216">
        <f t="shared" si="18"/>
        <v>0</v>
      </c>
      <c r="Q235" s="291">
        <f t="shared" si="19"/>
        <v>0</v>
      </c>
      <c r="R235" s="151"/>
      <c r="S235" s="151">
        <f t="shared" si="20"/>
        <v>0</v>
      </c>
      <c r="T235" s="151"/>
      <c r="U235" s="151"/>
      <c r="V235" s="151"/>
      <c r="W235" s="151"/>
      <c r="X235" s="151">
        <f t="shared" si="21"/>
        <v>0</v>
      </c>
      <c r="Y235" s="151"/>
      <c r="AD235" s="604"/>
    </row>
    <row r="236" spans="1:32" s="228" customFormat="1" ht="12.75" customHeight="1" x14ac:dyDescent="0.2">
      <c r="A236" s="228" t="s">
        <v>296</v>
      </c>
      <c r="B236" s="229"/>
      <c r="E236" s="228" t="s">
        <v>844</v>
      </c>
      <c r="I236" s="230"/>
      <c r="J236" s="231"/>
      <c r="K236" s="232">
        <f t="shared" si="25"/>
        <v>0</v>
      </c>
      <c r="L236" s="232">
        <f t="shared" si="26"/>
        <v>0</v>
      </c>
      <c r="M236" s="232">
        <f t="shared" si="27"/>
        <v>0</v>
      </c>
      <c r="N236" s="232"/>
      <c r="O236" s="232">
        <f t="shared" si="17"/>
        <v>0</v>
      </c>
      <c r="P236" s="233">
        <f t="shared" si="18"/>
        <v>0</v>
      </c>
      <c r="Q236" s="339">
        <f t="shared" si="19"/>
        <v>0</v>
      </c>
      <c r="R236" s="312"/>
      <c r="S236" s="312">
        <f t="shared" si="20"/>
        <v>0</v>
      </c>
      <c r="T236" s="312"/>
      <c r="U236" s="312"/>
      <c r="V236" s="312"/>
      <c r="W236" s="312"/>
      <c r="X236" s="312">
        <f t="shared" si="21"/>
        <v>0</v>
      </c>
      <c r="Y236" s="312"/>
      <c r="Z236" s="311"/>
      <c r="AA236" s="311"/>
      <c r="AB236" s="311"/>
      <c r="AD236" s="604"/>
    </row>
    <row r="237" spans="1:32" s="228" customFormat="1" ht="12.75" customHeight="1" x14ac:dyDescent="0.2">
      <c r="A237" s="228" t="s">
        <v>296</v>
      </c>
      <c r="B237" s="229"/>
      <c r="F237" s="228" t="s">
        <v>845</v>
      </c>
      <c r="I237" s="230">
        <v>185813</v>
      </c>
      <c r="J237" s="231" t="s">
        <v>301</v>
      </c>
      <c r="K237" s="232">
        <f t="shared" si="25"/>
        <v>5.475932653949539E-2</v>
      </c>
      <c r="L237" s="232">
        <f t="shared" si="26"/>
        <v>7.2339104898364495E-2</v>
      </c>
      <c r="M237" s="232">
        <f t="shared" si="27"/>
        <v>0</v>
      </c>
      <c r="N237" s="232"/>
      <c r="O237" s="232">
        <f t="shared" si="17"/>
        <v>0.12709843143785987</v>
      </c>
      <c r="P237" s="233">
        <f t="shared" si="18"/>
        <v>23617</v>
      </c>
      <c r="Q237" s="339">
        <f t="shared" si="19"/>
        <v>0</v>
      </c>
      <c r="R237" s="312">
        <v>4.0631311603547035E-2</v>
      </c>
      <c r="S237" s="312">
        <f t="shared" si="20"/>
        <v>5.8103698713545773E-2</v>
      </c>
      <c r="T237" s="312" t="s">
        <v>1040</v>
      </c>
      <c r="U237" s="312">
        <v>57.934497485353006</v>
      </c>
      <c r="V237" s="312">
        <v>1.00292056090131E-3</v>
      </c>
      <c r="W237" s="312">
        <v>0</v>
      </c>
      <c r="X237" s="312">
        <f t="shared" si="21"/>
        <v>9.8735010317092808E-2</v>
      </c>
      <c r="Y237" s="312" t="s">
        <v>846</v>
      </c>
      <c r="Z237" s="613">
        <f>I237-[1]SITE!I233</f>
        <v>50272</v>
      </c>
      <c r="AA237" s="311"/>
      <c r="AB237" s="311"/>
      <c r="AD237" s="607" t="s">
        <v>1643</v>
      </c>
    </row>
    <row r="238" spans="1:32" s="228" customFormat="1" ht="12.75" customHeight="1" x14ac:dyDescent="0.2">
      <c r="A238" s="228" t="s">
        <v>296</v>
      </c>
      <c r="B238" s="229"/>
      <c r="F238" s="228" t="s">
        <v>847</v>
      </c>
      <c r="I238" s="230">
        <f>I265+I266+I271+I313+I326+I335</f>
        <v>107215</v>
      </c>
      <c r="J238" s="231" t="s">
        <v>301</v>
      </c>
      <c r="K238" s="232">
        <f t="shared" si="25"/>
        <v>7.3013046470990384E-2</v>
      </c>
      <c r="L238" s="232">
        <f t="shared" si="26"/>
        <v>0.14467820979672899</v>
      </c>
      <c r="M238" s="232">
        <f t="shared" si="27"/>
        <v>0</v>
      </c>
      <c r="N238" s="232"/>
      <c r="O238" s="232">
        <f t="shared" si="17"/>
        <v>0.21769125626771937</v>
      </c>
      <c r="P238" s="233">
        <f t="shared" si="18"/>
        <v>23340</v>
      </c>
      <c r="Q238" s="339">
        <f t="shared" si="19"/>
        <v>0</v>
      </c>
      <c r="R238" s="312">
        <v>5.4175535561917232E-2</v>
      </c>
      <c r="S238" s="312">
        <f t="shared" si="20"/>
        <v>0.11620739742709155</v>
      </c>
      <c r="T238" s="312" t="s">
        <v>1040</v>
      </c>
      <c r="U238" s="312">
        <v>57.934497485353006</v>
      </c>
      <c r="V238" s="312">
        <v>2.00584112180262E-3</v>
      </c>
      <c r="W238" s="312">
        <v>0</v>
      </c>
      <c r="X238" s="312">
        <f t="shared" si="21"/>
        <v>0.17038293298900878</v>
      </c>
      <c r="Y238" s="312" t="s">
        <v>848</v>
      </c>
      <c r="Z238" s="613">
        <f>I238-[1]SITE!I234</f>
        <v>5559.25</v>
      </c>
      <c r="AA238" s="311"/>
      <c r="AB238" s="311"/>
      <c r="AD238" s="604"/>
    </row>
    <row r="239" spans="1:32" s="228" customFormat="1" ht="12.75" customHeight="1" x14ac:dyDescent="0.2">
      <c r="A239" s="228" t="s">
        <v>296</v>
      </c>
      <c r="B239" s="229"/>
      <c r="F239" s="228" t="s">
        <v>849</v>
      </c>
      <c r="I239" s="230">
        <f>1163*10</f>
        <v>11630</v>
      </c>
      <c r="J239" s="231" t="s">
        <v>301</v>
      </c>
      <c r="K239" s="232">
        <f t="shared" si="25"/>
        <v>0</v>
      </c>
      <c r="L239" s="232">
        <f t="shared" si="26"/>
        <v>0.65105194408528044</v>
      </c>
      <c r="M239" s="232">
        <f t="shared" si="27"/>
        <v>0</v>
      </c>
      <c r="N239" s="232"/>
      <c r="O239" s="232">
        <f t="shared" si="17"/>
        <v>0.65105194408528044</v>
      </c>
      <c r="P239" s="233">
        <f t="shared" si="18"/>
        <v>7572</v>
      </c>
      <c r="Q239" s="339">
        <f t="shared" si="19"/>
        <v>0</v>
      </c>
      <c r="R239" s="312">
        <v>0</v>
      </c>
      <c r="S239" s="312">
        <f t="shared" si="20"/>
        <v>0.522933288421912</v>
      </c>
      <c r="T239" s="312" t="s">
        <v>1040</v>
      </c>
      <c r="U239" s="312">
        <v>57.934497485353006</v>
      </c>
      <c r="V239" s="312">
        <v>9.0262850481117908E-3</v>
      </c>
      <c r="W239" s="312">
        <v>0</v>
      </c>
      <c r="X239" s="312">
        <f t="shared" si="21"/>
        <v>0.522933288421912</v>
      </c>
      <c r="Y239" s="312" t="s">
        <v>850</v>
      </c>
      <c r="Z239" s="613">
        <f>I239-[1]SITE!I235</f>
        <v>1464.4249999999993</v>
      </c>
      <c r="AA239" s="311"/>
      <c r="AB239" s="311"/>
      <c r="AD239" s="604"/>
    </row>
    <row r="240" spans="1:32" x14ac:dyDescent="0.2">
      <c r="D240" s="228"/>
      <c r="E240" s="228"/>
      <c r="F240" s="228"/>
      <c r="G240" s="228"/>
      <c r="H240" s="228"/>
      <c r="I240" s="230"/>
      <c r="J240" s="231"/>
      <c r="K240" s="149">
        <f t="shared" si="25"/>
        <v>0</v>
      </c>
      <c r="L240" s="149">
        <f t="shared" si="26"/>
        <v>0</v>
      </c>
      <c r="M240" s="149">
        <f t="shared" si="27"/>
        <v>0</v>
      </c>
      <c r="N240" s="149"/>
      <c r="O240" s="149">
        <f t="shared" si="17"/>
        <v>0</v>
      </c>
      <c r="P240" s="216">
        <f t="shared" si="18"/>
        <v>0</v>
      </c>
      <c r="Q240" s="291">
        <f t="shared" si="19"/>
        <v>0</v>
      </c>
      <c r="S240" s="143">
        <f t="shared" si="20"/>
        <v>0</v>
      </c>
      <c r="X240" s="143">
        <f t="shared" si="21"/>
        <v>0</v>
      </c>
      <c r="AD240" s="604"/>
    </row>
    <row r="241" spans="1:30" x14ac:dyDescent="0.2">
      <c r="D241" s="228"/>
      <c r="E241" s="228" t="s">
        <v>332</v>
      </c>
      <c r="F241" s="228"/>
      <c r="G241" s="228"/>
      <c r="H241" s="228"/>
      <c r="I241" s="230"/>
      <c r="J241" s="231"/>
      <c r="K241" s="149"/>
      <c r="L241" s="149"/>
      <c r="M241" s="149"/>
      <c r="N241" s="149"/>
      <c r="P241" s="216"/>
      <c r="Z241" s="317" t="s">
        <v>301</v>
      </c>
      <c r="AA241" s="318" t="s">
        <v>1055</v>
      </c>
      <c r="AB241" s="318" t="s">
        <v>1052</v>
      </c>
      <c r="AD241" s="604"/>
    </row>
    <row r="242" spans="1:30" x14ac:dyDescent="0.2">
      <c r="A242" s="175"/>
      <c r="F242" s="143" t="s">
        <v>1054</v>
      </c>
      <c r="I242" s="146">
        <f>((Z242+(AA242*5))*(ROUNDUP(AB242,0))/27)</f>
        <v>446.81481481481484</v>
      </c>
      <c r="J242" s="147" t="s">
        <v>333</v>
      </c>
      <c r="K242" s="232">
        <f t="shared" ref="K242:K252" si="28">R242*tax*markup*IF(Y242&lt;&gt;"",VLOOKUP(LEFT(Y242,2),cityindex,2,0),1)</f>
        <v>0</v>
      </c>
      <c r="L242" s="232">
        <f t="shared" ref="L242:L252" si="29">S242*markup*difficulty*IF(Y242&lt;&gt;"",VLOOKUP(LEFT(Y242,2),cityindex,3,0),1)</f>
        <v>5.1836929542459904</v>
      </c>
      <c r="M242" s="232">
        <f t="shared" ref="M242:M252" si="30">W242*markup*difficulty*IF(Y242&lt;&gt;"",VLOOKUP(LEFT(Y242,2),cityindex,3,0),1)</f>
        <v>5.1244649106858429</v>
      </c>
      <c r="N242" s="232"/>
      <c r="O242" s="232">
        <f t="shared" ref="O242:O252" si="31">SUM(K242:N242)*embed</f>
        <v>10.308157864931832</v>
      </c>
      <c r="P242" s="216">
        <f t="shared" ref="P242:P252" si="32">ROUND((O242*I242),0)</f>
        <v>4606</v>
      </c>
      <c r="Q242" s="291">
        <f t="shared" ref="Q242:Q252" si="33">IF(O242=0,0,IF(X242=0,"manual",(O242/(R242*tax*markup*IF(Y242&lt;&gt;"",VLOOKUP(LEFT(Y242,2),cityindex,2,0),1)+S242*markup*difficulty*IF(Y242&lt;&gt;"",VLOOKUP(LEFT(Y242,2),cityindex,3,0),1)+W242*markup*difficulty*IF(Y242&lt;&gt;"",VLOOKUP(LEFT(Y242,2),cityindex,3,0),1)))-1))</f>
        <v>0</v>
      </c>
      <c r="R242" s="151">
        <v>0</v>
      </c>
      <c r="S242" s="151">
        <f t="shared" ref="S242:S252" si="34">U242*V242</f>
        <v>4.1636087985911567</v>
      </c>
      <c r="T242" s="151" t="s">
        <v>1040</v>
      </c>
      <c r="U242" s="151">
        <v>57.934497485353006</v>
      </c>
      <c r="V242" s="151">
        <v>7.1867522448844923E-2</v>
      </c>
      <c r="W242" s="151">
        <v>4.1160360728400338</v>
      </c>
      <c r="X242" s="151">
        <f t="shared" ref="X242:X252" si="35">SUM(R242,S242,W242)</f>
        <v>8.2796448714311914</v>
      </c>
      <c r="Y242" s="151" t="s">
        <v>334</v>
      </c>
      <c r="Z242" s="290">
        <v>1571</v>
      </c>
      <c r="AA242" s="290">
        <v>289</v>
      </c>
      <c r="AB242" s="319">
        <v>3.5</v>
      </c>
      <c r="AC242" s="311"/>
      <c r="AD242" s="606"/>
    </row>
    <row r="243" spans="1:30" x14ac:dyDescent="0.2">
      <c r="B243" s="287"/>
      <c r="F243" s="143" t="s">
        <v>1107</v>
      </c>
      <c r="I243" s="146">
        <f>((Z243+(AA243*5))*AB243)/27</f>
        <v>379.7925925925926</v>
      </c>
      <c r="J243" s="147" t="s">
        <v>333</v>
      </c>
      <c r="K243" s="232">
        <f t="shared" si="28"/>
        <v>0</v>
      </c>
      <c r="L243" s="232">
        <f t="shared" si="29"/>
        <v>5.1836929542459904</v>
      </c>
      <c r="M243" s="232">
        <f t="shared" si="30"/>
        <v>5.1244649106858429</v>
      </c>
      <c r="N243" s="232"/>
      <c r="O243" s="232">
        <f t="shared" si="31"/>
        <v>10.308157864931832</v>
      </c>
      <c r="P243" s="216">
        <f t="shared" si="32"/>
        <v>3915</v>
      </c>
      <c r="Q243" s="291">
        <f t="shared" si="33"/>
        <v>0</v>
      </c>
      <c r="R243" s="143">
        <v>0</v>
      </c>
      <c r="S243" s="143">
        <f t="shared" si="34"/>
        <v>4.1636087985911567</v>
      </c>
      <c r="T243" s="143" t="s">
        <v>1040</v>
      </c>
      <c r="U243" s="143">
        <v>57.934497485353006</v>
      </c>
      <c r="V243" s="143">
        <v>7.1867522448844923E-2</v>
      </c>
      <c r="W243" s="143">
        <v>4.1160360728400338</v>
      </c>
      <c r="X243" s="143">
        <f t="shared" si="35"/>
        <v>8.2796448714311914</v>
      </c>
      <c r="Y243" s="143" t="s">
        <v>334</v>
      </c>
      <c r="Z243" s="290">
        <v>1571</v>
      </c>
      <c r="AA243" s="290">
        <v>289</v>
      </c>
      <c r="AB243" s="319">
        <f>ROUNDUP(3+(4/12),1)</f>
        <v>3.4</v>
      </c>
      <c r="AC243" s="311"/>
      <c r="AD243" s="604"/>
    </row>
    <row r="244" spans="1:30" x14ac:dyDescent="0.2">
      <c r="B244" s="287"/>
      <c r="F244" s="143" t="s">
        <v>1113</v>
      </c>
      <c r="I244" s="146">
        <f>((Z244+(AA244*5))*AB244)/27</f>
        <v>138.54938271604939</v>
      </c>
      <c r="J244" s="147" t="s">
        <v>333</v>
      </c>
      <c r="K244" s="232">
        <f t="shared" si="28"/>
        <v>0</v>
      </c>
      <c r="L244" s="232">
        <f t="shared" si="29"/>
        <v>5.1836929542459904</v>
      </c>
      <c r="M244" s="232">
        <f t="shared" si="30"/>
        <v>5.1244649106858429</v>
      </c>
      <c r="N244" s="232"/>
      <c r="O244" s="232">
        <f t="shared" si="31"/>
        <v>10.308157864931832</v>
      </c>
      <c r="P244" s="216">
        <f t="shared" si="32"/>
        <v>1428</v>
      </c>
      <c r="Q244" s="291">
        <f t="shared" si="33"/>
        <v>0</v>
      </c>
      <c r="R244" s="143">
        <v>0</v>
      </c>
      <c r="S244" s="143">
        <f t="shared" si="34"/>
        <v>4.1636087985911567</v>
      </c>
      <c r="T244" s="143" t="s">
        <v>1040</v>
      </c>
      <c r="U244" s="143">
        <v>57.934497485353006</v>
      </c>
      <c r="V244" s="143">
        <v>7.1867522448844923E-2</v>
      </c>
      <c r="W244" s="143">
        <v>4.1160360728400338</v>
      </c>
      <c r="X244" s="143">
        <f t="shared" si="35"/>
        <v>8.2796448714311914</v>
      </c>
      <c r="Y244" s="143" t="s">
        <v>334</v>
      </c>
      <c r="Z244" s="290">
        <f>437+4052</f>
        <v>4489</v>
      </c>
      <c r="AA244" s="290"/>
      <c r="AB244" s="319">
        <f>(10/12)</f>
        <v>0.83333333333333337</v>
      </c>
      <c r="AC244" s="311" t="s">
        <v>1114</v>
      </c>
      <c r="AD244" s="604"/>
    </row>
    <row r="245" spans="1:30" x14ac:dyDescent="0.2">
      <c r="B245" s="287"/>
      <c r="D245" s="228"/>
      <c r="E245" s="228"/>
      <c r="F245" s="228"/>
      <c r="G245" s="228"/>
      <c r="H245" s="228"/>
      <c r="I245" s="230"/>
      <c r="J245" s="231"/>
      <c r="K245" s="232">
        <f t="shared" si="28"/>
        <v>0</v>
      </c>
      <c r="L245" s="232">
        <f t="shared" si="29"/>
        <v>0</v>
      </c>
      <c r="M245" s="232">
        <f t="shared" si="30"/>
        <v>0</v>
      </c>
      <c r="N245" s="232"/>
      <c r="O245" s="232">
        <f t="shared" si="31"/>
        <v>0</v>
      </c>
      <c r="P245" s="233">
        <f t="shared" si="32"/>
        <v>0</v>
      </c>
      <c r="Q245" s="291">
        <f t="shared" si="33"/>
        <v>0</v>
      </c>
      <c r="S245" s="143">
        <f t="shared" si="34"/>
        <v>0</v>
      </c>
      <c r="X245" s="143">
        <f t="shared" si="35"/>
        <v>0</v>
      </c>
      <c r="Z245" s="316"/>
      <c r="AA245" s="319"/>
      <c r="AB245" s="335"/>
      <c r="AC245" s="311"/>
      <c r="AD245" s="604"/>
    </row>
    <row r="246" spans="1:30" x14ac:dyDescent="0.2">
      <c r="B246" s="287"/>
      <c r="D246" s="228"/>
      <c r="E246" s="228" t="s">
        <v>1116</v>
      </c>
      <c r="F246" s="228"/>
      <c r="G246" s="228"/>
      <c r="H246" s="228"/>
      <c r="I246" s="230"/>
      <c r="J246" s="231"/>
      <c r="K246" s="232">
        <f t="shared" si="28"/>
        <v>0</v>
      </c>
      <c r="L246" s="232">
        <f t="shared" si="29"/>
        <v>0</v>
      </c>
      <c r="M246" s="232">
        <f t="shared" si="30"/>
        <v>0</v>
      </c>
      <c r="N246" s="232"/>
      <c r="O246" s="232">
        <f t="shared" si="31"/>
        <v>0</v>
      </c>
      <c r="P246" s="233">
        <f t="shared" si="32"/>
        <v>0</v>
      </c>
      <c r="Q246" s="291">
        <f t="shared" si="33"/>
        <v>0</v>
      </c>
      <c r="S246" s="143">
        <f t="shared" si="34"/>
        <v>0</v>
      </c>
      <c r="X246" s="143">
        <f t="shared" si="35"/>
        <v>0</v>
      </c>
      <c r="Z246" s="316" t="s">
        <v>349</v>
      </c>
      <c r="AA246" s="319">
        <v>54.222222222222221</v>
      </c>
      <c r="AB246" s="335" t="s">
        <v>333</v>
      </c>
      <c r="AC246" s="311"/>
      <c r="AD246" s="604"/>
    </row>
    <row r="247" spans="1:30" x14ac:dyDescent="0.2">
      <c r="B247" s="287"/>
      <c r="D247" s="228"/>
      <c r="E247" s="228"/>
      <c r="F247" s="228" t="s">
        <v>1183</v>
      </c>
      <c r="G247" s="228"/>
      <c r="H247" s="228"/>
      <c r="I247" s="230">
        <f>1002+447*0.75</f>
        <v>1337.25</v>
      </c>
      <c r="J247" s="231" t="s">
        <v>333</v>
      </c>
      <c r="K247" s="232">
        <f t="shared" si="28"/>
        <v>0</v>
      </c>
      <c r="L247" s="232">
        <f t="shared" si="29"/>
        <v>5.5015373741161469</v>
      </c>
      <c r="M247" s="232">
        <f t="shared" si="30"/>
        <v>0</v>
      </c>
      <c r="N247" s="232"/>
      <c r="O247" s="232">
        <f t="shared" si="31"/>
        <v>5.5015373741161469</v>
      </c>
      <c r="P247" s="233">
        <f t="shared" si="32"/>
        <v>7357</v>
      </c>
      <c r="Q247" s="291">
        <f t="shared" si="33"/>
        <v>0</v>
      </c>
      <c r="R247" s="143">
        <v>0</v>
      </c>
      <c r="S247" s="143">
        <f t="shared" si="34"/>
        <v>4.4189055213784307</v>
      </c>
      <c r="T247" s="143" t="s">
        <v>1053</v>
      </c>
      <c r="U247" s="143">
        <v>59.802251006250003</v>
      </c>
      <c r="V247" s="143">
        <v>7.3891959700925061E-2</v>
      </c>
      <c r="W247" s="143">
        <v>0</v>
      </c>
      <c r="X247" s="143">
        <f t="shared" si="35"/>
        <v>4.4189055213784307</v>
      </c>
      <c r="Y247" s="143" t="s">
        <v>1182</v>
      </c>
      <c r="Z247" s="316"/>
      <c r="AA247" s="319"/>
      <c r="AB247" s="335"/>
      <c r="AC247" s="311"/>
      <c r="AD247" s="604"/>
    </row>
    <row r="248" spans="1:30" x14ac:dyDescent="0.2">
      <c r="B248" s="287"/>
      <c r="D248" s="228"/>
      <c r="E248" s="228"/>
      <c r="F248" s="228" t="s">
        <v>1125</v>
      </c>
      <c r="G248" s="228"/>
      <c r="H248" s="228"/>
      <c r="I248" s="230">
        <f>1002*0.25</f>
        <v>250.5</v>
      </c>
      <c r="J248" s="231" t="s">
        <v>333</v>
      </c>
      <c r="K248" s="232">
        <f t="shared" si="28"/>
        <v>9.4020058741173251</v>
      </c>
      <c r="L248" s="232">
        <f t="shared" si="29"/>
        <v>0.94912687894644898</v>
      </c>
      <c r="M248" s="232">
        <f t="shared" si="30"/>
        <v>0</v>
      </c>
      <c r="N248" s="232"/>
      <c r="O248" s="232">
        <f t="shared" si="31"/>
        <v>10.351132753063775</v>
      </c>
      <c r="P248" s="233">
        <f t="shared" si="32"/>
        <v>2593</v>
      </c>
      <c r="Q248" s="291">
        <f t="shared" si="33"/>
        <v>0</v>
      </c>
      <c r="R248" s="143">
        <v>6.9762696970736142</v>
      </c>
      <c r="S248" s="143">
        <f t="shared" si="34"/>
        <v>0.76235090678429629</v>
      </c>
      <c r="T248" s="143" t="s">
        <v>1040</v>
      </c>
      <c r="U248" s="143">
        <v>57.934497485353006</v>
      </c>
      <c r="V248" s="143">
        <v>1.31588421385209E-2</v>
      </c>
      <c r="W248" s="143">
        <v>0</v>
      </c>
      <c r="X248" s="143">
        <f t="shared" si="35"/>
        <v>7.7386206038579104</v>
      </c>
      <c r="Y248" s="143" t="s">
        <v>1051</v>
      </c>
      <c r="Z248" s="316"/>
      <c r="AA248" s="319"/>
      <c r="AB248" s="335"/>
      <c r="AC248" s="311"/>
      <c r="AD248" s="604"/>
    </row>
    <row r="249" spans="1:30" s="228" customFormat="1" ht="12.75" customHeight="1" x14ac:dyDescent="0.2">
      <c r="B249" s="229"/>
      <c r="G249" s="228" t="s">
        <v>1112</v>
      </c>
      <c r="I249" s="230">
        <f>I248</f>
        <v>250.5</v>
      </c>
      <c r="J249" s="231" t="s">
        <v>333</v>
      </c>
      <c r="K249" s="232">
        <f t="shared" si="28"/>
        <v>1.4421777022023465</v>
      </c>
      <c r="L249" s="232">
        <f t="shared" si="29"/>
        <v>1.2411659186222797</v>
      </c>
      <c r="M249" s="232">
        <f t="shared" si="30"/>
        <v>0</v>
      </c>
      <c r="N249" s="232"/>
      <c r="O249" s="232">
        <f t="shared" si="31"/>
        <v>2.6833436208246262</v>
      </c>
      <c r="P249" s="233">
        <f t="shared" si="32"/>
        <v>672</v>
      </c>
      <c r="Q249" s="339">
        <f t="shared" si="33"/>
        <v>0</v>
      </c>
      <c r="R249" s="312">
        <v>1.0700929925353859</v>
      </c>
      <c r="S249" s="312">
        <f t="shared" si="34"/>
        <v>0.99692041656407993</v>
      </c>
      <c r="T249" s="312" t="s">
        <v>1040</v>
      </c>
      <c r="U249" s="312">
        <v>57.934497485353006</v>
      </c>
      <c r="V249" s="312">
        <v>1.720771664268118E-2</v>
      </c>
      <c r="W249" s="312">
        <v>0</v>
      </c>
      <c r="X249" s="312">
        <f t="shared" si="35"/>
        <v>2.0670134090994656</v>
      </c>
      <c r="Y249" s="312" t="s">
        <v>1108</v>
      </c>
      <c r="Z249" s="316" t="s">
        <v>349</v>
      </c>
      <c r="AA249" s="319">
        <v>11.417283950617282</v>
      </c>
      <c r="AB249" s="335" t="s">
        <v>333</v>
      </c>
      <c r="AD249" s="604"/>
    </row>
    <row r="250" spans="1:30" s="228" customFormat="1" ht="12.75" customHeight="1" x14ac:dyDescent="0.2">
      <c r="B250" s="229"/>
      <c r="F250" s="143" t="s">
        <v>1124</v>
      </c>
      <c r="I250" s="146">
        <f>I242*0.25</f>
        <v>111.70370370370371</v>
      </c>
      <c r="J250" s="231" t="s">
        <v>333</v>
      </c>
      <c r="K250" s="232">
        <f t="shared" si="28"/>
        <v>9.4020058741173251</v>
      </c>
      <c r="L250" s="232">
        <f t="shared" si="29"/>
        <v>0.94912687894644898</v>
      </c>
      <c r="M250" s="232">
        <f t="shared" si="30"/>
        <v>0</v>
      </c>
      <c r="N250" s="232"/>
      <c r="O250" s="232">
        <f t="shared" si="31"/>
        <v>10.351132753063775</v>
      </c>
      <c r="P250" s="233">
        <f t="shared" si="32"/>
        <v>1156</v>
      </c>
      <c r="Q250" s="339">
        <f t="shared" si="33"/>
        <v>0</v>
      </c>
      <c r="R250" s="312">
        <v>6.9762696970736142</v>
      </c>
      <c r="S250" s="312">
        <f t="shared" si="34"/>
        <v>0.76235090678429629</v>
      </c>
      <c r="T250" s="312" t="s">
        <v>1040</v>
      </c>
      <c r="U250" s="312">
        <v>57.934497485353006</v>
      </c>
      <c r="V250" s="312">
        <v>1.31588421385209E-2</v>
      </c>
      <c r="W250" s="312">
        <v>0</v>
      </c>
      <c r="X250" s="312">
        <f t="shared" si="35"/>
        <v>7.7386206038579104</v>
      </c>
      <c r="Y250" s="312" t="s">
        <v>1051</v>
      </c>
      <c r="Z250" s="316" t="s">
        <v>1110</v>
      </c>
      <c r="AA250" s="319">
        <f>(289*0.667*1)/27</f>
        <v>7.1393703703703704</v>
      </c>
      <c r="AB250" s="335" t="s">
        <v>333</v>
      </c>
      <c r="AD250" s="604"/>
    </row>
    <row r="251" spans="1:30" s="228" customFormat="1" ht="12.75" customHeight="1" x14ac:dyDescent="0.2">
      <c r="B251" s="229"/>
      <c r="G251" s="228" t="s">
        <v>1112</v>
      </c>
      <c r="I251" s="230">
        <f>I250</f>
        <v>111.70370370370371</v>
      </c>
      <c r="J251" s="231" t="s">
        <v>333</v>
      </c>
      <c r="K251" s="232">
        <f t="shared" si="28"/>
        <v>1.4421777022023465</v>
      </c>
      <c r="L251" s="232">
        <f t="shared" si="29"/>
        <v>1.2411659186222797</v>
      </c>
      <c r="M251" s="232">
        <f t="shared" si="30"/>
        <v>0</v>
      </c>
      <c r="N251" s="232"/>
      <c r="O251" s="232">
        <f t="shared" si="31"/>
        <v>2.6833436208246262</v>
      </c>
      <c r="P251" s="233">
        <f t="shared" si="32"/>
        <v>300</v>
      </c>
      <c r="Q251" s="339">
        <f t="shared" si="33"/>
        <v>0</v>
      </c>
      <c r="R251" s="312">
        <v>1.0700929925353859</v>
      </c>
      <c r="S251" s="312">
        <f t="shared" si="34"/>
        <v>0.99692041656407993</v>
      </c>
      <c r="T251" s="312" t="s">
        <v>1040</v>
      </c>
      <c r="U251" s="312">
        <v>57.934497485353006</v>
      </c>
      <c r="V251" s="312">
        <v>1.720771664268118E-2</v>
      </c>
      <c r="W251" s="312">
        <v>0</v>
      </c>
      <c r="X251" s="312">
        <f t="shared" si="35"/>
        <v>2.0670134090994656</v>
      </c>
      <c r="Y251" s="312" t="s">
        <v>1108</v>
      </c>
      <c r="Z251" s="316" t="s">
        <v>349</v>
      </c>
      <c r="AA251" s="319">
        <v>11.417283950617282</v>
      </c>
      <c r="AB251" s="335" t="s">
        <v>333</v>
      </c>
      <c r="AD251" s="604"/>
    </row>
    <row r="252" spans="1:30" x14ac:dyDescent="0.2">
      <c r="B252" s="287"/>
      <c r="F252" s="143" t="s">
        <v>1109</v>
      </c>
      <c r="I252" s="146">
        <f>I243+I244-I255</f>
        <v>125.16043703703701</v>
      </c>
      <c r="J252" s="147" t="s">
        <v>333</v>
      </c>
      <c r="K252" s="232">
        <f t="shared" si="28"/>
        <v>7.3261855838179555</v>
      </c>
      <c r="L252" s="232">
        <f t="shared" si="29"/>
        <v>9.1262199898697034</v>
      </c>
      <c r="M252" s="232">
        <f t="shared" si="30"/>
        <v>5.8282312571559975</v>
      </c>
      <c r="N252" s="232"/>
      <c r="O252" s="232">
        <f t="shared" si="31"/>
        <v>22.280636830843658</v>
      </c>
      <c r="P252" s="216">
        <f t="shared" si="32"/>
        <v>2789</v>
      </c>
      <c r="Q252" s="291">
        <f t="shared" si="33"/>
        <v>0</v>
      </c>
      <c r="R252" s="143">
        <v>5.4360151618523647</v>
      </c>
      <c r="S252" s="143">
        <f t="shared" si="34"/>
        <v>7.3302971806182349</v>
      </c>
      <c r="T252" s="143" t="s">
        <v>1040</v>
      </c>
      <c r="U252" s="143">
        <v>57.934497485353006</v>
      </c>
      <c r="V252" s="143">
        <v>0.12652732825500868</v>
      </c>
      <c r="W252" s="143">
        <v>4.6813102467116439</v>
      </c>
      <c r="X252" s="143">
        <f t="shared" si="35"/>
        <v>17.447622589182242</v>
      </c>
      <c r="Y252" s="143" t="s">
        <v>855</v>
      </c>
      <c r="Z252" s="316" t="s">
        <v>1110</v>
      </c>
      <c r="AA252" s="319">
        <f>(115.6*0.667*1)/27</f>
        <v>2.8557481481481481</v>
      </c>
      <c r="AB252" s="335" t="s">
        <v>333</v>
      </c>
      <c r="AD252" s="604"/>
    </row>
    <row r="253" spans="1:30" x14ac:dyDescent="0.2">
      <c r="D253" s="228"/>
      <c r="E253" s="228"/>
      <c r="F253" s="228"/>
      <c r="G253" s="228"/>
      <c r="H253" s="228"/>
      <c r="I253" s="230"/>
      <c r="J253" s="231"/>
      <c r="K253" s="149"/>
      <c r="L253" s="149"/>
      <c r="M253" s="149"/>
      <c r="N253" s="149"/>
      <c r="P253" s="216"/>
      <c r="Z253" s="316" t="s">
        <v>1111</v>
      </c>
      <c r="AA253" s="319">
        <v>223</v>
      </c>
      <c r="AB253" s="335" t="s">
        <v>333</v>
      </c>
      <c r="AD253" s="604"/>
    </row>
    <row r="254" spans="1:30" x14ac:dyDescent="0.2">
      <c r="D254" s="228"/>
      <c r="E254" s="228" t="s">
        <v>344</v>
      </c>
      <c r="F254" s="228"/>
      <c r="G254" s="228"/>
      <c r="H254" s="228"/>
      <c r="I254" s="230"/>
      <c r="J254" s="231"/>
      <c r="K254" s="149"/>
      <c r="L254" s="149"/>
      <c r="M254" s="149"/>
      <c r="N254" s="149"/>
      <c r="P254" s="216"/>
      <c r="Z254" s="316" t="s">
        <v>1115</v>
      </c>
      <c r="AA254" s="319">
        <f>Z244*0.5/27</f>
        <v>83.129629629629633</v>
      </c>
      <c r="AB254" s="335" t="s">
        <v>333</v>
      </c>
      <c r="AD254" s="604"/>
    </row>
    <row r="255" spans="1:30" x14ac:dyDescent="0.2">
      <c r="B255" s="287"/>
      <c r="F255" s="143" t="s">
        <v>1184</v>
      </c>
      <c r="I255" s="146">
        <f>SUM(AA246:AA254)</f>
        <v>393.18153827160495</v>
      </c>
      <c r="J255" s="147" t="s">
        <v>333</v>
      </c>
      <c r="K255" s="232">
        <f>R255*tax*markup*IF(Y255&lt;&gt;"",VLOOKUP(LEFT(Y255,2),cityindex,2,0),1)</f>
        <v>0</v>
      </c>
      <c r="L255" s="232">
        <f>S255*markup*difficulty*IF(Y255&lt;&gt;"",VLOOKUP(LEFT(Y255,2),cityindex,3,0),1)</f>
        <v>7.3328710479657682</v>
      </c>
      <c r="M255" s="232">
        <f>W255*markup*difficulty*IF(Y255&lt;&gt;"",VLOOKUP(LEFT(Y255,2),cityindex,3,0),1)</f>
        <v>7.7082806838588258</v>
      </c>
      <c r="N255" s="232"/>
      <c r="O255" s="232">
        <f>SUM(K255:N255)*embed</f>
        <v>15.041151731824595</v>
      </c>
      <c r="P255" s="216">
        <f>ROUND((O255*I255),0)</f>
        <v>5914</v>
      </c>
      <c r="Q255" s="291">
        <f>IF(O255=0,0,IF(X255=0,"manual",(O255/(R255*tax*markup*IF(Y255&lt;&gt;"",VLOOKUP(LEFT(Y255,2),cityindex,2,0),1)+S255*markup*difficulty*IF(Y255&lt;&gt;"",VLOOKUP(LEFT(Y255,2),cityindex,3,0),1)+W255*markup*difficulty*IF(Y255&lt;&gt;"",VLOOKUP(LEFT(Y255,2),cityindex,3,0),1)))-1))</f>
        <v>0</v>
      </c>
      <c r="R255" s="143">
        <v>0</v>
      </c>
      <c r="S255" s="143">
        <f>U255*V255</f>
        <v>5.889856263426319</v>
      </c>
      <c r="T255" s="143" t="s">
        <v>1053</v>
      </c>
      <c r="U255" s="143">
        <v>59.802251006250003</v>
      </c>
      <c r="V255" s="143">
        <v>9.8488872313698753E-2</v>
      </c>
      <c r="W255" s="143">
        <v>6.1913901075171287</v>
      </c>
      <c r="X255" s="143">
        <f>SUM(R255,S255,W255)</f>
        <v>12.081246370943447</v>
      </c>
      <c r="Y255" s="143" t="s">
        <v>345</v>
      </c>
      <c r="Z255" s="334"/>
      <c r="AA255" s="319"/>
      <c r="AB255" s="316"/>
      <c r="AD255" s="604"/>
    </row>
    <row r="256" spans="1:30" x14ac:dyDescent="0.2">
      <c r="D256" s="228"/>
      <c r="E256" s="228"/>
      <c r="F256" s="228"/>
      <c r="G256" s="228"/>
      <c r="H256" s="228"/>
      <c r="I256" s="230"/>
      <c r="J256" s="231"/>
      <c r="K256" s="149"/>
      <c r="L256" s="149"/>
      <c r="M256" s="149"/>
      <c r="N256" s="149"/>
      <c r="P256" s="216"/>
      <c r="AD256" s="604"/>
    </row>
    <row r="257" spans="1:32" x14ac:dyDescent="0.2">
      <c r="B257" s="287"/>
      <c r="D257" s="228"/>
      <c r="E257" s="228" t="s">
        <v>1096</v>
      </c>
      <c r="F257" s="228"/>
      <c r="G257" s="228"/>
      <c r="H257" s="228"/>
      <c r="I257" s="230"/>
      <c r="J257" s="231"/>
      <c r="K257" s="232">
        <f>R257*tax*markup*IF(Y257&lt;&gt;"",VLOOKUP(LEFT(Y257,2),cityindex,2,0),1)</f>
        <v>0</v>
      </c>
      <c r="L257" s="232">
        <f>S257*markup*difficulty*IF(Y257&lt;&gt;"",VLOOKUP(LEFT(Y257,2),cityindex,3,0),1)</f>
        <v>0</v>
      </c>
      <c r="M257" s="232">
        <f>W257*markup*difficulty*IF(Y257&lt;&gt;"",VLOOKUP(LEFT(Y257,2),cityindex,3,0),1)</f>
        <v>0</v>
      </c>
      <c r="N257" s="232"/>
      <c r="O257" s="232">
        <f>SUM(K257:N257)*embed</f>
        <v>0</v>
      </c>
      <c r="P257" s="233">
        <f>ROUND((O257*I257),0)</f>
        <v>0</v>
      </c>
      <c r="Q257" s="291">
        <f>IF(O257=0,0,IF(X257=0,"manual",(O257/(R257*tax*markup*IF(Y257&lt;&gt;"",VLOOKUP(LEFT(Y257,2),cityindex,2,0),1)+S257*markup*difficulty*IF(Y257&lt;&gt;"",VLOOKUP(LEFT(Y257,2),cityindex,3,0),1)+W257*markup*difficulty*IF(Y257&lt;&gt;"",VLOOKUP(LEFT(Y257,2),cityindex,3,0),1)))-1))</f>
        <v>0</v>
      </c>
      <c r="S257" s="143">
        <f>U257*V257</f>
        <v>0</v>
      </c>
      <c r="X257" s="143">
        <f>SUM(R257,S257,W257)</f>
        <v>0</v>
      </c>
      <c r="Z257" s="323"/>
      <c r="AA257" s="324"/>
      <c r="AB257" s="316"/>
      <c r="AC257" s="316"/>
      <c r="AD257" s="605"/>
      <c r="AE257" s="227"/>
      <c r="AF257" s="227"/>
    </row>
    <row r="258" spans="1:32" x14ac:dyDescent="0.2">
      <c r="B258" s="287"/>
      <c r="D258" s="228"/>
      <c r="E258" s="228"/>
      <c r="F258" s="228" t="s">
        <v>1334</v>
      </c>
      <c r="G258" s="228"/>
      <c r="H258" s="228"/>
      <c r="I258" s="230">
        <f>BUILDING!AB147*16</f>
        <v>1152</v>
      </c>
      <c r="J258" s="231" t="s">
        <v>550</v>
      </c>
      <c r="K258" s="232">
        <f>R258*tax*markup*IF(Y258&lt;&gt;"",VLOOKUP(LEFT(Y258,2),cityindex,2,0),1)</f>
        <v>25.243921206858101</v>
      </c>
      <c r="L258" s="232">
        <f>S258*markup*difficulty*IF(Y258&lt;&gt;"",VLOOKUP(LEFT(Y258,2),cityindex,3,0),1)</f>
        <v>11.650223177390041</v>
      </c>
      <c r="M258" s="232">
        <f>W258*markup*difficulty*IF(Y258&lt;&gt;"",VLOOKUP(LEFT(Y258,2),cityindex,3,0),1)</f>
        <v>20.984451909123027</v>
      </c>
      <c r="N258" s="232"/>
      <c r="O258" s="232">
        <f>SUM(K258:N258)*embed</f>
        <v>57.878596293371174</v>
      </c>
      <c r="P258" s="233">
        <f>ROUND((O258*I258),0)</f>
        <v>66676</v>
      </c>
      <c r="Q258" s="291">
        <f>IF(O258=0,0,IF(X258=0,"manual",(O258/(R258*tax*markup*IF(Y258&lt;&gt;"",VLOOKUP(LEFT(Y258,2),cityindex,2,0),1)+S258*markup*difficulty*IF(Y258&lt;&gt;"",VLOOKUP(LEFT(Y258,2),cityindex,3,0),1)+W258*markup*difficulty*IF(Y258&lt;&gt;"",VLOOKUP(LEFT(Y258,2),cityindex,3,0),1)))-1))</f>
        <v>0</v>
      </c>
      <c r="R258" s="143">
        <v>18.730939430225732</v>
      </c>
      <c r="S258" s="143">
        <f>U258*V258</f>
        <v>9.3576089778233253</v>
      </c>
      <c r="T258" s="143" t="s">
        <v>986</v>
      </c>
      <c r="U258" s="143">
        <v>37.236611976817947</v>
      </c>
      <c r="V258" s="143">
        <v>0.25130129947507052</v>
      </c>
      <c r="W258" s="143">
        <v>16.854981453110863</v>
      </c>
      <c r="X258" s="143">
        <f>SUM(R258,S258,W258)</f>
        <v>44.943529861159917</v>
      </c>
      <c r="Y258" s="143" t="s">
        <v>1095</v>
      </c>
      <c r="Z258" s="323"/>
      <c r="AA258" s="324"/>
      <c r="AB258" s="316"/>
      <c r="AC258" s="316"/>
      <c r="AD258" s="605"/>
      <c r="AE258" s="227"/>
      <c r="AF258" s="227"/>
    </row>
    <row r="259" spans="1:32" x14ac:dyDescent="0.2">
      <c r="B259" s="287"/>
      <c r="D259" s="228"/>
      <c r="E259" s="228"/>
      <c r="F259" s="228"/>
      <c r="G259" s="228"/>
      <c r="H259" s="228"/>
      <c r="I259" s="230"/>
      <c r="J259" s="231"/>
      <c r="K259" s="232">
        <f>R259*tax*markup*IF(Y259&lt;&gt;"",VLOOKUP(LEFT(Y259,2),cityindex,2,0),1)</f>
        <v>0</v>
      </c>
      <c r="L259" s="232">
        <f>S259*markup*difficulty*IF(Y259&lt;&gt;"",VLOOKUP(LEFT(Y259,2),cityindex,3,0),1)</f>
        <v>0</v>
      </c>
      <c r="M259" s="232">
        <f>W259*markup*difficulty*IF(Y259&lt;&gt;"",VLOOKUP(LEFT(Y259,2),cityindex,3,0),1)</f>
        <v>0</v>
      </c>
      <c r="N259" s="232"/>
      <c r="O259" s="232">
        <f>SUM(K259:N259)*embed</f>
        <v>0</v>
      </c>
      <c r="P259" s="233">
        <f>ROUND((O259*I259),0)</f>
        <v>0</v>
      </c>
      <c r="Q259" s="291">
        <f>IF(O259=0,0,IF(X259=0,"manual",(O259/(R259*tax*markup*IF(Y259&lt;&gt;"",VLOOKUP(LEFT(Y259,2),cityindex,2,0),1)+S259*markup*difficulty*IF(Y259&lt;&gt;"",VLOOKUP(LEFT(Y259,2),cityindex,3,0),1)+W259*markup*difficulty*IF(Y259&lt;&gt;"",VLOOKUP(LEFT(Y259,2),cityindex,3,0),1)))-1))</f>
        <v>0</v>
      </c>
      <c r="S259" s="143">
        <f t="shared" ref="S259:S274" si="36">U259*V259</f>
        <v>0</v>
      </c>
      <c r="X259" s="143">
        <f t="shared" ref="X259:X274" si="37">SUM(R259,S259,W259)</f>
        <v>0</v>
      </c>
      <c r="Z259" s="323"/>
      <c r="AA259" s="324"/>
      <c r="AB259" s="316"/>
      <c r="AC259" s="316"/>
      <c r="AD259" s="605"/>
      <c r="AE259" s="227"/>
      <c r="AF259" s="227"/>
    </row>
    <row r="260" spans="1:32" ht="24.75" customHeight="1" x14ac:dyDescent="0.2">
      <c r="D260" s="217" t="str">
        <f>"TOTAL - " &amp; D206</f>
        <v>TOTAL - 31  EARTHWORK</v>
      </c>
      <c r="E260" s="217"/>
      <c r="F260" s="217"/>
      <c r="G260" s="217"/>
      <c r="H260" s="217"/>
      <c r="I260" s="218"/>
      <c r="J260" s="219"/>
      <c r="K260" s="220"/>
      <c r="L260" s="220"/>
      <c r="M260" s="220"/>
      <c r="N260" s="220"/>
      <c r="O260" s="221"/>
      <c r="P260" s="222">
        <f>SUM(P206:P259)</f>
        <v>208729</v>
      </c>
      <c r="Q260" s="294" t="str">
        <f>_xlfn.CONCAT(TEXT(SUM(P260/GFA),"$#,##0.00"),"/SF")</f>
        <v>$1.54/SF</v>
      </c>
      <c r="S260" s="143">
        <f t="shared" si="36"/>
        <v>0</v>
      </c>
      <c r="X260" s="143">
        <f t="shared" si="37"/>
        <v>0</v>
      </c>
      <c r="Z260" s="314"/>
      <c r="AA260" s="315"/>
      <c r="AD260" s="604"/>
    </row>
    <row r="261" spans="1:32" x14ac:dyDescent="0.2">
      <c r="K261" s="149">
        <f>R261*tax*markup*IF(Y261&lt;&gt;"",VLOOKUP(LEFT(Y261,2),cityindex,2,0),1)</f>
        <v>0</v>
      </c>
      <c r="L261" s="149">
        <f>S261*markup*difficulty*IF(Y261&lt;&gt;"",VLOOKUP(LEFT(Y261,2),cityindex,3,0),1)</f>
        <v>0</v>
      </c>
      <c r="M261" s="149">
        <f>W261*markup*difficulty*IF(Y261&lt;&gt;"",VLOOKUP(LEFT(Y261,2),cityindex,3,0),1)</f>
        <v>0</v>
      </c>
      <c r="N261" s="149"/>
      <c r="O261" s="149">
        <f t="shared" ref="O261:O391" si="38">SUM(K261:N261)*embed</f>
        <v>0</v>
      </c>
      <c r="P261" s="216">
        <f t="shared" ref="P261:P391" si="39">ROUND((O261*I261),0)</f>
        <v>0</v>
      </c>
      <c r="Q261" s="291">
        <f t="shared" ref="Q261:Q391" si="40">IF(O261=0,0,IF(X261=0,"manual",O261/((R261*tax*markup*IF(Y261&lt;&gt;"",VLOOKUP(LEFT(Y261,2),cityindex,2,0),1))+S261*markup*difficulty*IF(Y261&lt;&gt;"",VLOOKUP(LEFT(Y261,2),cityindex,3,0),1)+W261*markup*difficulty*IF(Y261&lt;&gt;"",VLOOKUP(LEFT(Y261,2),cityindex,3,0),1))))</f>
        <v>0</v>
      </c>
      <c r="S261" s="143">
        <f t="shared" si="36"/>
        <v>0</v>
      </c>
      <c r="X261" s="143">
        <f t="shared" si="37"/>
        <v>0</v>
      </c>
      <c r="AD261" s="604"/>
    </row>
    <row r="262" spans="1:32" x14ac:dyDescent="0.2">
      <c r="D262" s="214" t="s">
        <v>288</v>
      </c>
      <c r="E262" s="215"/>
      <c r="F262" s="215"/>
      <c r="G262" s="215"/>
      <c r="H262" s="215"/>
      <c r="K262" s="149">
        <f>R262*tax*markup*IF(Y262&lt;&gt;"",VLOOKUP(LEFT(Y262,2),cityindex,2,0),1)</f>
        <v>0</v>
      </c>
      <c r="L262" s="149">
        <f>S262*markup*difficulty*IF(Y262&lt;&gt;"",VLOOKUP(LEFT(Y262,2),cityindex,3,0),1)</f>
        <v>0</v>
      </c>
      <c r="M262" s="149">
        <f>W262*markup*difficulty*IF(Y262&lt;&gt;"",VLOOKUP(LEFT(Y262,2),cityindex,3,0),1)</f>
        <v>0</v>
      </c>
      <c r="N262" s="149"/>
      <c r="O262" s="149">
        <f t="shared" si="38"/>
        <v>0</v>
      </c>
      <c r="P262" s="216">
        <f t="shared" si="39"/>
        <v>0</v>
      </c>
      <c r="Q262" s="291">
        <f t="shared" si="40"/>
        <v>0</v>
      </c>
      <c r="S262" s="143">
        <f t="shared" si="36"/>
        <v>0</v>
      </c>
      <c r="X262" s="143">
        <f t="shared" si="37"/>
        <v>0</v>
      </c>
      <c r="AD262" s="604"/>
    </row>
    <row r="263" spans="1:32" s="228" customFormat="1" ht="12.75" customHeight="1" x14ac:dyDescent="0.2">
      <c r="B263" s="336"/>
      <c r="E263" s="228" t="s">
        <v>1613</v>
      </c>
      <c r="I263" s="230"/>
      <c r="J263" s="231"/>
      <c r="K263" s="232">
        <f t="shared" ref="K263" si="41">R263*tax*markup*IF(Y263&lt;&gt;"",VLOOKUP(LEFT(Y263,2),cityindex,2,0),1)</f>
        <v>0</v>
      </c>
      <c r="L263" s="232">
        <f t="shared" ref="L263" si="42">S263*markup*difficulty*IF(Y263&lt;&gt;"",VLOOKUP(LEFT(Y263,2),cityindex,3,0),1)</f>
        <v>0</v>
      </c>
      <c r="M263" s="232">
        <f t="shared" ref="M263" si="43">W263*markup*difficulty*IF(Y263&lt;&gt;"",VLOOKUP(LEFT(Y263,2),cityindex,3,0),1)</f>
        <v>0</v>
      </c>
      <c r="N263" s="232"/>
      <c r="O263" s="232">
        <f t="shared" ref="O263:O281" si="44">SUM(K263:N263)*embed</f>
        <v>0</v>
      </c>
      <c r="P263" s="233">
        <f t="shared" ref="P263:P281" si="45">ROUND((O263*I263),0)</f>
        <v>0</v>
      </c>
      <c r="Q263" s="339">
        <f t="shared" ref="Q263:Q281" si="46">IF(O263=0,0,IF(X263=0,"manual",(O263/(R263*tax*markup*IF(Y263&lt;&gt;"",VLOOKUP(LEFT(Y263,2),cityindex,2,0),1)+S263*markup*difficulty*IF(Y263&lt;&gt;"",VLOOKUP(LEFT(Y263,2),cityindex,3,0),1)+W263*markup*difficulty*IF(Y263&lt;&gt;"",VLOOKUP(LEFT(Y263,2),cityindex,3,0),1)))-1))</f>
        <v>0</v>
      </c>
      <c r="S263" s="228">
        <f t="shared" si="36"/>
        <v>0</v>
      </c>
      <c r="X263" s="228">
        <f t="shared" si="37"/>
        <v>0</v>
      </c>
      <c r="AD263" s="604"/>
    </row>
    <row r="264" spans="1:32" s="228" customFormat="1" ht="12.75" customHeight="1" x14ac:dyDescent="0.2">
      <c r="B264" s="336"/>
      <c r="F264" s="228" t="s">
        <v>1122</v>
      </c>
      <c r="I264" s="230"/>
      <c r="J264" s="231" t="s">
        <v>1007</v>
      </c>
      <c r="K264" s="232">
        <f>R264*tax*markup*IF(Y264&lt;&gt;"",VLOOKUP(LEFT(Y264,2),cityindex,2,0),1)</f>
        <v>0</v>
      </c>
      <c r="L264" s="232">
        <f>S264*markup*difficulty*IF(Y264&lt;&gt;"",VLOOKUP(LEFT(Y264,2),cityindex,3,0),1)</f>
        <v>0</v>
      </c>
      <c r="M264" s="232">
        <f>W264*markup*difficulty*IF(Y264&lt;&gt;"",VLOOKUP(LEFT(Y264,2),cityindex,3,0),1)</f>
        <v>0</v>
      </c>
      <c r="N264" s="232"/>
      <c r="O264" s="232">
        <f>SUM(K264:N264)*embed</f>
        <v>0</v>
      </c>
      <c r="P264" s="233">
        <f>ROUND((O264*I264),0)</f>
        <v>0</v>
      </c>
      <c r="Q264" s="339">
        <f>IF(O264=0,0,IF(X264=0,"manual",(O264/(R264*tax*markup*IF(Y264&lt;&gt;"",VLOOKUP(LEFT(Y264,2),cityindex,2,0),1)+S264*markup*difficulty*IF(Y264&lt;&gt;"",VLOOKUP(LEFT(Y264,2),cityindex,3,0),1)+W264*markup*difficulty*IF(Y264&lt;&gt;"",VLOOKUP(LEFT(Y264,2),cityindex,3,0),1)))-1))</f>
        <v>0</v>
      </c>
      <c r="S264" s="228">
        <f t="shared" si="36"/>
        <v>0</v>
      </c>
      <c r="X264" s="228">
        <f t="shared" si="37"/>
        <v>0</v>
      </c>
      <c r="AD264" s="604"/>
    </row>
    <row r="265" spans="1:32" s="228" customFormat="1" ht="12.75" customHeight="1" x14ac:dyDescent="0.2">
      <c r="B265" s="336"/>
      <c r="F265" s="228" t="s">
        <v>1615</v>
      </c>
      <c r="I265" s="230">
        <v>46462</v>
      </c>
      <c r="J265" s="231" t="s">
        <v>301</v>
      </c>
      <c r="K265" s="232">
        <f>R265*tax*markup*IF(Y265&lt;&gt;"",VLOOKUP(LEFT(Y265,2),cityindex,2,0),1)</f>
        <v>9.8445792941777803</v>
      </c>
      <c r="L265" s="232">
        <f>S265*markup*difficulty*IF(Y265&lt;&gt;"",VLOOKUP(LEFT(Y265,2),cityindex,3,0),1)</f>
        <v>1.8042240578362088</v>
      </c>
      <c r="M265" s="232">
        <f>W265*markup*difficulty*IF(Y265&lt;&gt;"",VLOOKUP(LEFT(Y265,2),cityindex,3,0),1)</f>
        <v>0.41704487046676431</v>
      </c>
      <c r="N265" s="232"/>
      <c r="O265" s="232">
        <f>SUM(K265:N265)*embed</f>
        <v>12.065848222480753</v>
      </c>
      <c r="P265" s="233">
        <f>ROUND((O265*I265),0)</f>
        <v>560603</v>
      </c>
      <c r="Q265" s="339">
        <f>IF(O265=0,0,IF(X265=0,"manual",(O265/(R265*tax*markup*IF(Y265&lt;&gt;"",VLOOKUP(LEFT(Y265,2),cityindex,2,0),1)+S265*markup*difficulty*IF(Y265&lt;&gt;"",VLOOKUP(LEFT(Y265,2),cityindex,3,0),1)+W265*markup*difficulty*IF(Y265&lt;&gt;"",VLOOKUP(LEFT(Y265,2),cityindex,3,0),1)))-1))</f>
        <v>0</v>
      </c>
      <c r="R265" s="228">
        <v>7.3046582963189701</v>
      </c>
      <c r="S265" s="228">
        <f>U265*V265</f>
        <v>1.4491759500692438</v>
      </c>
      <c r="T265" s="228" t="s">
        <v>1117</v>
      </c>
      <c r="U265" s="228">
        <v>36.67400681359679</v>
      </c>
      <c r="V265" s="228">
        <v>3.9515070099511614E-2</v>
      </c>
      <c r="W265" s="228">
        <v>0.33497579957169821</v>
      </c>
      <c r="X265" s="228">
        <f>SUM(R265,S265,W265)</f>
        <v>9.0888100459599119</v>
      </c>
      <c r="Y265" s="228" t="s">
        <v>1614</v>
      </c>
      <c r="Z265" s="609">
        <f>I265+I266</f>
        <v>99133</v>
      </c>
      <c r="AD265" s="604" t="s">
        <v>1617</v>
      </c>
    </row>
    <row r="266" spans="1:32" s="228" customFormat="1" ht="12.75" customHeight="1" x14ac:dyDescent="0.2">
      <c r="B266" s="336"/>
      <c r="F266" s="228" t="s">
        <v>1616</v>
      </c>
      <c r="I266" s="230">
        <v>52671</v>
      </c>
      <c r="J266" s="231" t="s">
        <v>301</v>
      </c>
      <c r="K266" s="232">
        <f>R266*tax*markup*IF(Y266&lt;&gt;"",VLOOKUP(LEFT(Y266,2),cityindex,2,0),1)</f>
        <v>8.3596427525978871</v>
      </c>
      <c r="L266" s="232">
        <f>S266*markup*difficulty*IF(Y266&lt;&gt;"",VLOOKUP(LEFT(Y266,2),cityindex,3,0),1)</f>
        <v>1.066964988517352</v>
      </c>
      <c r="M266" s="232">
        <f>W266*markup*difficulty*IF(Y266&lt;&gt;"",VLOOKUP(LEFT(Y266,2),cityindex,3,0),1)</f>
        <v>0.29450275594982805</v>
      </c>
      <c r="N266" s="232"/>
      <c r="O266" s="232">
        <f>SUM(K266:N266)*embed</f>
        <v>9.7211104970650677</v>
      </c>
      <c r="P266" s="233">
        <f t="shared" ref="P266" si="47">ROUND((O266*I266),0)</f>
        <v>512021</v>
      </c>
      <c r="Q266" s="339">
        <f>IF(O266=0,0,IF(X266=0,"manual",(O266/(R266*tax*markup*IF(Y266&lt;&gt;"",VLOOKUP(LEFT(Y266,2),cityindex,2,0),1)+S266*markup*difficulty*IF(Y266&lt;&gt;"",VLOOKUP(LEFT(Y266,2),cityindex,3,0),1)+W266*markup*difficulty*IF(Y266&lt;&gt;"",VLOOKUP(LEFT(Y266,2),cityindex,3,0),1)))-1))</f>
        <v>0</v>
      </c>
      <c r="R266" s="228">
        <v>6.2028383298350995</v>
      </c>
      <c r="S266" s="228">
        <f t="shared" si="36"/>
        <v>0.85699999077698941</v>
      </c>
      <c r="T266" s="228" t="s">
        <v>1117</v>
      </c>
      <c r="U266" s="228">
        <v>36.67400681359679</v>
      </c>
      <c r="V266" s="228">
        <v>2.3368049069000526E-2</v>
      </c>
      <c r="W266" s="228">
        <v>0.23654839835327551</v>
      </c>
      <c r="X266" s="228">
        <f t="shared" si="37"/>
        <v>7.2963867189653646</v>
      </c>
      <c r="Y266" s="228" t="s">
        <v>1178</v>
      </c>
      <c r="Z266" s="609">
        <f>[1]SITE!$I$263+[1]SITE!$I$262</f>
        <v>84654</v>
      </c>
      <c r="AD266" s="604"/>
    </row>
    <row r="267" spans="1:32" s="228" customFormat="1" ht="12.75" customHeight="1" x14ac:dyDescent="0.2">
      <c r="B267" s="336"/>
      <c r="F267" s="228" t="s">
        <v>871</v>
      </c>
      <c r="I267" s="230">
        <v>2980</v>
      </c>
      <c r="J267" s="231" t="s">
        <v>309</v>
      </c>
      <c r="K267" s="232">
        <f>R267*tax*markup*IF(Y267&lt;&gt;"",VLOOKUP(LEFT(Y267,2),cityindex,2,0),1)</f>
        <v>6.8930387609140489</v>
      </c>
      <c r="L267" s="232">
        <f>S267*markup*difficulty*IF(Y267&lt;&gt;"",VLOOKUP(LEFT(Y267,2),cityindex,3,0),1)</f>
        <v>13.534412089746457</v>
      </c>
      <c r="M267" s="232">
        <f>W267*markup*difficulty*IF(Y267&lt;&gt;"",VLOOKUP(LEFT(Y267,2),cityindex,3,0),1)</f>
        <v>0</v>
      </c>
      <c r="N267" s="232"/>
      <c r="O267" s="232">
        <f>SUM(K267:N267)*embed</f>
        <v>20.427450850660506</v>
      </c>
      <c r="P267" s="233">
        <f>ROUND((O267*I267),0)</f>
        <v>60874</v>
      </c>
      <c r="Q267" s="339">
        <f>IF(O267=0,0,IF(X267=0,"manual",(O267/(R267*tax*markup*IF(Y267&lt;&gt;"",VLOOKUP(LEFT(Y267,2),cityindex,2,0),1)+S267*markup*difficulty*IF(Y267&lt;&gt;"",VLOOKUP(LEFT(Y267,2),cityindex,3,0),1)+W267*markup*difficulty*IF(Y267&lt;&gt;"",VLOOKUP(LEFT(Y267,2),cityindex,3,0),1)))-1))</f>
        <v>0</v>
      </c>
      <c r="R267" s="228">
        <v>5.1146210789868372</v>
      </c>
      <c r="S267" s="228">
        <f t="shared" si="36"/>
        <v>10.87101372670398</v>
      </c>
      <c r="T267" s="228" t="s">
        <v>1118</v>
      </c>
      <c r="U267" s="228">
        <v>45.676893043658275</v>
      </c>
      <c r="V267" s="228">
        <v>0.2379980993084051</v>
      </c>
      <c r="W267" s="228">
        <v>0</v>
      </c>
      <c r="X267" s="228">
        <f t="shared" si="37"/>
        <v>15.985634805690818</v>
      </c>
      <c r="Y267" s="228" t="s">
        <v>872</v>
      </c>
      <c r="Z267" s="609">
        <f>Z265-Z266</f>
        <v>14479</v>
      </c>
      <c r="AA267" s="316"/>
      <c r="AD267" s="604"/>
    </row>
    <row r="268" spans="1:32" s="228" customFormat="1" ht="12.75" customHeight="1" x14ac:dyDescent="0.2">
      <c r="B268" s="336"/>
      <c r="F268" s="143" t="s">
        <v>869</v>
      </c>
      <c r="I268" s="230">
        <f>242+500</f>
        <v>742</v>
      </c>
      <c r="J268" s="231" t="s">
        <v>309</v>
      </c>
      <c r="K268" s="232">
        <f t="shared" ref="K268:K277" si="48">R268*tax*markup*IF(Y268&lt;&gt;"",VLOOKUP(LEFT(Y268,2),cityindex,2,0),1)</f>
        <v>6.7647109116417123</v>
      </c>
      <c r="L268" s="232">
        <f t="shared" ref="L268:L277" si="49">S268*markup*difficulty*IF(Y268&lt;&gt;"",VLOOKUP(LEFT(Y268,2),cityindex,3,0),1)</f>
        <v>5.4137648358985819</v>
      </c>
      <c r="M268" s="232">
        <f t="shared" ref="M268:M281" si="50">W268*markup*difficulty*IF(Y268&lt;&gt;"",VLOOKUP(LEFT(Y268,2),cityindex,3,0),1)</f>
        <v>0</v>
      </c>
      <c r="N268" s="232"/>
      <c r="O268" s="232">
        <f t="shared" si="44"/>
        <v>12.178475747540293</v>
      </c>
      <c r="P268" s="233">
        <f t="shared" si="45"/>
        <v>9036</v>
      </c>
      <c r="Q268" s="339">
        <f t="shared" si="46"/>
        <v>0</v>
      </c>
      <c r="R268" s="228">
        <v>5.0194020695376143</v>
      </c>
      <c r="S268" s="228">
        <f t="shared" si="36"/>
        <v>4.3484054906815919</v>
      </c>
      <c r="T268" s="228" t="s">
        <v>1118</v>
      </c>
      <c r="U268" s="228">
        <v>45.676893043658275</v>
      </c>
      <c r="V268" s="228">
        <v>9.5199239723362042E-2</v>
      </c>
      <c r="W268" s="228">
        <v>0</v>
      </c>
      <c r="X268" s="228">
        <f t="shared" si="37"/>
        <v>9.3678075602192052</v>
      </c>
      <c r="Y268" s="228" t="s">
        <v>870</v>
      </c>
      <c r="AD268" s="604"/>
    </row>
    <row r="269" spans="1:32" s="228" customFormat="1" x14ac:dyDescent="0.2">
      <c r="B269" s="336"/>
      <c r="I269" s="230"/>
      <c r="J269" s="231"/>
      <c r="K269" s="232">
        <f t="shared" ref="K269:K274" si="51">R269*tax*markup*IF(Y269&lt;&gt;"",VLOOKUP(LEFT(Y269,2),cityindex,2,0),1)</f>
        <v>0</v>
      </c>
      <c r="L269" s="232">
        <f t="shared" ref="L269:L274" si="52">S269*markup*difficulty*IF(Y269&lt;&gt;"",VLOOKUP(LEFT(Y269,2),cityindex,3,0),1)</f>
        <v>0</v>
      </c>
      <c r="M269" s="232">
        <f t="shared" ref="M269:M274" si="53">W269*markup*difficulty*IF(Y269&lt;&gt;"",VLOOKUP(LEFT(Y269,2),cityindex,3,0),1)</f>
        <v>0</v>
      </c>
      <c r="N269" s="232"/>
      <c r="O269" s="232">
        <f t="shared" ref="O269:O274" si="54">SUM(K269:N269)*embed</f>
        <v>0</v>
      </c>
      <c r="P269" s="233">
        <f t="shared" ref="P269:P274" si="55">ROUND((O269*I269),0)</f>
        <v>0</v>
      </c>
      <c r="Q269" s="337">
        <f t="shared" ref="Q269:Q274" si="56">IF(O269=0,0,IF(X269=0,"manual",(O269/(R269*tax*markup*IF(Y269&lt;&gt;"",VLOOKUP(LEFT(Y269,2),cityindex,2,0),1)+S269*markup*difficulty*IF(Y269&lt;&gt;"",VLOOKUP(LEFT(Y269,2),cityindex,3,0),1)+W269*markup*difficulty*IF(Y269&lt;&gt;"",VLOOKUP(LEFT(Y269,2),cityindex,3,0),1)))-1))</f>
        <v>0</v>
      </c>
      <c r="S269" s="228">
        <f t="shared" si="36"/>
        <v>0</v>
      </c>
      <c r="X269" s="228">
        <f t="shared" si="37"/>
        <v>0</v>
      </c>
      <c r="Z269" s="311"/>
      <c r="AA269" s="311"/>
      <c r="AD269" s="604"/>
    </row>
    <row r="270" spans="1:32" x14ac:dyDescent="0.2">
      <c r="D270" s="228"/>
      <c r="E270" s="228" t="s">
        <v>1331</v>
      </c>
      <c r="F270" s="228"/>
      <c r="G270" s="228"/>
      <c r="H270" s="228"/>
      <c r="I270" s="230"/>
      <c r="J270" s="231"/>
      <c r="K270" s="232">
        <f t="shared" si="51"/>
        <v>0</v>
      </c>
      <c r="L270" s="232">
        <f t="shared" si="52"/>
        <v>0</v>
      </c>
      <c r="M270" s="232">
        <f t="shared" si="53"/>
        <v>0</v>
      </c>
      <c r="N270" s="232"/>
      <c r="O270" s="232">
        <f t="shared" si="54"/>
        <v>0</v>
      </c>
      <c r="P270" s="233">
        <f t="shared" si="55"/>
        <v>0</v>
      </c>
      <c r="Q270" s="291">
        <f t="shared" si="56"/>
        <v>0</v>
      </c>
      <c r="S270" s="143">
        <f t="shared" si="36"/>
        <v>0</v>
      </c>
      <c r="X270" s="143">
        <f t="shared" si="37"/>
        <v>0</v>
      </c>
      <c r="Z270" s="311" t="s">
        <v>1325</v>
      </c>
      <c r="AA270" s="143"/>
      <c r="AB270" s="143"/>
      <c r="AD270" s="604"/>
    </row>
    <row r="271" spans="1:32" s="228" customFormat="1" x14ac:dyDescent="0.2">
      <c r="A271" s="228" t="s">
        <v>296</v>
      </c>
      <c r="B271" s="336"/>
      <c r="F271" s="228" t="s">
        <v>1326</v>
      </c>
      <c r="I271" s="230">
        <v>7394</v>
      </c>
      <c r="J271" s="231" t="s">
        <v>301</v>
      </c>
      <c r="K271" s="232">
        <f t="shared" si="51"/>
        <v>4.0148284272345114</v>
      </c>
      <c r="L271" s="232">
        <f t="shared" si="52"/>
        <v>2.0148695062130249</v>
      </c>
      <c r="M271" s="232">
        <f t="shared" si="53"/>
        <v>0</v>
      </c>
      <c r="N271" s="232"/>
      <c r="O271" s="232">
        <f t="shared" si="54"/>
        <v>6.0296979334475367</v>
      </c>
      <c r="P271" s="233">
        <f t="shared" si="55"/>
        <v>44584</v>
      </c>
      <c r="Q271" s="337">
        <f t="shared" si="56"/>
        <v>0</v>
      </c>
      <c r="R271" s="228">
        <v>2.9789947241971202</v>
      </c>
      <c r="S271" s="228">
        <f t="shared" si="36"/>
        <v>1.6183690812956022</v>
      </c>
      <c r="T271" s="228" t="s">
        <v>1117</v>
      </c>
      <c r="U271" s="228">
        <v>36.67400681359679</v>
      </c>
      <c r="V271" s="228">
        <v>4.4128504679657642E-2</v>
      </c>
      <c r="W271" s="228">
        <v>0</v>
      </c>
      <c r="X271" s="228">
        <f t="shared" si="37"/>
        <v>4.5973638054927228</v>
      </c>
      <c r="Y271" s="228" t="s">
        <v>864</v>
      </c>
      <c r="Z271" s="311" t="s">
        <v>1323</v>
      </c>
      <c r="AA271" s="311" t="s">
        <v>1030</v>
      </c>
      <c r="AB271" s="311" t="s">
        <v>1324</v>
      </c>
      <c r="AC271" s="230"/>
      <c r="AD271" s="607" t="s">
        <v>1618</v>
      </c>
    </row>
    <row r="272" spans="1:32" s="228" customFormat="1" x14ac:dyDescent="0.2">
      <c r="B272" s="336"/>
      <c r="F272" s="228" t="s">
        <v>1099</v>
      </c>
      <c r="I272" s="230">
        <f>(Z272/AB272*AA272)*1.2</f>
        <v>147.32999999999998</v>
      </c>
      <c r="J272" s="231" t="s">
        <v>309</v>
      </c>
      <c r="K272" s="232">
        <f t="shared" si="51"/>
        <v>3.1550084695095677</v>
      </c>
      <c r="L272" s="232">
        <f t="shared" si="52"/>
        <v>2.5365602356896502</v>
      </c>
      <c r="M272" s="232">
        <f t="shared" si="53"/>
        <v>0</v>
      </c>
      <c r="N272" s="232"/>
      <c r="O272" s="232">
        <f t="shared" si="54"/>
        <v>5.6915687051992183</v>
      </c>
      <c r="P272" s="233">
        <f t="shared" si="55"/>
        <v>839</v>
      </c>
      <c r="Q272" s="337">
        <f t="shared" si="56"/>
        <v>0</v>
      </c>
      <c r="R272" s="228">
        <v>2.3410100221742893</v>
      </c>
      <c r="S272" s="228">
        <f t="shared" si="36"/>
        <v>2.0373977796704015</v>
      </c>
      <c r="T272" s="228" t="s">
        <v>968</v>
      </c>
      <c r="U272" s="228">
        <v>50.790085122442285</v>
      </c>
      <c r="V272" s="228">
        <v>4.011408476199127E-2</v>
      </c>
      <c r="W272" s="228">
        <v>0</v>
      </c>
      <c r="X272" s="228">
        <f t="shared" si="37"/>
        <v>4.3784078018446912</v>
      </c>
      <c r="Y272" s="228" t="s">
        <v>1100</v>
      </c>
      <c r="Z272" s="316">
        <f>1637/2</f>
        <v>818.5</v>
      </c>
      <c r="AA272" s="316">
        <v>6</v>
      </c>
      <c r="AB272" s="316">
        <v>40</v>
      </c>
      <c r="AD272" s="607"/>
    </row>
    <row r="273" spans="2:30" s="228" customFormat="1" ht="12.75" hidden="1" customHeight="1" x14ac:dyDescent="0.2">
      <c r="B273" s="336"/>
      <c r="F273" s="228" t="s">
        <v>867</v>
      </c>
      <c r="I273" s="230"/>
      <c r="J273" s="231" t="s">
        <v>301</v>
      </c>
      <c r="K273" s="232">
        <f t="shared" si="51"/>
        <v>0</v>
      </c>
      <c r="L273" s="232">
        <f t="shared" si="52"/>
        <v>7.6996516003199051</v>
      </c>
      <c r="M273" s="232">
        <f t="shared" si="53"/>
        <v>0</v>
      </c>
      <c r="N273" s="232"/>
      <c r="O273" s="232">
        <f t="shared" si="54"/>
        <v>7.6996516003199051</v>
      </c>
      <c r="P273" s="233">
        <f t="shared" si="55"/>
        <v>0</v>
      </c>
      <c r="Q273" s="337">
        <f t="shared" si="56"/>
        <v>0</v>
      </c>
      <c r="R273" s="228">
        <v>0</v>
      </c>
      <c r="S273" s="228">
        <f t="shared" si="36"/>
        <v>6.1844591167228149</v>
      </c>
      <c r="T273" s="228" t="s">
        <v>980</v>
      </c>
      <c r="U273" s="228">
        <v>47.096966173293225</v>
      </c>
      <c r="V273" s="228">
        <v>0.13131332268764628</v>
      </c>
      <c r="W273" s="228">
        <v>0</v>
      </c>
      <c r="X273" s="228">
        <f t="shared" si="37"/>
        <v>6.1844591167228149</v>
      </c>
      <c r="Y273" s="228" t="s">
        <v>868</v>
      </c>
      <c r="Z273" s="311"/>
      <c r="AA273" s="311"/>
      <c r="AB273" s="311"/>
      <c r="AD273" s="604"/>
    </row>
    <row r="274" spans="2:30" s="228" customFormat="1" ht="12.75" customHeight="1" x14ac:dyDescent="0.2">
      <c r="B274" s="336"/>
      <c r="F274" s="228" t="s">
        <v>867</v>
      </c>
      <c r="I274" s="230">
        <f>121+173</f>
        <v>294</v>
      </c>
      <c r="J274" s="231" t="s">
        <v>301</v>
      </c>
      <c r="K274" s="232">
        <f t="shared" si="51"/>
        <v>0</v>
      </c>
      <c r="L274" s="232">
        <f t="shared" si="52"/>
        <v>7.6996516003199051</v>
      </c>
      <c r="M274" s="232">
        <f t="shared" si="53"/>
        <v>0</v>
      </c>
      <c r="N274" s="232"/>
      <c r="O274" s="232">
        <f t="shared" si="54"/>
        <v>7.6996516003199051</v>
      </c>
      <c r="P274" s="233">
        <f t="shared" si="55"/>
        <v>2264</v>
      </c>
      <c r="Q274" s="337">
        <f t="shared" si="56"/>
        <v>0</v>
      </c>
      <c r="R274" s="228">
        <v>0</v>
      </c>
      <c r="S274" s="228">
        <f t="shared" si="36"/>
        <v>6.1844591167228149</v>
      </c>
      <c r="T274" s="228" t="s">
        <v>980</v>
      </c>
      <c r="U274" s="228">
        <v>47.096966173293225</v>
      </c>
      <c r="V274" s="228">
        <v>0.13131332268764628</v>
      </c>
      <c r="W274" s="228">
        <v>0</v>
      </c>
      <c r="X274" s="228">
        <f t="shared" si="37"/>
        <v>6.1844591167228149</v>
      </c>
      <c r="Y274" s="228" t="s">
        <v>868</v>
      </c>
      <c r="Z274" s="311"/>
      <c r="AA274" s="311"/>
      <c r="AB274" s="311"/>
      <c r="AD274" s="607" t="s">
        <v>1622</v>
      </c>
    </row>
    <row r="275" spans="2:30" x14ac:dyDescent="0.2">
      <c r="D275" s="228"/>
      <c r="E275" s="228"/>
      <c r="F275" s="228" t="s">
        <v>1747</v>
      </c>
      <c r="G275" s="228"/>
      <c r="H275" s="228"/>
      <c r="I275" s="230">
        <v>881</v>
      </c>
      <c r="J275" s="231" t="s">
        <v>301</v>
      </c>
      <c r="K275" s="232">
        <f>R275*tax*markup*IF(Y275&lt;&gt;"",VLOOKUP(LEFT(Y275,2),cityindex,2,0),1)</f>
        <v>6.8547841087431447</v>
      </c>
      <c r="L275" s="232">
        <f>S275*markup*difficulty*IF(Y275&lt;&gt;"",VLOOKUP(LEFT(Y275,2),cityindex,3,0),1)</f>
        <v>6.0843162010359491</v>
      </c>
      <c r="M275" s="232">
        <f>W275*markup*difficulty*IF(Y275&lt;&gt;"",VLOOKUP(LEFT(Y275,2),cityindex,3,0),1)</f>
        <v>0</v>
      </c>
      <c r="N275" s="232"/>
      <c r="O275" s="232">
        <f>SUM(K275:N275)*embed</f>
        <v>12.939100309779093</v>
      </c>
      <c r="P275" s="233">
        <f>ROUND((O275*I275),0)</f>
        <v>11399</v>
      </c>
      <c r="Q275" s="339">
        <f>IF(O275=0,0,IF(X275=0,"manual",(O275/(R275*tax*markup*IF(Y275&lt;&gt;"",VLOOKUP(LEFT(Y275,2),cityindex,2,0),1)+S275*markup*difficulty*IF(Y275&lt;&gt;"",VLOOKUP(LEFT(Y275,2),cityindex,3,0),1)+W275*markup*difficulty*IF(Y275&lt;&gt;"",VLOOKUP(LEFT(Y275,2),cityindex,3,0),1)))-1))</f>
        <v>0</v>
      </c>
      <c r="R275" s="143">
        <v>5.0862362030055701</v>
      </c>
      <c r="S275" s="143">
        <f>U275*V275</f>
        <v>4.887000964687509</v>
      </c>
      <c r="T275" s="143" t="s">
        <v>965</v>
      </c>
      <c r="U275" s="143">
        <v>30.337316807306259</v>
      </c>
      <c r="V275" s="143">
        <v>0.16108876720140763</v>
      </c>
      <c r="W275" s="143">
        <v>0</v>
      </c>
      <c r="X275" s="143">
        <f>SUM(R275,S275,W275)</f>
        <v>9.9732371676930782</v>
      </c>
      <c r="Y275" s="143" t="s">
        <v>1748</v>
      </c>
      <c r="Z275" s="374"/>
      <c r="AA275" s="143"/>
      <c r="AB275" s="143"/>
      <c r="AD275" s="604" t="s">
        <v>1316</v>
      </c>
    </row>
    <row r="276" spans="2:30" s="228" customFormat="1" x14ac:dyDescent="0.2">
      <c r="B276" s="336"/>
      <c r="I276" s="230"/>
      <c r="J276" s="231"/>
      <c r="K276" s="232">
        <f t="shared" si="48"/>
        <v>0</v>
      </c>
      <c r="L276" s="232">
        <f t="shared" si="49"/>
        <v>0</v>
      </c>
      <c r="M276" s="232">
        <f t="shared" si="50"/>
        <v>0</v>
      </c>
      <c r="N276" s="232"/>
      <c r="O276" s="232">
        <f t="shared" si="44"/>
        <v>0</v>
      </c>
      <c r="P276" s="233">
        <f t="shared" si="45"/>
        <v>0</v>
      </c>
      <c r="Q276" s="337">
        <f t="shared" si="46"/>
        <v>0</v>
      </c>
      <c r="S276" s="228">
        <f t="shared" ref="S276:S281" si="57">U276*V276</f>
        <v>0</v>
      </c>
      <c r="X276" s="228">
        <f t="shared" ref="X276:X281" si="58">SUM(R276,S276,W276)</f>
        <v>0</v>
      </c>
      <c r="Z276" s="311"/>
      <c r="AA276" s="311"/>
      <c r="AD276" s="604"/>
    </row>
    <row r="277" spans="2:30" s="228" customFormat="1" x14ac:dyDescent="0.2">
      <c r="B277" s="336"/>
      <c r="E277" s="228" t="s">
        <v>1120</v>
      </c>
      <c r="I277" s="230"/>
      <c r="J277" s="231"/>
      <c r="K277" s="232">
        <f t="shared" si="48"/>
        <v>0</v>
      </c>
      <c r="L277" s="232">
        <f t="shared" si="49"/>
        <v>0</v>
      </c>
      <c r="M277" s="232">
        <f t="shared" si="50"/>
        <v>0</v>
      </c>
      <c r="N277" s="232"/>
      <c r="O277" s="232">
        <f t="shared" si="44"/>
        <v>0</v>
      </c>
      <c r="P277" s="233">
        <f t="shared" si="45"/>
        <v>0</v>
      </c>
      <c r="Q277" s="337">
        <f t="shared" si="46"/>
        <v>0</v>
      </c>
      <c r="S277" s="228">
        <f t="shared" si="57"/>
        <v>0</v>
      </c>
      <c r="X277" s="228">
        <f t="shared" si="58"/>
        <v>0</v>
      </c>
      <c r="Z277" s="316">
        <v>1.5</v>
      </c>
      <c r="AA277" s="311"/>
      <c r="AD277" s="604"/>
    </row>
    <row r="278" spans="2:30" s="228" customFormat="1" x14ac:dyDescent="0.2">
      <c r="B278" s="336"/>
      <c r="F278" s="228" t="s">
        <v>1119</v>
      </c>
      <c r="I278" s="230">
        <v>175</v>
      </c>
      <c r="J278" s="231" t="s">
        <v>390</v>
      </c>
      <c r="K278" s="232">
        <f>R278*tax*markup*IF(Y278&lt;&gt;"",VLOOKUP(LEFT(Y278,2),cityindex,2,0),1)*$Z$277</f>
        <v>2.6818036437407304</v>
      </c>
      <c r="L278" s="232">
        <f>S278*markup*difficulty*IF(Y278&lt;&gt;"",VLOOKUP(LEFT(Y278,2),cityindex,3,0),1)*$Z$277</f>
        <v>10.558213861952172</v>
      </c>
      <c r="M278" s="232">
        <f t="shared" si="50"/>
        <v>0.70863997516809296</v>
      </c>
      <c r="N278" s="232">
        <v>9.75</v>
      </c>
      <c r="O278" s="232">
        <f t="shared" si="44"/>
        <v>23.698657480860994</v>
      </c>
      <c r="P278" s="233">
        <f t="shared" si="45"/>
        <v>4147</v>
      </c>
      <c r="Q278" s="337">
        <f t="shared" si="46"/>
        <v>1.4853556750485541</v>
      </c>
      <c r="R278" s="228">
        <v>1.3265953204612657</v>
      </c>
      <c r="S278" s="228">
        <f t="shared" si="57"/>
        <v>5.6536620412059824</v>
      </c>
      <c r="T278" s="228" t="s">
        <v>965</v>
      </c>
      <c r="U278" s="228">
        <v>30.337316807306259</v>
      </c>
      <c r="V278" s="228">
        <v>0.1863599894847783</v>
      </c>
      <c r="W278" s="228">
        <v>0.56918873507477341</v>
      </c>
      <c r="X278" s="228">
        <f t="shared" si="58"/>
        <v>7.5494460967420212</v>
      </c>
      <c r="Y278" s="228" t="s">
        <v>875</v>
      </c>
      <c r="Z278" s="311" t="s">
        <v>1328</v>
      </c>
      <c r="AA278" s="311" t="s">
        <v>1321</v>
      </c>
      <c r="AD278" s="607" t="s">
        <v>1619</v>
      </c>
    </row>
    <row r="279" spans="2:30" s="228" customFormat="1" x14ac:dyDescent="0.2">
      <c r="B279" s="336"/>
      <c r="F279" s="228" t="s">
        <v>880</v>
      </c>
      <c r="I279" s="230">
        <v>457</v>
      </c>
      <c r="J279" s="231" t="s">
        <v>301</v>
      </c>
      <c r="K279" s="232">
        <f>R279*tax*markup*IF(Y279&lt;&gt;"",VLOOKUP(LEFT(Y279,2),cityindex,2,0),1)*$Z$277</f>
        <v>0.20616644938379311</v>
      </c>
      <c r="L279" s="232">
        <f>S279*markup*difficulty*IF(Y279&lt;&gt;"",VLOOKUP(LEFT(Y279,2),cityindex,3,0),1)*$Z$277</f>
        <v>0.69320892072062268</v>
      </c>
      <c r="M279" s="232">
        <f t="shared" si="50"/>
        <v>0</v>
      </c>
      <c r="N279" s="232"/>
      <c r="O279" s="232">
        <f t="shared" si="44"/>
        <v>0.89937537010441582</v>
      </c>
      <c r="P279" s="233">
        <f t="shared" si="45"/>
        <v>411</v>
      </c>
      <c r="Q279" s="337">
        <f t="shared" si="46"/>
        <v>0.5</v>
      </c>
      <c r="R279" s="228">
        <v>0.10198339748959469</v>
      </c>
      <c r="S279" s="228">
        <f t="shared" si="57"/>
        <v>0.37119620922121693</v>
      </c>
      <c r="T279" s="228" t="s">
        <v>965</v>
      </c>
      <c r="U279" s="228">
        <v>30.337316807306259</v>
      </c>
      <c r="V279" s="228">
        <v>1.2235630842995985E-2</v>
      </c>
      <c r="W279" s="228">
        <v>0</v>
      </c>
      <c r="X279" s="228">
        <f t="shared" si="58"/>
        <v>0.47317960671081161</v>
      </c>
      <c r="Y279" s="228" t="s">
        <v>881</v>
      </c>
      <c r="Z279" s="311" t="s">
        <v>1061</v>
      </c>
      <c r="AD279" s="607" t="s">
        <v>1620</v>
      </c>
    </row>
    <row r="280" spans="2:30" s="228" customFormat="1" x14ac:dyDescent="0.2">
      <c r="B280" s="336"/>
      <c r="F280" s="228" t="s">
        <v>876</v>
      </c>
      <c r="I280" s="230">
        <v>8</v>
      </c>
      <c r="J280" s="231" t="s">
        <v>390</v>
      </c>
      <c r="K280" s="232">
        <f>R280*tax*markup*IF(Y280&lt;&gt;"",VLOOKUP(LEFT(Y280,2),cityindex,2,0),1)*$Z$277</f>
        <v>17.841256198037996</v>
      </c>
      <c r="L280" s="232">
        <f>S280*markup*difficulty*IF(Y280&lt;&gt;"",VLOOKUP(LEFT(Y280,2),cityindex,3,0),1)*$Z$277</f>
        <v>57.741352769318951</v>
      </c>
      <c r="M280" s="232">
        <f t="shared" si="50"/>
        <v>0</v>
      </c>
      <c r="N280" s="232"/>
      <c r="O280" s="232">
        <f t="shared" si="44"/>
        <v>75.582608967356947</v>
      </c>
      <c r="P280" s="233">
        <f t="shared" si="45"/>
        <v>605</v>
      </c>
      <c r="Q280" s="337">
        <f t="shared" si="46"/>
        <v>0.5</v>
      </c>
      <c r="R280" s="228">
        <v>8.825451124547703</v>
      </c>
      <c r="S280" s="228">
        <f t="shared" si="57"/>
        <v>30.919064401241741</v>
      </c>
      <c r="T280" s="228" t="s">
        <v>965</v>
      </c>
      <c r="U280" s="228">
        <v>30.337316807306259</v>
      </c>
      <c r="V280" s="228">
        <v>1.0191759738552546</v>
      </c>
      <c r="W280" s="228">
        <v>0</v>
      </c>
      <c r="X280" s="228">
        <f t="shared" si="58"/>
        <v>39.744515525789446</v>
      </c>
      <c r="Y280" s="228" t="s">
        <v>877</v>
      </c>
      <c r="Z280" s="311" t="s">
        <v>1061</v>
      </c>
      <c r="AA280" s="311" t="s">
        <v>1322</v>
      </c>
      <c r="AD280" s="607" t="s">
        <v>1621</v>
      </c>
    </row>
    <row r="281" spans="2:30" s="228" customFormat="1" x14ac:dyDescent="0.2">
      <c r="B281" s="336"/>
      <c r="E281" s="340"/>
      <c r="I281" s="230"/>
      <c r="J281" s="231"/>
      <c r="K281" s="232">
        <f>R281*tax*markup*IF(Y281&lt;&gt;"",VLOOKUP(LEFT(Y281,2),cityindex,2,0),1)</f>
        <v>0</v>
      </c>
      <c r="L281" s="232">
        <f>S281*markup*difficulty*IF(Y281&lt;&gt;"",VLOOKUP(LEFT(Y281,2),cityindex,3,0),1)</f>
        <v>0</v>
      </c>
      <c r="M281" s="232">
        <f t="shared" si="50"/>
        <v>0</v>
      </c>
      <c r="N281" s="232"/>
      <c r="O281" s="232">
        <f t="shared" si="44"/>
        <v>0</v>
      </c>
      <c r="P281" s="233">
        <f t="shared" si="45"/>
        <v>0</v>
      </c>
      <c r="Q281" s="337">
        <f t="shared" si="46"/>
        <v>0</v>
      </c>
      <c r="S281" s="228">
        <f t="shared" si="57"/>
        <v>0</v>
      </c>
      <c r="X281" s="228">
        <f t="shared" si="58"/>
        <v>0</v>
      </c>
      <c r="Z281" s="311"/>
      <c r="AA281" s="311"/>
      <c r="AD281" s="604"/>
    </row>
    <row r="282" spans="2:30" s="228" customFormat="1" x14ac:dyDescent="0.2">
      <c r="B282" s="336"/>
      <c r="E282" s="228" t="s">
        <v>1121</v>
      </c>
      <c r="I282" s="230"/>
      <c r="J282" s="231"/>
      <c r="K282" s="232">
        <f>R282*tax*markup*IF(Y282&lt;&gt;"",VLOOKUP(LEFT(Y282,2),cityindex,2,0),1)</f>
        <v>0</v>
      </c>
      <c r="L282" s="232">
        <f>S282*markup*difficulty*IF(Y282&lt;&gt;"",VLOOKUP(LEFT(Y282,2),cityindex,3,0),1)</f>
        <v>0</v>
      </c>
      <c r="M282" s="232">
        <f t="shared" ref="M282" si="59">W282*markup*difficulty*IF(Y282&lt;&gt;"",VLOOKUP(LEFT(Y282,2),cityindex,3,0),1)</f>
        <v>0</v>
      </c>
      <c r="N282" s="232"/>
      <c r="O282" s="232">
        <f t="shared" ref="O282" si="60">SUM(K282:N282)*embed</f>
        <v>0</v>
      </c>
      <c r="P282" s="233">
        <f t="shared" ref="P282" si="61">ROUND((O282*I282),0)</f>
        <v>0</v>
      </c>
      <c r="Q282" s="337">
        <f t="shared" ref="Q282" si="62">IF(O282=0,0,IF(X282=0,"manual",(O282/(R282*tax*markup*IF(Y282&lt;&gt;"",VLOOKUP(LEFT(Y282,2),cityindex,2,0),1)+S282*markup*difficulty*IF(Y282&lt;&gt;"",VLOOKUP(LEFT(Y282,2),cityindex,3,0),1)+W282*markup*difficulty*IF(Y282&lt;&gt;"",VLOOKUP(LEFT(Y282,2),cityindex,3,0),1)))-1))</f>
        <v>0</v>
      </c>
      <c r="S282" s="228">
        <f t="shared" ref="S282" si="63">U282*V282</f>
        <v>0</v>
      </c>
      <c r="X282" s="228">
        <f t="shared" ref="X282" si="64">SUM(R282,S282,W282)</f>
        <v>0</v>
      </c>
      <c r="AA282" s="311"/>
      <c r="AD282" s="604"/>
    </row>
    <row r="283" spans="2:30" s="228" customFormat="1" x14ac:dyDescent="0.2">
      <c r="B283" s="336"/>
      <c r="F283" s="228" t="s">
        <v>1789</v>
      </c>
      <c r="I283" s="230">
        <v>2</v>
      </c>
      <c r="J283" s="231" t="s">
        <v>390</v>
      </c>
      <c r="K283" s="232">
        <f>R283*tax*markup*IF(Y283&lt;&gt;"",VLOOKUP(LEFT(Y283,2),cityindex,2,0),1)</f>
        <v>1085.6916348613699</v>
      </c>
      <c r="L283" s="232">
        <f>S283*markup*difficulty*IF(Y283&lt;&gt;"",VLOOKUP(LEFT(Y283,2),cityindex,3,0),1)</f>
        <v>462.46458684713554</v>
      </c>
      <c r="M283" s="232">
        <f>W283*markup*difficulty*IF(Y283&lt;&gt;"",VLOOKUP(LEFT(Y283,2),cityindex,3,0),1)</f>
        <v>0</v>
      </c>
      <c r="N283" s="232"/>
      <c r="O283" s="232">
        <f>SUM(K283:N283)*embed</f>
        <v>1548.1562217085054</v>
      </c>
      <c r="P283" s="233">
        <f>ROUND((O283*I283),0)</f>
        <v>3096</v>
      </c>
      <c r="Q283" s="337">
        <f>IF(O283=0,0,IF(X283=0,"manual",(O283/(R283*tax*markup*IF(Y283&lt;&gt;"",VLOOKUP(LEFT(Y283,2),cityindex,2,0),1)+S283*markup*difficulty*IF(Y283&lt;&gt;"",VLOOKUP(LEFT(Y283,2),cityindex,3,0),1)+W283*markup*difficulty*IF(Y283&lt;&gt;"",VLOOKUP(LEFT(Y283,2),cityindex,3,0),1)))-1))</f>
        <v>0</v>
      </c>
      <c r="R283" s="228">
        <v>805.58103813785942</v>
      </c>
      <c r="S283" s="228">
        <f>U283*V283</f>
        <v>371.45749947561086</v>
      </c>
      <c r="T283" s="228" t="s">
        <v>965</v>
      </c>
      <c r="U283" s="228">
        <v>30.337316807306259</v>
      </c>
      <c r="V283" s="228">
        <v>12.2442436763607</v>
      </c>
      <c r="W283" s="228">
        <v>0</v>
      </c>
      <c r="X283" s="228">
        <f>SUM(R283,S283,W283)</f>
        <v>1177.0385376134702</v>
      </c>
      <c r="Y283" s="228" t="s">
        <v>1788</v>
      </c>
      <c r="AA283" s="311"/>
      <c r="AD283" s="604" t="s">
        <v>1316</v>
      </c>
    </row>
    <row r="284" spans="2:30" s="228" customFormat="1" x14ac:dyDescent="0.2">
      <c r="B284" s="336"/>
      <c r="F284" s="228" t="s">
        <v>1327</v>
      </c>
      <c r="I284" s="230">
        <v>30</v>
      </c>
      <c r="J284" s="231" t="s">
        <v>390</v>
      </c>
      <c r="K284" s="232">
        <f>R284*tax*markup*IF(Y284&lt;&gt;"",VLOOKUP(LEFT(Y284,2),cityindex,2,0),1)</f>
        <v>55.956075396709394</v>
      </c>
      <c r="L284" s="232">
        <f>S284*markup*difficulty*IF(Y284&lt;&gt;"",VLOOKUP(LEFT(Y284,2),cityindex,3,0),1)</f>
        <v>11.750424099299979</v>
      </c>
      <c r="M284" s="232">
        <f t="shared" ref="M284:M292" si="65">W284*markup*difficulty*IF(Y284&lt;&gt;"",VLOOKUP(LEFT(Y284,2),cityindex,3,0),1)</f>
        <v>0</v>
      </c>
      <c r="N284" s="232">
        <v>75</v>
      </c>
      <c r="O284" s="232">
        <f t="shared" ref="O284:O308" si="66">SUM(K284:N284)*embed</f>
        <v>142.70649949600937</v>
      </c>
      <c r="P284" s="233">
        <f t="shared" ref="P284:P308" si="67">ROUND((O284*I284),0)</f>
        <v>4281</v>
      </c>
      <c r="Q284" s="337">
        <f t="shared" ref="Q284:Q308" si="68">IF(O284=0,0,IF(X284=0,"manual",(O284/(R284*tax*markup*IF(Y284&lt;&gt;"",VLOOKUP(LEFT(Y284,2),cityindex,2,0),1)+S284*markup*difficulty*IF(Y284&lt;&gt;"",VLOOKUP(LEFT(Y284,2),cityindex,3,0),1)+W284*markup*difficulty*IF(Y284&lt;&gt;"",VLOOKUP(LEFT(Y284,2),cityindex,3,0),1)))-1))</f>
        <v>1.1077223096494673</v>
      </c>
      <c r="R284" s="228">
        <v>41.51929688023921</v>
      </c>
      <c r="S284" s="228">
        <f>U284*V284</f>
        <v>9.4380916460240787</v>
      </c>
      <c r="T284" s="228" t="s">
        <v>965</v>
      </c>
      <c r="U284" s="228">
        <v>30.337316807306259</v>
      </c>
      <c r="V284" s="228">
        <v>0.31110502309654048</v>
      </c>
      <c r="W284" s="228">
        <v>0</v>
      </c>
      <c r="X284" s="228">
        <f>SUM(R284,S284,W284)</f>
        <v>50.957388526263287</v>
      </c>
      <c r="Y284" s="228" t="s">
        <v>883</v>
      </c>
      <c r="Z284" s="311"/>
      <c r="AD284" s="604" t="s">
        <v>1605</v>
      </c>
    </row>
    <row r="285" spans="2:30" s="228" customFormat="1" x14ac:dyDescent="0.2">
      <c r="B285" s="336"/>
      <c r="F285" s="228" t="s">
        <v>1329</v>
      </c>
      <c r="I285" s="230">
        <v>6</v>
      </c>
      <c r="J285" s="231" t="s">
        <v>390</v>
      </c>
      <c r="K285" s="232">
        <f>R285*tax*markup*IF(Y285&lt;&gt;"",VLOOKUP(LEFT(Y285,2),cityindex,2,0),1)+762.21</f>
        <v>762.21</v>
      </c>
      <c r="L285" s="232">
        <f>S285*markup*difficulty*IF(Y285&lt;&gt;"",VLOOKUP(LEFT(Y285,2),cityindex,3,0),1)+1408.51</f>
        <v>1408.51</v>
      </c>
      <c r="M285" s="232">
        <f t="shared" si="65"/>
        <v>0</v>
      </c>
      <c r="N285" s="232"/>
      <c r="O285" s="232">
        <f t="shared" si="66"/>
        <v>2170.7200000000003</v>
      </c>
      <c r="P285" s="233">
        <f t="shared" si="67"/>
        <v>13024</v>
      </c>
      <c r="Q285" s="337" t="str">
        <f t="shared" si="68"/>
        <v>manual</v>
      </c>
      <c r="S285" s="228">
        <f>U285*V285</f>
        <v>0</v>
      </c>
      <c r="X285" s="228">
        <f>SUM(R285,S285,W285)</f>
        <v>0</v>
      </c>
      <c r="Z285" s="311" t="s">
        <v>1330</v>
      </c>
      <c r="AA285" s="311" t="e" vm="1">
        <v>#VALUE!</v>
      </c>
      <c r="AD285" s="604" t="s">
        <v>1606</v>
      </c>
    </row>
    <row r="286" spans="2:30" s="228" customFormat="1" x14ac:dyDescent="0.2">
      <c r="B286" s="336"/>
      <c r="I286" s="230"/>
      <c r="J286" s="231"/>
      <c r="K286" s="232">
        <f t="shared" ref="K286:K292" si="69">R286*tax*markup*IF(Y286&lt;&gt;"",VLOOKUP(LEFT(Y286,2),cityindex,2,0),1)</f>
        <v>0</v>
      </c>
      <c r="L286" s="232">
        <f t="shared" ref="L286:L292" si="70">S286*markup*difficulty*IF(Y286&lt;&gt;"",VLOOKUP(LEFT(Y286,2),cityindex,3,0),1)</f>
        <v>0</v>
      </c>
      <c r="M286" s="232">
        <f t="shared" si="65"/>
        <v>0</v>
      </c>
      <c r="N286" s="232"/>
      <c r="O286" s="232">
        <f>SUM(K286:N286)*embed</f>
        <v>0</v>
      </c>
      <c r="P286" s="233">
        <f>ROUND((O286*I286),0)</f>
        <v>0</v>
      </c>
      <c r="Q286" s="337">
        <f>IF(O286=0,0,IF(X286=0,"manual",(O286/(R286*tax*markup*IF(Y286&lt;&gt;"",VLOOKUP(LEFT(Y286,2),cityindex,2,0),1)+S286*markup*difficulty*IF(Y286&lt;&gt;"",VLOOKUP(LEFT(Y286,2),cityindex,3,0),1)+W286*markup*difficulty*IF(Y286&lt;&gt;"",VLOOKUP(LEFT(Y286,2),cityindex,3,0),1)))-1))</f>
        <v>0</v>
      </c>
      <c r="S286" s="228">
        <f>U286*V286</f>
        <v>0</v>
      </c>
      <c r="X286" s="228">
        <f>SUM(R286,S286,W286)</f>
        <v>0</v>
      </c>
      <c r="Z286" s="311"/>
      <c r="AA286" s="311"/>
      <c r="AD286" s="604"/>
    </row>
    <row r="287" spans="2:30" s="228" customFormat="1" ht="12.75" customHeight="1" x14ac:dyDescent="0.2">
      <c r="B287" s="336"/>
      <c r="E287" s="228" t="s">
        <v>1708</v>
      </c>
      <c r="I287" s="230"/>
      <c r="J287" s="231"/>
      <c r="K287" s="232">
        <f t="shared" si="69"/>
        <v>0</v>
      </c>
      <c r="L287" s="232">
        <f t="shared" si="70"/>
        <v>0</v>
      </c>
      <c r="M287" s="232">
        <f t="shared" si="65"/>
        <v>0</v>
      </c>
      <c r="N287" s="232">
        <v>60000</v>
      </c>
      <c r="O287" s="232">
        <f t="shared" si="66"/>
        <v>60000</v>
      </c>
      <c r="P287" s="233">
        <f t="shared" si="67"/>
        <v>0</v>
      </c>
      <c r="Q287" s="339" t="str">
        <f t="shared" si="68"/>
        <v>manual</v>
      </c>
      <c r="Z287" s="316" t="s">
        <v>301</v>
      </c>
      <c r="AA287" s="316" t="s">
        <v>1702</v>
      </c>
      <c r="AB287" s="316" t="s">
        <v>1703</v>
      </c>
      <c r="AD287" s="604"/>
    </row>
    <row r="288" spans="2:30" s="228" customFormat="1" ht="12.75" customHeight="1" x14ac:dyDescent="0.2">
      <c r="B288" s="336"/>
      <c r="F288" s="228" t="s">
        <v>1700</v>
      </c>
      <c r="I288" s="146">
        <f>((Z288+(AA288*1))*(ROUNDUP(AB288,0))/27)</f>
        <v>29.555555555555557</v>
      </c>
      <c r="J288" s="231" t="s">
        <v>333</v>
      </c>
      <c r="K288" s="232">
        <f t="shared" si="69"/>
        <v>0</v>
      </c>
      <c r="L288" s="232">
        <f t="shared" si="70"/>
        <v>5.1836929542459904</v>
      </c>
      <c r="M288" s="232">
        <f t="shared" si="65"/>
        <v>5.1244649106858429</v>
      </c>
      <c r="N288" s="232"/>
      <c r="O288" s="232">
        <f>SUM(K288:N288)*embed</f>
        <v>10.308157864931832</v>
      </c>
      <c r="P288" s="233">
        <f>ROUND((O288*I288),0)</f>
        <v>305</v>
      </c>
      <c r="Q288" s="339">
        <f>IF(O288=0,0,IF(X288=0,"manual",(O288/(R288*tax*markup*IF(Y288&lt;&gt;"",VLOOKUP(LEFT(Y288,2),cityindex,2,0),1)+S288*markup*difficulty*IF(Y288&lt;&gt;"",VLOOKUP(LEFT(Y288,2),cityindex,3,0),1)+W288*markup*difficulty*IF(Y288&lt;&gt;"",VLOOKUP(LEFT(Y288,2),cityindex,3,0),1)))-1))</f>
        <v>0</v>
      </c>
      <c r="R288" s="228">
        <v>0</v>
      </c>
      <c r="S288" s="228">
        <f t="shared" ref="S288:S296" si="71">U288*V288</f>
        <v>4.1636087985911567</v>
      </c>
      <c r="T288" s="228" t="s">
        <v>1040</v>
      </c>
      <c r="U288" s="228">
        <v>57.934497485353006</v>
      </c>
      <c r="V288" s="228">
        <v>7.1867522448844923E-2</v>
      </c>
      <c r="W288" s="228">
        <v>4.1160360728400338</v>
      </c>
      <c r="X288" s="228">
        <f t="shared" ref="X288:X296" si="72">SUM(R288,S288,W288)</f>
        <v>8.2796448714311914</v>
      </c>
      <c r="Y288" s="228" t="s">
        <v>334</v>
      </c>
      <c r="Z288" s="316">
        <v>141</v>
      </c>
      <c r="AA288" s="316">
        <v>125</v>
      </c>
      <c r="AB288" s="316">
        <v>3</v>
      </c>
      <c r="AD288" s="604" t="s">
        <v>1316</v>
      </c>
    </row>
    <row r="289" spans="1:31" s="228" customFormat="1" ht="12.75" customHeight="1" x14ac:dyDescent="0.2">
      <c r="B289" s="336"/>
      <c r="F289" s="228" t="s">
        <v>1701</v>
      </c>
      <c r="I289" s="230">
        <f>Z288*AB288/27</f>
        <v>15.666666666666666</v>
      </c>
      <c r="J289" s="231" t="s">
        <v>333</v>
      </c>
      <c r="K289" s="232">
        <f t="shared" si="69"/>
        <v>483.70155746430333</v>
      </c>
      <c r="L289" s="232">
        <f t="shared" si="70"/>
        <v>207.44522857134058</v>
      </c>
      <c r="M289" s="232">
        <f t="shared" si="65"/>
        <v>49.033202256984012</v>
      </c>
      <c r="N289" s="232"/>
      <c r="O289" s="232">
        <f>SUM(K289:N289)*embed</f>
        <v>740.17998829262797</v>
      </c>
      <c r="P289" s="233">
        <f>ROUND((O289*I289),0)</f>
        <v>11596</v>
      </c>
      <c r="Q289" s="339">
        <f>IF(O289=0,0,IF(X289=0,"manual",(O289/(R289*tax*markup*IF(Y289&lt;&gt;"",VLOOKUP(LEFT(Y289,2),cityindex,2,0),1)+S289*markup*difficulty*IF(Y289&lt;&gt;"",VLOOKUP(LEFT(Y289,2),cityindex,3,0),1)+W289*markup*difficulty*IF(Y289&lt;&gt;"",VLOOKUP(LEFT(Y289,2),cityindex,3,0),1)))-1))</f>
        <v>0</v>
      </c>
      <c r="R289" s="228">
        <v>358.90559556604489</v>
      </c>
      <c r="S289" s="228">
        <f t="shared" si="71"/>
        <v>166.62267355127756</v>
      </c>
      <c r="T289" s="228" t="s">
        <v>989</v>
      </c>
      <c r="U289" s="228">
        <v>50.442677143129266</v>
      </c>
      <c r="V289" s="228">
        <v>3.3032083741013936</v>
      </c>
      <c r="W289" s="228">
        <v>39.384098198380727</v>
      </c>
      <c r="X289" s="228">
        <f t="shared" si="72"/>
        <v>564.91236731570314</v>
      </c>
      <c r="Y289" s="228" t="s">
        <v>355</v>
      </c>
      <c r="Z289" s="316">
        <v>60</v>
      </c>
      <c r="AA289" s="316">
        <v>4</v>
      </c>
      <c r="AB289" s="235"/>
      <c r="AD289" s="604" t="s">
        <v>1316</v>
      </c>
    </row>
    <row r="290" spans="1:31" s="228" customFormat="1" ht="12.75" customHeight="1" x14ac:dyDescent="0.2">
      <c r="B290" s="336"/>
      <c r="G290" s="228" t="s">
        <v>1704</v>
      </c>
      <c r="I290" s="578">
        <f>Z289*AB290*AA290/27</f>
        <v>0.30864197530864201</v>
      </c>
      <c r="J290" s="231" t="s">
        <v>333</v>
      </c>
      <c r="K290" s="232">
        <f t="shared" si="69"/>
        <v>58.661804695024394</v>
      </c>
      <c r="L290" s="232">
        <f t="shared" si="70"/>
        <v>1.4355701319174365</v>
      </c>
      <c r="M290" s="232">
        <f t="shared" si="65"/>
        <v>3.5096833315631586</v>
      </c>
      <c r="N290" s="232"/>
      <c r="O290" s="232">
        <f>SUM(K290:N290)*embed</f>
        <v>63.607058158504991</v>
      </c>
      <c r="P290" s="233">
        <f>ROUND((O290*I290),0)</f>
        <v>20</v>
      </c>
      <c r="Q290" s="339">
        <f>IF(O290=0,0,IF(X290=0,"manual",(O290/(R290*tax*markup*IF(Y290&lt;&gt;"",VLOOKUP(LEFT(Y290,2),cityindex,2,0),1)+S290*markup*difficulty*IF(Y290&lt;&gt;"",VLOOKUP(LEFT(Y290,2),cityindex,3,0),1)+W290*markup*difficulty*IF(Y290&lt;&gt;"",VLOOKUP(LEFT(Y290,2),cityindex,3,0),1)))-1))</f>
        <v>0</v>
      </c>
      <c r="R290" s="228">
        <v>43.526942649136508</v>
      </c>
      <c r="S290" s="228">
        <f t="shared" si="71"/>
        <v>1.1530683790501497</v>
      </c>
      <c r="T290" s="228" t="s">
        <v>1117</v>
      </c>
      <c r="U290" s="228">
        <v>36.67400681359679</v>
      </c>
      <c r="V290" s="228">
        <v>3.1441025381024161E-2</v>
      </c>
      <c r="W290" s="228">
        <v>2.8190227562756291</v>
      </c>
      <c r="X290" s="228">
        <f t="shared" si="72"/>
        <v>47.499033784462284</v>
      </c>
      <c r="Y290" s="228" t="s">
        <v>365</v>
      </c>
      <c r="Z290" s="316"/>
      <c r="AA290" s="320">
        <f>10/12</f>
        <v>0.83333333333333337</v>
      </c>
      <c r="AB290" s="320">
        <f>2/12</f>
        <v>0.16666666666666666</v>
      </c>
      <c r="AD290" s="604" t="s">
        <v>1316</v>
      </c>
      <c r="AE290" s="236" t="s">
        <v>1780</v>
      </c>
    </row>
    <row r="291" spans="1:31" s="228" customFormat="1" ht="12.75" customHeight="1" x14ac:dyDescent="0.2">
      <c r="B291" s="336"/>
      <c r="F291" s="228" t="s">
        <v>1110</v>
      </c>
      <c r="I291" s="295">
        <f>Z288</f>
        <v>141</v>
      </c>
      <c r="J291" s="231" t="s">
        <v>301</v>
      </c>
      <c r="K291" s="232">
        <f>R291*tax*markup*IF(Y291&lt;&gt;"",VLOOKUP(LEFT(Y291,2),cityindex,2,0),1)</f>
        <v>4.6924969267744343</v>
      </c>
      <c r="L291" s="232">
        <f>S291*markup*difficulty*IF(Y291&lt;&gt;"",VLOOKUP(LEFT(Y291,2),cityindex,3,0),1)</f>
        <v>5.6945947339764214</v>
      </c>
      <c r="M291" s="232">
        <f>W291*markup*difficulty*IF(Y291&lt;&gt;"",VLOOKUP(LEFT(Y291,2),cityindex,3,0),1)</f>
        <v>0</v>
      </c>
      <c r="N291" s="232"/>
      <c r="O291" s="232">
        <f>SUM(K291:N291)*embed</f>
        <v>10.387091660750855</v>
      </c>
      <c r="P291" s="233">
        <f>ROUND((O291*I291),0)</f>
        <v>1465</v>
      </c>
      <c r="Q291" s="339">
        <f>IF(O291=0,0,IF(X291=0,"manual",(O291/(R291*tax*markup*IF(Y291&lt;&gt;"",VLOOKUP(LEFT(Y291,2),cityindex,2,0),1)+S291*markup*difficulty*IF(Y291&lt;&gt;"",VLOOKUP(LEFT(Y291,2),cityindex,3,0),1)+W291*markup*difficulty*IF(Y291&lt;&gt;"",VLOOKUP(LEFT(Y291,2),cityindex,3,0),1)))-1))</f>
        <v>0</v>
      </c>
      <c r="R291" s="228">
        <v>3.4818234057890196</v>
      </c>
      <c r="S291" s="228">
        <f>U291*V291</f>
        <v>4.5739716738766436</v>
      </c>
      <c r="T291" s="228" t="s">
        <v>968</v>
      </c>
      <c r="U291" s="228">
        <v>50.790085122442285</v>
      </c>
      <c r="V291" s="228">
        <v>9.0056389211593826E-2</v>
      </c>
      <c r="W291" s="228">
        <v>0</v>
      </c>
      <c r="X291" s="228">
        <f>SUM(R291,S291,W291)</f>
        <v>8.0557950796656641</v>
      </c>
      <c r="Y291" s="228" t="s">
        <v>437</v>
      </c>
      <c r="Z291" s="316"/>
      <c r="AA291" s="320"/>
      <c r="AB291" s="320"/>
      <c r="AD291" s="604"/>
      <c r="AE291" s="236"/>
    </row>
    <row r="292" spans="1:31" s="228" customFormat="1" ht="12.75" customHeight="1" x14ac:dyDescent="0.2">
      <c r="B292" s="336"/>
      <c r="F292" s="228" t="s">
        <v>1138</v>
      </c>
      <c r="I292" s="230">
        <f>Z289*AA289*2</f>
        <v>480</v>
      </c>
      <c r="J292" s="231" t="s">
        <v>301</v>
      </c>
      <c r="K292" s="232">
        <f t="shared" si="69"/>
        <v>13.984513731282728</v>
      </c>
      <c r="L292" s="232">
        <f t="shared" si="70"/>
        <v>5.3128382040395641</v>
      </c>
      <c r="M292" s="232">
        <f t="shared" si="65"/>
        <v>0</v>
      </c>
      <c r="N292" s="232"/>
      <c r="O292" s="232">
        <f>SUM(K292:N292)*embed</f>
        <v>19.297351935322293</v>
      </c>
      <c r="P292" s="233">
        <f>ROUND((O292*I292),0)</f>
        <v>9263</v>
      </c>
      <c r="Q292" s="339">
        <f>IF(O292=0,0,IF(X292=0,"manual",(O292/(R292*tax*markup*IF(Y292&lt;&gt;"",VLOOKUP(LEFT(Y292,2),cityindex,2,0),1)+S292*markup*difficulty*IF(Y292&lt;&gt;"",VLOOKUP(LEFT(Y292,2),cityindex,3,0),1)+W292*markup*difficulty*IF(Y292&lt;&gt;"",VLOOKUP(LEFT(Y292,2),cityindex,3,0),1)))-1))</f>
        <v>0</v>
      </c>
      <c r="R292" s="228">
        <v>10.376481431523954</v>
      </c>
      <c r="S292" s="228">
        <f t="shared" si="71"/>
        <v>4.2673399229233446</v>
      </c>
      <c r="T292" s="228" t="s">
        <v>1131</v>
      </c>
      <c r="U292" s="228">
        <v>49.450208162146893</v>
      </c>
      <c r="V292" s="228">
        <v>8.6295691798318946E-2</v>
      </c>
      <c r="W292" s="228">
        <v>0</v>
      </c>
      <c r="X292" s="228">
        <f t="shared" si="72"/>
        <v>14.643821354447299</v>
      </c>
      <c r="Y292" s="228" t="s">
        <v>468</v>
      </c>
      <c r="Z292" s="316"/>
      <c r="AA292" s="235"/>
      <c r="AB292" s="235"/>
      <c r="AD292" s="604" t="s">
        <v>1316</v>
      </c>
    </row>
    <row r="293" spans="1:31" x14ac:dyDescent="0.2">
      <c r="D293" s="228"/>
      <c r="E293" s="228"/>
      <c r="F293" s="228" t="s">
        <v>1136</v>
      </c>
      <c r="G293" s="228"/>
      <c r="H293" s="228"/>
      <c r="I293" s="230">
        <f>AA288*AA289</f>
        <v>500</v>
      </c>
      <c r="J293" s="231" t="s">
        <v>301</v>
      </c>
      <c r="K293" s="232">
        <f>R293*tax*markup*IF(Y293&lt;&gt;"",VLOOKUP(LEFT(Y293,2),cityindex,2,0),1)*1.2</f>
        <v>16.100234351186796</v>
      </c>
      <c r="L293" s="232">
        <f t="shared" ref="L293:L294" si="73">S293*markup*difficulty*IF(Y293&lt;&gt;"",VLOOKUP(LEFT(Y293,2),cityindex,3,0),1)</f>
        <v>16.304917246880045</v>
      </c>
      <c r="M293" s="232">
        <f t="shared" ref="M293:M294" si="74">W293*markup*difficulty*IF(Y293&lt;&gt;"",VLOOKUP(LEFT(Y293,2),cityindex,3,0),1)</f>
        <v>0</v>
      </c>
      <c r="N293" s="232"/>
      <c r="O293" s="232">
        <f t="shared" ref="O293:O294" si="75">SUM(K293:N293)*embed</f>
        <v>32.405151598066837</v>
      </c>
      <c r="P293" s="233">
        <f t="shared" ref="P293:P294" si="76">ROUND((O293*I293),0)</f>
        <v>16203</v>
      </c>
      <c r="Q293" s="291">
        <f t="shared" ref="Q293:Q294" si="77">IF(O293=0,0,IF(X293=0,"manual",(O293/(R293*tax*markup*IF(Y293&lt;&gt;"",VLOOKUP(LEFT(Y293,2),cityindex,2,0),1)+S293*markup*difficulty*IF(Y293&lt;&gt;"",VLOOKUP(LEFT(Y293,2),cityindex,3,0),1)+W293*markup*difficulty*IF(Y293&lt;&gt;"",VLOOKUP(LEFT(Y293,2),cityindex,3,0),1)))-1))</f>
        <v>9.0283033638325794E-2</v>
      </c>
      <c r="R293" s="143">
        <v>9.9552849434299429</v>
      </c>
      <c r="S293" s="143">
        <f t="shared" si="71"/>
        <v>13.096319073799231</v>
      </c>
      <c r="T293" s="143" t="s">
        <v>1131</v>
      </c>
      <c r="U293" s="143">
        <v>49.450208162146893</v>
      </c>
      <c r="V293" s="143">
        <v>0.26483850241553059</v>
      </c>
      <c r="W293" s="143">
        <v>0</v>
      </c>
      <c r="X293" s="143">
        <f t="shared" si="72"/>
        <v>23.051604017229174</v>
      </c>
      <c r="Y293" s="143" t="s">
        <v>483</v>
      </c>
      <c r="Z293" s="311" t="s">
        <v>1705</v>
      </c>
      <c r="AC293" s="311"/>
      <c r="AD293" s="604" t="s">
        <v>1316</v>
      </c>
    </row>
    <row r="294" spans="1:31" x14ac:dyDescent="0.2">
      <c r="D294" s="228"/>
      <c r="E294" s="228"/>
      <c r="F294" s="228" t="s">
        <v>1134</v>
      </c>
      <c r="G294" s="228"/>
      <c r="H294" s="228"/>
      <c r="I294" s="230">
        <f>Z289</f>
        <v>60</v>
      </c>
      <c r="J294" s="231" t="s">
        <v>309</v>
      </c>
      <c r="K294" s="232">
        <f>R294*tax*markup*IF(Y294&lt;&gt;"",VLOOKUP(LEFT(Y294,2),cityindex,2,0),1)</f>
        <v>22.048349324090385</v>
      </c>
      <c r="L294" s="232">
        <f t="shared" si="73"/>
        <v>17.350927641599103</v>
      </c>
      <c r="M294" s="232">
        <f t="shared" si="74"/>
        <v>0</v>
      </c>
      <c r="N294" s="232">
        <v>6</v>
      </c>
      <c r="O294" s="232">
        <f t="shared" si="75"/>
        <v>45.399276965689488</v>
      </c>
      <c r="P294" s="233">
        <f t="shared" si="76"/>
        <v>2724</v>
      </c>
      <c r="Q294" s="291">
        <f t="shared" si="77"/>
        <v>0.15228705859818303</v>
      </c>
      <c r="R294" s="151">
        <v>16.359831435925972</v>
      </c>
      <c r="S294" s="151">
        <f t="shared" si="71"/>
        <v>13.936488065541448</v>
      </c>
      <c r="T294" s="151" t="s">
        <v>1131</v>
      </c>
      <c r="U294" s="151">
        <v>49.450208162146893</v>
      </c>
      <c r="V294" s="151">
        <v>0.281828703730504</v>
      </c>
      <c r="W294" s="151">
        <v>0</v>
      </c>
      <c r="X294" s="151">
        <f t="shared" si="72"/>
        <v>30.296319501467423</v>
      </c>
      <c r="Y294" s="151" t="s">
        <v>481</v>
      </c>
      <c r="Z294" s="143"/>
      <c r="AA294" s="143"/>
      <c r="AB294" s="236"/>
      <c r="AD294" s="604" t="s">
        <v>1316</v>
      </c>
    </row>
    <row r="295" spans="1:31" x14ac:dyDescent="0.2">
      <c r="D295" s="228"/>
      <c r="E295" s="228"/>
      <c r="F295" s="228" t="s">
        <v>1706</v>
      </c>
      <c r="G295" s="228"/>
      <c r="H295" s="228"/>
      <c r="I295" s="230">
        <f>Z289*1.5</f>
        <v>90</v>
      </c>
      <c r="J295" s="231" t="s">
        <v>301</v>
      </c>
      <c r="K295" s="232">
        <f>R295*tax*markup*IF(Y295&lt;&gt;"",VLOOKUP(LEFT(Y295,2),cityindex,2,0),1)</f>
        <v>0</v>
      </c>
      <c r="L295" s="232">
        <f>S295*markup*difficulty*IF(Y295&lt;&gt;"",VLOOKUP(LEFT(Y295,2),cityindex,3,0),1)</f>
        <v>0</v>
      </c>
      <c r="M295" s="232">
        <f>W295*markup*difficulty*IF(Y295&lt;&gt;"",VLOOKUP(LEFT(Y295,2),cityindex,3,0),1)</f>
        <v>0</v>
      </c>
      <c r="N295" s="232">
        <v>11.5</v>
      </c>
      <c r="O295" s="232">
        <f>SUM(K295:N295)*embed</f>
        <v>11.5</v>
      </c>
      <c r="P295" s="233">
        <f>ROUND((O295*I295),0)</f>
        <v>1035</v>
      </c>
      <c r="Q295" s="291" t="str">
        <f>IF(O295=0,0,IF(X295=0,"manual",(O295/(R295*tax*markup*IF(Y295&lt;&gt;"",VLOOKUP(LEFT(Y295,2),cityindex,2,0),1)+S295*markup*difficulty*IF(Y295&lt;&gt;"",VLOOKUP(LEFT(Y295,2),cityindex,3,0),1)+W295*markup*difficulty*IF(Y295&lt;&gt;"",VLOOKUP(LEFT(Y295,2),cityindex,3,0),1)))-1))</f>
        <v>manual</v>
      </c>
      <c r="R295" s="151"/>
      <c r="S295" s="151">
        <f t="shared" si="71"/>
        <v>0</v>
      </c>
      <c r="T295" s="151"/>
      <c r="U295" s="151"/>
      <c r="V295" s="151"/>
      <c r="W295" s="151"/>
      <c r="X295" s="151">
        <f t="shared" si="72"/>
        <v>0</v>
      </c>
      <c r="Y295" s="151"/>
      <c r="Z295" s="143"/>
      <c r="AA295" s="143"/>
      <c r="AB295" s="236"/>
      <c r="AD295" s="604"/>
    </row>
    <row r="296" spans="1:31" x14ac:dyDescent="0.2">
      <c r="D296" s="228"/>
      <c r="E296" s="228"/>
      <c r="F296" s="228" t="s">
        <v>1707</v>
      </c>
      <c r="G296" s="228"/>
      <c r="H296" s="228"/>
      <c r="I296" s="230"/>
      <c r="J296" s="231" t="s">
        <v>1311</v>
      </c>
      <c r="K296" s="232">
        <f>R296*tax*markup*IF(Y296&lt;&gt;"",VLOOKUP(LEFT(Y296,2),cityindex,2,0),1)</f>
        <v>0</v>
      </c>
      <c r="L296" s="232">
        <f>S296*markup*difficulty*IF(Y296&lt;&gt;"",VLOOKUP(LEFT(Y296,2),cityindex,3,0),1)</f>
        <v>0</v>
      </c>
      <c r="M296" s="232">
        <f>W296*markup*difficulty*IF(Y296&lt;&gt;"",VLOOKUP(LEFT(Y296,2),cityindex,3,0),1)</f>
        <v>0</v>
      </c>
      <c r="N296" s="232"/>
      <c r="O296" s="232">
        <f>SUM(K296:N296)*embed</f>
        <v>0</v>
      </c>
      <c r="P296" s="233">
        <f>ROUND((O296*I296),0)</f>
        <v>0</v>
      </c>
      <c r="Q296" s="291">
        <f>IF(O296=0,0,IF(X296=0,"manual",(O296/(R296*tax*markup*IF(Y296&lt;&gt;"",VLOOKUP(LEFT(Y296,2),cityindex,2,0),1)+S296*markup*difficulty*IF(Y296&lt;&gt;"",VLOOKUP(LEFT(Y296,2),cityindex,3,0),1)+W296*markup*difficulty*IF(Y296&lt;&gt;"",VLOOKUP(LEFT(Y296,2),cityindex,3,0),1)))-1))</f>
        <v>0</v>
      </c>
      <c r="R296" s="151"/>
      <c r="S296" s="151">
        <f t="shared" si="71"/>
        <v>0</v>
      </c>
      <c r="T296" s="151"/>
      <c r="U296" s="151"/>
      <c r="V296" s="151"/>
      <c r="W296" s="151"/>
      <c r="X296" s="151">
        <f t="shared" si="72"/>
        <v>0</v>
      </c>
      <c r="Y296" s="151"/>
      <c r="Z296" s="143"/>
      <c r="AA296" s="143"/>
      <c r="AB296" s="236"/>
      <c r="AD296" s="604"/>
    </row>
    <row r="297" spans="1:31" x14ac:dyDescent="0.2">
      <c r="A297" s="175"/>
      <c r="G297" s="228"/>
      <c r="K297" s="149">
        <f t="shared" ref="K297" si="78">R297*tax*markup*IF(Y297&lt;&gt;"",VLOOKUP(LEFT(Y297,2),cityindex,2,0),1)</f>
        <v>0</v>
      </c>
      <c r="L297" s="149">
        <f t="shared" ref="L297" si="79">S297*markup*difficulty*IF(Y297&lt;&gt;"",VLOOKUP(LEFT(Y297,2),cityindex,3,0),1)</f>
        <v>0</v>
      </c>
      <c r="M297" s="149">
        <f t="shared" ref="M297" si="80">W297*markup*difficulty*IF(Y297&lt;&gt;"",VLOOKUP(LEFT(Y297,2),cityindex,3,0),1)</f>
        <v>0</v>
      </c>
      <c r="N297" s="149"/>
      <c r="O297" s="149">
        <f t="shared" si="66"/>
        <v>0</v>
      </c>
      <c r="P297" s="216">
        <f t="shared" si="67"/>
        <v>0</v>
      </c>
      <c r="Q297" s="291">
        <f t="shared" si="68"/>
        <v>0</v>
      </c>
      <c r="R297" s="417"/>
      <c r="S297" s="417"/>
      <c r="T297" s="417"/>
      <c r="U297" s="417"/>
      <c r="V297" s="417"/>
      <c r="W297" s="417"/>
      <c r="X297" s="417"/>
      <c r="Y297" s="417"/>
      <c r="Z297" s="143"/>
      <c r="AA297" s="143"/>
      <c r="AB297" s="143"/>
      <c r="AD297" s="604"/>
    </row>
    <row r="298" spans="1:31" s="228" customFormat="1" ht="12.75" customHeight="1" x14ac:dyDescent="0.2">
      <c r="B298" s="336"/>
      <c r="E298" s="228" t="s">
        <v>1623</v>
      </c>
      <c r="I298" s="230"/>
      <c r="J298" s="231"/>
      <c r="K298" s="232">
        <f t="shared" ref="K298:K303" si="81">R298*tax*markup*IF(Y298&lt;&gt;"",VLOOKUP(LEFT(Y298,2),cityindex,2,0),1)</f>
        <v>0</v>
      </c>
      <c r="L298" s="232">
        <f t="shared" ref="L298:L303" si="82">S298*markup*difficulty*IF(Y298&lt;&gt;"",VLOOKUP(LEFT(Y298,2),cityindex,3,0),1)</f>
        <v>0</v>
      </c>
      <c r="M298" s="232">
        <f t="shared" ref="M298:M303" si="83">W298*markup*difficulty*IF(Y298&lt;&gt;"",VLOOKUP(LEFT(Y298,2),cityindex,3,0),1)</f>
        <v>0</v>
      </c>
      <c r="N298" s="232"/>
      <c r="O298" s="232">
        <f t="shared" si="66"/>
        <v>0</v>
      </c>
      <c r="P298" s="233">
        <f t="shared" si="67"/>
        <v>0</v>
      </c>
      <c r="Q298" s="339">
        <f t="shared" si="68"/>
        <v>0</v>
      </c>
      <c r="S298" s="228">
        <f t="shared" ref="S298:S303" si="84">U298*V298</f>
        <v>0</v>
      </c>
      <c r="X298" s="228">
        <f t="shared" ref="X298:X303" si="85">SUM(R298,S298,W298)</f>
        <v>0</v>
      </c>
      <c r="Z298" s="576" t="s">
        <v>990</v>
      </c>
      <c r="AD298" s="604" t="s">
        <v>1626</v>
      </c>
    </row>
    <row r="299" spans="1:31" s="228" customFormat="1" ht="12.75" customHeight="1" x14ac:dyDescent="0.2">
      <c r="B299" s="336"/>
      <c r="F299" s="228" t="s">
        <v>1608</v>
      </c>
      <c r="I299" s="230">
        <f>3*Z299</f>
        <v>27</v>
      </c>
      <c r="J299" s="231" t="s">
        <v>550</v>
      </c>
      <c r="K299" s="232">
        <f t="shared" si="81"/>
        <v>32.388606471275594</v>
      </c>
      <c r="L299" s="232">
        <f t="shared" si="82"/>
        <v>28.816485899269651</v>
      </c>
      <c r="M299" s="232">
        <f t="shared" si="83"/>
        <v>22.382597740590022</v>
      </c>
      <c r="N299" s="232"/>
      <c r="O299" s="232">
        <f t="shared" si="66"/>
        <v>83.587690111135259</v>
      </c>
      <c r="P299" s="233">
        <f t="shared" si="67"/>
        <v>2257</v>
      </c>
      <c r="Q299" s="339">
        <f t="shared" si="68"/>
        <v>0</v>
      </c>
      <c r="R299" s="228">
        <v>24.0322817153329</v>
      </c>
      <c r="S299" s="228">
        <f t="shared" si="84"/>
        <v>23.145771806642287</v>
      </c>
      <c r="T299" s="228" t="s">
        <v>986</v>
      </c>
      <c r="U299" s="228">
        <v>92.103669400000001</v>
      </c>
      <c r="V299" s="228">
        <v>0.25130129947507052</v>
      </c>
      <c r="W299" s="228">
        <v>17.977990153084352</v>
      </c>
      <c r="X299" s="228">
        <f t="shared" si="85"/>
        <v>65.156043675059536</v>
      </c>
      <c r="Y299" s="228" t="s">
        <v>1095</v>
      </c>
      <c r="Z299" s="573">
        <v>9</v>
      </c>
      <c r="AD299" s="604"/>
    </row>
    <row r="300" spans="1:31" s="228" customFormat="1" ht="12.75" customHeight="1" x14ac:dyDescent="0.2">
      <c r="B300" s="336"/>
      <c r="F300" s="228" t="s">
        <v>1609</v>
      </c>
      <c r="I300" s="578">
        <f>(2*2*1.5)/27*Z299</f>
        <v>2</v>
      </c>
      <c r="J300" s="231" t="s">
        <v>333</v>
      </c>
      <c r="K300" s="232">
        <f t="shared" si="81"/>
        <v>434.5806657548473</v>
      </c>
      <c r="L300" s="232">
        <f t="shared" si="82"/>
        <v>294.16270380167111</v>
      </c>
      <c r="M300" s="232">
        <f t="shared" si="83"/>
        <v>34.971575951070861</v>
      </c>
      <c r="N300" s="232"/>
      <c r="O300" s="232">
        <f t="shared" si="66"/>
        <v>763.71494550758939</v>
      </c>
      <c r="P300" s="233">
        <f t="shared" si="67"/>
        <v>1527</v>
      </c>
      <c r="Q300" s="339">
        <f t="shared" si="68"/>
        <v>0</v>
      </c>
      <c r="R300" s="228">
        <v>322.45799141496963</v>
      </c>
      <c r="S300" s="228">
        <f t="shared" si="84"/>
        <v>236.27526409772778</v>
      </c>
      <c r="T300" s="228" t="s">
        <v>989</v>
      </c>
      <c r="U300" s="228">
        <v>104.83474903002272</v>
      </c>
      <c r="V300" s="228">
        <v>2.253787663764645</v>
      </c>
      <c r="W300" s="228">
        <v>28.08961923780792</v>
      </c>
      <c r="X300" s="228">
        <f t="shared" si="85"/>
        <v>586.82287475050532</v>
      </c>
      <c r="Y300" s="228" t="s">
        <v>353</v>
      </c>
      <c r="AD300" s="604"/>
    </row>
    <row r="301" spans="1:31" s="228" customFormat="1" ht="12.75" customHeight="1" x14ac:dyDescent="0.2">
      <c r="B301" s="336"/>
      <c r="F301" s="228" t="s">
        <v>1624</v>
      </c>
      <c r="I301" s="230">
        <f>1*Z299</f>
        <v>9</v>
      </c>
      <c r="J301" s="231" t="s">
        <v>390</v>
      </c>
      <c r="K301" s="232">
        <f t="shared" si="81"/>
        <v>334.18832298030765</v>
      </c>
      <c r="L301" s="232">
        <f t="shared" si="82"/>
        <v>1089.9192102737632</v>
      </c>
      <c r="M301" s="232">
        <f t="shared" si="83"/>
        <v>165.18500891084003</v>
      </c>
      <c r="N301" s="232"/>
      <c r="O301" s="232">
        <f t="shared" si="66"/>
        <v>1589.2925421649109</v>
      </c>
      <c r="P301" s="233">
        <f t="shared" si="67"/>
        <v>14304</v>
      </c>
      <c r="Q301" s="339">
        <f t="shared" si="68"/>
        <v>0</v>
      </c>
      <c r="R301" s="228">
        <v>247.96707233946972</v>
      </c>
      <c r="S301" s="228">
        <f t="shared" si="84"/>
        <v>875.43711668575349</v>
      </c>
      <c r="T301" s="228" t="s">
        <v>965</v>
      </c>
      <c r="U301" s="228">
        <v>84.335352631250004</v>
      </c>
      <c r="V301" s="228">
        <v>10.380428721434729</v>
      </c>
      <c r="W301" s="228">
        <v>132.67872201673896</v>
      </c>
      <c r="X301" s="228">
        <f t="shared" si="85"/>
        <v>1256.0829110419622</v>
      </c>
      <c r="Y301" s="228" t="s">
        <v>1625</v>
      </c>
      <c r="AD301" s="604"/>
    </row>
    <row r="302" spans="1:31" s="228" customFormat="1" ht="12.75" customHeight="1" x14ac:dyDescent="0.2">
      <c r="B302" s="336"/>
      <c r="F302" s="228" t="s">
        <v>1099</v>
      </c>
      <c r="I302" s="230">
        <f>((1.5*4)*2)*Z299</f>
        <v>108</v>
      </c>
      <c r="J302" s="231" t="s">
        <v>309</v>
      </c>
      <c r="K302" s="232">
        <f t="shared" si="81"/>
        <v>3.081720346185715</v>
      </c>
      <c r="L302" s="232">
        <f t="shared" si="82"/>
        <v>4.9515870626179419</v>
      </c>
      <c r="M302" s="232">
        <f t="shared" si="83"/>
        <v>0</v>
      </c>
      <c r="N302" s="232"/>
      <c r="O302" s="232">
        <f t="shared" si="66"/>
        <v>8.0333074088036565</v>
      </c>
      <c r="P302" s="233">
        <f t="shared" si="67"/>
        <v>868</v>
      </c>
      <c r="Q302" s="339">
        <f t="shared" si="68"/>
        <v>0</v>
      </c>
      <c r="R302" s="228">
        <v>2.2866303801335333</v>
      </c>
      <c r="S302" s="228">
        <f t="shared" si="84"/>
        <v>3.9771783635485471</v>
      </c>
      <c r="T302" s="228" t="s">
        <v>968</v>
      </c>
      <c r="U302" s="228">
        <v>99.146680951249991</v>
      </c>
      <c r="V302" s="228">
        <v>4.011408476199127E-2</v>
      </c>
      <c r="W302" s="228">
        <v>0</v>
      </c>
      <c r="X302" s="228">
        <f t="shared" si="85"/>
        <v>6.2638087436820804</v>
      </c>
      <c r="Y302" s="228" t="s">
        <v>1100</v>
      </c>
      <c r="AD302" s="604"/>
    </row>
    <row r="303" spans="1:31" s="228" customFormat="1" ht="12.75" customHeight="1" x14ac:dyDescent="0.2">
      <c r="B303" s="336"/>
      <c r="F303" s="228" t="s">
        <v>702</v>
      </c>
      <c r="G303" s="143"/>
      <c r="I303" s="230">
        <f>1*Z299</f>
        <v>9</v>
      </c>
      <c r="J303" s="231" t="s">
        <v>390</v>
      </c>
      <c r="K303" s="232">
        <f t="shared" si="81"/>
        <v>15.260530016086193</v>
      </c>
      <c r="L303" s="232">
        <f t="shared" si="82"/>
        <v>107.01094360973377</v>
      </c>
      <c r="M303" s="232">
        <f t="shared" si="83"/>
        <v>0</v>
      </c>
      <c r="N303" s="232"/>
      <c r="O303" s="232">
        <f t="shared" si="66"/>
        <v>122.27147362581997</v>
      </c>
      <c r="P303" s="233">
        <f t="shared" si="67"/>
        <v>1100</v>
      </c>
      <c r="Q303" s="339">
        <f t="shared" si="68"/>
        <v>0</v>
      </c>
      <c r="R303" s="228">
        <v>11.323282982153977</v>
      </c>
      <c r="S303" s="228">
        <f t="shared" si="84"/>
        <v>85.952565148380529</v>
      </c>
      <c r="T303" s="228" t="s">
        <v>965</v>
      </c>
      <c r="U303" s="228">
        <v>84.335352631250004</v>
      </c>
      <c r="V303" s="228">
        <v>1.0191759738552546</v>
      </c>
      <c r="W303" s="228">
        <v>0</v>
      </c>
      <c r="X303" s="228">
        <f t="shared" si="85"/>
        <v>97.275848130534513</v>
      </c>
      <c r="Y303" s="228" t="s">
        <v>877</v>
      </c>
      <c r="AD303" s="604"/>
    </row>
    <row r="304" spans="1:31" s="228" customFormat="1" ht="12.75" customHeight="1" x14ac:dyDescent="0.2">
      <c r="B304" s="336"/>
      <c r="I304" s="230"/>
      <c r="J304" s="231"/>
      <c r="K304" s="232">
        <f t="shared" ref="K304:K307" si="86">R304*tax*markup*IF(Y304&lt;&gt;"",VLOOKUP(LEFT(Y304,2),cityindex,2,0),1)</f>
        <v>0</v>
      </c>
      <c r="L304" s="232">
        <f t="shared" ref="L304:L307" si="87">S304*markup*difficulty*IF(Y304&lt;&gt;"",VLOOKUP(LEFT(Y304,2),cityindex,3,0),1)</f>
        <v>0</v>
      </c>
      <c r="M304" s="232">
        <f t="shared" ref="M304:M307" si="88">W304*markup*difficulty*IF(Y304&lt;&gt;"",VLOOKUP(LEFT(Y304,2),cityindex,3,0),1)</f>
        <v>0</v>
      </c>
      <c r="N304" s="232"/>
      <c r="O304" s="232">
        <f t="shared" si="66"/>
        <v>0</v>
      </c>
      <c r="P304" s="233">
        <f t="shared" si="67"/>
        <v>0</v>
      </c>
      <c r="Q304" s="339">
        <f t="shared" si="68"/>
        <v>0</v>
      </c>
      <c r="S304" s="228">
        <f t="shared" ref="S304:S308" si="89">U304*V304</f>
        <v>0</v>
      </c>
      <c r="X304" s="228">
        <f t="shared" ref="X304:X308" si="90">SUM(R304,S304,W304)</f>
        <v>0</v>
      </c>
      <c r="AC304" s="316"/>
      <c r="AD304" s="604"/>
    </row>
    <row r="305" spans="1:33" s="228" customFormat="1" ht="12.75" customHeight="1" x14ac:dyDescent="0.2">
      <c r="B305" s="336"/>
      <c r="E305" s="228" t="s">
        <v>1611</v>
      </c>
      <c r="I305" s="230">
        <f>Z306</f>
        <v>2</v>
      </c>
      <c r="J305" s="231" t="s">
        <v>390</v>
      </c>
      <c r="K305" s="232">
        <f>R305*tax*markup*IF(Y305&lt;&gt;"",VLOOKUP(LEFT(Y305,2),cityindex,2,0),1)</f>
        <v>4130.9536062296811</v>
      </c>
      <c r="L305" s="232">
        <f>S305*markup*difficulty*IF(Y305&lt;&gt;"",VLOOKUP(LEFT(Y305,2),cityindex,3,0),1)</f>
        <v>1425.5485071788576</v>
      </c>
      <c r="M305" s="232">
        <f>W305*markup*difficulty*IF(Y305&lt;&gt;"",VLOOKUP(LEFT(Y305,2),cityindex,3,0),1)</f>
        <v>0</v>
      </c>
      <c r="N305" s="232"/>
      <c r="O305" s="232">
        <f t="shared" si="66"/>
        <v>5556.5021134085382</v>
      </c>
      <c r="P305" s="233">
        <f t="shared" si="67"/>
        <v>11113</v>
      </c>
      <c r="Q305" s="339">
        <f t="shared" si="68"/>
        <v>0</v>
      </c>
      <c r="R305" s="228">
        <v>3065.1593765210905</v>
      </c>
      <c r="S305" s="228">
        <f t="shared" si="89"/>
        <v>1145.0188812681586</v>
      </c>
      <c r="T305" s="228" t="s">
        <v>968</v>
      </c>
      <c r="U305" s="228">
        <v>50.790085122442285</v>
      </c>
      <c r="V305" s="228">
        <v>22.544141804602262</v>
      </c>
      <c r="W305" s="228">
        <v>0</v>
      </c>
      <c r="X305" s="228">
        <f t="shared" si="90"/>
        <v>4210.1782577892491</v>
      </c>
      <c r="Y305" s="228" t="s">
        <v>1349</v>
      </c>
      <c r="Z305" s="591" t="s">
        <v>990</v>
      </c>
      <c r="AA305" s="316" t="s">
        <v>1345</v>
      </c>
      <c r="AB305" s="316" t="s">
        <v>1607</v>
      </c>
      <c r="AC305" s="316"/>
      <c r="AD305" s="604" t="s">
        <v>1610</v>
      </c>
    </row>
    <row r="306" spans="1:33" s="228" customFormat="1" ht="12.75" customHeight="1" x14ac:dyDescent="0.2">
      <c r="B306" s="336"/>
      <c r="F306" s="228" t="s">
        <v>1608</v>
      </c>
      <c r="I306" s="230">
        <f>Z306*AB306</f>
        <v>12</v>
      </c>
      <c r="J306" s="231" t="s">
        <v>550</v>
      </c>
      <c r="K306" s="232">
        <f t="shared" si="86"/>
        <v>32.388606471275594</v>
      </c>
      <c r="L306" s="232">
        <f t="shared" si="87"/>
        <v>28.816485899269651</v>
      </c>
      <c r="M306" s="232">
        <f t="shared" si="88"/>
        <v>22.382597740590022</v>
      </c>
      <c r="N306" s="232"/>
      <c r="O306" s="232">
        <f t="shared" si="66"/>
        <v>83.587690111135259</v>
      </c>
      <c r="P306" s="233">
        <f t="shared" si="67"/>
        <v>1003</v>
      </c>
      <c r="Q306" s="339">
        <f t="shared" si="68"/>
        <v>0</v>
      </c>
      <c r="R306" s="228">
        <v>24.0322817153329</v>
      </c>
      <c r="S306" s="228">
        <f t="shared" si="89"/>
        <v>23.145771806642287</v>
      </c>
      <c r="T306" s="228" t="s">
        <v>986</v>
      </c>
      <c r="U306" s="228">
        <v>92.103669400000001</v>
      </c>
      <c r="V306" s="228">
        <v>0.25130129947507052</v>
      </c>
      <c r="W306" s="228">
        <v>17.977990153084352</v>
      </c>
      <c r="X306" s="228">
        <f t="shared" si="90"/>
        <v>65.156043675059536</v>
      </c>
      <c r="Y306" s="228" t="s">
        <v>1095</v>
      </c>
      <c r="Z306" s="316">
        <v>2</v>
      </c>
      <c r="AA306" s="316">
        <v>2</v>
      </c>
      <c r="AB306" s="316">
        <v>6</v>
      </c>
      <c r="AC306" s="316"/>
      <c r="AD306" s="604"/>
    </row>
    <row r="307" spans="1:33" s="228" customFormat="1" ht="12.75" customHeight="1" x14ac:dyDescent="0.2">
      <c r="B307" s="336"/>
      <c r="F307" s="228" t="s">
        <v>1609</v>
      </c>
      <c r="I307" s="230">
        <f>AA306*AA306*AB306*Z306/27</f>
        <v>1.7777777777777777</v>
      </c>
      <c r="J307" s="231" t="s">
        <v>333</v>
      </c>
      <c r="K307" s="232">
        <f t="shared" si="86"/>
        <v>434.5806657548473</v>
      </c>
      <c r="L307" s="232">
        <f t="shared" si="87"/>
        <v>294.16270380167111</v>
      </c>
      <c r="M307" s="232">
        <f t="shared" si="88"/>
        <v>34.971575951070861</v>
      </c>
      <c r="N307" s="232"/>
      <c r="O307" s="232">
        <f t="shared" si="66"/>
        <v>763.71494550758939</v>
      </c>
      <c r="P307" s="233">
        <f t="shared" si="67"/>
        <v>1358</v>
      </c>
      <c r="Q307" s="339">
        <f t="shared" si="68"/>
        <v>0</v>
      </c>
      <c r="R307" s="228">
        <v>322.45799141496963</v>
      </c>
      <c r="S307" s="228">
        <f t="shared" si="89"/>
        <v>236.27526409772778</v>
      </c>
      <c r="T307" s="228" t="s">
        <v>989</v>
      </c>
      <c r="U307" s="228">
        <v>104.83474903002272</v>
      </c>
      <c r="V307" s="228">
        <v>2.253787663764645</v>
      </c>
      <c r="W307" s="228">
        <v>28.08961923780792</v>
      </c>
      <c r="X307" s="228">
        <f t="shared" si="90"/>
        <v>586.82287475050532</v>
      </c>
      <c r="Y307" s="228" t="s">
        <v>353</v>
      </c>
      <c r="AD307" s="604"/>
    </row>
    <row r="308" spans="1:33" s="228" customFormat="1" ht="12.75" customHeight="1" x14ac:dyDescent="0.2">
      <c r="B308" s="336"/>
      <c r="F308" s="228" t="s">
        <v>1612</v>
      </c>
      <c r="I308" s="230">
        <f>Z306</f>
        <v>2</v>
      </c>
      <c r="J308" s="231" t="s">
        <v>390</v>
      </c>
      <c r="K308" s="232">
        <f>R308*tax*markup*IF(Y308&lt;&gt;"",VLOOKUP(LEFT(Y308,2),cityindex,2,0),1)</f>
        <v>274.55247652673245</v>
      </c>
      <c r="L308" s="232">
        <f>S308*markup*difficulty*IF(Y308&lt;&gt;"",VLOOKUP(LEFT(Y308,2),cityindex,3,0),1)</f>
        <v>259.84406303631482</v>
      </c>
      <c r="M308" s="232">
        <f>W308*markup*difficulty*IF(Y308&lt;&gt;"",VLOOKUP(LEFT(Y308,2),cityindex,3,0),1)</f>
        <v>0</v>
      </c>
      <c r="N308" s="232"/>
      <c r="O308" s="232">
        <f t="shared" si="66"/>
        <v>534.39653956304733</v>
      </c>
      <c r="P308" s="233">
        <f t="shared" si="67"/>
        <v>1069</v>
      </c>
      <c r="Q308" s="339">
        <f t="shared" si="68"/>
        <v>0</v>
      </c>
      <c r="R308" s="228">
        <v>203.71739263881017</v>
      </c>
      <c r="S308" s="228">
        <f t="shared" si="89"/>
        <v>208.71009079222071</v>
      </c>
      <c r="T308" s="228" t="s">
        <v>981</v>
      </c>
      <c r="U308" s="228">
        <v>47.073654544170012</v>
      </c>
      <c r="V308" s="228">
        <v>4.4336921110806147</v>
      </c>
      <c r="W308" s="228">
        <v>0</v>
      </c>
      <c r="X308" s="228">
        <f t="shared" si="90"/>
        <v>412.42748343103085</v>
      </c>
      <c r="Y308" s="228" t="s">
        <v>495</v>
      </c>
      <c r="AD308" s="604"/>
    </row>
    <row r="309" spans="1:33" s="228" customFormat="1" ht="12.75" customHeight="1" x14ac:dyDescent="0.2">
      <c r="B309" s="336"/>
      <c r="E309" s="345"/>
      <c r="I309" s="230"/>
      <c r="J309" s="231"/>
      <c r="K309" s="232">
        <f t="shared" ref="K309" si="91">R309*tax*markup*IF(Y309&lt;&gt;"",VLOOKUP(LEFT(Y309,2),cityindex,2,0),1)</f>
        <v>0</v>
      </c>
      <c r="L309" s="232">
        <f t="shared" ref="L309" si="92">S309*markup*difficulty*IF(Y309&lt;&gt;"",VLOOKUP(LEFT(Y309,2),cityindex,3,0),1)</f>
        <v>0</v>
      </c>
      <c r="M309" s="232">
        <f t="shared" ref="M309" si="93">W309*markup*difficulty*IF(Y309&lt;&gt;"",VLOOKUP(LEFT(Y309,2),cityindex,3,0),1)</f>
        <v>0</v>
      </c>
      <c r="N309" s="232"/>
      <c r="O309" s="232">
        <f t="shared" ref="O309" si="94">SUM(K309:N309)*embed</f>
        <v>0</v>
      </c>
      <c r="P309" s="233">
        <f t="shared" ref="P309" si="95">ROUND((O309*I309),0)</f>
        <v>0</v>
      </c>
      <c r="Q309" s="337">
        <f t="shared" ref="Q309" si="96">IF(O309=0,0,IF(X309=0,"manual",(O309/(R309*tax*markup*IF(Y309&lt;&gt;"",VLOOKUP(LEFT(Y309,2),cityindex,2,0),1)+S309*markup*difficulty*IF(Y309&lt;&gt;"",VLOOKUP(LEFT(Y309,2),cityindex,3,0),1)+W309*markup*difficulty*IF(Y309&lt;&gt;"",VLOOKUP(LEFT(Y309,2),cityindex,3,0),1)))-1))</f>
        <v>0</v>
      </c>
      <c r="S309" s="228">
        <f t="shared" ref="S309" si="97">U309*V309</f>
        <v>0</v>
      </c>
      <c r="X309" s="228">
        <f t="shared" ref="X309" si="98">SUM(R309,S309,W309)</f>
        <v>0</v>
      </c>
      <c r="Z309" s="338" t="s">
        <v>1179</v>
      </c>
      <c r="AA309" s="235"/>
      <c r="AB309" s="235"/>
      <c r="AD309" s="604"/>
    </row>
    <row r="310" spans="1:33" s="228" customFormat="1" ht="12.75" customHeight="1" x14ac:dyDescent="0.2">
      <c r="A310" s="228" t="s">
        <v>296</v>
      </c>
      <c r="B310" s="229"/>
      <c r="D310" s="143"/>
      <c r="E310" s="143" t="s">
        <v>1637</v>
      </c>
      <c r="F310" s="143"/>
      <c r="G310" s="143"/>
      <c r="H310" s="143"/>
      <c r="I310" s="146"/>
      <c r="J310" s="147"/>
      <c r="K310" s="296">
        <f t="shared" ref="K310:K312" si="99">R310*tax*markup*IF(Y310&lt;&gt;"",VLOOKUP(LEFT(Y310,2),cityindex,2,0),1)</f>
        <v>0</v>
      </c>
      <c r="L310" s="296">
        <f t="shared" ref="L310:L312" si="100">S310*markup*difficulty*IF(Y310&lt;&gt;"",VLOOKUP(LEFT(Y310,2),cityindex,3,0),1)</f>
        <v>0</v>
      </c>
      <c r="M310" s="296">
        <f t="shared" ref="M310:M312" si="101">W310*markup*difficulty*IF(Y310&lt;&gt;"",VLOOKUP(LEFT(Y310,2),cityindex,3,0),1)</f>
        <v>0</v>
      </c>
      <c r="N310" s="149"/>
      <c r="O310" s="149">
        <f t="shared" ref="O310" si="102">SUM(K310:N310)*embed</f>
        <v>0</v>
      </c>
      <c r="P310" s="216">
        <f t="shared" ref="P310" si="103">ROUND((O310*I310),0)</f>
        <v>0</v>
      </c>
      <c r="Q310" s="291">
        <f t="shared" ref="Q310" si="104">IF(O310=0,0,IF(X310=0,"manual",(O310/(R310*tax*markup*IF(Y310&lt;&gt;"",VLOOKUP(LEFT(Y310,2),cityindex,2,0),1)+S310*markup*difficulty*IF(Y310&lt;&gt;"",VLOOKUP(LEFT(Y310,2),cityindex,3,0),1)+W310*markup*difficulty*IF(Y310&lt;&gt;"",VLOOKUP(LEFT(Y310,2),cityindex,3,0),1)))-1))</f>
        <v>0</v>
      </c>
      <c r="R310" s="143"/>
      <c r="S310" s="143">
        <f t="shared" ref="S310:S312" si="105">U310*V310</f>
        <v>0</v>
      </c>
      <c r="T310" s="143"/>
      <c r="U310" s="143"/>
      <c r="V310" s="143"/>
      <c r="W310" s="143"/>
      <c r="X310" s="143">
        <f t="shared" ref="X310:X312" si="106">SUM(R310,S310,W310)</f>
        <v>0</v>
      </c>
      <c r="Y310" s="143"/>
      <c r="Z310" s="591" t="s">
        <v>1630</v>
      </c>
      <c r="AA310" s="591" t="s">
        <v>1383</v>
      </c>
      <c r="AB310" s="602" t="s">
        <v>990</v>
      </c>
      <c r="AD310" s="604"/>
    </row>
    <row r="311" spans="1:33" x14ac:dyDescent="0.2">
      <c r="D311" s="228"/>
      <c r="F311" s="228" t="s">
        <v>1627</v>
      </c>
      <c r="G311" s="228"/>
      <c r="I311" s="230">
        <f>PI() * (Z311 / 2)^2 * AA311 * AB311 / 27</f>
        <v>11.170107212763709</v>
      </c>
      <c r="J311" s="231" t="s">
        <v>333</v>
      </c>
      <c r="K311" s="232">
        <f t="shared" si="99"/>
        <v>435.19121703726688</v>
      </c>
      <c r="L311" s="232">
        <f t="shared" si="100"/>
        <v>136.53424851912328</v>
      </c>
      <c r="M311" s="232">
        <f t="shared" si="101"/>
        <v>28.715548363009965</v>
      </c>
      <c r="N311" s="232"/>
      <c r="O311" s="232">
        <f>SUM(K311:N311)*embed</f>
        <v>600.44101391940012</v>
      </c>
      <c r="P311" s="233">
        <f>ROUND((O311*I311),0)</f>
        <v>6707</v>
      </c>
      <c r="Q311" s="291">
        <f>IF(O311=0,0,IF(X311=0,"manual",(O311/(R311*tax*markup*IF(Y311&lt;&gt;"",VLOOKUP(LEFT(Y311,2),cityindex,2,0),1)+S311*markup*difficulty*IF(Y311&lt;&gt;"",VLOOKUP(LEFT(Y311,2),cityindex,3,0),1)+W311*markup*difficulty*IF(Y311&lt;&gt;"",VLOOKUP(LEFT(Y311,2),cityindex,3,0),1)))-1))</f>
        <v>0</v>
      </c>
      <c r="R311" s="143">
        <v>322.91101925467547</v>
      </c>
      <c r="S311" s="143">
        <f t="shared" si="105"/>
        <v>109.66606306756889</v>
      </c>
      <c r="T311" s="143" t="s">
        <v>989</v>
      </c>
      <c r="U311" s="143">
        <v>48.65856035629669</v>
      </c>
      <c r="V311" s="143">
        <v>2.253787663764645</v>
      </c>
      <c r="W311" s="143">
        <v>23.064697480329286</v>
      </c>
      <c r="X311" s="143">
        <f t="shared" si="106"/>
        <v>455.64177980257364</v>
      </c>
      <c r="Y311" s="143" t="s">
        <v>1628</v>
      </c>
      <c r="Z311" s="591">
        <v>2</v>
      </c>
      <c r="AA311" s="591">
        <v>16</v>
      </c>
      <c r="AB311" s="591">
        <v>6</v>
      </c>
      <c r="AD311" s="604" t="s">
        <v>1316</v>
      </c>
      <c r="AE311" s="236"/>
    </row>
    <row r="312" spans="1:33" x14ac:dyDescent="0.2">
      <c r="D312" s="228"/>
      <c r="F312" s="228" t="s">
        <v>1629</v>
      </c>
      <c r="I312" s="230">
        <f>Z312*AA312/27*AB312</f>
        <v>0.88888888888888884</v>
      </c>
      <c r="J312" s="231" t="s">
        <v>333</v>
      </c>
      <c r="K312" s="232">
        <f t="shared" si="99"/>
        <v>429.08343821126567</v>
      </c>
      <c r="L312" s="232">
        <f t="shared" si="100"/>
        <v>134.29853303877653</v>
      </c>
      <c r="M312" s="232">
        <f t="shared" si="101"/>
        <v>20.471695654231915</v>
      </c>
      <c r="N312" s="232"/>
      <c r="O312" s="232">
        <f>SUM(K312:N312)*embed</f>
        <v>583.85366690427406</v>
      </c>
      <c r="P312" s="233">
        <f>ROUND((O312*I312),0)</f>
        <v>519</v>
      </c>
      <c r="Q312" s="291">
        <f>IF(O312=0,0,IF(X312=0,"manual",(O312/(R312*tax*markup*IF(Y312&lt;&gt;"",VLOOKUP(LEFT(Y312,2),cityindex,2,0),1)+S312*markup*difficulty*IF(Y312&lt;&gt;"",VLOOKUP(LEFT(Y312,2),cityindex,3,0),1)+W312*markup*difficulty*IF(Y312&lt;&gt;"",VLOOKUP(LEFT(Y312,2),cityindex,3,0),1)))-1))</f>
        <v>0</v>
      </c>
      <c r="R312" s="143">
        <v>318.379059488775</v>
      </c>
      <c r="S312" s="143">
        <f t="shared" si="105"/>
        <v>107.87030766166789</v>
      </c>
      <c r="T312" s="143" t="s">
        <v>989</v>
      </c>
      <c r="U312" s="143">
        <v>47.497626385606729</v>
      </c>
      <c r="V312" s="143">
        <v>2.271067332626878</v>
      </c>
      <c r="W312" s="143">
        <v>16.443129039543706</v>
      </c>
      <c r="X312" s="143">
        <f t="shared" si="106"/>
        <v>442.69249618998657</v>
      </c>
      <c r="Y312" s="143" t="s">
        <v>354</v>
      </c>
      <c r="Z312" s="610">
        <v>2</v>
      </c>
      <c r="AA312" s="591">
        <v>2</v>
      </c>
      <c r="AB312" s="591">
        <f>AB311</f>
        <v>6</v>
      </c>
      <c r="AC312" s="316"/>
      <c r="AD312" s="604" t="s">
        <v>1316</v>
      </c>
      <c r="AE312" s="236"/>
    </row>
    <row r="313" spans="1:33" x14ac:dyDescent="0.2">
      <c r="D313" s="228"/>
      <c r="E313" s="228"/>
      <c r="F313" s="228" t="s">
        <v>1631</v>
      </c>
      <c r="G313" s="228"/>
      <c r="H313" s="228"/>
      <c r="I313" s="230">
        <f>Z313*AA313</f>
        <v>264</v>
      </c>
      <c r="J313" s="231" t="s">
        <v>301</v>
      </c>
      <c r="K313" s="232">
        <f>R313*tax*markup*IF(Y313&lt;&gt;"",VLOOKUP(LEFT(Y313,2),cityindex,2,0),1)</f>
        <v>8.3998386203306676</v>
      </c>
      <c r="L313" s="232">
        <f>S313*markup*difficulty*IF(Y313&lt;&gt;"",VLOOKUP(LEFT(Y313,2),cityindex,3,0),1)</f>
        <v>2.168572540646081</v>
      </c>
      <c r="M313" s="232">
        <f>W313*markup*difficulty*IF(Y313&lt;&gt;"",VLOOKUP(LEFT(Y313,2),cityindex,3,0),1)</f>
        <v>0.23594048008161925</v>
      </c>
      <c r="N313" s="232"/>
      <c r="O313" s="232">
        <f>SUM(K313:N313)*embed</f>
        <v>10.804351641058368</v>
      </c>
      <c r="P313" s="233">
        <f>ROUND((O313*I313),0)</f>
        <v>2852</v>
      </c>
      <c r="Q313" s="291">
        <f>IF(O313=0,0,IF(X313=0,"manual",(O313/(R313*tax*markup*IF(Y313&lt;&gt;"",VLOOKUP(LEFT(Y313,2),cityindex,2,0),1)+S313*markup*difficulty*IF(Y313&lt;&gt;"",VLOOKUP(LEFT(Y313,2),cityindex,3,0),1)+W313*markup*difficulty*IF(Y313&lt;&gt;"",VLOOKUP(LEFT(Y313,2),cityindex,3,0),1)))-1))</f>
        <v>0</v>
      </c>
      <c r="R313" s="143">
        <v>6.2326635839102673</v>
      </c>
      <c r="S313" s="143">
        <f>U313*V313</f>
        <v>1.7418253338522738</v>
      </c>
      <c r="T313" s="143" t="s">
        <v>989</v>
      </c>
      <c r="U313" s="143">
        <v>45.622760662531562</v>
      </c>
      <c r="V313" s="143">
        <v>3.8178867489769779E-2</v>
      </c>
      <c r="W313" s="143">
        <v>0.18951042576836885</v>
      </c>
      <c r="X313" s="143">
        <f>SUM(R313,S313,W313)</f>
        <v>8.1639993435309091</v>
      </c>
      <c r="Y313" s="143" t="s">
        <v>373</v>
      </c>
      <c r="Z313" s="610">
        <v>12</v>
      </c>
      <c r="AA313" s="591">
        <v>22</v>
      </c>
      <c r="AB313" s="591">
        <v>8</v>
      </c>
      <c r="AC313" s="316"/>
      <c r="AD313" s="604" t="s">
        <v>1316</v>
      </c>
      <c r="AE313" s="236"/>
    </row>
    <row r="314" spans="1:33" x14ac:dyDescent="0.2">
      <c r="D314" s="228"/>
      <c r="E314" s="228"/>
      <c r="G314" s="228" t="s">
        <v>366</v>
      </c>
      <c r="H314" s="228"/>
      <c r="I314" s="230">
        <f>I313</f>
        <v>264</v>
      </c>
      <c r="J314" s="231" t="s">
        <v>301</v>
      </c>
      <c r="K314" s="232">
        <f>R314*tax*markup*IF(Y314&lt;&gt;"",VLOOKUP(LEFT(Y314,2),cityindex,2,0),1)</f>
        <v>9.805859151808613E-2</v>
      </c>
      <c r="L314" s="232">
        <f>S314*markup*difficulty*IF(Y314&lt;&gt;"",VLOOKUP(LEFT(Y314,2),cityindex,3,0),1)</f>
        <v>0.13792793152571114</v>
      </c>
      <c r="M314" s="232">
        <f>W314*markup*difficulty*IF(Y314&lt;&gt;"",VLOOKUP(LEFT(Y314,2),cityindex,3,0),1)</f>
        <v>0</v>
      </c>
      <c r="N314" s="232"/>
      <c r="O314" s="232">
        <f>SUM(K314:N314)*embed</f>
        <v>0.23598652304379727</v>
      </c>
      <c r="P314" s="233">
        <f>ROUND((O314*I314),0)</f>
        <v>62</v>
      </c>
      <c r="Q314" s="291">
        <f>IF(O314=0,0,IF(X314=0,"manual",(O314/(R314*tax*markup*IF(Y314&lt;&gt;"",VLOOKUP(LEFT(Y314,2),cityindex,2,0),1)+S314*markup*difficulty*IF(Y314&lt;&gt;"",VLOOKUP(LEFT(Y314,2),cityindex,3,0),1)+W314*markup*difficulty*IF(Y314&lt;&gt;"",VLOOKUP(LEFT(Y314,2),cityindex,3,0),1)))-1))</f>
        <v>0</v>
      </c>
      <c r="R314" s="143">
        <v>7.2759280275345159E-2</v>
      </c>
      <c r="S314" s="143">
        <f>U314*V314</f>
        <v>0.11078548716924588</v>
      </c>
      <c r="T314" s="143" t="s">
        <v>968</v>
      </c>
      <c r="U314" s="143">
        <v>50.790085122442285</v>
      </c>
      <c r="V314" s="143">
        <v>2.1812424000111357E-3</v>
      </c>
      <c r="W314" s="143">
        <v>0</v>
      </c>
      <c r="X314" s="143">
        <f>SUM(R314,S314,W314)</f>
        <v>0.18354476744459103</v>
      </c>
      <c r="Y314" s="143" t="s">
        <v>367</v>
      </c>
      <c r="Z314" s="316" t="s">
        <v>1055</v>
      </c>
      <c r="AA314" s="316" t="s">
        <v>1344</v>
      </c>
      <c r="AB314" s="577" t="s">
        <v>1345</v>
      </c>
      <c r="AC314" s="316"/>
      <c r="AD314" s="604" t="s">
        <v>1316</v>
      </c>
      <c r="AE314" s="236"/>
    </row>
    <row r="315" spans="1:33" x14ac:dyDescent="0.2">
      <c r="D315" s="228"/>
      <c r="E315" s="228"/>
      <c r="G315" s="228" t="s">
        <v>359</v>
      </c>
      <c r="I315" s="578">
        <f>(Z315*AA315*AB315)/27</f>
        <v>0.62962962962962965</v>
      </c>
      <c r="J315" s="231" t="s">
        <v>333</v>
      </c>
      <c r="K315" s="232">
        <f t="shared" ref="K315" si="107">R315*tax*markup*IF(Y315&lt;&gt;"",VLOOKUP(LEFT(Y315,2),cityindex,2,0),1)</f>
        <v>269.74468071434154</v>
      </c>
      <c r="L315" s="232">
        <f t="shared" ref="L315" si="108">S315*markup*difficulty*IF(Y315&lt;&gt;"",VLOOKUP(LEFT(Y315,2),cityindex,3,0),1)</f>
        <v>16.730722571182632</v>
      </c>
      <c r="M315" s="232">
        <f t="shared" ref="M315" si="109">W315*markup*difficulty*IF(Y315&lt;&gt;"",VLOOKUP(LEFT(Y315,2),cityindex,3,0),1)</f>
        <v>6.6952019942682623</v>
      </c>
      <c r="N315" s="232"/>
      <c r="O315" s="232">
        <f>SUM(K315:N315)*embed</f>
        <v>293.17060527979243</v>
      </c>
      <c r="P315" s="233">
        <f>ROUND((O315*I315),0)</f>
        <v>185</v>
      </c>
      <c r="Q315" s="291">
        <f>IF(O315=0,0,IF(X315=0,"manual",(O315/(R315*tax*markup*IF(Y315&lt;&gt;"",VLOOKUP(LEFT(Y315,2),cityindex,2,0),1)+S315*markup*difficulty*IF(Y315&lt;&gt;"",VLOOKUP(LEFT(Y315,2),cityindex,3,0),1)+W315*markup*difficulty*IF(Y315&lt;&gt;"",VLOOKUP(LEFT(Y315,2),cityindex,3,0),1)))-1))</f>
        <v>0</v>
      </c>
      <c r="R315" s="143">
        <v>200.15001768874407</v>
      </c>
      <c r="S315" s="143">
        <f t="shared" ref="S315" si="110">U315*V315</f>
        <v>13.43833138247601</v>
      </c>
      <c r="T315" s="143" t="s">
        <v>1117</v>
      </c>
      <c r="U315" s="143">
        <v>36.67400681359679</v>
      </c>
      <c r="V315" s="143">
        <v>0.36642659338476713</v>
      </c>
      <c r="W315" s="143">
        <v>5.3776722845528209</v>
      </c>
      <c r="X315" s="143">
        <f t="shared" ref="X315" si="111">SUM(R315,S315,W315)</f>
        <v>218.96602135577291</v>
      </c>
      <c r="Y315" s="143" t="s">
        <v>360</v>
      </c>
      <c r="Z315" s="323">
        <f>Z313+Z313+AA313+AA313</f>
        <v>68</v>
      </c>
      <c r="AA315" s="577">
        <f>3/12</f>
        <v>0.25</v>
      </c>
      <c r="AB315" s="316">
        <v>1</v>
      </c>
      <c r="AC315" s="236"/>
      <c r="AD315" s="604" t="s">
        <v>1316</v>
      </c>
      <c r="AE315" s="236"/>
    </row>
    <row r="316" spans="1:33" s="228" customFormat="1" ht="12.75" customHeight="1" x14ac:dyDescent="0.2">
      <c r="B316" s="229"/>
      <c r="F316" s="228" t="s">
        <v>1138</v>
      </c>
      <c r="I316" s="230">
        <f>((Z313+Z313+AA313)*AB313)-(Z321*AA321+Z320*AA320)</f>
        <v>344</v>
      </c>
      <c r="J316" s="231" t="s">
        <v>301</v>
      </c>
      <c r="K316" s="232">
        <f t="shared" ref="K316:K322" si="112">R316*tax*markup*IF(Y316&lt;&gt;"",VLOOKUP(LEFT(Y316,2),cityindex,2,0),1)</f>
        <v>13.984513731282728</v>
      </c>
      <c r="L316" s="232">
        <f t="shared" ref="L316:L322" si="113">S316*markup*difficulty*IF(Y316&lt;&gt;"",VLOOKUP(LEFT(Y316,2),cityindex,3,0),1)</f>
        <v>5.3128382040395641</v>
      </c>
      <c r="M316" s="232">
        <f t="shared" ref="M316:M322" si="114">W316*markup*difficulty*IF(Y316&lt;&gt;"",VLOOKUP(LEFT(Y316,2),cityindex,3,0),1)</f>
        <v>0</v>
      </c>
      <c r="N316" s="232">
        <v>3</v>
      </c>
      <c r="O316" s="232">
        <f t="shared" ref="O316" si="115">SUM(K316:N316)*embed</f>
        <v>22.297351935322293</v>
      </c>
      <c r="P316" s="233">
        <f t="shared" ref="P316" si="116">ROUND((O316*I316),0)</f>
        <v>7670</v>
      </c>
      <c r="Q316" s="337">
        <f t="shared" ref="Q316" si="117">IF(O316=0,0,IF(X316=0,"manual",(O316/(R316*tax*markup*IF(Y316&lt;&gt;"",VLOOKUP(LEFT(Y316,2),cityindex,2,0),1)+S316*markup*difficulty*IF(Y316&lt;&gt;"",VLOOKUP(LEFT(Y316,2),cityindex,3,0),1)+W316*markup*difficulty*IF(Y316&lt;&gt;"",VLOOKUP(LEFT(Y316,2),cityindex,3,0),1)))-1))</f>
        <v>0.15546174470232543</v>
      </c>
      <c r="R316" s="228">
        <v>10.376481431523954</v>
      </c>
      <c r="S316" s="228">
        <f t="shared" ref="S316:S322" si="118">U316*V316</f>
        <v>4.2673399229233446</v>
      </c>
      <c r="T316" s="228" t="s">
        <v>1131</v>
      </c>
      <c r="U316" s="228">
        <v>49.450208162146893</v>
      </c>
      <c r="V316" s="228">
        <v>8.6295691798318946E-2</v>
      </c>
      <c r="W316" s="228">
        <v>0</v>
      </c>
      <c r="X316" s="228">
        <f t="shared" ref="X316:X322" si="119">SUM(R316,S316,W316)</f>
        <v>14.643821354447299</v>
      </c>
      <c r="Y316" s="228" t="s">
        <v>468</v>
      </c>
      <c r="AB316" s="591"/>
      <c r="AC316" s="311"/>
      <c r="AD316" s="604" t="s">
        <v>1316</v>
      </c>
    </row>
    <row r="317" spans="1:33" s="228" customFormat="1" ht="12.75" customHeight="1" x14ac:dyDescent="0.2">
      <c r="B317" s="229"/>
      <c r="G317" s="228" t="s">
        <v>1582</v>
      </c>
      <c r="I317" s="230">
        <f>I316</f>
        <v>344</v>
      </c>
      <c r="J317" s="231" t="s">
        <v>301</v>
      </c>
      <c r="K317" s="232">
        <f t="shared" si="112"/>
        <v>0.47543901477179357</v>
      </c>
      <c r="L317" s="232">
        <f t="shared" si="113"/>
        <v>0.81105024287145111</v>
      </c>
      <c r="M317" s="232">
        <f t="shared" si="114"/>
        <v>0</v>
      </c>
      <c r="N317" s="232">
        <v>3</v>
      </c>
      <c r="O317" s="232">
        <f>SUM(K317:N317)*embed</f>
        <v>4.286489257643245</v>
      </c>
      <c r="P317" s="233">
        <f>ROUND((O317*I317),0)</f>
        <v>1475</v>
      </c>
      <c r="Q317" s="337">
        <f>IF(O317=0,0,IF(X317=0,"manual",(O317/(R317*tax*markup*IF(Y317&lt;&gt;"",VLOOKUP(LEFT(Y317,2),cityindex,2,0),1)+S317*markup*difficulty*IF(Y317&lt;&gt;"",VLOOKUP(LEFT(Y317,2),cityindex,3,0),1)+W317*markup*difficulty*IF(Y317&lt;&gt;"",VLOOKUP(LEFT(Y317,2),cityindex,3,0),1)))-1))</f>
        <v>2.3319277500192914</v>
      </c>
      <c r="R317" s="228">
        <v>0.35277480528806665</v>
      </c>
      <c r="S317" s="228">
        <f t="shared" si="118"/>
        <v>0.65144597821000083</v>
      </c>
      <c r="T317" s="228" t="s">
        <v>1069</v>
      </c>
      <c r="U317" s="228">
        <v>35.070891047405659</v>
      </c>
      <c r="V317" s="228">
        <v>1.8575119101748371E-2</v>
      </c>
      <c r="W317" s="228">
        <v>0</v>
      </c>
      <c r="X317" s="228">
        <f t="shared" si="119"/>
        <v>1.0042207834980674</v>
      </c>
      <c r="Y317" s="228" t="s">
        <v>703</v>
      </c>
      <c r="Z317" s="316"/>
      <c r="AA317" s="316"/>
      <c r="AB317" s="316"/>
      <c r="AC317" s="311"/>
      <c r="AD317" s="604"/>
    </row>
    <row r="318" spans="1:33" s="228" customFormat="1" ht="12.75" customHeight="1" x14ac:dyDescent="0.2">
      <c r="B318" s="229"/>
      <c r="F318" s="228" t="s">
        <v>1633</v>
      </c>
      <c r="I318" s="230">
        <f>Z315-Z321*1.2</f>
        <v>68</v>
      </c>
      <c r="J318" s="231" t="s">
        <v>301</v>
      </c>
      <c r="K318" s="232">
        <f t="shared" si="112"/>
        <v>16.266314577856949</v>
      </c>
      <c r="L318" s="232">
        <f t="shared" si="113"/>
        <v>1.8995513838085185</v>
      </c>
      <c r="M318" s="232">
        <f t="shared" si="114"/>
        <v>0</v>
      </c>
      <c r="N318" s="232"/>
      <c r="O318" s="232">
        <f>SUM(K318:N318)*embed</f>
        <v>18.165865961665467</v>
      </c>
      <c r="P318" s="233">
        <f>ROUND((O318*I318),0)</f>
        <v>1235</v>
      </c>
      <c r="Q318" s="337">
        <f>IF(O318=0,0,IF(X318=0,"manual",(O318/(R318*tax*markup*IF(Y318&lt;&gt;"",VLOOKUP(LEFT(Y318,2),cityindex,2,0),1)+S318*markup*difficulty*IF(Y318&lt;&gt;"",VLOOKUP(LEFT(Y318,2),cityindex,3,0),1)+W318*markup*difficulty*IF(Y318&lt;&gt;"",VLOOKUP(LEFT(Y318,2),cityindex,3,0),1)))-1))</f>
        <v>0</v>
      </c>
      <c r="R318" s="228">
        <v>12.06957313066173</v>
      </c>
      <c r="S318" s="228">
        <f t="shared" si="118"/>
        <v>1.525744083380336</v>
      </c>
      <c r="T318" s="228" t="s">
        <v>965</v>
      </c>
      <c r="U318" s="228">
        <v>30.337316807306259</v>
      </c>
      <c r="V318" s="228">
        <v>5.0292650898278675E-2</v>
      </c>
      <c r="W318" s="228">
        <v>0</v>
      </c>
      <c r="X318" s="228">
        <f t="shared" si="119"/>
        <v>13.595317214042066</v>
      </c>
      <c r="Y318" s="228" t="s">
        <v>1364</v>
      </c>
      <c r="Z318" s="591" t="s">
        <v>1345</v>
      </c>
      <c r="AA318" s="591" t="s">
        <v>1607</v>
      </c>
      <c r="AB318" s="591"/>
      <c r="AC318" s="311"/>
      <c r="AD318" s="604" t="s">
        <v>1316</v>
      </c>
    </row>
    <row r="319" spans="1:33" x14ac:dyDescent="0.2">
      <c r="D319" s="228"/>
      <c r="E319" s="228"/>
      <c r="F319" s="228" t="s">
        <v>1638</v>
      </c>
      <c r="G319" s="228"/>
      <c r="H319" s="228"/>
      <c r="I319" s="230">
        <v>1</v>
      </c>
      <c r="J319" s="231" t="s">
        <v>390</v>
      </c>
      <c r="K319" s="232">
        <f t="shared" si="112"/>
        <v>1947.4610998720984</v>
      </c>
      <c r="L319" s="232">
        <f t="shared" si="113"/>
        <v>580.32479128685452</v>
      </c>
      <c r="M319" s="232">
        <f t="shared" si="114"/>
        <v>0</v>
      </c>
      <c r="N319" s="232"/>
      <c r="O319" s="232">
        <f>SUM(K319:N319)*embed</f>
        <v>2527.7858911589528</v>
      </c>
      <c r="P319" s="233">
        <f>ROUND((O319*I319),0)</f>
        <v>2528</v>
      </c>
      <c r="Q319" s="291">
        <f>IF(O319=0,0,IF(X319=0,"manual",(O319/(R319*tax*markup*IF(Y319&lt;&gt;"",VLOOKUP(LEFT(Y319,2),cityindex,2,0),1)+S319*markup*difficulty*IF(Y319&lt;&gt;"",VLOOKUP(LEFT(Y319,2),cityindex,3,0),1)+W319*markup*difficulty*IF(Y319&lt;&gt;"",VLOOKUP(LEFT(Y319,2),cityindex,3,0),1)))-1))</f>
        <v>0</v>
      </c>
      <c r="R319" s="143">
        <v>1445.0122706972729</v>
      </c>
      <c r="S319" s="143">
        <f t="shared" si="118"/>
        <v>466.12433035088713</v>
      </c>
      <c r="T319" s="143" t="s">
        <v>968</v>
      </c>
      <c r="U319" s="143">
        <v>124.90543138875</v>
      </c>
      <c r="V319" s="143">
        <v>3.7318179455314708</v>
      </c>
      <c r="W319" s="143">
        <v>0</v>
      </c>
      <c r="X319" s="143">
        <f t="shared" si="119"/>
        <v>1911.1366010481602</v>
      </c>
      <c r="Y319" s="143" t="s">
        <v>1370</v>
      </c>
      <c r="Z319" s="316"/>
      <c r="AA319" s="316"/>
      <c r="AB319" s="316"/>
      <c r="AC319" s="236"/>
      <c r="AD319" s="604"/>
      <c r="AE319" s="236"/>
      <c r="AF319" s="611"/>
      <c r="AG319" s="236"/>
    </row>
    <row r="320" spans="1:33" s="228" customFormat="1" ht="12.75" hidden="1" customHeight="1" x14ac:dyDescent="0.2">
      <c r="B320" s="229"/>
      <c r="F320" s="228" t="s">
        <v>1635</v>
      </c>
      <c r="I320" s="230"/>
      <c r="J320" s="231"/>
      <c r="K320" s="232">
        <f t="shared" si="112"/>
        <v>610.47757804837761</v>
      </c>
      <c r="L320" s="232">
        <f t="shared" si="113"/>
        <v>368.05637200498313</v>
      </c>
      <c r="M320" s="232">
        <f t="shared" si="114"/>
        <v>0</v>
      </c>
      <c r="N320" s="232">
        <v>150</v>
      </c>
      <c r="O320" s="232">
        <f>SUM(K320:N320)*embed</f>
        <v>1128.5339500533607</v>
      </c>
      <c r="P320" s="233">
        <f>ROUND((O320*I320),0)</f>
        <v>0</v>
      </c>
      <c r="Q320" s="337">
        <f>IF(O320=0,0,IF(X320=0,"manual",(O320/(R320*tax*markup*IF(Y320&lt;&gt;"",VLOOKUP(LEFT(Y320,2),cityindex,2,0),1)+S320*markup*difficulty*IF(Y320&lt;&gt;"",VLOOKUP(LEFT(Y320,2),cityindex,3,0),1)+W320*markup*difficulty*IF(Y320&lt;&gt;"",VLOOKUP(LEFT(Y320,2),cityindex,3,0),1)))-1))</f>
        <v>0.15329054244037255</v>
      </c>
      <c r="R320" s="228">
        <v>452.97315120871662</v>
      </c>
      <c r="S320" s="228">
        <f t="shared" si="118"/>
        <v>295.62760803613099</v>
      </c>
      <c r="T320" s="228" t="s">
        <v>1148</v>
      </c>
      <c r="U320" s="228">
        <v>55.865061889943924</v>
      </c>
      <c r="V320" s="228">
        <v>5.2918156363726485</v>
      </c>
      <c r="W320" s="228">
        <v>0</v>
      </c>
      <c r="X320" s="228">
        <f t="shared" si="119"/>
        <v>748.60075924484761</v>
      </c>
      <c r="Y320" s="228" t="s">
        <v>1634</v>
      </c>
      <c r="Z320" s="591">
        <v>3</v>
      </c>
      <c r="AA320" s="591">
        <v>8</v>
      </c>
      <c r="AB320" s="591"/>
      <c r="AC320" s="311"/>
      <c r="AD320" s="604" t="s">
        <v>1316</v>
      </c>
    </row>
    <row r="321" spans="1:31" s="228" customFormat="1" ht="12.75" hidden="1" customHeight="1" x14ac:dyDescent="0.2">
      <c r="B321" s="229"/>
      <c r="F321" s="228" t="s">
        <v>1636</v>
      </c>
      <c r="I321" s="230"/>
      <c r="J321" s="231"/>
      <c r="K321" s="232">
        <f t="shared" si="112"/>
        <v>1187.0712874493893</v>
      </c>
      <c r="L321" s="232">
        <f t="shared" si="113"/>
        <v>954.40827948360106</v>
      </c>
      <c r="M321" s="232">
        <f t="shared" si="114"/>
        <v>0</v>
      </c>
      <c r="N321" s="232">
        <v>250</v>
      </c>
      <c r="O321" s="232">
        <f t="shared" ref="O321" si="120">SUM(K321:N321)*embed</f>
        <v>2391.4795669329906</v>
      </c>
      <c r="P321" s="233">
        <f t="shared" ref="P321" si="121">ROUND((O321*I321),0)</f>
        <v>0</v>
      </c>
      <c r="Q321" s="337">
        <f t="shared" ref="Q321" si="122">IF(O321=0,0,IF(X321=0,"manual",(O321/(R321*tax*markup*IF(Y321&lt;&gt;"",VLOOKUP(LEFT(Y321,2),cityindex,2,0),1)+S321*markup*difficulty*IF(Y321&lt;&gt;"",VLOOKUP(LEFT(Y321,2),cityindex,3,0),1)+W321*markup*difficulty*IF(Y321&lt;&gt;"",VLOOKUP(LEFT(Y321,2),cityindex,3,0),1)))-1))</f>
        <v>0.11674171626958274</v>
      </c>
      <c r="R321" s="228">
        <v>880.80453913530448</v>
      </c>
      <c r="S321" s="228">
        <f t="shared" si="118"/>
        <v>766.59299556915744</v>
      </c>
      <c r="T321" s="228" t="s">
        <v>1040</v>
      </c>
      <c r="U321" s="228">
        <v>57.934497485353006</v>
      </c>
      <c r="V321" s="228">
        <v>13.232064294041169</v>
      </c>
      <c r="W321" s="228">
        <v>0</v>
      </c>
      <c r="X321" s="228">
        <f t="shared" si="119"/>
        <v>1647.397534704462</v>
      </c>
      <c r="Y321" s="228" t="s">
        <v>1581</v>
      </c>
      <c r="Z321" s="316"/>
      <c r="AA321" s="316"/>
      <c r="AB321" s="316"/>
      <c r="AC321" s="311"/>
      <c r="AD321" s="604" t="s">
        <v>1316</v>
      </c>
    </row>
    <row r="322" spans="1:31" s="228" customFormat="1" ht="12.75" customHeight="1" x14ac:dyDescent="0.2">
      <c r="B322" s="336"/>
      <c r="I322" s="230"/>
      <c r="J322" s="231"/>
      <c r="K322" s="232">
        <f t="shared" si="112"/>
        <v>0</v>
      </c>
      <c r="L322" s="232">
        <f t="shared" si="113"/>
        <v>0</v>
      </c>
      <c r="M322" s="232">
        <f t="shared" si="114"/>
        <v>0</v>
      </c>
      <c r="N322" s="232"/>
      <c r="O322" s="232">
        <f t="shared" ref="O322:O329" si="123">SUM(K322:N322)*embed</f>
        <v>0</v>
      </c>
      <c r="P322" s="233">
        <f t="shared" ref="P322:P329" si="124">ROUND((O322*I322),0)</f>
        <v>0</v>
      </c>
      <c r="Q322" s="339">
        <f t="shared" ref="Q322:Q329" si="125">IF(O322=0,0,IF(X322=0,"manual",(O322/(R322*tax*markup*IF(Y322&lt;&gt;"",VLOOKUP(LEFT(Y322,2),cityindex,2,0),1)+S322*markup*difficulty*IF(Y322&lt;&gt;"",VLOOKUP(LEFT(Y322,2),cityindex,3,0),1)+W322*markup*difficulty*IF(Y322&lt;&gt;"",VLOOKUP(LEFT(Y322,2),cityindex,3,0),1)))-1))</f>
        <v>0</v>
      </c>
      <c r="S322" s="228">
        <f t="shared" si="118"/>
        <v>0</v>
      </c>
      <c r="X322" s="228">
        <f t="shared" si="119"/>
        <v>0</v>
      </c>
      <c r="Z322" s="316"/>
      <c r="AA322" s="338"/>
      <c r="AB322" s="235"/>
      <c r="AD322" s="604"/>
    </row>
    <row r="323" spans="1:31" s="228" customFormat="1" ht="12.75" customHeight="1" x14ac:dyDescent="0.2">
      <c r="A323" s="228" t="s">
        <v>296</v>
      </c>
      <c r="B323" s="229"/>
      <c r="D323" s="143"/>
      <c r="E323" s="143" t="s">
        <v>1632</v>
      </c>
      <c r="F323" s="143"/>
      <c r="G323" s="143"/>
      <c r="H323" s="143"/>
      <c r="I323" s="146"/>
      <c r="J323" s="147"/>
      <c r="K323" s="296">
        <f t="shared" ref="K323" si="126">R323*tax*markup*IF(Y323&lt;&gt;"",VLOOKUP(LEFT(Y323,2),cityindex,2,0),1)</f>
        <v>0</v>
      </c>
      <c r="L323" s="296">
        <f t="shared" ref="L323" si="127">S323*markup*difficulty*IF(Y323&lt;&gt;"",VLOOKUP(LEFT(Y323,2),cityindex,3,0),1)</f>
        <v>0</v>
      </c>
      <c r="M323" s="296">
        <f t="shared" ref="M323" si="128">W323*markup*difficulty*IF(Y323&lt;&gt;"",VLOOKUP(LEFT(Y323,2),cityindex,3,0),1)</f>
        <v>0</v>
      </c>
      <c r="N323" s="149"/>
      <c r="O323" s="149">
        <f t="shared" si="123"/>
        <v>0</v>
      </c>
      <c r="P323" s="216">
        <f t="shared" si="124"/>
        <v>0</v>
      </c>
      <c r="Q323" s="291">
        <f t="shared" si="125"/>
        <v>0</v>
      </c>
      <c r="R323" s="143"/>
      <c r="S323" s="143">
        <f t="shared" ref="S323:S325" si="129">U323*V323</f>
        <v>0</v>
      </c>
      <c r="T323" s="143"/>
      <c r="U323" s="143"/>
      <c r="V323" s="143"/>
      <c r="W323" s="143"/>
      <c r="X323" s="143">
        <f t="shared" ref="X323:X325" si="130">SUM(R323,S323,W323)</f>
        <v>0</v>
      </c>
      <c r="Y323" s="143"/>
      <c r="Z323" s="591" t="s">
        <v>1630</v>
      </c>
      <c r="AA323" s="591" t="s">
        <v>1383</v>
      </c>
      <c r="AB323" s="602" t="s">
        <v>990</v>
      </c>
      <c r="AD323" s="604"/>
    </row>
    <row r="324" spans="1:31" x14ac:dyDescent="0.2">
      <c r="D324" s="228"/>
      <c r="F324" s="228" t="s">
        <v>1627</v>
      </c>
      <c r="G324" s="228"/>
      <c r="I324" s="230">
        <f>PI() * (Z324 / 2)^2 * AA324 * AB324 / 27</f>
        <v>7.4467381418424727</v>
      </c>
      <c r="J324" s="231" t="s">
        <v>333</v>
      </c>
      <c r="K324" s="232">
        <f t="shared" ref="K324" si="131">R324*tax*markup*IF(Y324&lt;&gt;"",VLOOKUP(LEFT(Y324,2),cityindex,2,0),1)</f>
        <v>435.19121703726688</v>
      </c>
      <c r="L324" s="232">
        <f t="shared" ref="L324" si="132">S324*markup*difficulty*IF(Y324&lt;&gt;"",VLOOKUP(LEFT(Y324,2),cityindex,3,0),1)</f>
        <v>136.53424851912328</v>
      </c>
      <c r="M324" s="232">
        <f t="shared" ref="M324" si="133">W324*markup*difficulty*IF(Y324&lt;&gt;"",VLOOKUP(LEFT(Y324,2),cityindex,3,0),1)</f>
        <v>28.715548363009965</v>
      </c>
      <c r="N324" s="232"/>
      <c r="O324" s="232">
        <f>SUM(K324:N324)*embed</f>
        <v>600.44101391940012</v>
      </c>
      <c r="P324" s="233">
        <f>ROUND((O324*I324),0)</f>
        <v>4471</v>
      </c>
      <c r="Q324" s="291">
        <f>IF(O324=0,0,IF(X324=0,"manual",(O324/(R324*tax*markup*IF(Y324&lt;&gt;"",VLOOKUP(LEFT(Y324,2),cityindex,2,0),1)+S324*markup*difficulty*IF(Y324&lt;&gt;"",VLOOKUP(LEFT(Y324,2),cityindex,3,0),1)+W324*markup*difficulty*IF(Y324&lt;&gt;"",VLOOKUP(LEFT(Y324,2),cityindex,3,0),1)))-1))</f>
        <v>0</v>
      </c>
      <c r="R324" s="143">
        <v>322.91101925467547</v>
      </c>
      <c r="S324" s="143">
        <f t="shared" si="129"/>
        <v>109.66606306756889</v>
      </c>
      <c r="T324" s="143" t="s">
        <v>989</v>
      </c>
      <c r="U324" s="143">
        <v>48.65856035629669</v>
      </c>
      <c r="V324" s="143">
        <v>2.253787663764645</v>
      </c>
      <c r="W324" s="143">
        <v>23.064697480329286</v>
      </c>
      <c r="X324" s="143">
        <f t="shared" si="130"/>
        <v>455.64177980257364</v>
      </c>
      <c r="Y324" s="143" t="s">
        <v>1628</v>
      </c>
      <c r="Z324" s="591">
        <v>2</v>
      </c>
      <c r="AA324" s="591">
        <v>16</v>
      </c>
      <c r="AB324" s="591">
        <v>4</v>
      </c>
      <c r="AD324" s="604" t="s">
        <v>1316</v>
      </c>
      <c r="AE324" s="236"/>
    </row>
    <row r="325" spans="1:31" x14ac:dyDescent="0.2">
      <c r="D325" s="228"/>
      <c r="F325" s="228" t="s">
        <v>1629</v>
      </c>
      <c r="I325" s="230">
        <f>Z325*AA325/27*AB325</f>
        <v>0.59259259259259256</v>
      </c>
      <c r="J325" s="231" t="s">
        <v>333</v>
      </c>
      <c r="K325" s="232">
        <f t="shared" ref="K325" si="134">R325*tax*markup*IF(Y325&lt;&gt;"",VLOOKUP(LEFT(Y325,2),cityindex,2,0),1)</f>
        <v>429.08343821126567</v>
      </c>
      <c r="L325" s="232">
        <f t="shared" ref="L325" si="135">S325*markup*difficulty*IF(Y325&lt;&gt;"",VLOOKUP(LEFT(Y325,2),cityindex,3,0),1)</f>
        <v>134.29853303877653</v>
      </c>
      <c r="M325" s="232">
        <f t="shared" ref="M325" si="136">W325*markup*difficulty*IF(Y325&lt;&gt;"",VLOOKUP(LEFT(Y325,2),cityindex,3,0),1)</f>
        <v>20.471695654231915</v>
      </c>
      <c r="N325" s="232"/>
      <c r="O325" s="232">
        <f>SUM(K325:N325)*embed</f>
        <v>583.85366690427406</v>
      </c>
      <c r="P325" s="233">
        <f>ROUND((O325*I325),0)</f>
        <v>346</v>
      </c>
      <c r="Q325" s="291">
        <f>IF(O325=0,0,IF(X325=0,"manual",(O325/(R325*tax*markup*IF(Y325&lt;&gt;"",VLOOKUP(LEFT(Y325,2),cityindex,2,0),1)+S325*markup*difficulty*IF(Y325&lt;&gt;"",VLOOKUP(LEFT(Y325,2),cityindex,3,0),1)+W325*markup*difficulty*IF(Y325&lt;&gt;"",VLOOKUP(LEFT(Y325,2),cityindex,3,0),1)))-1))</f>
        <v>0</v>
      </c>
      <c r="R325" s="143">
        <v>318.379059488775</v>
      </c>
      <c r="S325" s="143">
        <f t="shared" si="129"/>
        <v>107.87030766166789</v>
      </c>
      <c r="T325" s="143" t="s">
        <v>989</v>
      </c>
      <c r="U325" s="143">
        <v>47.497626385606729</v>
      </c>
      <c r="V325" s="143">
        <v>2.271067332626878</v>
      </c>
      <c r="W325" s="143">
        <v>16.443129039543706</v>
      </c>
      <c r="X325" s="143">
        <f t="shared" si="130"/>
        <v>442.69249618998657</v>
      </c>
      <c r="Y325" s="143" t="s">
        <v>354</v>
      </c>
      <c r="Z325" s="610">
        <v>2</v>
      </c>
      <c r="AA325" s="591">
        <v>2</v>
      </c>
      <c r="AB325" s="591">
        <v>4</v>
      </c>
      <c r="AC325" s="316"/>
      <c r="AD325" s="604" t="s">
        <v>1316</v>
      </c>
      <c r="AE325" s="236"/>
    </row>
    <row r="326" spans="1:31" x14ac:dyDescent="0.2">
      <c r="D326" s="228"/>
      <c r="E326" s="228"/>
      <c r="F326" s="228" t="s">
        <v>1631</v>
      </c>
      <c r="G326" s="228"/>
      <c r="H326" s="228"/>
      <c r="I326" s="230">
        <f>Z326*AA326</f>
        <v>168</v>
      </c>
      <c r="J326" s="231" t="s">
        <v>301</v>
      </c>
      <c r="K326" s="232">
        <f>R326*tax*markup*IF(Y326&lt;&gt;"",VLOOKUP(LEFT(Y326,2),cityindex,2,0),1)</f>
        <v>8.3998386203306676</v>
      </c>
      <c r="L326" s="232">
        <f>S326*markup*difficulty*IF(Y326&lt;&gt;"",VLOOKUP(LEFT(Y326,2),cityindex,3,0),1)</f>
        <v>2.168572540646081</v>
      </c>
      <c r="M326" s="232">
        <f>W326*markup*difficulty*IF(Y326&lt;&gt;"",VLOOKUP(LEFT(Y326,2),cityindex,3,0),1)</f>
        <v>0.23594048008161925</v>
      </c>
      <c r="N326" s="232"/>
      <c r="O326" s="232">
        <f>SUM(K326:N326)*embed</f>
        <v>10.804351641058368</v>
      </c>
      <c r="P326" s="233">
        <f>ROUND((O326*I326),0)</f>
        <v>1815</v>
      </c>
      <c r="Q326" s="291">
        <f>IF(O326=0,0,IF(X326=0,"manual",(O326/(R326*tax*markup*IF(Y326&lt;&gt;"",VLOOKUP(LEFT(Y326,2),cityindex,2,0),1)+S326*markup*difficulty*IF(Y326&lt;&gt;"",VLOOKUP(LEFT(Y326,2),cityindex,3,0),1)+W326*markup*difficulty*IF(Y326&lt;&gt;"",VLOOKUP(LEFT(Y326,2),cityindex,3,0),1)))-1))</f>
        <v>0</v>
      </c>
      <c r="R326" s="143">
        <v>6.2326635839102673</v>
      </c>
      <c r="S326" s="143">
        <f>U326*V326</f>
        <v>1.7418253338522738</v>
      </c>
      <c r="T326" s="143" t="s">
        <v>989</v>
      </c>
      <c r="U326" s="143">
        <v>45.622760662531562</v>
      </c>
      <c r="V326" s="143">
        <v>3.8178867489769779E-2</v>
      </c>
      <c r="W326" s="143">
        <v>0.18951042576836885</v>
      </c>
      <c r="X326" s="143">
        <f>SUM(R326,S326,W326)</f>
        <v>8.1639993435309091</v>
      </c>
      <c r="Y326" s="143" t="s">
        <v>373</v>
      </c>
      <c r="Z326" s="610">
        <v>14</v>
      </c>
      <c r="AA326" s="591">
        <v>12</v>
      </c>
      <c r="AB326" s="591">
        <v>8</v>
      </c>
      <c r="AC326" s="316"/>
      <c r="AD326" s="604" t="s">
        <v>1316</v>
      </c>
      <c r="AE326" s="236"/>
    </row>
    <row r="327" spans="1:31" x14ac:dyDescent="0.2">
      <c r="D327" s="228"/>
      <c r="E327" s="228"/>
      <c r="G327" s="228" t="s">
        <v>366</v>
      </c>
      <c r="H327" s="228"/>
      <c r="I327" s="230">
        <f>I326</f>
        <v>168</v>
      </c>
      <c r="J327" s="231" t="s">
        <v>301</v>
      </c>
      <c r="K327" s="232">
        <f>R327*tax*markup*IF(Y327&lt;&gt;"",VLOOKUP(LEFT(Y327,2),cityindex,2,0),1)</f>
        <v>9.805859151808613E-2</v>
      </c>
      <c r="L327" s="232">
        <f>S327*markup*difficulty*IF(Y327&lt;&gt;"",VLOOKUP(LEFT(Y327,2),cityindex,3,0),1)</f>
        <v>0.13792793152571114</v>
      </c>
      <c r="M327" s="232">
        <f>W327*markup*difficulty*IF(Y327&lt;&gt;"",VLOOKUP(LEFT(Y327,2),cityindex,3,0),1)</f>
        <v>0</v>
      </c>
      <c r="N327" s="232"/>
      <c r="O327" s="232">
        <f>SUM(K327:N327)*embed</f>
        <v>0.23598652304379727</v>
      </c>
      <c r="P327" s="233">
        <f>ROUND((O327*I327),0)</f>
        <v>40</v>
      </c>
      <c r="Q327" s="291">
        <f>IF(O327=0,0,IF(X327=0,"manual",(O327/(R327*tax*markup*IF(Y327&lt;&gt;"",VLOOKUP(LEFT(Y327,2),cityindex,2,0),1)+S327*markup*difficulty*IF(Y327&lt;&gt;"",VLOOKUP(LEFT(Y327,2),cityindex,3,0),1)+W327*markup*difficulty*IF(Y327&lt;&gt;"",VLOOKUP(LEFT(Y327,2),cityindex,3,0),1)))-1))</f>
        <v>0</v>
      </c>
      <c r="R327" s="143">
        <v>7.2759280275345159E-2</v>
      </c>
      <c r="S327" s="143">
        <f>U327*V327</f>
        <v>0.11078548716924588</v>
      </c>
      <c r="T327" s="143" t="s">
        <v>968</v>
      </c>
      <c r="U327" s="143">
        <v>50.790085122442285</v>
      </c>
      <c r="V327" s="143">
        <v>2.1812424000111357E-3</v>
      </c>
      <c r="W327" s="143">
        <v>0</v>
      </c>
      <c r="X327" s="143">
        <f>SUM(R327,S327,W327)</f>
        <v>0.18354476744459103</v>
      </c>
      <c r="Y327" s="143" t="s">
        <v>367</v>
      </c>
      <c r="Z327" s="316" t="s">
        <v>1055</v>
      </c>
      <c r="AA327" s="316" t="s">
        <v>1344</v>
      </c>
      <c r="AB327" s="577" t="s">
        <v>1345</v>
      </c>
      <c r="AC327" s="316"/>
      <c r="AD327" s="604" t="s">
        <v>1316</v>
      </c>
      <c r="AE327" s="236"/>
    </row>
    <row r="328" spans="1:31" x14ac:dyDescent="0.2">
      <c r="D328" s="228"/>
      <c r="E328" s="228"/>
      <c r="G328" s="228" t="s">
        <v>359</v>
      </c>
      <c r="I328" s="578">
        <f>(Z328*AA328*AB328)/27</f>
        <v>0.48148148148148145</v>
      </c>
      <c r="J328" s="231" t="s">
        <v>333</v>
      </c>
      <c r="K328" s="232">
        <f t="shared" ref="K328" si="137">R328*tax*markup*IF(Y328&lt;&gt;"",VLOOKUP(LEFT(Y328,2),cityindex,2,0),1)</f>
        <v>269.74468071434154</v>
      </c>
      <c r="L328" s="232">
        <f t="shared" ref="L328" si="138">S328*markup*difficulty*IF(Y328&lt;&gt;"",VLOOKUP(LEFT(Y328,2),cityindex,3,0),1)</f>
        <v>16.730722571182632</v>
      </c>
      <c r="M328" s="232">
        <f t="shared" ref="M328" si="139">W328*markup*difficulty*IF(Y328&lt;&gt;"",VLOOKUP(LEFT(Y328,2),cityindex,3,0),1)</f>
        <v>6.6952019942682623</v>
      </c>
      <c r="N328" s="232"/>
      <c r="O328" s="232">
        <f>SUM(K328:N328)*embed</f>
        <v>293.17060527979243</v>
      </c>
      <c r="P328" s="233">
        <f>ROUND((O328*I328),0)</f>
        <v>141</v>
      </c>
      <c r="Q328" s="291">
        <f>IF(O328=0,0,IF(X328=0,"manual",(O328/(R328*tax*markup*IF(Y328&lt;&gt;"",VLOOKUP(LEFT(Y328,2),cityindex,2,0),1)+S328*markup*difficulty*IF(Y328&lt;&gt;"",VLOOKUP(LEFT(Y328,2),cityindex,3,0),1)+W328*markup*difficulty*IF(Y328&lt;&gt;"",VLOOKUP(LEFT(Y328,2),cityindex,3,0),1)))-1))</f>
        <v>0</v>
      </c>
      <c r="R328" s="143">
        <v>200.15001768874407</v>
      </c>
      <c r="S328" s="143">
        <f t="shared" ref="S328" si="140">U328*V328</f>
        <v>13.43833138247601</v>
      </c>
      <c r="T328" s="143" t="s">
        <v>1117</v>
      </c>
      <c r="U328" s="143">
        <v>36.67400681359679</v>
      </c>
      <c r="V328" s="143">
        <v>0.36642659338476713</v>
      </c>
      <c r="W328" s="143">
        <v>5.3776722845528209</v>
      </c>
      <c r="X328" s="143">
        <f t="shared" ref="X328" si="141">SUM(R328,S328,W328)</f>
        <v>218.96602135577291</v>
      </c>
      <c r="Y328" s="143" t="s">
        <v>360</v>
      </c>
      <c r="Z328" s="323">
        <f>Z326+Z326+AA326+AA326</f>
        <v>52</v>
      </c>
      <c r="AA328" s="577">
        <f>3/12</f>
        <v>0.25</v>
      </c>
      <c r="AB328" s="316">
        <v>1</v>
      </c>
      <c r="AC328" s="236"/>
      <c r="AD328" s="604" t="s">
        <v>1316</v>
      </c>
      <c r="AE328" s="236"/>
    </row>
    <row r="329" spans="1:31" s="228" customFormat="1" ht="12.75" customHeight="1" x14ac:dyDescent="0.2">
      <c r="B329" s="229"/>
      <c r="F329" s="228" t="s">
        <v>1138</v>
      </c>
      <c r="I329" s="230">
        <f>((Z326+Z326+AA326)*AB326)-(Z332*AA332)</f>
        <v>296</v>
      </c>
      <c r="J329" s="231" t="s">
        <v>301</v>
      </c>
      <c r="K329" s="232">
        <f t="shared" ref="K329:K336" si="142">R329*tax*markup*IF(Y329&lt;&gt;"",VLOOKUP(LEFT(Y329,2),cityindex,2,0),1)</f>
        <v>13.984513731282728</v>
      </c>
      <c r="L329" s="232">
        <f t="shared" ref="L329:L336" si="143">S329*markup*difficulty*IF(Y329&lt;&gt;"",VLOOKUP(LEFT(Y329,2),cityindex,3,0),1)</f>
        <v>5.3128382040395641</v>
      </c>
      <c r="M329" s="232">
        <f t="shared" ref="M329:M336" si="144">W329*markup*difficulty*IF(Y329&lt;&gt;"",VLOOKUP(LEFT(Y329,2),cityindex,3,0),1)</f>
        <v>0</v>
      </c>
      <c r="N329" s="232">
        <v>3</v>
      </c>
      <c r="O329" s="232">
        <f t="shared" si="123"/>
        <v>22.297351935322293</v>
      </c>
      <c r="P329" s="233">
        <f t="shared" si="124"/>
        <v>6600</v>
      </c>
      <c r="Q329" s="337">
        <f t="shared" si="125"/>
        <v>0.15546174470232543</v>
      </c>
      <c r="R329" s="228">
        <v>10.376481431523954</v>
      </c>
      <c r="S329" s="228">
        <f t="shared" ref="S329:S336" si="145">U329*V329</f>
        <v>4.2673399229233446</v>
      </c>
      <c r="T329" s="228" t="s">
        <v>1131</v>
      </c>
      <c r="U329" s="228">
        <v>49.450208162146893</v>
      </c>
      <c r="V329" s="228">
        <v>8.6295691798318946E-2</v>
      </c>
      <c r="W329" s="228">
        <v>0</v>
      </c>
      <c r="X329" s="228">
        <f t="shared" ref="X329:X336" si="146">SUM(R329,S329,W329)</f>
        <v>14.643821354447299</v>
      </c>
      <c r="Y329" s="228" t="s">
        <v>468</v>
      </c>
      <c r="AB329" s="591"/>
      <c r="AC329" s="311"/>
      <c r="AD329" s="604" t="s">
        <v>1316</v>
      </c>
    </row>
    <row r="330" spans="1:31" s="228" customFormat="1" ht="12.75" customHeight="1" x14ac:dyDescent="0.2">
      <c r="B330" s="229"/>
      <c r="G330" s="228" t="s">
        <v>1582</v>
      </c>
      <c r="I330" s="230">
        <f>I329</f>
        <v>296</v>
      </c>
      <c r="J330" s="231" t="s">
        <v>301</v>
      </c>
      <c r="K330" s="232">
        <f t="shared" si="142"/>
        <v>0.47543901477179357</v>
      </c>
      <c r="L330" s="232">
        <f t="shared" si="143"/>
        <v>0.81105024287145111</v>
      </c>
      <c r="M330" s="232">
        <f t="shared" si="144"/>
        <v>0</v>
      </c>
      <c r="N330" s="232">
        <v>3</v>
      </c>
      <c r="O330" s="232">
        <f t="shared" ref="O330:O341" si="147">SUM(K330:N330)*embed</f>
        <v>4.286489257643245</v>
      </c>
      <c r="P330" s="233">
        <f t="shared" ref="P330:P341" si="148">ROUND((O330*I330),0)</f>
        <v>1269</v>
      </c>
      <c r="Q330" s="337">
        <f t="shared" ref="Q330:Q341" si="149">IF(O330=0,0,IF(X330=0,"manual",(O330/(R330*tax*markup*IF(Y330&lt;&gt;"",VLOOKUP(LEFT(Y330,2),cityindex,2,0),1)+S330*markup*difficulty*IF(Y330&lt;&gt;"",VLOOKUP(LEFT(Y330,2),cityindex,3,0),1)+W330*markup*difficulty*IF(Y330&lt;&gt;"",VLOOKUP(LEFT(Y330,2),cityindex,3,0),1)))-1))</f>
        <v>2.3319277500192914</v>
      </c>
      <c r="R330" s="228">
        <v>0.35277480528806665</v>
      </c>
      <c r="S330" s="228">
        <f t="shared" si="145"/>
        <v>0.65144597821000083</v>
      </c>
      <c r="T330" s="228" t="s">
        <v>1069</v>
      </c>
      <c r="U330" s="228">
        <v>35.070891047405659</v>
      </c>
      <c r="V330" s="228">
        <v>1.8575119101748371E-2</v>
      </c>
      <c r="W330" s="228">
        <v>0</v>
      </c>
      <c r="X330" s="228">
        <f t="shared" si="146"/>
        <v>1.0042207834980674</v>
      </c>
      <c r="Y330" s="228" t="s">
        <v>703</v>
      </c>
      <c r="Z330" s="316"/>
      <c r="AA330" s="316"/>
      <c r="AB330" s="316"/>
      <c r="AC330" s="311"/>
      <c r="AD330" s="604"/>
    </row>
    <row r="331" spans="1:31" s="228" customFormat="1" ht="12.75" customHeight="1" x14ac:dyDescent="0.2">
      <c r="B331" s="229"/>
      <c r="F331" s="228" t="s">
        <v>1633</v>
      </c>
      <c r="I331" s="230">
        <f>Z328*1.2</f>
        <v>62.4</v>
      </c>
      <c r="J331" s="231" t="s">
        <v>301</v>
      </c>
      <c r="K331" s="232">
        <f t="shared" si="142"/>
        <v>16.266314577856949</v>
      </c>
      <c r="L331" s="232">
        <f t="shared" si="143"/>
        <v>1.8995513838085185</v>
      </c>
      <c r="M331" s="232">
        <f t="shared" si="144"/>
        <v>0</v>
      </c>
      <c r="N331" s="232"/>
      <c r="O331" s="232">
        <f t="shared" si="147"/>
        <v>18.165865961665467</v>
      </c>
      <c r="P331" s="233">
        <f t="shared" si="148"/>
        <v>1134</v>
      </c>
      <c r="Q331" s="337">
        <f t="shared" si="149"/>
        <v>0</v>
      </c>
      <c r="R331" s="228">
        <v>12.06957313066173</v>
      </c>
      <c r="S331" s="228">
        <f t="shared" si="145"/>
        <v>1.525744083380336</v>
      </c>
      <c r="T331" s="228" t="s">
        <v>965</v>
      </c>
      <c r="U331" s="228">
        <v>30.337316807306259</v>
      </c>
      <c r="V331" s="228">
        <v>5.0292650898278675E-2</v>
      </c>
      <c r="W331" s="228">
        <v>0</v>
      </c>
      <c r="X331" s="228">
        <f t="shared" si="146"/>
        <v>13.595317214042066</v>
      </c>
      <c r="Y331" s="228" t="s">
        <v>1364</v>
      </c>
      <c r="Z331" s="591" t="s">
        <v>1345</v>
      </c>
      <c r="AA331" s="591" t="s">
        <v>1607</v>
      </c>
      <c r="AB331" s="591"/>
      <c r="AC331" s="311"/>
      <c r="AD331" s="604" t="s">
        <v>1316</v>
      </c>
    </row>
    <row r="332" spans="1:31" s="228" customFormat="1" ht="12.75" customHeight="1" x14ac:dyDescent="0.2">
      <c r="B332" s="229"/>
      <c r="F332" s="228" t="s">
        <v>1635</v>
      </c>
      <c r="I332" s="230">
        <v>1</v>
      </c>
      <c r="J332" s="231" t="s">
        <v>390</v>
      </c>
      <c r="K332" s="232">
        <f t="shared" si="142"/>
        <v>610.47757804837761</v>
      </c>
      <c r="L332" s="232">
        <f t="shared" si="143"/>
        <v>368.05637200498313</v>
      </c>
      <c r="M332" s="232">
        <f t="shared" si="144"/>
        <v>0</v>
      </c>
      <c r="N332" s="232">
        <v>150</v>
      </c>
      <c r="O332" s="232">
        <f t="shared" si="147"/>
        <v>1128.5339500533607</v>
      </c>
      <c r="P332" s="233">
        <f t="shared" si="148"/>
        <v>1129</v>
      </c>
      <c r="Q332" s="337">
        <f t="shared" si="149"/>
        <v>0.15329054244037255</v>
      </c>
      <c r="R332" s="228">
        <v>452.97315120871662</v>
      </c>
      <c r="S332" s="228">
        <f t="shared" si="145"/>
        <v>295.62760803613099</v>
      </c>
      <c r="T332" s="228" t="s">
        <v>1148</v>
      </c>
      <c r="U332" s="228">
        <v>55.865061889943924</v>
      </c>
      <c r="V332" s="228">
        <v>5.2918156363726485</v>
      </c>
      <c r="W332" s="228">
        <v>0</v>
      </c>
      <c r="X332" s="228">
        <f t="shared" si="146"/>
        <v>748.60075924484761</v>
      </c>
      <c r="Y332" s="228" t="s">
        <v>1634</v>
      </c>
      <c r="Z332" s="591">
        <v>3</v>
      </c>
      <c r="AA332" s="591">
        <v>8</v>
      </c>
      <c r="AB332" s="591"/>
      <c r="AC332" s="311"/>
      <c r="AD332" s="604" t="s">
        <v>1316</v>
      </c>
    </row>
    <row r="333" spans="1:31" s="228" customFormat="1" ht="12.75" customHeight="1" x14ac:dyDescent="0.2">
      <c r="B333" s="229"/>
      <c r="I333" s="230"/>
      <c r="J333" s="231"/>
      <c r="K333" s="232">
        <f t="shared" si="142"/>
        <v>0</v>
      </c>
      <c r="L333" s="232">
        <f t="shared" si="143"/>
        <v>0</v>
      </c>
      <c r="M333" s="232">
        <f t="shared" si="144"/>
        <v>0</v>
      </c>
      <c r="N333" s="232"/>
      <c r="O333" s="232">
        <f t="shared" si="147"/>
        <v>0</v>
      </c>
      <c r="P333" s="233">
        <f t="shared" si="148"/>
        <v>0</v>
      </c>
      <c r="Q333" s="337">
        <f t="shared" si="149"/>
        <v>0</v>
      </c>
      <c r="S333" s="228">
        <f t="shared" si="145"/>
        <v>0</v>
      </c>
      <c r="X333" s="228">
        <f t="shared" si="146"/>
        <v>0</v>
      </c>
      <c r="Z333" s="591"/>
      <c r="AA333" s="591"/>
      <c r="AB333" s="591"/>
      <c r="AC333" s="311"/>
      <c r="AD333" s="604"/>
    </row>
    <row r="334" spans="1:31" s="228" customFormat="1" ht="12.75" customHeight="1" x14ac:dyDescent="0.2">
      <c r="B334" s="229"/>
      <c r="E334" s="228" t="s">
        <v>1642</v>
      </c>
      <c r="I334" s="230"/>
      <c r="J334" s="231"/>
      <c r="K334" s="232">
        <f t="shared" si="142"/>
        <v>0</v>
      </c>
      <c r="L334" s="232">
        <f t="shared" si="143"/>
        <v>0</v>
      </c>
      <c r="M334" s="232">
        <f t="shared" si="144"/>
        <v>0</v>
      </c>
      <c r="N334" s="232"/>
      <c r="O334" s="232">
        <f t="shared" si="147"/>
        <v>0</v>
      </c>
      <c r="P334" s="233">
        <f t="shared" si="148"/>
        <v>0</v>
      </c>
      <c r="Q334" s="337">
        <f t="shared" si="149"/>
        <v>0</v>
      </c>
      <c r="S334" s="228">
        <f t="shared" si="145"/>
        <v>0</v>
      </c>
      <c r="X334" s="228">
        <f t="shared" si="146"/>
        <v>0</v>
      </c>
      <c r="Z334" s="591"/>
      <c r="AA334" s="591"/>
      <c r="AB334" s="591"/>
      <c r="AC334" s="311"/>
      <c r="AD334" s="604"/>
    </row>
    <row r="335" spans="1:31" x14ac:dyDescent="0.2">
      <c r="D335" s="228"/>
      <c r="E335" s="228"/>
      <c r="F335" s="228" t="s">
        <v>1631</v>
      </c>
      <c r="G335" s="228"/>
      <c r="H335" s="228"/>
      <c r="I335" s="230">
        <f>Z335*AA335</f>
        <v>256</v>
      </c>
      <c r="J335" s="231" t="s">
        <v>301</v>
      </c>
      <c r="K335" s="232">
        <f t="shared" si="142"/>
        <v>8.3998386203306676</v>
      </c>
      <c r="L335" s="232">
        <f t="shared" si="143"/>
        <v>2.168572540646081</v>
      </c>
      <c r="M335" s="232">
        <f t="shared" si="144"/>
        <v>0.23594048008161925</v>
      </c>
      <c r="N335" s="232"/>
      <c r="O335" s="232">
        <f t="shared" si="147"/>
        <v>10.804351641058368</v>
      </c>
      <c r="P335" s="233">
        <f t="shared" si="148"/>
        <v>2766</v>
      </c>
      <c r="Q335" s="291">
        <f t="shared" si="149"/>
        <v>0</v>
      </c>
      <c r="R335" s="143">
        <v>6.2326635839102673</v>
      </c>
      <c r="S335" s="143">
        <f t="shared" si="145"/>
        <v>1.7418253338522738</v>
      </c>
      <c r="T335" s="143" t="s">
        <v>989</v>
      </c>
      <c r="U335" s="143">
        <v>45.622760662531562</v>
      </c>
      <c r="V335" s="143">
        <v>3.8178867489769779E-2</v>
      </c>
      <c r="W335" s="143">
        <v>0.18951042576836885</v>
      </c>
      <c r="X335" s="143">
        <f t="shared" si="146"/>
        <v>8.1639993435309091</v>
      </c>
      <c r="Y335" s="143" t="s">
        <v>373</v>
      </c>
      <c r="Z335" s="610">
        <v>16</v>
      </c>
      <c r="AA335" s="591">
        <v>16</v>
      </c>
      <c r="AB335" s="591">
        <v>8</v>
      </c>
      <c r="AC335" s="316"/>
      <c r="AD335" s="604" t="s">
        <v>1316</v>
      </c>
      <c r="AE335" s="236"/>
    </row>
    <row r="336" spans="1:31" x14ac:dyDescent="0.2">
      <c r="D336" s="228"/>
      <c r="E336" s="228"/>
      <c r="G336" s="228" t="s">
        <v>366</v>
      </c>
      <c r="H336" s="228"/>
      <c r="I336" s="230">
        <f>I335</f>
        <v>256</v>
      </c>
      <c r="J336" s="231" t="s">
        <v>301</v>
      </c>
      <c r="K336" s="232">
        <f t="shared" si="142"/>
        <v>9.805859151808613E-2</v>
      </c>
      <c r="L336" s="232">
        <f t="shared" si="143"/>
        <v>0.13792793152571114</v>
      </c>
      <c r="M336" s="232">
        <f t="shared" si="144"/>
        <v>0</v>
      </c>
      <c r="N336" s="232"/>
      <c r="O336" s="232">
        <f t="shared" si="147"/>
        <v>0.23598652304379727</v>
      </c>
      <c r="P336" s="233">
        <f t="shared" si="148"/>
        <v>60</v>
      </c>
      <c r="Q336" s="291">
        <f t="shared" si="149"/>
        <v>0</v>
      </c>
      <c r="R336" s="143">
        <v>7.2759280275345159E-2</v>
      </c>
      <c r="S336" s="143">
        <f t="shared" si="145"/>
        <v>0.11078548716924588</v>
      </c>
      <c r="T336" s="143" t="s">
        <v>968</v>
      </c>
      <c r="U336" s="143">
        <v>50.790085122442285</v>
      </c>
      <c r="V336" s="143">
        <v>2.1812424000111357E-3</v>
      </c>
      <c r="W336" s="143">
        <v>0</v>
      </c>
      <c r="X336" s="143">
        <f t="shared" si="146"/>
        <v>0.18354476744459103</v>
      </c>
      <c r="Y336" s="143" t="s">
        <v>367</v>
      </c>
      <c r="Z336" s="316" t="s">
        <v>1055</v>
      </c>
      <c r="AA336" s="316" t="s">
        <v>1344</v>
      </c>
      <c r="AB336" s="577" t="s">
        <v>1345</v>
      </c>
      <c r="AC336" s="316"/>
      <c r="AD336" s="604" t="s">
        <v>1316</v>
      </c>
      <c r="AE336" s="236"/>
    </row>
    <row r="337" spans="1:32" x14ac:dyDescent="0.2">
      <c r="D337" s="228"/>
      <c r="E337" s="228"/>
      <c r="G337" s="228" t="s">
        <v>359</v>
      </c>
      <c r="I337" s="578">
        <f>(Z337*AA337*AB337)/27</f>
        <v>0.59259259259259256</v>
      </c>
      <c r="J337" s="231" t="s">
        <v>333</v>
      </c>
      <c r="K337" s="232">
        <f t="shared" ref="K337" si="150">R337*tax*markup*IF(Y337&lt;&gt;"",VLOOKUP(LEFT(Y337,2),cityindex,2,0),1)</f>
        <v>269.74468071434154</v>
      </c>
      <c r="L337" s="232">
        <f t="shared" ref="L337" si="151">S337*markup*difficulty*IF(Y337&lt;&gt;"",VLOOKUP(LEFT(Y337,2),cityindex,3,0),1)</f>
        <v>16.730722571182632</v>
      </c>
      <c r="M337" s="232">
        <f t="shared" ref="M337" si="152">W337*markup*difficulty*IF(Y337&lt;&gt;"",VLOOKUP(LEFT(Y337,2),cityindex,3,0),1)</f>
        <v>6.6952019942682623</v>
      </c>
      <c r="N337" s="232"/>
      <c r="O337" s="232">
        <f t="shared" si="147"/>
        <v>293.17060527979243</v>
      </c>
      <c r="P337" s="233">
        <f t="shared" si="148"/>
        <v>174</v>
      </c>
      <c r="Q337" s="291">
        <f t="shared" si="149"/>
        <v>0</v>
      </c>
      <c r="R337" s="143">
        <v>200.15001768874407</v>
      </c>
      <c r="S337" s="143">
        <f t="shared" ref="S337" si="153">U337*V337</f>
        <v>13.43833138247601</v>
      </c>
      <c r="T337" s="143" t="s">
        <v>1117</v>
      </c>
      <c r="U337" s="143">
        <v>36.67400681359679</v>
      </c>
      <c r="V337" s="143">
        <v>0.36642659338476713</v>
      </c>
      <c r="W337" s="143">
        <v>5.3776722845528209</v>
      </c>
      <c r="X337" s="143">
        <f t="shared" ref="X337" si="154">SUM(R337,S337,W337)</f>
        <v>218.96602135577291</v>
      </c>
      <c r="Y337" s="143" t="s">
        <v>360</v>
      </c>
      <c r="Z337" s="323">
        <f>Z335+Z335+AA335+AA335</f>
        <v>64</v>
      </c>
      <c r="AA337" s="577">
        <f>3/12</f>
        <v>0.25</v>
      </c>
      <c r="AB337" s="316">
        <v>1</v>
      </c>
      <c r="AC337" s="236"/>
      <c r="AD337" s="604" t="s">
        <v>1316</v>
      </c>
      <c r="AE337" s="236"/>
    </row>
    <row r="338" spans="1:32" x14ac:dyDescent="0.2">
      <c r="D338" s="228"/>
      <c r="E338" s="228"/>
      <c r="F338" s="228" t="s">
        <v>1639</v>
      </c>
      <c r="G338" s="228"/>
      <c r="H338" s="228"/>
      <c r="I338" s="230">
        <v>132</v>
      </c>
      <c r="J338" s="231" t="s">
        <v>309</v>
      </c>
      <c r="K338" s="232">
        <v>0</v>
      </c>
      <c r="L338" s="232">
        <v>0</v>
      </c>
      <c r="M338" s="232">
        <v>0</v>
      </c>
      <c r="N338" s="232">
        <v>38.58</v>
      </c>
      <c r="O338" s="232">
        <f t="shared" si="147"/>
        <v>38.58</v>
      </c>
      <c r="P338" s="233">
        <f t="shared" si="148"/>
        <v>5093</v>
      </c>
      <c r="Q338" s="291" t="str">
        <f t="shared" si="149"/>
        <v>manual</v>
      </c>
      <c r="S338" s="143">
        <f>U338*V338</f>
        <v>0</v>
      </c>
      <c r="X338" s="143">
        <f>SUM(R338,S338,W338)</f>
        <v>0</v>
      </c>
      <c r="Z338" s="143"/>
      <c r="AA338" s="573"/>
      <c r="AC338" s="311"/>
      <c r="AD338" s="604" t="s">
        <v>1316</v>
      </c>
      <c r="AE338" s="236"/>
      <c r="AF338" s="236"/>
    </row>
    <row r="339" spans="1:32" s="228" customFormat="1" ht="12.75" customHeight="1" x14ac:dyDescent="0.2">
      <c r="B339" s="336"/>
      <c r="F339" s="228" t="s">
        <v>1640</v>
      </c>
      <c r="I339" s="230">
        <v>2</v>
      </c>
      <c r="J339" s="231" t="s">
        <v>648</v>
      </c>
      <c r="K339" s="232">
        <f>R339*tax*markup*IF(Y339&lt;&gt;"",VLOOKUP(LEFT(Y339,2),cityindex,2,0),1)</f>
        <v>2324.2923385704462</v>
      </c>
      <c r="L339" s="232">
        <f>S339*markup*difficulty*IF(Y339&lt;&gt;"",VLOOKUP(LEFT(Y339,2),cityindex,3,0),1)</f>
        <v>3116.5374754045724</v>
      </c>
      <c r="M339" s="232">
        <f>W339*markup*difficulty*IF(Y339&lt;&gt;"",VLOOKUP(LEFT(Y339,2),cityindex,3,0),1)</f>
        <v>307.93640981504728</v>
      </c>
      <c r="N339" s="232"/>
      <c r="O339" s="232">
        <f t="shared" si="147"/>
        <v>5748.7662237900659</v>
      </c>
      <c r="P339" s="233">
        <f t="shared" si="148"/>
        <v>11498</v>
      </c>
      <c r="Q339" s="339">
        <f t="shared" si="149"/>
        <v>0</v>
      </c>
      <c r="R339" s="228">
        <v>1724.6203018599633</v>
      </c>
      <c r="S339" s="228">
        <f>U339*V339</f>
        <v>2503.2429521321865</v>
      </c>
      <c r="T339" s="228" t="s">
        <v>1148</v>
      </c>
      <c r="U339" s="228">
        <v>55.865061889943924</v>
      </c>
      <c r="V339" s="228">
        <v>44.808738546887504</v>
      </c>
      <c r="W339" s="228">
        <v>247.33848177915442</v>
      </c>
      <c r="X339" s="228">
        <f>SUM(R339,S339,W339)</f>
        <v>4475.2017357713048</v>
      </c>
      <c r="Y339" s="228" t="s">
        <v>1641</v>
      </c>
      <c r="Z339" s="235"/>
      <c r="AA339" s="235"/>
      <c r="AB339" s="235"/>
      <c r="AD339" s="604" t="s">
        <v>1316</v>
      </c>
    </row>
    <row r="340" spans="1:32" s="228" customFormat="1" ht="12.75" customHeight="1" x14ac:dyDescent="0.2">
      <c r="B340" s="336"/>
      <c r="G340" s="228" t="s">
        <v>1608</v>
      </c>
      <c r="I340" s="230">
        <f>3*I338/10+12</f>
        <v>51.6</v>
      </c>
      <c r="J340" s="231" t="s">
        <v>550</v>
      </c>
      <c r="K340" s="232">
        <f t="shared" ref="K340:K341" si="155">R340*tax*markup*IF(Y340&lt;&gt;"",VLOOKUP(LEFT(Y340,2),cityindex,2,0),1)</f>
        <v>32.388606471275594</v>
      </c>
      <c r="L340" s="232">
        <f t="shared" ref="L340:L341" si="156">S340*markup*difficulty*IF(Y340&lt;&gt;"",VLOOKUP(LEFT(Y340,2),cityindex,3,0),1)</f>
        <v>28.816485899269651</v>
      </c>
      <c r="M340" s="232">
        <f t="shared" ref="M340:M341" si="157">W340*markup*difficulty*IF(Y340&lt;&gt;"",VLOOKUP(LEFT(Y340,2),cityindex,3,0),1)</f>
        <v>22.382597740590022</v>
      </c>
      <c r="N340" s="232"/>
      <c r="O340" s="232">
        <f t="shared" si="147"/>
        <v>83.587690111135259</v>
      </c>
      <c r="P340" s="233">
        <f t="shared" si="148"/>
        <v>4313</v>
      </c>
      <c r="Q340" s="234">
        <f t="shared" si="149"/>
        <v>0</v>
      </c>
      <c r="R340" s="228">
        <v>24.0322817153329</v>
      </c>
      <c r="S340" s="228">
        <f t="shared" ref="S340:S341" si="158">U340*V340</f>
        <v>23.145771806642287</v>
      </c>
      <c r="T340" s="228" t="s">
        <v>986</v>
      </c>
      <c r="U340" s="228">
        <v>92.103669400000001</v>
      </c>
      <c r="V340" s="228">
        <v>0.25130129947507052</v>
      </c>
      <c r="W340" s="228">
        <v>17.977990153084352</v>
      </c>
      <c r="X340" s="228">
        <f t="shared" ref="X340:X341" si="159">SUM(R340,S340,W340)</f>
        <v>65.156043675059536</v>
      </c>
      <c r="Y340" s="228" t="s">
        <v>1095</v>
      </c>
      <c r="Z340" s="573"/>
      <c r="AD340" s="604" t="s">
        <v>1316</v>
      </c>
    </row>
    <row r="341" spans="1:32" s="228" customFormat="1" ht="12.75" customHeight="1" x14ac:dyDescent="0.2">
      <c r="B341" s="336"/>
      <c r="G341" s="228" t="s">
        <v>1609</v>
      </c>
      <c r="I341" s="230">
        <f>I340*3/27</f>
        <v>5.7333333333333334</v>
      </c>
      <c r="J341" s="231" t="s">
        <v>333</v>
      </c>
      <c r="K341" s="232">
        <f t="shared" si="155"/>
        <v>434.5806657548473</v>
      </c>
      <c r="L341" s="232">
        <f t="shared" si="156"/>
        <v>294.16270380167111</v>
      </c>
      <c r="M341" s="232">
        <f t="shared" si="157"/>
        <v>34.971575951070861</v>
      </c>
      <c r="N341" s="232"/>
      <c r="O341" s="232">
        <f t="shared" si="147"/>
        <v>763.71494550758939</v>
      </c>
      <c r="P341" s="233">
        <f t="shared" si="148"/>
        <v>4379</v>
      </c>
      <c r="Q341" s="234">
        <f t="shared" si="149"/>
        <v>0</v>
      </c>
      <c r="R341" s="228">
        <v>322.45799141496963</v>
      </c>
      <c r="S341" s="228">
        <f t="shared" si="158"/>
        <v>236.27526409772778</v>
      </c>
      <c r="T341" s="228" t="s">
        <v>989</v>
      </c>
      <c r="U341" s="228">
        <v>104.83474903002272</v>
      </c>
      <c r="V341" s="228">
        <v>2.253787663764645</v>
      </c>
      <c r="W341" s="228">
        <v>28.08961923780792</v>
      </c>
      <c r="X341" s="228">
        <f t="shared" si="159"/>
        <v>586.82287475050532</v>
      </c>
      <c r="Y341" s="228" t="s">
        <v>353</v>
      </c>
      <c r="AD341" s="604" t="s">
        <v>1316</v>
      </c>
    </row>
    <row r="342" spans="1:32" s="228" customFormat="1" ht="12.75" customHeight="1" x14ac:dyDescent="0.2">
      <c r="B342" s="336"/>
      <c r="I342" s="230"/>
      <c r="J342" s="231"/>
      <c r="K342" s="232">
        <f>R342*tax*markup*IF(Y342&lt;&gt;"",VLOOKUP(LEFT(Y342,2),cityindex,2,0),1)</f>
        <v>0</v>
      </c>
      <c r="L342" s="232">
        <f>S342*markup*difficulty*IF(Y342&lt;&gt;"",VLOOKUP(LEFT(Y342,2),cityindex,3,0),1)</f>
        <v>0</v>
      </c>
      <c r="M342" s="232">
        <f>W342*markup*difficulty*IF(Y342&lt;&gt;"",VLOOKUP(LEFT(Y342,2),cityindex,3,0),1)</f>
        <v>0</v>
      </c>
      <c r="N342" s="232"/>
      <c r="O342" s="232">
        <f t="shared" ref="O342:O343" si="160">SUM(K342:N342)*embed</f>
        <v>0</v>
      </c>
      <c r="P342" s="233">
        <f t="shared" ref="P342:P343" si="161">ROUND((O342*I342),0)</f>
        <v>0</v>
      </c>
      <c r="Q342" s="339">
        <f t="shared" ref="Q342:Q343" si="162">IF(O342=0,0,IF(X342=0,"manual",(O342/(R342*tax*markup*IF(Y342&lt;&gt;"",VLOOKUP(LEFT(Y342,2),cityindex,2,0),1)+S342*markup*difficulty*IF(Y342&lt;&gt;"",VLOOKUP(LEFT(Y342,2),cityindex,3,0),1)+W342*markup*difficulty*IF(Y342&lt;&gt;"",VLOOKUP(LEFT(Y342,2),cityindex,3,0),1)))-1))</f>
        <v>0</v>
      </c>
      <c r="S342" s="228">
        <f>U342*V342</f>
        <v>0</v>
      </c>
      <c r="X342" s="228">
        <f>SUM(R342,S342,W342)</f>
        <v>0</v>
      </c>
      <c r="Z342" s="235"/>
      <c r="AA342" s="338"/>
      <c r="AB342" s="235"/>
      <c r="AD342" s="604"/>
    </row>
    <row r="343" spans="1:32" s="228" customFormat="1" ht="12.75" customHeight="1" x14ac:dyDescent="0.2">
      <c r="A343" s="228" t="s">
        <v>296</v>
      </c>
      <c r="B343" s="336"/>
      <c r="E343" s="228" t="s">
        <v>1746</v>
      </c>
      <c r="I343" s="230"/>
      <c r="J343" s="231"/>
      <c r="K343" s="232">
        <f t="shared" ref="K343" si="163">R343*tax*markup*IF(Y343&lt;&gt;"",VLOOKUP(LEFT(Y343,2),cityindex,2,0),1)</f>
        <v>0</v>
      </c>
      <c r="L343" s="232">
        <f t="shared" ref="L343" si="164">S343*markup*difficulty*IF(Y343&lt;&gt;"",VLOOKUP(LEFT(Y343,2),cityindex,3,0),1)</f>
        <v>0</v>
      </c>
      <c r="M343" s="232">
        <f t="shared" ref="M343" si="165">W343*markup*difficulty*IF(Y343&lt;&gt;"",VLOOKUP(LEFT(Y343,2),cityindex,3,0),1)</f>
        <v>0</v>
      </c>
      <c r="N343" s="232"/>
      <c r="O343" s="232">
        <f t="shared" si="160"/>
        <v>0</v>
      </c>
      <c r="P343" s="233">
        <f t="shared" si="161"/>
        <v>0</v>
      </c>
      <c r="Q343" s="339">
        <f t="shared" si="162"/>
        <v>0</v>
      </c>
      <c r="S343" s="228">
        <f t="shared" ref="S343:S347" si="166">U343*V343</f>
        <v>0</v>
      </c>
      <c r="X343" s="228">
        <f t="shared" ref="X343:X347" si="167">SUM(R343,S343,W343)</f>
        <v>0</v>
      </c>
      <c r="AD343" s="604"/>
    </row>
    <row r="344" spans="1:32" s="228" customFormat="1" ht="12.75" customHeight="1" x14ac:dyDescent="0.2">
      <c r="B344" s="336"/>
      <c r="C344" s="312"/>
      <c r="F344" s="228" t="s">
        <v>1775</v>
      </c>
      <c r="I344" s="230">
        <v>14</v>
      </c>
      <c r="J344" s="231" t="s">
        <v>390</v>
      </c>
      <c r="K344" s="232">
        <f>R344*tax*markup*IF(Y344&lt;&gt;"",VLOOKUP(LEFT(Y344,2),cityindex,2,0),1)*0.8</f>
        <v>750.89523066576044</v>
      </c>
      <c r="L344" s="232">
        <f t="shared" ref="L344" si="168">S344*markup*difficulty*IF(Y344&lt;&gt;"",VLOOKUP(LEFT(Y344,2),cityindex,3,0),1)</f>
        <v>379.59973957154153</v>
      </c>
      <c r="M344" s="232">
        <f t="shared" ref="M344" si="169">W344*markup*difficulty*IF(Y344&lt;&gt;"",VLOOKUP(LEFT(Y344,2),cityindex,3,0),1)</f>
        <v>0</v>
      </c>
      <c r="N344" s="232"/>
      <c r="O344" s="232">
        <f t="shared" ref="O344:O378" si="170">SUM(K344:N344)*embed</f>
        <v>1130.4949702373019</v>
      </c>
      <c r="P344" s="233">
        <f t="shared" ref="P344:P378" si="171">ROUND((O344*I344),0)</f>
        <v>15827</v>
      </c>
      <c r="Q344" s="339">
        <f t="shared" ref="Q344:Q378" si="172">IF(O344=0,0,IF(X344=0,"manual",(O344/(R344*tax*markup*IF(Y344&lt;&gt;"",VLOOKUP(LEFT(Y344,2),cityindex,2,0),1)+S344*markup*difficulty*IF(Y344&lt;&gt;"",VLOOKUP(LEFT(Y344,2),cityindex,3,0),1)+W344*markup*difficulty*IF(Y344&lt;&gt;"",VLOOKUP(LEFT(Y344,2),cityindex,3,0),1)))-1))</f>
        <v>-0.14240717156598404</v>
      </c>
      <c r="R344" s="228">
        <v>696.45346342947801</v>
      </c>
      <c r="S344" s="228">
        <f t="shared" si="166"/>
        <v>304.89938921408958</v>
      </c>
      <c r="T344" s="228" t="s">
        <v>965</v>
      </c>
      <c r="U344" s="228">
        <v>30.337316807306259</v>
      </c>
      <c r="V344" s="228">
        <v>10.050308376008369</v>
      </c>
      <c r="W344" s="228">
        <v>0</v>
      </c>
      <c r="X344" s="228">
        <f t="shared" si="167"/>
        <v>1001.3528526435675</v>
      </c>
      <c r="Y344" s="228" t="s">
        <v>916</v>
      </c>
      <c r="Z344" s="316"/>
      <c r="AA344" s="235"/>
      <c r="AB344" s="235"/>
      <c r="AD344" s="604" t="s">
        <v>1316</v>
      </c>
    </row>
    <row r="345" spans="1:32" s="228" customFormat="1" ht="12.75" customHeight="1" x14ac:dyDescent="0.2">
      <c r="B345" s="336"/>
      <c r="C345" s="312"/>
      <c r="F345" s="228" t="s">
        <v>1737</v>
      </c>
      <c r="I345" s="230">
        <v>8</v>
      </c>
      <c r="J345" s="231" t="s">
        <v>390</v>
      </c>
      <c r="K345" s="232">
        <f>R345*tax*markup*IF(Y345&lt;&gt;"",VLOOKUP(LEFT(Y345,2),cityindex,2,0),1)*0.7</f>
        <v>657.0333268325403</v>
      </c>
      <c r="L345" s="232">
        <f>S345*markup*difficulty*IF(Y345&lt;&gt;"",VLOOKUP(LEFT(Y345,2),cityindex,3,0),1)*0.8</f>
        <v>303.67979165723324</v>
      </c>
      <c r="M345" s="232">
        <f t="shared" ref="M345:M346" si="173">W345*markup*difficulty*IF(Y345&lt;&gt;"",VLOOKUP(LEFT(Y345,2),cityindex,3,0),1)</f>
        <v>0</v>
      </c>
      <c r="N345" s="232"/>
      <c r="O345" s="232">
        <f t="shared" si="170"/>
        <v>960.71311848977348</v>
      </c>
      <c r="P345" s="233">
        <f t="shared" si="171"/>
        <v>7686</v>
      </c>
      <c r="Q345" s="339">
        <f t="shared" si="172"/>
        <v>-0.27120358578299208</v>
      </c>
      <c r="R345" s="228">
        <v>696.45346342947801</v>
      </c>
      <c r="S345" s="228">
        <f t="shared" ref="S345:S346" si="174">U345*V345</f>
        <v>304.89938921408958</v>
      </c>
      <c r="T345" s="228" t="s">
        <v>965</v>
      </c>
      <c r="U345" s="228">
        <v>30.337316807306259</v>
      </c>
      <c r="V345" s="228">
        <v>10.050308376008369</v>
      </c>
      <c r="W345" s="228">
        <v>0</v>
      </c>
      <c r="X345" s="228">
        <f t="shared" ref="X345:X346" si="175">SUM(R345,S345,W345)</f>
        <v>1001.3528526435675</v>
      </c>
      <c r="Y345" s="228" t="s">
        <v>916</v>
      </c>
      <c r="Z345" s="316"/>
      <c r="AA345" s="235"/>
      <c r="AB345" s="235"/>
      <c r="AD345" s="604" t="s">
        <v>1316</v>
      </c>
    </row>
    <row r="346" spans="1:32" s="228" customFormat="1" ht="12.75" customHeight="1" x14ac:dyDescent="0.2">
      <c r="B346" s="336"/>
      <c r="C346" s="312"/>
      <c r="F346" s="228" t="s">
        <v>1738</v>
      </c>
      <c r="I346" s="230">
        <v>4</v>
      </c>
      <c r="J346" s="231" t="s">
        <v>390</v>
      </c>
      <c r="K346" s="232">
        <f>R346*tax*markup*IF(Y346&lt;&gt;"",VLOOKUP(LEFT(Y346,2),cityindex,2,0),1)*3</f>
        <v>65.340012709649187</v>
      </c>
      <c r="L346" s="232">
        <f>S346*markup*difficulty*IF(Y346&lt;&gt;"",VLOOKUP(LEFT(Y346,2),cityindex,3,0),1)*1.5</f>
        <v>23.634375745182915</v>
      </c>
      <c r="M346" s="232">
        <f t="shared" si="173"/>
        <v>0</v>
      </c>
      <c r="N346" s="232"/>
      <c r="O346" s="232">
        <f t="shared" si="170"/>
        <v>88.974388454832109</v>
      </c>
      <c r="P346" s="233">
        <f t="shared" si="171"/>
        <v>356</v>
      </c>
      <c r="Q346" s="339">
        <f t="shared" si="172"/>
        <v>1.3703587128475099</v>
      </c>
      <c r="R346" s="228">
        <v>16.160719913594129</v>
      </c>
      <c r="S346" s="228">
        <f t="shared" si="174"/>
        <v>12.655622888986834</v>
      </c>
      <c r="T346" s="228" t="s">
        <v>965</v>
      </c>
      <c r="U346" s="228">
        <v>30.337316807306259</v>
      </c>
      <c r="V346" s="228">
        <v>0.4171635536976338</v>
      </c>
      <c r="W346" s="228">
        <v>0</v>
      </c>
      <c r="X346" s="228">
        <f t="shared" si="175"/>
        <v>28.816342802580962</v>
      </c>
      <c r="Y346" s="228" t="s">
        <v>899</v>
      </c>
      <c r="Z346" s="316"/>
      <c r="AA346" s="235"/>
      <c r="AB346" s="235"/>
      <c r="AD346" s="604" t="s">
        <v>1316</v>
      </c>
    </row>
    <row r="347" spans="1:32" s="228" customFormat="1" ht="12.75" customHeight="1" x14ac:dyDescent="0.2">
      <c r="B347" s="336"/>
      <c r="C347" s="312"/>
      <c r="F347" s="228" t="s">
        <v>1739</v>
      </c>
      <c r="I347" s="230">
        <v>31</v>
      </c>
      <c r="J347" s="231" t="s">
        <v>390</v>
      </c>
      <c r="K347" s="232">
        <f t="shared" ref="K347" si="176">R347*tax*markup*IF(Y347&lt;&gt;"",VLOOKUP(LEFT(Y347,2),cityindex,2,0),1)</f>
        <v>21.780004236549729</v>
      </c>
      <c r="L347" s="232">
        <f t="shared" ref="L347" si="177">S347*markup*difficulty*IF(Y347&lt;&gt;"",VLOOKUP(LEFT(Y347,2),cityindex,3,0),1)</f>
        <v>15.75625049678861</v>
      </c>
      <c r="M347" s="232">
        <f t="shared" ref="M347" si="178">W347*markup*difficulty*IF(Y347&lt;&gt;"",VLOOKUP(LEFT(Y347,2),cityindex,3,0),1)</f>
        <v>0</v>
      </c>
      <c r="N347" s="232"/>
      <c r="O347" s="232">
        <f t="shared" si="170"/>
        <v>37.536254733338339</v>
      </c>
      <c r="P347" s="233">
        <f t="shared" si="171"/>
        <v>1164</v>
      </c>
      <c r="Q347" s="339">
        <f t="shared" si="172"/>
        <v>0</v>
      </c>
      <c r="R347" s="228">
        <v>16.160719913594129</v>
      </c>
      <c r="S347" s="228">
        <f t="shared" si="166"/>
        <v>12.655622888986834</v>
      </c>
      <c r="T347" s="228" t="s">
        <v>965</v>
      </c>
      <c r="U347" s="228">
        <v>30.337316807306259</v>
      </c>
      <c r="V347" s="228">
        <v>0.4171635536976338</v>
      </c>
      <c r="W347" s="228">
        <v>0</v>
      </c>
      <c r="X347" s="228">
        <f t="shared" si="167"/>
        <v>28.816342802580962</v>
      </c>
      <c r="Y347" s="228" t="s">
        <v>899</v>
      </c>
      <c r="Z347" s="316"/>
      <c r="AA347" s="235"/>
      <c r="AB347" s="235"/>
      <c r="AD347" s="604" t="s">
        <v>1316</v>
      </c>
    </row>
    <row r="348" spans="1:32" s="228" customFormat="1" ht="12.75" customHeight="1" x14ac:dyDescent="0.2">
      <c r="B348" s="336"/>
      <c r="C348" s="312"/>
      <c r="F348" s="228" t="s">
        <v>1741</v>
      </c>
      <c r="I348" s="230">
        <f>121+21+104+53</f>
        <v>299</v>
      </c>
      <c r="J348" s="231" t="s">
        <v>390</v>
      </c>
      <c r="K348" s="232">
        <f>R348*tax*markup*IF(Y348&lt;&gt;"",VLOOKUP(LEFT(Y348,2),cityindex,2,0),1)</f>
        <v>13.308906913603824</v>
      </c>
      <c r="L348" s="232">
        <f>S348*markup*difficulty*IF(Y348&lt;&gt;"",VLOOKUP(LEFT(Y348,2),cityindex,3,0),1)</f>
        <v>9.9573399023288811</v>
      </c>
      <c r="M348" s="232">
        <f>W348*markup*difficulty*IF(Y348&lt;&gt;"",VLOOKUP(LEFT(Y348,2),cityindex,3,0),1)</f>
        <v>0</v>
      </c>
      <c r="N348" s="232"/>
      <c r="O348" s="232">
        <f t="shared" si="170"/>
        <v>23.266246815932703</v>
      </c>
      <c r="P348" s="233">
        <f t="shared" si="171"/>
        <v>6957</v>
      </c>
      <c r="Q348" s="339">
        <f t="shared" si="172"/>
        <v>0</v>
      </c>
      <c r="R348" s="228">
        <v>9.8751825137808122</v>
      </c>
      <c r="S348" s="228">
        <f t="shared" ref="S348:S355" si="179">U348*V348</f>
        <v>7.9978633753645623</v>
      </c>
      <c r="T348" s="228" t="s">
        <v>965</v>
      </c>
      <c r="U348" s="228">
        <v>30.337316807306259</v>
      </c>
      <c r="V348" s="228">
        <v>0.26363120463700351</v>
      </c>
      <c r="W348" s="228">
        <v>0</v>
      </c>
      <c r="X348" s="228">
        <f t="shared" ref="X348:X355" si="180">SUM(R348,S348,W348)</f>
        <v>17.873045889145374</v>
      </c>
      <c r="Y348" s="228" t="s">
        <v>1740</v>
      </c>
      <c r="Z348" s="316"/>
      <c r="AA348" s="235"/>
      <c r="AB348" s="235"/>
      <c r="AD348" s="604" t="s">
        <v>1316</v>
      </c>
    </row>
    <row r="349" spans="1:32" s="228" customFormat="1" ht="12.75" customHeight="1" x14ac:dyDescent="0.2">
      <c r="B349" s="336"/>
      <c r="C349" s="312"/>
      <c r="F349" s="228" t="s">
        <v>1742</v>
      </c>
      <c r="I349" s="230">
        <f>26+67+42+181</f>
        <v>316</v>
      </c>
      <c r="J349" s="231" t="s">
        <v>390</v>
      </c>
      <c r="K349" s="232">
        <f>R349*tax*markup*IF(Y349&lt;&gt;"",VLOOKUP(LEFT(Y349,2),cityindex,2,0),1)</f>
        <v>13.308906913603824</v>
      </c>
      <c r="L349" s="232">
        <f>S349*markup*difficulty*IF(Y349&lt;&gt;"",VLOOKUP(LEFT(Y349,2),cityindex,3,0),1)</f>
        <v>9.9573399023288811</v>
      </c>
      <c r="M349" s="232">
        <f>W349*markup*difficulty*IF(Y349&lt;&gt;"",VLOOKUP(LEFT(Y349,2),cityindex,3,0),1)</f>
        <v>0</v>
      </c>
      <c r="N349" s="232"/>
      <c r="O349" s="232">
        <f t="shared" si="170"/>
        <v>23.266246815932703</v>
      </c>
      <c r="P349" s="233">
        <f t="shared" si="171"/>
        <v>7352</v>
      </c>
      <c r="Q349" s="339">
        <f t="shared" si="172"/>
        <v>0</v>
      </c>
      <c r="R349" s="228">
        <v>9.8751825137808122</v>
      </c>
      <c r="S349" s="228">
        <f t="shared" si="179"/>
        <v>7.9978633753645623</v>
      </c>
      <c r="T349" s="228" t="s">
        <v>965</v>
      </c>
      <c r="U349" s="228">
        <v>30.337316807306259</v>
      </c>
      <c r="V349" s="228">
        <v>0.26363120463700351</v>
      </c>
      <c r="W349" s="228">
        <v>0</v>
      </c>
      <c r="X349" s="228">
        <f t="shared" si="180"/>
        <v>17.873045889145374</v>
      </c>
      <c r="Y349" s="228" t="s">
        <v>1740</v>
      </c>
      <c r="Z349" s="316"/>
      <c r="AA349" s="235"/>
      <c r="AB349" s="235"/>
      <c r="AD349" s="604" t="s">
        <v>1316</v>
      </c>
    </row>
    <row r="350" spans="1:32" s="228" customFormat="1" ht="12.75" customHeight="1" x14ac:dyDescent="0.2">
      <c r="B350" s="336"/>
      <c r="C350" s="312"/>
      <c r="F350" s="228" t="s">
        <v>1743</v>
      </c>
      <c r="I350" s="230">
        <v>5760</v>
      </c>
      <c r="J350" s="231" t="s">
        <v>301</v>
      </c>
      <c r="K350" s="232">
        <f>R350*tax*markup*IF(Y350&lt;&gt;"",VLOOKUP(LEFT(Y350,2),cityindex,2,0),1)</f>
        <v>2.6765522848230088</v>
      </c>
      <c r="L350" s="232">
        <f>S350*markup*difficulty*IF(Y350&lt;&gt;"",VLOOKUP(LEFT(Y350,2),cityindex,3,0),1)</f>
        <v>1.5309316816380814</v>
      </c>
      <c r="M350" s="232">
        <f>W350*markup*difficulty*IF(Y350&lt;&gt;"",VLOOKUP(LEFT(Y350,2),cityindex,3,0),1)</f>
        <v>0.23728561658309841</v>
      </c>
      <c r="N350" s="232"/>
      <c r="O350" s="232">
        <f t="shared" si="170"/>
        <v>4.4447695830441889</v>
      </c>
      <c r="P350" s="233">
        <f t="shared" si="171"/>
        <v>25602</v>
      </c>
      <c r="Q350" s="339">
        <f t="shared" si="172"/>
        <v>0</v>
      </c>
      <c r="R350" s="228">
        <v>1.9859964827980807</v>
      </c>
      <c r="S350" s="228">
        <f t="shared" si="179"/>
        <v>1.2296640013157278</v>
      </c>
      <c r="T350" s="228" t="s">
        <v>986</v>
      </c>
      <c r="U350" s="228">
        <v>37.236611976817947</v>
      </c>
      <c r="V350" s="228">
        <v>3.3022982920177281E-2</v>
      </c>
      <c r="W350" s="228">
        <v>0.19059085669325171</v>
      </c>
      <c r="X350" s="228">
        <f t="shared" si="180"/>
        <v>3.40625134080706</v>
      </c>
      <c r="Y350" s="228" t="s">
        <v>926</v>
      </c>
      <c r="Z350" s="316"/>
      <c r="AA350" s="235"/>
      <c r="AB350" s="235"/>
      <c r="AD350" s="604" t="s">
        <v>1316</v>
      </c>
    </row>
    <row r="351" spans="1:32" x14ac:dyDescent="0.2">
      <c r="D351" s="228"/>
      <c r="E351" s="228"/>
      <c r="F351" s="228" t="s">
        <v>1744</v>
      </c>
      <c r="G351" s="228"/>
      <c r="I351" s="230">
        <v>24</v>
      </c>
      <c r="J351" s="231" t="s">
        <v>390</v>
      </c>
      <c r="K351" s="232">
        <v>0</v>
      </c>
      <c r="L351" s="232">
        <v>0</v>
      </c>
      <c r="M351" s="232">
        <f t="shared" ref="M351" si="181">W351*markup*difficulty*IF(Y351&lt;&gt;"",VLOOKUP(LEFT(Y351,2),cityindex,3,0),1)</f>
        <v>0</v>
      </c>
      <c r="N351" s="232">
        <v>450.89</v>
      </c>
      <c r="O351" s="232">
        <f t="shared" si="170"/>
        <v>450.89</v>
      </c>
      <c r="P351" s="233">
        <f t="shared" si="171"/>
        <v>10821</v>
      </c>
      <c r="Q351" s="339" t="str">
        <f t="shared" si="172"/>
        <v>manual</v>
      </c>
      <c r="Z351" s="374"/>
      <c r="AA351" s="216">
        <f>SUM(P344:P378)</f>
        <v>303096</v>
      </c>
      <c r="AB351" s="143"/>
      <c r="AD351" s="604" t="s">
        <v>1316</v>
      </c>
    </row>
    <row r="352" spans="1:32" x14ac:dyDescent="0.2">
      <c r="D352" s="228"/>
      <c r="E352" s="228"/>
      <c r="F352" s="228" t="s">
        <v>923</v>
      </c>
      <c r="G352" s="228"/>
      <c r="H352" s="228"/>
      <c r="I352" s="230">
        <v>580</v>
      </c>
      <c r="J352" s="231" t="s">
        <v>309</v>
      </c>
      <c r="K352" s="232">
        <f>R352*tax*markup*IF(Y352&lt;&gt;"",VLOOKUP(LEFT(Y352,2),cityindex,2,0),1)</f>
        <v>4.051493527026607</v>
      </c>
      <c r="L352" s="232">
        <f>S352*markup*difficulty*IF(Y352&lt;&gt;"",VLOOKUP(LEFT(Y352,2),cityindex,3,0),1)</f>
        <v>2.7641724053945138</v>
      </c>
      <c r="M352" s="232">
        <f>W352*markup*difficulty*IF(Y352&lt;&gt;"",VLOOKUP(LEFT(Y352,2),cityindex,3,0),1)</f>
        <v>0</v>
      </c>
      <c r="N352" s="232"/>
      <c r="O352" s="232">
        <f t="shared" si="170"/>
        <v>6.8156659324211208</v>
      </c>
      <c r="P352" s="233">
        <f t="shared" si="171"/>
        <v>3953</v>
      </c>
      <c r="Q352" s="339">
        <f t="shared" si="172"/>
        <v>0</v>
      </c>
      <c r="R352" s="143">
        <v>3.0062001554683264</v>
      </c>
      <c r="S352" s="143">
        <f t="shared" si="179"/>
        <v>2.2202187995136655</v>
      </c>
      <c r="T352" s="143" t="s">
        <v>965</v>
      </c>
      <c r="U352" s="143">
        <v>30.337316807306259</v>
      </c>
      <c r="V352" s="143">
        <v>7.3184415537334568E-2</v>
      </c>
      <c r="W352" s="143">
        <v>0</v>
      </c>
      <c r="X352" s="143">
        <f t="shared" si="180"/>
        <v>5.2264189549819919</v>
      </c>
      <c r="Y352" s="143" t="s">
        <v>924</v>
      </c>
      <c r="Z352" s="374"/>
      <c r="AA352" s="143"/>
      <c r="AB352" s="143"/>
      <c r="AD352" s="604" t="s">
        <v>1316</v>
      </c>
    </row>
    <row r="353" spans="2:30" x14ac:dyDescent="0.2">
      <c r="D353" s="228"/>
      <c r="E353" s="228"/>
      <c r="F353" s="228" t="s">
        <v>1745</v>
      </c>
      <c r="G353" s="228"/>
      <c r="H353" s="228"/>
      <c r="I353" s="230">
        <v>65000</v>
      </c>
      <c r="J353" s="231" t="s">
        <v>301</v>
      </c>
      <c r="K353" s="232">
        <f>R353*tax*markup*IF(Y353&lt;&gt;"",VLOOKUP(LEFT(Y353,2),cityindex,2,0),1)</f>
        <v>0.45831374740120018</v>
      </c>
      <c r="L353" s="232">
        <f>S353*markup*difficulty*IF(Y353&lt;&gt;"",VLOOKUP(LEFT(Y353,2),cityindex,3,0),1)</f>
        <v>8.4527869810326825E-2</v>
      </c>
      <c r="M353" s="232">
        <f>W353*markup*difficulty*IF(Y353&lt;&gt;"",VLOOKUP(LEFT(Y353,2),cityindex,3,0),1)</f>
        <v>1.1391787576784487E-2</v>
      </c>
      <c r="N353" s="232"/>
      <c r="O353" s="232">
        <f>SUM(K353:N353)*embed</f>
        <v>0.55423340478831151</v>
      </c>
      <c r="P353" s="233">
        <f t="shared" si="171"/>
        <v>36025</v>
      </c>
      <c r="Q353" s="339">
        <f>IF(O353=0,0,IF(X353=0,"manual",(O353/(R353*tax*markup*IF(Y353&lt;&gt;"",VLOOKUP(LEFT(Y353,2),cityindex,2,0),1)+S353*markup*difficulty*IF(Y353&lt;&gt;"",VLOOKUP(LEFT(Y353,2),cityindex,3,0),1)+W353*markup*difficulty*IF(Y353&lt;&gt;"",VLOOKUP(LEFT(Y353,2),cityindex,3,0),1)))-1))</f>
        <v>0</v>
      </c>
      <c r="R353" s="143">
        <v>0.34006789089008238</v>
      </c>
      <c r="S353" s="143">
        <f>U353*V353</f>
        <v>6.789387133359584E-2</v>
      </c>
      <c r="T353" s="143" t="s">
        <v>986</v>
      </c>
      <c r="U353" s="143">
        <v>37.236611976817947</v>
      </c>
      <c r="V353" s="143">
        <v>1.8233095797185817E-3</v>
      </c>
      <c r="W353" s="143">
        <v>9.1500301821562137E-3</v>
      </c>
      <c r="X353" s="143">
        <f>SUM(R353,S353,W353)</f>
        <v>0.4171117924058344</v>
      </c>
      <c r="Y353" s="143" t="s">
        <v>1776</v>
      </c>
      <c r="Z353" s="374"/>
      <c r="AA353" s="143" t="s">
        <v>1779</v>
      </c>
      <c r="AB353" s="143"/>
      <c r="AD353" s="604"/>
    </row>
    <row r="354" spans="2:30" x14ac:dyDescent="0.2">
      <c r="D354" s="228"/>
      <c r="E354" s="228"/>
      <c r="F354" s="228"/>
      <c r="G354" s="228"/>
      <c r="H354" s="228"/>
      <c r="I354" s="230"/>
      <c r="J354" s="231"/>
      <c r="K354" s="232">
        <f>R354*tax*markup*IF(Y354&lt;&gt;"",VLOOKUP(LEFT(Y354,2),cityindex,2,0),1)</f>
        <v>0</v>
      </c>
      <c r="L354" s="232">
        <f>S354*markup*difficulty*IF(Y354&lt;&gt;"",VLOOKUP(LEFT(Y354,2),cityindex,3,0),1)</f>
        <v>0</v>
      </c>
      <c r="M354" s="232">
        <f>W354*markup*difficulty*IF(Y354&lt;&gt;"",VLOOKUP(LEFT(Y354,2),cityindex,3,0),1)</f>
        <v>0</v>
      </c>
      <c r="N354" s="232"/>
      <c r="O354" s="232">
        <f t="shared" si="170"/>
        <v>0</v>
      </c>
      <c r="P354" s="233">
        <f t="shared" si="171"/>
        <v>0</v>
      </c>
      <c r="Q354" s="339">
        <f t="shared" si="172"/>
        <v>0</v>
      </c>
      <c r="S354" s="143">
        <f t="shared" si="179"/>
        <v>0</v>
      </c>
      <c r="X354" s="143">
        <f t="shared" si="180"/>
        <v>0</v>
      </c>
      <c r="Z354" s="374"/>
      <c r="AA354" s="143"/>
      <c r="AB354" s="143"/>
      <c r="AD354" s="604"/>
    </row>
    <row r="355" spans="2:30" x14ac:dyDescent="0.2">
      <c r="D355" s="228"/>
      <c r="E355" s="228" t="s">
        <v>1765</v>
      </c>
      <c r="F355" s="228"/>
      <c r="G355" s="228"/>
      <c r="H355" s="228"/>
      <c r="I355" s="230"/>
      <c r="J355" s="231"/>
      <c r="K355" s="232">
        <f>R355*tax*markup*IF(Y355&lt;&gt;"",VLOOKUP(LEFT(Y355,2),cityindex,2,0),1)</f>
        <v>0</v>
      </c>
      <c r="L355" s="232">
        <f>S355*markup*difficulty*IF(Y355&lt;&gt;"",VLOOKUP(LEFT(Y355,2),cityindex,3,0),1)</f>
        <v>0</v>
      </c>
      <c r="M355" s="232">
        <f>W355*markup*difficulty*IF(Y355&lt;&gt;"",VLOOKUP(LEFT(Y355,2),cityindex,3,0),1)</f>
        <v>0</v>
      </c>
      <c r="N355" s="232"/>
      <c r="O355" s="232">
        <f t="shared" si="170"/>
        <v>0</v>
      </c>
      <c r="P355" s="233">
        <f t="shared" si="171"/>
        <v>0</v>
      </c>
      <c r="Q355" s="339">
        <f t="shared" si="172"/>
        <v>0</v>
      </c>
      <c r="S355" s="143">
        <f t="shared" si="179"/>
        <v>0</v>
      </c>
      <c r="X355" s="143">
        <f t="shared" si="180"/>
        <v>0</v>
      </c>
      <c r="Z355" s="374"/>
      <c r="AA355" s="143"/>
      <c r="AB355" s="143"/>
      <c r="AD355" s="604"/>
    </row>
    <row r="356" spans="2:30" x14ac:dyDescent="0.2">
      <c r="D356" s="228"/>
      <c r="E356" s="228"/>
      <c r="F356" s="228" t="s">
        <v>1753</v>
      </c>
      <c r="G356" s="228"/>
      <c r="I356" s="230">
        <v>1</v>
      </c>
      <c r="J356" s="231" t="s">
        <v>390</v>
      </c>
      <c r="K356" s="232">
        <f>(80+150+350)*1.8</f>
        <v>1044</v>
      </c>
      <c r="L356" s="232">
        <f>94*16</f>
        <v>1504</v>
      </c>
      <c r="M356" s="232">
        <f t="shared" ref="M356:M357" si="182">W356*markup*difficulty*IF(Y356&lt;&gt;"",VLOOKUP(LEFT(Y356,2),cityindex,3,0),1)</f>
        <v>0</v>
      </c>
      <c r="N356" s="232"/>
      <c r="O356" s="232">
        <f t="shared" si="170"/>
        <v>2548</v>
      </c>
      <c r="P356" s="233">
        <f t="shared" si="171"/>
        <v>2548</v>
      </c>
      <c r="Q356" s="339" t="str">
        <f t="shared" si="172"/>
        <v>manual</v>
      </c>
      <c r="S356" s="143">
        <f t="shared" ref="S356:S358" si="183">U356*V356</f>
        <v>0</v>
      </c>
      <c r="X356" s="143">
        <f t="shared" ref="X356:X358" si="184">SUM(R356,S356,W356)</f>
        <v>0</v>
      </c>
      <c r="Z356" s="374"/>
      <c r="AA356" s="143"/>
      <c r="AB356" s="143"/>
      <c r="AD356" s="604" t="s">
        <v>1316</v>
      </c>
    </row>
    <row r="357" spans="2:30" x14ac:dyDescent="0.2">
      <c r="D357" s="228"/>
      <c r="E357" s="228"/>
      <c r="G357" s="228" t="s">
        <v>1754</v>
      </c>
      <c r="I357" s="230"/>
      <c r="J357" s="231"/>
      <c r="K357" s="232">
        <f>R357*tax*markup*IF(Y357&lt;&gt;"",VLOOKUP(LEFT(Y357,2),cityindex,2,0),1)</f>
        <v>0</v>
      </c>
      <c r="L357" s="232">
        <f>S357*markup*difficulty*IF(Y357&lt;&gt;"",VLOOKUP(LEFT(Y357,2),cityindex,3,0),1)</f>
        <v>0</v>
      </c>
      <c r="M357" s="232">
        <f t="shared" si="182"/>
        <v>0</v>
      </c>
      <c r="N357" s="232"/>
      <c r="O357" s="232">
        <f t="shared" si="170"/>
        <v>0</v>
      </c>
      <c r="P357" s="233">
        <f t="shared" si="171"/>
        <v>0</v>
      </c>
      <c r="Q357" s="339">
        <f t="shared" si="172"/>
        <v>0</v>
      </c>
      <c r="S357" s="143">
        <f t="shared" si="183"/>
        <v>0</v>
      </c>
      <c r="X357" s="143">
        <f t="shared" si="184"/>
        <v>0</v>
      </c>
      <c r="Z357" s="374"/>
      <c r="AA357" s="143"/>
      <c r="AB357" s="143"/>
      <c r="AD357" s="604" t="s">
        <v>1316</v>
      </c>
    </row>
    <row r="358" spans="2:30" s="228" customFormat="1" ht="12.75" customHeight="1" x14ac:dyDescent="0.2">
      <c r="B358" s="336"/>
      <c r="G358" s="228" t="s">
        <v>1764</v>
      </c>
      <c r="I358" s="230">
        <v>1</v>
      </c>
      <c r="J358" s="231" t="s">
        <v>390</v>
      </c>
      <c r="K358" s="232">
        <f>R358*tax*markup*IF(Y358&lt;&gt;"",VLOOKUP(LEFT(Y358,2),cityindex,2,0),1)+170.18</f>
        <v>170.18</v>
      </c>
      <c r="L358" s="232">
        <f>S358*markup*difficulty*IF(Y358&lt;&gt;"",VLOOKUP(LEFT(Y358,2),cityindex,3,0),1)+8.15</f>
        <v>8.15</v>
      </c>
      <c r="M358" s="232">
        <f t="shared" ref="M358" si="185">W358*markup*difficulty*IF(Y358&lt;&gt;"",VLOOKUP(LEFT(Y358,2),cityindex,3,0),1)</f>
        <v>0</v>
      </c>
      <c r="N358" s="232"/>
      <c r="O358" s="232">
        <f t="shared" si="170"/>
        <v>178.33</v>
      </c>
      <c r="P358" s="233">
        <f t="shared" si="171"/>
        <v>178</v>
      </c>
      <c r="Q358" s="339" t="str">
        <f t="shared" si="172"/>
        <v>manual</v>
      </c>
      <c r="S358" s="228">
        <f t="shared" si="183"/>
        <v>0</v>
      </c>
      <c r="X358" s="228">
        <f t="shared" si="184"/>
        <v>0</v>
      </c>
      <c r="AD358" s="604" t="s">
        <v>1316</v>
      </c>
    </row>
    <row r="359" spans="2:30" ht="12" customHeight="1" x14ac:dyDescent="0.2">
      <c r="D359" s="228"/>
      <c r="E359" s="228"/>
      <c r="F359" s="228" t="s">
        <v>1749</v>
      </c>
      <c r="G359" s="228"/>
      <c r="H359" s="228"/>
      <c r="I359" s="295">
        <v>1</v>
      </c>
      <c r="J359" s="231" t="s">
        <v>390</v>
      </c>
      <c r="K359" s="580">
        <v>2380</v>
      </c>
      <c r="L359" s="232">
        <v>70</v>
      </c>
      <c r="M359" s="232"/>
      <c r="N359" s="232"/>
      <c r="O359" s="232">
        <f t="shared" si="170"/>
        <v>2450</v>
      </c>
      <c r="P359" s="233">
        <f t="shared" si="171"/>
        <v>2450</v>
      </c>
      <c r="Q359" s="339" t="str">
        <f t="shared" si="172"/>
        <v>manual</v>
      </c>
      <c r="S359" s="143">
        <f>U359*V359</f>
        <v>0</v>
      </c>
      <c r="X359" s="143">
        <f>SUM(R359,S359,W359)</f>
        <v>0</v>
      </c>
      <c r="AD359" s="604" t="s">
        <v>1316</v>
      </c>
    </row>
    <row r="360" spans="2:30" x14ac:dyDescent="0.2">
      <c r="D360" s="228"/>
      <c r="E360" s="228"/>
      <c r="F360" s="228" t="s">
        <v>1750</v>
      </c>
      <c r="G360" s="228"/>
      <c r="H360" s="228"/>
      <c r="I360" s="230">
        <v>1</v>
      </c>
      <c r="J360" s="231" t="s">
        <v>390</v>
      </c>
      <c r="K360" s="232">
        <v>171.87916597500001</v>
      </c>
      <c r="L360" s="232">
        <v>28.478480000000001</v>
      </c>
      <c r="M360" s="232">
        <f>W360*markup*difficulty*IF(Y360&lt;&gt;"",VLOOKUP(LEFT(Y360,2),cityindex,3,0),1)</f>
        <v>0</v>
      </c>
      <c r="N360" s="232"/>
      <c r="O360" s="232">
        <f t="shared" si="170"/>
        <v>200.357645975</v>
      </c>
      <c r="P360" s="233">
        <f t="shared" si="171"/>
        <v>200</v>
      </c>
      <c r="Q360" s="339" t="str">
        <f t="shared" si="172"/>
        <v>manual</v>
      </c>
      <c r="S360" s="143">
        <f>U360*V360</f>
        <v>0</v>
      </c>
      <c r="X360" s="143">
        <f>SUM(R360,S360,W360)</f>
        <v>0</v>
      </c>
      <c r="Z360" s="374"/>
      <c r="AA360" s="143"/>
      <c r="AB360" s="143"/>
      <c r="AD360" s="604" t="s">
        <v>1316</v>
      </c>
    </row>
    <row r="361" spans="2:30" s="228" customFormat="1" ht="12.75" customHeight="1" x14ac:dyDescent="0.2">
      <c r="B361" s="336"/>
      <c r="G361" s="228" t="s">
        <v>1764</v>
      </c>
      <c r="I361" s="230">
        <f>I360</f>
        <v>1</v>
      </c>
      <c r="J361" s="231" t="s">
        <v>390</v>
      </c>
      <c r="K361" s="232">
        <f>R361*tax*markup*IF(Y361&lt;&gt;"",VLOOKUP(LEFT(Y361,2),cityindex,2,0),1)+70.18</f>
        <v>70.180000000000007</v>
      </c>
      <c r="L361" s="232">
        <f>S361*markup*difficulty*IF(Y361&lt;&gt;"",VLOOKUP(LEFT(Y361,2),cityindex,3,0),1)+8.15</f>
        <v>8.15</v>
      </c>
      <c r="M361" s="232">
        <f t="shared" ref="M361" si="186">W361*markup*difficulty*IF(Y361&lt;&gt;"",VLOOKUP(LEFT(Y361,2),cityindex,3,0),1)</f>
        <v>0</v>
      </c>
      <c r="N361" s="232"/>
      <c r="O361" s="232">
        <f t="shared" si="170"/>
        <v>78.330000000000013</v>
      </c>
      <c r="P361" s="233">
        <f t="shared" si="171"/>
        <v>78</v>
      </c>
      <c r="Q361" s="339" t="str">
        <f t="shared" si="172"/>
        <v>manual</v>
      </c>
      <c r="S361" s="228">
        <f t="shared" ref="S361" si="187">U361*V361</f>
        <v>0</v>
      </c>
      <c r="X361" s="228">
        <f t="shared" ref="X361" si="188">SUM(R361,S361,W361)</f>
        <v>0</v>
      </c>
      <c r="AD361" s="604" t="s">
        <v>1316</v>
      </c>
    </row>
    <row r="362" spans="2:30" s="228" customFormat="1" ht="12.75" customHeight="1" x14ac:dyDescent="0.2">
      <c r="B362" s="336"/>
      <c r="F362" s="228" t="s">
        <v>1756</v>
      </c>
      <c r="I362" s="230">
        <v>2229</v>
      </c>
      <c r="J362" s="231" t="s">
        <v>309</v>
      </c>
      <c r="K362" s="232">
        <f>R362*tax*markup*IF(Y362&lt;&gt;"",VLOOKUP(LEFT(Y362,2),cityindex,2,0),1)+8.4</f>
        <v>8.4</v>
      </c>
      <c r="L362" s="232">
        <f>S362*markup*difficulty*IF(Y362&lt;&gt;"",VLOOKUP(LEFT(Y362,2),cityindex,3,0),1)+8.33</f>
        <v>8.33</v>
      </c>
      <c r="M362" s="232">
        <f t="shared" ref="M362:M367" si="189">W362*markup*difficulty*IF(Y362&lt;&gt;"",VLOOKUP(LEFT(Y362,2),cityindex,3,0),1)</f>
        <v>0</v>
      </c>
      <c r="N362" s="232"/>
      <c r="O362" s="232">
        <f t="shared" si="170"/>
        <v>16.73</v>
      </c>
      <c r="P362" s="233">
        <f t="shared" si="171"/>
        <v>37291</v>
      </c>
      <c r="Q362" s="339" t="str">
        <f t="shared" si="172"/>
        <v>manual</v>
      </c>
      <c r="S362" s="228">
        <f t="shared" ref="S362:S367" si="190">U362*V362</f>
        <v>0</v>
      </c>
      <c r="X362" s="228">
        <f t="shared" ref="X362:X367" si="191">SUM(R362,S362,W362)</f>
        <v>0</v>
      </c>
      <c r="AD362" s="604" t="s">
        <v>1316</v>
      </c>
    </row>
    <row r="363" spans="2:30" s="228" customFormat="1" ht="12.75" customHeight="1" x14ac:dyDescent="0.2">
      <c r="B363" s="336"/>
      <c r="F363" s="228" t="s">
        <v>1757</v>
      </c>
      <c r="I363" s="230">
        <v>5007</v>
      </c>
      <c r="J363" s="231" t="s">
        <v>309</v>
      </c>
      <c r="K363" s="232">
        <f>R363*tax*markup*IF(Y363&lt;&gt;"",VLOOKUP(LEFT(Y363,2),cityindex,2,0),1)+4.39</f>
        <v>4.3899999999999997</v>
      </c>
      <c r="L363" s="232">
        <f>S363*markup*difficulty*IF(Y363&lt;&gt;"",VLOOKUP(LEFT(Y363,2),cityindex,3,0),1)+8.33</f>
        <v>8.33</v>
      </c>
      <c r="M363" s="232">
        <f t="shared" si="189"/>
        <v>0</v>
      </c>
      <c r="N363" s="232"/>
      <c r="O363" s="232">
        <f t="shared" si="170"/>
        <v>12.719999999999999</v>
      </c>
      <c r="P363" s="233">
        <f t="shared" si="171"/>
        <v>63689</v>
      </c>
      <c r="Q363" s="339" t="str">
        <f t="shared" si="172"/>
        <v>manual</v>
      </c>
      <c r="S363" s="228">
        <f t="shared" si="190"/>
        <v>0</v>
      </c>
      <c r="X363" s="228">
        <f t="shared" si="191"/>
        <v>0</v>
      </c>
      <c r="AD363" s="604" t="s">
        <v>1316</v>
      </c>
    </row>
    <row r="364" spans="2:30" x14ac:dyDescent="0.2">
      <c r="D364" s="228"/>
      <c r="E364" s="228"/>
      <c r="F364" s="143" t="s">
        <v>1760</v>
      </c>
      <c r="G364" s="228"/>
      <c r="I364" s="230">
        <v>906</v>
      </c>
      <c r="J364" s="231" t="s">
        <v>309</v>
      </c>
      <c r="K364" s="232">
        <v>9.73</v>
      </c>
      <c r="L364" s="232">
        <v>8.33</v>
      </c>
      <c r="M364" s="232">
        <f t="shared" ref="M364" si="192">W364*markup*difficulty*IF(Y364&lt;&gt;"",VLOOKUP(LEFT(Y364,2),cityindex,3,0),1)</f>
        <v>0</v>
      </c>
      <c r="N364" s="232"/>
      <c r="O364" s="232">
        <f t="shared" si="170"/>
        <v>18.060000000000002</v>
      </c>
      <c r="P364" s="233">
        <f t="shared" si="171"/>
        <v>16362</v>
      </c>
      <c r="Q364" s="339" t="str">
        <f t="shared" si="172"/>
        <v>manual</v>
      </c>
      <c r="S364" s="143">
        <f t="shared" si="190"/>
        <v>0</v>
      </c>
      <c r="X364" s="143">
        <f t="shared" si="191"/>
        <v>0</v>
      </c>
      <c r="Z364" s="374"/>
      <c r="AA364" s="143"/>
      <c r="AB364" s="143"/>
      <c r="AD364" s="604" t="s">
        <v>1316</v>
      </c>
    </row>
    <row r="365" spans="2:30" x14ac:dyDescent="0.2">
      <c r="D365" s="228"/>
      <c r="E365" s="228"/>
      <c r="G365" s="228" t="s">
        <v>931</v>
      </c>
      <c r="H365" s="228"/>
      <c r="I365" s="230">
        <f>I364*0.33/27</f>
        <v>11.073333333333334</v>
      </c>
      <c r="J365" s="231" t="s">
        <v>333</v>
      </c>
      <c r="K365" s="232">
        <f>R365*tax*markup*IF(Y365&lt;&gt;"",VLOOKUP(LEFT(Y365,2),cityindex,2,0),1)</f>
        <v>26.928297558757091</v>
      </c>
      <c r="L365" s="232">
        <f>S365*markup*difficulty*IF(Y365&lt;&gt;"",VLOOKUP(LEFT(Y365,2),cityindex,3,0),1)</f>
        <v>25.959158919270038</v>
      </c>
      <c r="M365" s="232">
        <f>W365*markup*difficulty*IF(Y365&lt;&gt;"",VLOOKUP(LEFT(Y365,2),cityindex,3,0),1)</f>
        <v>0</v>
      </c>
      <c r="N365" s="232"/>
      <c r="O365" s="232">
        <f t="shared" si="170"/>
        <v>52.887456478027133</v>
      </c>
      <c r="P365" s="233">
        <f t="shared" si="171"/>
        <v>586</v>
      </c>
      <c r="Q365" s="339">
        <f t="shared" si="172"/>
        <v>0</v>
      </c>
      <c r="R365" s="143">
        <v>19.980743340109324</v>
      </c>
      <c r="S365" s="143">
        <f>U365*V365</f>
        <v>20.850730055638582</v>
      </c>
      <c r="T365" s="143" t="s">
        <v>965</v>
      </c>
      <c r="U365" s="143">
        <v>30.337316807306259</v>
      </c>
      <c r="V365" s="143">
        <v>0.68729644708120718</v>
      </c>
      <c r="W365" s="143">
        <v>0</v>
      </c>
      <c r="X365" s="143">
        <f>SUM(R365,S365,W365)</f>
        <v>40.831473395747906</v>
      </c>
      <c r="Y365" s="143" t="s">
        <v>932</v>
      </c>
      <c r="Z365" s="374"/>
      <c r="AA365" s="143"/>
      <c r="AB365" s="143"/>
      <c r="AD365" s="604" t="s">
        <v>1316</v>
      </c>
    </row>
    <row r="366" spans="2:30" s="228" customFormat="1" ht="12.75" customHeight="1" x14ac:dyDescent="0.2">
      <c r="B366" s="336"/>
      <c r="F366" s="228" t="s">
        <v>1759</v>
      </c>
      <c r="I366" s="230">
        <v>805</v>
      </c>
      <c r="J366" s="231" t="s">
        <v>309</v>
      </c>
      <c r="K366" s="232">
        <f>R366*tax*markup*IF(Y366&lt;&gt;"",VLOOKUP(LEFT(Y366,2),cityindex,2,0),1)+5.39</f>
        <v>5.39</v>
      </c>
      <c r="L366" s="232">
        <f>S366*markup*difficulty*IF(Y366&lt;&gt;"",VLOOKUP(LEFT(Y366,2),cityindex,3,0),1)+9.76</f>
        <v>9.76</v>
      </c>
      <c r="M366" s="232">
        <f t="shared" ref="M366" si="193">W366*markup*difficulty*IF(Y366&lt;&gt;"",VLOOKUP(LEFT(Y366,2),cityindex,3,0),1)</f>
        <v>0</v>
      </c>
      <c r="N366" s="232"/>
      <c r="O366" s="232">
        <f t="shared" si="170"/>
        <v>15.149999999999999</v>
      </c>
      <c r="P366" s="233">
        <f t="shared" si="171"/>
        <v>12196</v>
      </c>
      <c r="Q366" s="339" t="str">
        <f t="shared" si="172"/>
        <v>manual</v>
      </c>
      <c r="S366" s="228">
        <f t="shared" ref="S366" si="194">U366*V366</f>
        <v>0</v>
      </c>
      <c r="X366" s="228">
        <f t="shared" ref="X366" si="195">SUM(R366,S366,W366)</f>
        <v>0</v>
      </c>
      <c r="AD366" s="604" t="s">
        <v>1316</v>
      </c>
    </row>
    <row r="367" spans="2:30" s="228" customFormat="1" ht="12.75" customHeight="1" x14ac:dyDescent="0.2">
      <c r="B367" s="336"/>
      <c r="F367" s="228" t="s">
        <v>1758</v>
      </c>
      <c r="I367" s="230">
        <v>805</v>
      </c>
      <c r="J367" s="231" t="s">
        <v>309</v>
      </c>
      <c r="K367" s="232">
        <f>R367*tax*markup*IF(Y367&lt;&gt;"",VLOOKUP(LEFT(Y367,2),cityindex,2,0),1)+9.39</f>
        <v>9.39</v>
      </c>
      <c r="L367" s="232">
        <f>S367*markup*difficulty*IF(Y367&lt;&gt;"",VLOOKUP(LEFT(Y367,2),cityindex,3,0),1)+9.76</f>
        <v>9.76</v>
      </c>
      <c r="M367" s="232">
        <f t="shared" si="189"/>
        <v>0</v>
      </c>
      <c r="N367" s="232"/>
      <c r="O367" s="232">
        <f t="shared" si="170"/>
        <v>19.149999999999999</v>
      </c>
      <c r="P367" s="233">
        <f t="shared" si="171"/>
        <v>15416</v>
      </c>
      <c r="Q367" s="339" t="str">
        <f t="shared" si="172"/>
        <v>manual</v>
      </c>
      <c r="S367" s="228">
        <f t="shared" si="190"/>
        <v>0</v>
      </c>
      <c r="X367" s="228">
        <f t="shared" si="191"/>
        <v>0</v>
      </c>
      <c r="AD367" s="604" t="s">
        <v>1316</v>
      </c>
    </row>
    <row r="368" spans="2:30" s="228" customFormat="1" ht="12.75" customHeight="1" x14ac:dyDescent="0.2">
      <c r="B368" s="336"/>
      <c r="F368" s="228" t="s">
        <v>1766</v>
      </c>
      <c r="I368" s="234">
        <v>0.05</v>
      </c>
      <c r="J368" s="231" t="s">
        <v>973</v>
      </c>
      <c r="K368" s="232">
        <f>R368*tax*markup*IF(Y368&lt;&gt;"",VLOOKUP(LEFT(Y368,2),cityindex,2,0),1)</f>
        <v>0</v>
      </c>
      <c r="L368" s="232">
        <f>S368*markup*difficulty*IF(Y368&lt;&gt;"",VLOOKUP(LEFT(Y368,2),cityindex,3,0),1)</f>
        <v>0</v>
      </c>
      <c r="M368" s="232">
        <f>W368*markup*difficulty*IF(Y368&lt;&gt;"",VLOOKUP(LEFT(Y368,2),cityindex,3,0),1)</f>
        <v>0</v>
      </c>
      <c r="N368" s="232">
        <f>SUM(P356:P367)</f>
        <v>150994</v>
      </c>
      <c r="O368" s="232">
        <f t="shared" si="170"/>
        <v>150994</v>
      </c>
      <c r="P368" s="233">
        <f t="shared" si="171"/>
        <v>7550</v>
      </c>
      <c r="Q368" s="339" t="str">
        <f t="shared" si="172"/>
        <v>manual</v>
      </c>
      <c r="S368" s="228">
        <f>U368*V368</f>
        <v>0</v>
      </c>
      <c r="X368" s="228">
        <f>SUM(R368,S368,W368)</f>
        <v>0</v>
      </c>
      <c r="AD368" s="604" t="s">
        <v>1316</v>
      </c>
    </row>
    <row r="369" spans="1:30" s="228" customFormat="1" ht="12.75" customHeight="1" x14ac:dyDescent="0.2">
      <c r="B369" s="336"/>
      <c r="I369" s="230"/>
      <c r="J369" s="231"/>
      <c r="K369" s="232">
        <f>R369*tax*markup*IF(Y369&lt;&gt;"",VLOOKUP(LEFT(Y369,2),cityindex,2,0),1)</f>
        <v>0</v>
      </c>
      <c r="L369" s="232">
        <f>S369*markup*difficulty*IF(Y369&lt;&gt;"",VLOOKUP(LEFT(Y369,2),cityindex,3,0),1)</f>
        <v>0</v>
      </c>
      <c r="M369" s="232">
        <f t="shared" ref="M369:M372" si="196">W369*markup*difficulty*IF(Y369&lt;&gt;"",VLOOKUP(LEFT(Y369,2),cityindex,3,0),1)</f>
        <v>0</v>
      </c>
      <c r="N369" s="232"/>
      <c r="O369" s="232">
        <f t="shared" si="170"/>
        <v>0</v>
      </c>
      <c r="P369" s="233">
        <f t="shared" si="171"/>
        <v>0</v>
      </c>
      <c r="Q369" s="339">
        <f t="shared" si="172"/>
        <v>0</v>
      </c>
      <c r="S369" s="228">
        <f t="shared" ref="S369:S372" si="197">U369*V369</f>
        <v>0</v>
      </c>
      <c r="X369" s="228">
        <f t="shared" ref="X369:X372" si="198">SUM(R369,S369,W369)</f>
        <v>0</v>
      </c>
      <c r="AD369" s="604"/>
    </row>
    <row r="370" spans="1:30" s="228" customFormat="1" ht="12.75" customHeight="1" x14ac:dyDescent="0.2">
      <c r="B370" s="336"/>
      <c r="E370" s="228" t="s">
        <v>1761</v>
      </c>
      <c r="I370" s="230"/>
      <c r="J370" s="231"/>
      <c r="K370" s="232">
        <f>R370*tax*markup*IF(Y370&lt;&gt;"",VLOOKUP(LEFT(Y370,2),cityindex,2,0),1)</f>
        <v>0</v>
      </c>
      <c r="L370" s="232">
        <f>S370*markup*difficulty*IF(Y370&lt;&gt;"",VLOOKUP(LEFT(Y370,2),cityindex,3,0),1)</f>
        <v>0</v>
      </c>
      <c r="M370" s="232">
        <f t="shared" si="196"/>
        <v>0</v>
      </c>
      <c r="N370" s="232"/>
      <c r="O370" s="232">
        <f t="shared" si="170"/>
        <v>0</v>
      </c>
      <c r="P370" s="233">
        <f t="shared" si="171"/>
        <v>0</v>
      </c>
      <c r="Q370" s="234">
        <f t="shared" si="172"/>
        <v>0</v>
      </c>
      <c r="S370" s="228">
        <f t="shared" si="197"/>
        <v>0</v>
      </c>
      <c r="X370" s="228">
        <f t="shared" si="198"/>
        <v>0</v>
      </c>
      <c r="AD370" s="604"/>
    </row>
    <row r="371" spans="1:30" s="228" customFormat="1" ht="12.75" customHeight="1" x14ac:dyDescent="0.2">
      <c r="B371" s="336"/>
      <c r="F371" s="228" t="s">
        <v>1762</v>
      </c>
      <c r="I371" s="230">
        <v>96</v>
      </c>
      <c r="J371" s="231" t="s">
        <v>390</v>
      </c>
      <c r="K371" s="232">
        <f>R371*tax*markup*IF(Y371&lt;&gt;"",VLOOKUP(LEFT(Y371,2),cityindex,2,0),1)+14.95</f>
        <v>14.95</v>
      </c>
      <c r="L371" s="232">
        <f>S371*markup*difficulty*IF(Y371&lt;&gt;"",VLOOKUP(LEFT(Y371,2),cityindex,3,0),1)+30.32</f>
        <v>30.32</v>
      </c>
      <c r="M371" s="232">
        <f t="shared" si="196"/>
        <v>0</v>
      </c>
      <c r="N371" s="232"/>
      <c r="O371" s="232">
        <f t="shared" si="170"/>
        <v>45.269999999999996</v>
      </c>
      <c r="P371" s="233">
        <f t="shared" si="171"/>
        <v>4346</v>
      </c>
      <c r="Q371" s="234" t="str">
        <f t="shared" si="172"/>
        <v>manual</v>
      </c>
      <c r="S371" s="228">
        <f t="shared" si="197"/>
        <v>0</v>
      </c>
      <c r="X371" s="228">
        <f t="shared" si="198"/>
        <v>0</v>
      </c>
      <c r="AA371" s="628" cm="1">
        <f t="array" ref="AA371">SUM(P344:P377/AQ8)</f>
        <v>5.8641344648595206</v>
      </c>
      <c r="AD371" s="604" t="s">
        <v>1316</v>
      </c>
    </row>
    <row r="372" spans="1:30" s="228" customFormat="1" ht="12.75" customHeight="1" x14ac:dyDescent="0.2">
      <c r="B372" s="336"/>
      <c r="F372" s="228" t="s">
        <v>1763</v>
      </c>
      <c r="I372" s="230">
        <f>I363/45</f>
        <v>111.26666666666667</v>
      </c>
      <c r="J372" s="231" t="s">
        <v>390</v>
      </c>
      <c r="K372" s="232">
        <f>R372*tax*markup*IF(Y372&lt;&gt;"",VLOOKUP(LEFT(Y372,2),cityindex,2,0),1)+11.02</f>
        <v>11.02</v>
      </c>
      <c r="L372" s="232">
        <f>S372*markup*difficulty*IF(Y372&lt;&gt;"",VLOOKUP(LEFT(Y372,2),cityindex,3,0),1)+30.32</f>
        <v>30.32</v>
      </c>
      <c r="M372" s="232">
        <f t="shared" si="196"/>
        <v>0</v>
      </c>
      <c r="N372" s="232"/>
      <c r="O372" s="232">
        <f t="shared" si="170"/>
        <v>41.34</v>
      </c>
      <c r="P372" s="233">
        <f t="shared" si="171"/>
        <v>4600</v>
      </c>
      <c r="Q372" s="234" t="str">
        <f t="shared" si="172"/>
        <v>manual</v>
      </c>
      <c r="S372" s="228">
        <f t="shared" si="197"/>
        <v>0</v>
      </c>
      <c r="X372" s="228">
        <f t="shared" si="198"/>
        <v>0</v>
      </c>
      <c r="AD372" s="604" t="s">
        <v>1316</v>
      </c>
    </row>
    <row r="373" spans="1:30" x14ac:dyDescent="0.2">
      <c r="D373" s="228"/>
      <c r="E373" s="228"/>
      <c r="F373" s="228"/>
      <c r="G373" s="228"/>
      <c r="H373" s="228"/>
      <c r="I373" s="230"/>
      <c r="J373" s="231"/>
      <c r="K373" s="232">
        <f>R373*tax*markup*IF(Y373&lt;&gt;"",VLOOKUP(LEFT(Y373,2),cityindex,2,0),1)</f>
        <v>0</v>
      </c>
      <c r="L373" s="232">
        <f>S373*markup*difficulty*IF(Y373&lt;&gt;"",VLOOKUP(LEFT(Y373,2),cityindex,3,0),1)</f>
        <v>0</v>
      </c>
      <c r="M373" s="232">
        <f>W373*markup*difficulty*IF(Y373&lt;&gt;"",VLOOKUP(LEFT(Y373,2),cityindex,3,0),1)</f>
        <v>0</v>
      </c>
      <c r="N373" s="232"/>
      <c r="O373" s="232">
        <f t="shared" si="170"/>
        <v>0</v>
      </c>
      <c r="P373" s="233">
        <f t="shared" si="171"/>
        <v>0</v>
      </c>
      <c r="Q373" s="291">
        <f t="shared" si="172"/>
        <v>0</v>
      </c>
      <c r="S373" s="143">
        <f>U373*V373</f>
        <v>0</v>
      </c>
      <c r="X373" s="143">
        <f>SUM(R373,S373,W373)</f>
        <v>0</v>
      </c>
      <c r="Z373" s="374"/>
      <c r="AA373" s="143"/>
      <c r="AB373" s="143"/>
      <c r="AD373" s="604"/>
    </row>
    <row r="374" spans="1:30" s="228" customFormat="1" ht="12.75" customHeight="1" x14ac:dyDescent="0.2">
      <c r="B374" s="336"/>
      <c r="E374" s="228" t="s">
        <v>1751</v>
      </c>
      <c r="I374" s="230"/>
      <c r="J374" s="231"/>
      <c r="K374" s="232">
        <f>R374*tax*markup*IF(Y374&lt;&gt;"",VLOOKUP(LEFT(Y374,2),cityindex,2,0),1)</f>
        <v>0</v>
      </c>
      <c r="L374" s="232">
        <f>S374*markup*difficulty*IF(Y374&lt;&gt;"",VLOOKUP(LEFT(Y374,2),cityindex,3,0),1)</f>
        <v>0</v>
      </c>
      <c r="M374" s="232">
        <f t="shared" ref="M374:M375" si="199">W374*markup*difficulty*IF(Y374&lt;&gt;"",VLOOKUP(LEFT(Y374,2),cityindex,3,0),1)</f>
        <v>0</v>
      </c>
      <c r="N374" s="232"/>
      <c r="O374" s="232">
        <f t="shared" si="170"/>
        <v>0</v>
      </c>
      <c r="P374" s="233">
        <f t="shared" si="171"/>
        <v>0</v>
      </c>
      <c r="Q374" s="234">
        <f t="shared" si="172"/>
        <v>0</v>
      </c>
      <c r="S374" s="228">
        <f t="shared" ref="S374:S378" si="200">U374*V374</f>
        <v>0</v>
      </c>
      <c r="X374" s="228">
        <f t="shared" ref="X374:X378" si="201">SUM(R374,S374,W374)</f>
        <v>0</v>
      </c>
      <c r="AD374" s="604"/>
    </row>
    <row r="375" spans="1:30" s="228" customFormat="1" ht="12.75" customHeight="1" x14ac:dyDescent="0.2">
      <c r="B375" s="336"/>
      <c r="F375" s="228" t="s">
        <v>1752</v>
      </c>
      <c r="I375" s="230">
        <v>1</v>
      </c>
      <c r="J375" s="231" t="s">
        <v>390</v>
      </c>
      <c r="K375" s="232">
        <f>R375*tax*markup*IF(Y375&lt;&gt;"",VLOOKUP(LEFT(Y375,2),cityindex,2,0),1)+315.58+50</f>
        <v>365.58</v>
      </c>
      <c r="L375" s="232">
        <f>S375*markup*difficulty*IF(Y375&lt;&gt;"",VLOOKUP(LEFT(Y375,2),cityindex,3,0),1)+60.64</f>
        <v>60.64</v>
      </c>
      <c r="M375" s="232">
        <f t="shared" si="199"/>
        <v>0</v>
      </c>
      <c r="N375" s="232"/>
      <c r="O375" s="232">
        <f t="shared" si="170"/>
        <v>426.21999999999997</v>
      </c>
      <c r="P375" s="233">
        <f t="shared" si="171"/>
        <v>426</v>
      </c>
      <c r="Q375" s="234" t="str">
        <f t="shared" si="172"/>
        <v>manual</v>
      </c>
      <c r="S375" s="228">
        <f t="shared" si="200"/>
        <v>0</v>
      </c>
      <c r="X375" s="228">
        <f t="shared" si="201"/>
        <v>0</v>
      </c>
      <c r="AD375" s="604"/>
    </row>
    <row r="376" spans="1:30" s="228" customFormat="1" ht="12.75" customHeight="1" x14ac:dyDescent="0.2">
      <c r="B376" s="336"/>
      <c r="F376" s="228" t="s">
        <v>1755</v>
      </c>
      <c r="I376" s="230">
        <v>1</v>
      </c>
      <c r="J376" s="231" t="s">
        <v>390</v>
      </c>
      <c r="K376" s="232">
        <f>R376*tax*markup*IF(Y376&lt;&gt;"",VLOOKUP(LEFT(Y376,2),cityindex,2,0),1)+972</f>
        <v>972</v>
      </c>
      <c r="L376" s="232">
        <f>S376*markup*difficulty*IF(Y376&lt;&gt;"",VLOOKUP(LEFT(Y376,2),cityindex,3,0),1)+60.64</f>
        <v>60.64</v>
      </c>
      <c r="M376" s="232">
        <f t="shared" ref="M376" si="202">W376*markup*difficulty*IF(Y376&lt;&gt;"",VLOOKUP(LEFT(Y376,2),cityindex,3,0),1)</f>
        <v>0</v>
      </c>
      <c r="N376" s="232"/>
      <c r="O376" s="232">
        <f t="shared" si="170"/>
        <v>1032.6400000000001</v>
      </c>
      <c r="P376" s="233">
        <f t="shared" si="171"/>
        <v>1033</v>
      </c>
      <c r="Q376" s="234" t="str">
        <f t="shared" si="172"/>
        <v>manual</v>
      </c>
      <c r="S376" s="228">
        <f t="shared" si="200"/>
        <v>0</v>
      </c>
      <c r="X376" s="228">
        <f t="shared" si="201"/>
        <v>0</v>
      </c>
      <c r="AD376" s="604" t="s">
        <v>1316</v>
      </c>
    </row>
    <row r="377" spans="1:30" s="228" customFormat="1" ht="12.75" customHeight="1" x14ac:dyDescent="0.2">
      <c r="B377" s="336"/>
      <c r="I377" s="230"/>
      <c r="J377" s="231"/>
      <c r="K377" s="232">
        <f>R377*tax*markup*IF(Y377&lt;&gt;"",VLOOKUP(LEFT(Y377,2),cityindex,2,0),1)</f>
        <v>0</v>
      </c>
      <c r="L377" s="232">
        <f>S377*markup*difficulty*IF(Y377&lt;&gt;"",VLOOKUP(LEFT(Y377,2),cityindex,3,0),1)</f>
        <v>0</v>
      </c>
      <c r="M377" s="232">
        <f>W377*markup*difficulty*IF(Y377&lt;&gt;"",VLOOKUP(LEFT(Y377,2),cityindex,3,0),1)</f>
        <v>0</v>
      </c>
      <c r="N377" s="232"/>
      <c r="O377" s="232">
        <f t="shared" si="170"/>
        <v>0</v>
      </c>
      <c r="P377" s="233">
        <f t="shared" si="171"/>
        <v>0</v>
      </c>
      <c r="Q377" s="234">
        <f t="shared" si="172"/>
        <v>0</v>
      </c>
      <c r="S377" s="228">
        <f>U377*V377</f>
        <v>0</v>
      </c>
      <c r="X377" s="228">
        <f>SUM(R377,S377,W377)</f>
        <v>0</v>
      </c>
      <c r="AD377" s="604"/>
    </row>
    <row r="378" spans="1:30" s="228" customFormat="1" ht="12.75" customHeight="1" x14ac:dyDescent="0.2">
      <c r="A378" s="228" t="s">
        <v>296</v>
      </c>
      <c r="B378" s="336"/>
      <c r="E378" s="228" t="s">
        <v>933</v>
      </c>
      <c r="I378" s="230">
        <v>48548</v>
      </c>
      <c r="J378" s="231" t="s">
        <v>301</v>
      </c>
      <c r="K378" s="232">
        <f t="shared" ref="K378" si="203">R378*tax*markup*IF(Y378&lt;&gt;"",VLOOKUP(LEFT(Y378,2),cityindex,2,0),1)</f>
        <v>0</v>
      </c>
      <c r="L378" s="232">
        <f t="shared" ref="L378" si="204">S378*markup*difficulty*IF(Y378&lt;&gt;"",VLOOKUP(LEFT(Y378,2),cityindex,3,0),1)</f>
        <v>0.37909499637637828</v>
      </c>
      <c r="M378" s="232">
        <f t="shared" ref="M378" si="205">W378*markup*difficulty*IF(Y378&lt;&gt;"",VLOOKUP(LEFT(Y378,2),cityindex,3,0),1)</f>
        <v>0</v>
      </c>
      <c r="N378" s="232"/>
      <c r="O378" s="232">
        <f t="shared" si="170"/>
        <v>0.37909499637637828</v>
      </c>
      <c r="P378" s="233">
        <f t="shared" si="171"/>
        <v>18404</v>
      </c>
      <c r="Q378" s="234">
        <f t="shared" si="172"/>
        <v>0</v>
      </c>
      <c r="R378" s="228">
        <v>0</v>
      </c>
      <c r="S378" s="228">
        <f t="shared" si="200"/>
        <v>0.3044939729930749</v>
      </c>
      <c r="T378" s="228" t="s">
        <v>965</v>
      </c>
      <c r="U378" s="228">
        <v>84.335352631250004</v>
      </c>
      <c r="V378" s="228">
        <v>3.6105140192447161E-3</v>
      </c>
      <c r="W378" s="228">
        <v>0</v>
      </c>
      <c r="X378" s="228">
        <f t="shared" si="201"/>
        <v>0.3044939729930749</v>
      </c>
      <c r="Y378" s="228" t="s">
        <v>934</v>
      </c>
      <c r="AD378" s="604"/>
    </row>
    <row r="379" spans="1:30" s="228" customFormat="1" ht="12.75" customHeight="1" x14ac:dyDescent="0.2">
      <c r="B379" s="336"/>
      <c r="I379" s="230"/>
      <c r="J379" s="231"/>
      <c r="K379" s="232">
        <f>R379*tax*markup*IF(Y379&lt;&gt;"",VLOOKUP(LEFT(Y379,2),cityindex,2,0),1)</f>
        <v>0</v>
      </c>
      <c r="L379" s="232">
        <f>S379*markup*difficulty*IF(Y379&lt;&gt;"",VLOOKUP(LEFT(Y379,2),cityindex,3,0),1)</f>
        <v>0</v>
      </c>
      <c r="M379" s="232">
        <f>W379*markup*difficulty*IF(Y379&lt;&gt;"",VLOOKUP(LEFT(Y379,2),cityindex,3,0),1)</f>
        <v>0</v>
      </c>
      <c r="N379" s="232"/>
      <c r="O379" s="232">
        <f t="shared" ref="O379:O389" si="206">SUM(K379:N379)*embed</f>
        <v>0</v>
      </c>
      <c r="P379" s="233">
        <f t="shared" ref="P379:P389" si="207">ROUND((O379*I379),0)</f>
        <v>0</v>
      </c>
      <c r="Q379" s="234">
        <f t="shared" ref="Q379:Q389" si="208">IF(O379=0,0,IF(X379=0,"manual",(O379/(R379*tax*markup*IF(Y379&lt;&gt;"",VLOOKUP(LEFT(Y379,2),cityindex,2,0),1)+S379*markup*difficulty*IF(Y379&lt;&gt;"",VLOOKUP(LEFT(Y379,2),cityindex,3,0),1)+W379*markup*difficulty*IF(Y379&lt;&gt;"",VLOOKUP(LEFT(Y379,2),cityindex,3,0),1)))-1))</f>
        <v>0</v>
      </c>
      <c r="S379" s="228">
        <f t="shared" ref="S379:S389" si="209">U379*V379</f>
        <v>0</v>
      </c>
      <c r="X379" s="228">
        <f t="shared" ref="X379:X389" si="210">SUM(R379,S379,W379)</f>
        <v>0</v>
      </c>
      <c r="AD379" s="604"/>
    </row>
    <row r="380" spans="1:30" s="228" customFormat="1" ht="12.75" customHeight="1" x14ac:dyDescent="0.2">
      <c r="B380" s="336"/>
      <c r="E380" s="299" t="s">
        <v>1831</v>
      </c>
      <c r="F380" s="299"/>
      <c r="G380" s="299"/>
      <c r="H380" s="299"/>
      <c r="I380" s="630"/>
      <c r="J380" s="300"/>
      <c r="K380" s="629"/>
      <c r="L380" s="629"/>
      <c r="M380" s="629"/>
      <c r="N380" s="232"/>
      <c r="O380" s="232">
        <f t="shared" si="206"/>
        <v>0</v>
      </c>
      <c r="P380" s="233">
        <f t="shared" si="207"/>
        <v>0</v>
      </c>
      <c r="Q380" s="234">
        <f t="shared" si="208"/>
        <v>0</v>
      </c>
      <c r="S380" s="228">
        <f t="shared" si="209"/>
        <v>0</v>
      </c>
      <c r="X380" s="228">
        <f t="shared" si="210"/>
        <v>0</v>
      </c>
      <c r="AD380" s="604"/>
    </row>
    <row r="381" spans="1:30" s="228" customFormat="1" ht="12.75" customHeight="1" x14ac:dyDescent="0.2">
      <c r="B381" s="336"/>
      <c r="E381" s="299"/>
      <c r="F381" s="299" t="s">
        <v>1832</v>
      </c>
      <c r="G381" s="299"/>
      <c r="H381" s="299"/>
      <c r="I381" s="630"/>
      <c r="J381" s="300"/>
      <c r="K381" s="629"/>
      <c r="L381" s="629"/>
      <c r="M381" s="629"/>
      <c r="N381" s="232"/>
      <c r="O381" s="232">
        <f t="shared" si="206"/>
        <v>0</v>
      </c>
      <c r="P381" s="233">
        <f t="shared" si="207"/>
        <v>0</v>
      </c>
      <c r="Q381" s="234">
        <f t="shared" si="208"/>
        <v>0</v>
      </c>
      <c r="S381" s="228">
        <f t="shared" si="209"/>
        <v>0</v>
      </c>
      <c r="X381" s="228">
        <f t="shared" si="210"/>
        <v>0</v>
      </c>
      <c r="AD381" s="604"/>
    </row>
    <row r="382" spans="1:30" s="228" customFormat="1" ht="12.75" customHeight="1" x14ac:dyDescent="0.2">
      <c r="B382" s="336"/>
      <c r="E382" s="299"/>
      <c r="F382" s="299"/>
      <c r="G382" s="299" t="s">
        <v>1833</v>
      </c>
      <c r="H382" s="299"/>
      <c r="I382" s="301">
        <v>9</v>
      </c>
      <c r="J382" s="300" t="s">
        <v>390</v>
      </c>
      <c r="K382" s="302">
        <v>5143</v>
      </c>
      <c r="L382" s="302">
        <v>1672</v>
      </c>
      <c r="M382" s="302">
        <v>119</v>
      </c>
      <c r="N382" s="232"/>
      <c r="O382" s="232">
        <f t="shared" si="206"/>
        <v>6934</v>
      </c>
      <c r="P382" s="233">
        <f t="shared" si="207"/>
        <v>62406</v>
      </c>
      <c r="Q382" s="234" t="str">
        <f t="shared" si="208"/>
        <v>manual</v>
      </c>
      <c r="S382" s="228">
        <f t="shared" si="209"/>
        <v>0</v>
      </c>
      <c r="X382" s="228">
        <f t="shared" si="210"/>
        <v>0</v>
      </c>
      <c r="AD382" s="604"/>
    </row>
    <row r="383" spans="1:30" s="228" customFormat="1" ht="12.75" customHeight="1" x14ac:dyDescent="0.2">
      <c r="B383" s="336"/>
      <c r="E383" s="299"/>
      <c r="F383" s="299"/>
      <c r="G383" s="299" t="s">
        <v>1834</v>
      </c>
      <c r="H383" s="299"/>
      <c r="I383" s="301">
        <v>4</v>
      </c>
      <c r="J383" s="300" t="s">
        <v>390</v>
      </c>
      <c r="K383" s="302">
        <v>8584</v>
      </c>
      <c r="L383" s="302">
        <v>1916</v>
      </c>
      <c r="M383" s="302">
        <v>119</v>
      </c>
      <c r="N383" s="232"/>
      <c r="O383" s="232">
        <f t="shared" si="206"/>
        <v>10619</v>
      </c>
      <c r="P383" s="233">
        <f t="shared" si="207"/>
        <v>42476</v>
      </c>
      <c r="Q383" s="234" t="str">
        <f t="shared" si="208"/>
        <v>manual</v>
      </c>
      <c r="S383" s="228">
        <f t="shared" si="209"/>
        <v>0</v>
      </c>
      <c r="X383" s="228">
        <f t="shared" si="210"/>
        <v>0</v>
      </c>
      <c r="AD383" s="604"/>
    </row>
    <row r="384" spans="1:30" s="228" customFormat="1" ht="12.75" customHeight="1" x14ac:dyDescent="0.2">
      <c r="B384" s="336"/>
      <c r="E384" s="303"/>
      <c r="F384" s="303"/>
      <c r="G384" s="299" t="s">
        <v>1835</v>
      </c>
      <c r="H384" s="299"/>
      <c r="I384" s="301">
        <v>2</v>
      </c>
      <c r="J384" s="300" t="s">
        <v>390</v>
      </c>
      <c r="K384" s="302">
        <v>1169.6199999999999</v>
      </c>
      <c r="L384" s="302">
        <v>149.1</v>
      </c>
      <c r="M384" s="306">
        <f>W384*markup*difficulty*IF(Y384&lt;&gt;"",VLOOKUP(LEFT(Y384,2),cityindex,3,0),1)</f>
        <v>0</v>
      </c>
      <c r="N384" s="232"/>
      <c r="O384" s="232">
        <f t="shared" si="206"/>
        <v>1318.7199999999998</v>
      </c>
      <c r="P384" s="233">
        <f t="shared" si="207"/>
        <v>2637</v>
      </c>
      <c r="Q384" s="234" t="str">
        <f t="shared" si="208"/>
        <v>manual</v>
      </c>
      <c r="S384" s="228">
        <f t="shared" si="209"/>
        <v>0</v>
      </c>
      <c r="X384" s="228">
        <f t="shared" si="210"/>
        <v>0</v>
      </c>
      <c r="AD384" s="604"/>
    </row>
    <row r="385" spans="2:30" s="228" customFormat="1" ht="12.75" customHeight="1" x14ac:dyDescent="0.2">
      <c r="B385" s="336"/>
      <c r="E385" s="299"/>
      <c r="F385" s="299" t="s">
        <v>1084</v>
      </c>
      <c r="G385" s="299"/>
      <c r="H385" s="299"/>
      <c r="I385" s="301">
        <v>2370</v>
      </c>
      <c r="J385" s="300" t="s">
        <v>309</v>
      </c>
      <c r="K385" s="302">
        <v>4.46</v>
      </c>
      <c r="L385" s="302">
        <v>6.52</v>
      </c>
      <c r="M385" s="302">
        <v>1.07</v>
      </c>
      <c r="N385" s="232"/>
      <c r="O385" s="232">
        <f t="shared" si="206"/>
        <v>12.05</v>
      </c>
      <c r="P385" s="233">
        <f t="shared" si="207"/>
        <v>28559</v>
      </c>
      <c r="Q385" s="234" t="str">
        <f t="shared" si="208"/>
        <v>manual</v>
      </c>
      <c r="S385" s="228">
        <f t="shared" si="209"/>
        <v>0</v>
      </c>
      <c r="X385" s="228">
        <f t="shared" si="210"/>
        <v>0</v>
      </c>
      <c r="AD385" s="604"/>
    </row>
    <row r="386" spans="2:30" s="228" customFormat="1" ht="12.75" customHeight="1" x14ac:dyDescent="0.2">
      <c r="B386" s="336"/>
      <c r="E386" s="299" t="s">
        <v>1836</v>
      </c>
      <c r="F386" s="299"/>
      <c r="G386" s="299"/>
      <c r="H386" s="299"/>
      <c r="I386" s="630"/>
      <c r="J386" s="300"/>
      <c r="K386" s="629"/>
      <c r="L386" s="629"/>
      <c r="M386" s="629"/>
      <c r="N386" s="232"/>
      <c r="O386" s="232">
        <f t="shared" si="206"/>
        <v>0</v>
      </c>
      <c r="P386" s="233">
        <f t="shared" si="207"/>
        <v>0</v>
      </c>
      <c r="Q386" s="234">
        <f t="shared" si="208"/>
        <v>0</v>
      </c>
      <c r="S386" s="228">
        <f t="shared" si="209"/>
        <v>0</v>
      </c>
      <c r="X386" s="228">
        <f t="shared" si="210"/>
        <v>0</v>
      </c>
      <c r="AD386" s="604"/>
    </row>
    <row r="387" spans="2:30" s="228" customFormat="1" ht="12.75" customHeight="1" x14ac:dyDescent="0.2">
      <c r="B387" s="336"/>
      <c r="E387" s="299"/>
      <c r="F387" s="299" t="s">
        <v>1085</v>
      </c>
      <c r="G387" s="299"/>
      <c r="H387" s="299"/>
      <c r="I387" s="630"/>
      <c r="J387" s="300"/>
      <c r="K387" s="629"/>
      <c r="L387" s="629"/>
      <c r="M387" s="629"/>
      <c r="N387" s="232"/>
      <c r="O387" s="232">
        <f t="shared" si="206"/>
        <v>0</v>
      </c>
      <c r="P387" s="233">
        <f t="shared" si="207"/>
        <v>0</v>
      </c>
      <c r="Q387" s="234">
        <f t="shared" si="208"/>
        <v>0</v>
      </c>
      <c r="S387" s="228">
        <f t="shared" si="209"/>
        <v>0</v>
      </c>
      <c r="X387" s="228">
        <f t="shared" si="210"/>
        <v>0</v>
      </c>
      <c r="AD387" s="604"/>
    </row>
    <row r="388" spans="2:30" s="228" customFormat="1" ht="12.75" customHeight="1" x14ac:dyDescent="0.2">
      <c r="B388" s="336"/>
      <c r="E388" s="299"/>
      <c r="F388" s="299"/>
      <c r="G388" s="299" t="s">
        <v>1837</v>
      </c>
      <c r="H388" s="299"/>
      <c r="I388" s="301">
        <v>4</v>
      </c>
      <c r="J388" s="300" t="s">
        <v>390</v>
      </c>
      <c r="K388" s="302">
        <v>73.479991749999996</v>
      </c>
      <c r="L388" s="302">
        <v>69.181806375000008</v>
      </c>
      <c r="M388" s="629"/>
      <c r="N388" s="232"/>
      <c r="O388" s="232">
        <f t="shared" si="206"/>
        <v>142.66179812500002</v>
      </c>
      <c r="P388" s="233">
        <f t="shared" si="207"/>
        <v>571</v>
      </c>
      <c r="Q388" s="234" t="str">
        <f t="shared" si="208"/>
        <v>manual</v>
      </c>
      <c r="S388" s="228">
        <f t="shared" si="209"/>
        <v>0</v>
      </c>
      <c r="X388" s="228">
        <f t="shared" si="210"/>
        <v>0</v>
      </c>
      <c r="AD388" s="604"/>
    </row>
    <row r="389" spans="2:30" s="228" customFormat="1" ht="12.75" customHeight="1" x14ac:dyDescent="0.2">
      <c r="B389" s="336"/>
      <c r="E389" s="303"/>
      <c r="F389" s="303"/>
      <c r="G389" s="303" t="s">
        <v>1825</v>
      </c>
      <c r="H389" s="303"/>
      <c r="I389" s="304">
        <v>4</v>
      </c>
      <c r="J389" s="305" t="s">
        <v>390</v>
      </c>
      <c r="K389" s="306">
        <v>31.87</v>
      </c>
      <c r="L389" s="306">
        <v>48.77</v>
      </c>
      <c r="M389" s="632">
        <f>W389*markup*difficulty*IF(Y389&lt;&gt;"",VLOOKUP(LEFT(Y389,2),cityindex,3,0),1)</f>
        <v>0</v>
      </c>
      <c r="N389" s="232"/>
      <c r="O389" s="232">
        <f t="shared" si="206"/>
        <v>80.64</v>
      </c>
      <c r="P389" s="233">
        <f t="shared" si="207"/>
        <v>323</v>
      </c>
      <c r="Q389" s="234" t="str">
        <f t="shared" si="208"/>
        <v>manual</v>
      </c>
      <c r="S389" s="228">
        <f t="shared" si="209"/>
        <v>0</v>
      </c>
      <c r="X389" s="228">
        <f t="shared" si="210"/>
        <v>0</v>
      </c>
      <c r="AD389" s="604"/>
    </row>
    <row r="390" spans="2:30" x14ac:dyDescent="0.2">
      <c r="D390" s="228"/>
      <c r="E390" s="299"/>
      <c r="F390" s="299"/>
      <c r="G390" s="299" t="s">
        <v>1084</v>
      </c>
      <c r="H390" s="299"/>
      <c r="I390" s="301">
        <f>I388*250</f>
        <v>1000</v>
      </c>
      <c r="J390" s="300" t="s">
        <v>309</v>
      </c>
      <c r="K390" s="302">
        <v>3.8746734375000007</v>
      </c>
      <c r="L390" s="302">
        <v>6.3607712168999999</v>
      </c>
      <c r="M390" s="302">
        <v>1.0681275000000003</v>
      </c>
      <c r="N390" s="232"/>
      <c r="O390" s="232">
        <f t="shared" si="38"/>
        <v>11.303572154400001</v>
      </c>
      <c r="P390" s="233">
        <f t="shared" ref="P390" si="211">ROUND((O390*I390),0)</f>
        <v>11304</v>
      </c>
      <c r="Q390" s="298" t="str">
        <f t="shared" ref="Q390" si="212">IF(O390=0,0,IF(X390=0,"manual",(O390/(R390*tax*markup*IF(Y390&lt;&gt;"",VLOOKUP(LEFT(Y390,2),cityindex,2,0),1)+S390*markup*difficulty*IF(Y390&lt;&gt;"",VLOOKUP(LEFT(Y390,2),cityindex,3,0),1)+W390*markup*difficulty*IF(Y390&lt;&gt;"",VLOOKUP(LEFT(Y390,2),cityindex,3,0),1)))-1))</f>
        <v>manual</v>
      </c>
      <c r="Z390" s="143"/>
      <c r="AA390" s="143"/>
      <c r="AB390" s="143"/>
      <c r="AD390" s="604" t="s">
        <v>1316</v>
      </c>
    </row>
    <row r="391" spans="2:30" x14ac:dyDescent="0.2">
      <c r="K391" s="149">
        <f>R391*tax*markup*IF(Y391&lt;&gt;"",VLOOKUP(LEFT(Y391,2),cityindex,2,0),1)</f>
        <v>0</v>
      </c>
      <c r="L391" s="149">
        <f>S391*markup*difficulty*IF(Y391&lt;&gt;"",VLOOKUP(LEFT(Y391,2),cityindex,3,0),1)</f>
        <v>0</v>
      </c>
      <c r="M391" s="149">
        <f>W391*markup*difficulty*IF(Y391&lt;&gt;"",VLOOKUP(LEFT(Y391,2),cityindex,3,0),1)</f>
        <v>0</v>
      </c>
      <c r="N391" s="149"/>
      <c r="O391" s="149">
        <f t="shared" si="38"/>
        <v>0</v>
      </c>
      <c r="P391" s="216">
        <f t="shared" si="39"/>
        <v>0</v>
      </c>
      <c r="Q391" s="291">
        <f t="shared" si="40"/>
        <v>0</v>
      </c>
      <c r="S391" s="143">
        <f>U391*V391</f>
        <v>0</v>
      </c>
      <c r="X391" s="143">
        <f>SUM(R391,S391,W391)</f>
        <v>0</v>
      </c>
      <c r="AD391" s="604"/>
    </row>
    <row r="392" spans="2:30" ht="24.75" customHeight="1" x14ac:dyDescent="0.2">
      <c r="D392" s="217" t="str">
        <f>"TOTAL - " &amp; D262</f>
        <v>TOTAL - 32  EXTERIOR IMPROVEMENTS</v>
      </c>
      <c r="E392" s="217"/>
      <c r="F392" s="217"/>
      <c r="G392" s="217"/>
      <c r="H392" s="217"/>
      <c r="I392" s="218"/>
      <c r="J392" s="219"/>
      <c r="K392" s="220"/>
      <c r="L392" s="220"/>
      <c r="M392" s="220"/>
      <c r="N392" s="220"/>
      <c r="O392" s="221"/>
      <c r="P392" s="222">
        <f>SUM(P262:P391)</f>
        <v>1824227</v>
      </c>
      <c r="Q392" s="294" t="str">
        <f>_xlfn.CONCAT(TEXT(SUM(P392/GFA),"$#,##0.00"),"/SF")</f>
        <v>$13.46/SF</v>
      </c>
      <c r="S392" s="143">
        <f>U392*V392</f>
        <v>0</v>
      </c>
      <c r="X392" s="143">
        <f>SUM(R392,S392,W392)</f>
        <v>0</v>
      </c>
      <c r="Z392" s="314"/>
      <c r="AA392" s="315"/>
      <c r="AD392" s="604"/>
    </row>
    <row r="393" spans="2:30" x14ac:dyDescent="0.2">
      <c r="K393" s="149">
        <f t="shared" ref="K393:K443" si="213">R393*tax*markup*IF(Y393&lt;&gt;"",VLOOKUP(LEFT(Y393,2),cityindex,2,0),1)</f>
        <v>0</v>
      </c>
      <c r="L393" s="149">
        <f t="shared" ref="L393:L443" si="214">S393*markup*difficulty*IF(Y393&lt;&gt;"",VLOOKUP(LEFT(Y393,2),cityindex,3,0),1)</f>
        <v>0</v>
      </c>
      <c r="M393" s="149">
        <f t="shared" ref="M393:M443" si="215">W393*markup*difficulty*IF(Y393&lt;&gt;"",VLOOKUP(LEFT(Y393,2),cityindex,3,0),1)</f>
        <v>0</v>
      </c>
      <c r="N393" s="149"/>
      <c r="O393" s="149">
        <f t="shared" ref="O393:O443" si="216">SUM(K393:N393)*embed</f>
        <v>0</v>
      </c>
      <c r="P393" s="216">
        <f t="shared" ref="P393:P443" si="217">ROUND((O393*I393),0)</f>
        <v>0</v>
      </c>
      <c r="Q393" s="291">
        <f t="shared" ref="Q393:Q443" si="218">IF(O393=0,0,IF(X393=0,"manual",O393/((R393*tax*markup*IF(Y393&lt;&gt;"",VLOOKUP(LEFT(Y393,2),cityindex,2,0),1))+S393*markup*difficulty*IF(Y393&lt;&gt;"",VLOOKUP(LEFT(Y393,2),cityindex,3,0),1)+W393*markup*difficulty*IF(Y393&lt;&gt;"",VLOOKUP(LEFT(Y393,2),cityindex,3,0),1))))</f>
        <v>0</v>
      </c>
      <c r="S393" s="143">
        <f>U393*V393</f>
        <v>0</v>
      </c>
      <c r="X393" s="143">
        <f>SUM(R393,S393,W393)</f>
        <v>0</v>
      </c>
      <c r="AD393" s="604"/>
    </row>
    <row r="394" spans="2:30" x14ac:dyDescent="0.2">
      <c r="D394" s="214" t="s">
        <v>289</v>
      </c>
      <c r="E394" s="215"/>
      <c r="F394" s="215"/>
      <c r="G394" s="215"/>
      <c r="H394" s="215"/>
      <c r="K394" s="149">
        <f t="shared" si="213"/>
        <v>0</v>
      </c>
      <c r="L394" s="149">
        <f t="shared" si="214"/>
        <v>0</v>
      </c>
      <c r="M394" s="149">
        <f t="shared" si="215"/>
        <v>0</v>
      </c>
      <c r="N394" s="149"/>
      <c r="O394" s="149">
        <f t="shared" si="216"/>
        <v>0</v>
      </c>
      <c r="P394" s="216">
        <f t="shared" ref="P394:P402" si="219">ROUND((O394*I394),0)</f>
        <v>0</v>
      </c>
      <c r="Q394" s="291">
        <f t="shared" si="218"/>
        <v>0</v>
      </c>
      <c r="S394" s="143">
        <f>U394*V394</f>
        <v>0</v>
      </c>
      <c r="X394" s="143">
        <f>SUM(R394,S394,W394)</f>
        <v>0</v>
      </c>
      <c r="AD394" s="604"/>
    </row>
    <row r="395" spans="2:30" x14ac:dyDescent="0.2">
      <c r="D395" s="228"/>
      <c r="E395" s="228" t="s">
        <v>1438</v>
      </c>
      <c r="F395" s="228"/>
      <c r="G395" s="228"/>
      <c r="H395" s="228"/>
      <c r="I395" s="295"/>
      <c r="J395" s="231"/>
      <c r="K395" s="580">
        <f>R395*tax*markup*IF(Y395&lt;&gt;"",VLOOKUP(LEFT(Y395,2),cityindex,2,0),1)</f>
        <v>0</v>
      </c>
      <c r="L395" s="232">
        <f>S395*markup*difficulty*IF(Y395&lt;&gt;"",VLOOKUP(LEFT(Y395,2),cityindex,3,0),1)</f>
        <v>0</v>
      </c>
      <c r="M395" s="232">
        <f>W395*markup*difficulty*IF(Y395&lt;&gt;"",VLOOKUP(LEFT(Y395,2),cityindex,3,0),1)</f>
        <v>0</v>
      </c>
      <c r="N395" s="232"/>
      <c r="O395" s="232">
        <f t="shared" ref="O395:O402" si="220">SUM(K395:N395)*embed</f>
        <v>0</v>
      </c>
      <c r="P395" s="233">
        <f t="shared" si="219"/>
        <v>0</v>
      </c>
      <c r="Q395" s="291">
        <f t="shared" ref="Q395:Q402" si="221">IF(O395=0,0,IF(X395=0,"manual",(O395/(R395*tax*markup*IF(Y395&lt;&gt;"",VLOOKUP(LEFT(Y395,2),cityindex,2,0),1)+S395*markup*difficulty*IF(Y395&lt;&gt;"",VLOOKUP(LEFT(Y395,2),cityindex,3,0),1)+W395*markup*difficulty*IF(Y395&lt;&gt;"",VLOOKUP(LEFT(Y395,2),cityindex,3,0),1)))-1))</f>
        <v>0</v>
      </c>
      <c r="S395" s="143">
        <f t="shared" ref="S395:S402" si="222">U395*V395</f>
        <v>0</v>
      </c>
      <c r="X395" s="143">
        <f t="shared" ref="X395:X402" si="223">SUM(R395,S395,W395)</f>
        <v>0</v>
      </c>
      <c r="AD395" s="604"/>
    </row>
    <row r="396" spans="2:30" x14ac:dyDescent="0.2">
      <c r="D396" s="228"/>
      <c r="E396" s="228"/>
      <c r="F396" s="1" t="s">
        <v>1452</v>
      </c>
      <c r="G396" s="228"/>
      <c r="H396" s="228"/>
      <c r="I396" s="295">
        <v>1</v>
      </c>
      <c r="J396" s="231" t="s">
        <v>390</v>
      </c>
      <c r="K396" s="580">
        <v>670</v>
      </c>
      <c r="L396" s="232">
        <v>1260</v>
      </c>
      <c r="M396" s="232">
        <v>670</v>
      </c>
      <c r="N396" s="232"/>
      <c r="O396" s="232">
        <f>SUM(K396:N396)*embed</f>
        <v>2600</v>
      </c>
      <c r="P396" s="233">
        <f>ROUND((O396*I396),0)</f>
        <v>2600</v>
      </c>
      <c r="Q396" s="291" t="str">
        <f>IF(O396=0,0,IF(X396=0,"manual",(O396/(R396*tax*markup*IF(Y396&lt;&gt;"",VLOOKUP(LEFT(Y396,2),cityindex,2,0),1)+S396*markup*difficulty*IF(Y396&lt;&gt;"",VLOOKUP(LEFT(Y396,2),cityindex,3,0),1)+W396*markup*difficulty*IF(Y396&lt;&gt;"",VLOOKUP(LEFT(Y396,2),cityindex,3,0),1)))-1))</f>
        <v>manual</v>
      </c>
      <c r="S396" s="143">
        <f>U396*V396</f>
        <v>0</v>
      </c>
      <c r="X396" s="143">
        <f>SUM(R396,S396,W396)</f>
        <v>0</v>
      </c>
      <c r="AD396" s="604"/>
    </row>
    <row r="397" spans="2:30" x14ac:dyDescent="0.2">
      <c r="D397" s="228"/>
      <c r="F397" s="228" t="s">
        <v>1669</v>
      </c>
      <c r="G397" s="228"/>
      <c r="H397" s="228"/>
      <c r="I397" s="295">
        <v>1</v>
      </c>
      <c r="J397" s="231" t="s">
        <v>390</v>
      </c>
      <c r="K397" s="580">
        <v>637.53</v>
      </c>
      <c r="L397" s="232">
        <v>77.83</v>
      </c>
      <c r="M397" s="232"/>
      <c r="N397" s="232"/>
      <c r="O397" s="232">
        <f>SUM(K397:N397)*embed</f>
        <v>715.36</v>
      </c>
      <c r="P397" s="233">
        <f>ROUND((O397*I397),0)</f>
        <v>715</v>
      </c>
      <c r="Q397" s="291" t="str">
        <f>IF(O397=0,0,IF(X397=0,"manual",(O397/(R397*tax*markup*IF(Y397&lt;&gt;"",VLOOKUP(LEFT(Y397,2),cityindex,2,0),1)+S397*markup*difficulty*IF(Y397&lt;&gt;"",VLOOKUP(LEFT(Y397,2),cityindex,3,0),1)+W397*markup*difficulty*IF(Y397&lt;&gt;"",VLOOKUP(LEFT(Y397,2),cityindex,3,0),1)))-1))</f>
        <v>manual</v>
      </c>
      <c r="S397" s="143">
        <f>U397*V397</f>
        <v>0</v>
      </c>
      <c r="X397" s="143">
        <f>SUM(R397,S397,W397)</f>
        <v>0</v>
      </c>
      <c r="AD397" s="604" t="s">
        <v>1313</v>
      </c>
    </row>
    <row r="398" spans="2:30" ht="12" customHeight="1" x14ac:dyDescent="0.2">
      <c r="D398" s="228"/>
      <c r="E398" s="228"/>
      <c r="F398" s="228" t="s">
        <v>1441</v>
      </c>
      <c r="G398" s="228"/>
      <c r="H398" s="228"/>
      <c r="I398" s="295">
        <v>1</v>
      </c>
      <c r="J398" s="231" t="s">
        <v>390</v>
      </c>
      <c r="K398" s="580">
        <v>2380</v>
      </c>
      <c r="L398" s="232">
        <v>70</v>
      </c>
      <c r="M398" s="232"/>
      <c r="N398" s="232"/>
      <c r="O398" s="232">
        <f>SUM(K398:N398)*embed</f>
        <v>2450</v>
      </c>
      <c r="P398" s="233">
        <f>ROUND((O398*I398),0)</f>
        <v>2450</v>
      </c>
      <c r="Q398" s="291" t="str">
        <f>IF(O398=0,0,IF(X398=0,"manual",(O398/(R398*tax*markup*IF(Y398&lt;&gt;"",VLOOKUP(LEFT(Y398,2),cityindex,2,0),1)+S398*markup*difficulty*IF(Y398&lt;&gt;"",VLOOKUP(LEFT(Y398,2),cityindex,3,0),1)+W398*markup*difficulty*IF(Y398&lt;&gt;"",VLOOKUP(LEFT(Y398,2),cityindex,3,0),1)))-1))</f>
        <v>manual</v>
      </c>
      <c r="S398" s="143">
        <f>U398*V398</f>
        <v>0</v>
      </c>
      <c r="X398" s="143">
        <f>SUM(R398,S398,W398)</f>
        <v>0</v>
      </c>
      <c r="AD398" s="604"/>
    </row>
    <row r="399" spans="2:30" x14ac:dyDescent="0.2">
      <c r="D399" s="228"/>
      <c r="F399" s="228" t="s">
        <v>1439</v>
      </c>
      <c r="G399" s="228"/>
      <c r="H399" s="228"/>
      <c r="I399" s="295"/>
      <c r="J399" s="231"/>
      <c r="K399" s="580"/>
      <c r="L399" s="232"/>
      <c r="M399" s="232"/>
      <c r="N399" s="232"/>
      <c r="O399" s="232">
        <f t="shared" si="220"/>
        <v>0</v>
      </c>
      <c r="P399" s="233">
        <f t="shared" si="219"/>
        <v>0</v>
      </c>
      <c r="Q399" s="291">
        <f t="shared" si="221"/>
        <v>0</v>
      </c>
      <c r="S399" s="143">
        <f t="shared" si="222"/>
        <v>0</v>
      </c>
      <c r="X399" s="143">
        <f t="shared" si="223"/>
        <v>0</v>
      </c>
      <c r="AD399" s="604"/>
    </row>
    <row r="400" spans="2:30" x14ac:dyDescent="0.2">
      <c r="D400" s="228"/>
      <c r="F400" s="228"/>
      <c r="G400" s="228" t="s">
        <v>1666</v>
      </c>
      <c r="H400" s="228"/>
      <c r="I400" s="295">
        <v>338</v>
      </c>
      <c r="J400" s="231" t="s">
        <v>309</v>
      </c>
      <c r="K400" s="580">
        <v>24.59</v>
      </c>
      <c r="L400" s="232">
        <v>3.53</v>
      </c>
      <c r="M400" s="232"/>
      <c r="N400" s="232"/>
      <c r="O400" s="232">
        <f t="shared" si="220"/>
        <v>28.12</v>
      </c>
      <c r="P400" s="233">
        <f t="shared" si="219"/>
        <v>9505</v>
      </c>
      <c r="Q400" s="291" t="str">
        <f t="shared" si="221"/>
        <v>manual</v>
      </c>
      <c r="S400" s="143">
        <f t="shared" si="222"/>
        <v>0</v>
      </c>
      <c r="X400" s="143">
        <f t="shared" si="223"/>
        <v>0</v>
      </c>
      <c r="AC400" s="143">
        <f>I400-[1]SITE!$I$309</f>
        <v>-66</v>
      </c>
      <c r="AD400" s="604" t="s">
        <v>1665</v>
      </c>
    </row>
    <row r="401" spans="4:30" x14ac:dyDescent="0.2">
      <c r="D401" s="228"/>
      <c r="F401" s="228" t="s">
        <v>1443</v>
      </c>
      <c r="G401" s="228"/>
      <c r="H401" s="228"/>
      <c r="I401" s="295">
        <v>3</v>
      </c>
      <c r="J401" s="231" t="s">
        <v>390</v>
      </c>
      <c r="K401" s="580">
        <v>79.08</v>
      </c>
      <c r="L401" s="232">
        <v>40.25</v>
      </c>
      <c r="M401" s="232"/>
      <c r="N401" s="232"/>
      <c r="O401" s="232">
        <f t="shared" si="220"/>
        <v>119.33</v>
      </c>
      <c r="P401" s="233">
        <f t="shared" si="219"/>
        <v>358</v>
      </c>
      <c r="Q401" s="291" t="str">
        <f t="shared" si="221"/>
        <v>manual</v>
      </c>
      <c r="S401" s="143">
        <f t="shared" si="222"/>
        <v>0</v>
      </c>
      <c r="X401" s="143">
        <f t="shared" si="223"/>
        <v>0</v>
      </c>
      <c r="AD401" s="604"/>
    </row>
    <row r="402" spans="4:30" x14ac:dyDescent="0.2">
      <c r="D402" s="228"/>
      <c r="E402" s="228"/>
      <c r="F402" s="228" t="s">
        <v>1667</v>
      </c>
      <c r="G402" s="228"/>
      <c r="H402" s="228"/>
      <c r="I402" s="295">
        <v>1</v>
      </c>
      <c r="J402" s="231" t="s">
        <v>390</v>
      </c>
      <c r="K402" s="580">
        <v>110</v>
      </c>
      <c r="L402" s="232">
        <v>50</v>
      </c>
      <c r="M402" s="232"/>
      <c r="N402" s="232"/>
      <c r="O402" s="232">
        <f t="shared" si="220"/>
        <v>160</v>
      </c>
      <c r="P402" s="233">
        <f t="shared" si="219"/>
        <v>160</v>
      </c>
      <c r="Q402" s="291" t="str">
        <f t="shared" si="221"/>
        <v>manual</v>
      </c>
      <c r="S402" s="143">
        <f t="shared" si="222"/>
        <v>0</v>
      </c>
      <c r="X402" s="143">
        <f t="shared" si="223"/>
        <v>0</v>
      </c>
      <c r="AD402" s="604"/>
    </row>
    <row r="403" spans="4:30" x14ac:dyDescent="0.2">
      <c r="I403" s="310"/>
      <c r="K403" s="581"/>
      <c r="L403" s="149"/>
      <c r="M403" s="149"/>
      <c r="N403" s="149"/>
      <c r="P403" s="216"/>
      <c r="AD403" s="604"/>
    </row>
    <row r="404" spans="4:30" x14ac:dyDescent="0.2">
      <c r="E404" s="143" t="s">
        <v>1024</v>
      </c>
      <c r="I404" s="310"/>
      <c r="K404" s="581">
        <f t="shared" ref="K404" si="224">R404*tax*markup*IF(Y404&lt;&gt;"",VLOOKUP(LEFT(Y404,2),cityindex,2,0),1)</f>
        <v>0</v>
      </c>
      <c r="L404" s="149">
        <f t="shared" ref="L404" si="225">S404*markup*difficulty*IF(Y404&lt;&gt;"",VLOOKUP(LEFT(Y404,2),cityindex,3,0),1)</f>
        <v>0</v>
      </c>
      <c r="M404" s="149">
        <f t="shared" ref="M404" si="226">W404*markup*difficulty*IF(Y404&lt;&gt;"",VLOOKUP(LEFT(Y404,2),cityindex,3,0),1)</f>
        <v>0</v>
      </c>
      <c r="N404" s="149"/>
      <c r="O404" s="149">
        <f t="shared" ref="O404" si="227">SUM(K404:N404)*embed</f>
        <v>0</v>
      </c>
      <c r="P404" s="216">
        <f t="shared" ref="P404:P434" si="228">ROUND((O404*I404),0)</f>
        <v>0</v>
      </c>
      <c r="Q404" s="291">
        <f>IF(O404=0,0,IF(X404=0,"manual",O404/((R404*tax*markup*IF(Y404&lt;&gt;"",VLOOKUP(LEFT(Y404,2),cityindex,2,0),1))+S404*markup*difficulty*IF(Y404&lt;&gt;"",VLOOKUP(LEFT(Y404,2),cityindex,3,0),1)+W404*markup*difficulty*IF(Y404&lt;&gt;"",VLOOKUP(LEFT(Y404,2),cityindex,3,0),1))))</f>
        <v>0</v>
      </c>
      <c r="S404" s="143">
        <f t="shared" ref="S404:S437" si="229">U404*V404</f>
        <v>0</v>
      </c>
      <c r="X404" s="143">
        <f t="shared" ref="X404:X437" si="230">SUM(R404,S404,W404)</f>
        <v>0</v>
      </c>
      <c r="AD404" s="604"/>
    </row>
    <row r="405" spans="4:30" x14ac:dyDescent="0.2">
      <c r="D405" s="228"/>
      <c r="F405" s="1" t="s">
        <v>1452</v>
      </c>
      <c r="G405" s="228"/>
      <c r="H405" s="228"/>
      <c r="I405" s="295">
        <v>1</v>
      </c>
      <c r="J405" s="231" t="s">
        <v>390</v>
      </c>
      <c r="K405" s="580">
        <v>960</v>
      </c>
      <c r="L405" s="232">
        <v>1270</v>
      </c>
      <c r="M405" s="232">
        <v>670</v>
      </c>
      <c r="N405" s="232"/>
      <c r="O405" s="232">
        <f t="shared" ref="O405:O410" si="231">SUM(K405:N405)*embed</f>
        <v>2900</v>
      </c>
      <c r="P405" s="233">
        <f t="shared" ref="P405:P410" si="232">ROUND((O405*I405),0)</f>
        <v>2900</v>
      </c>
      <c r="Q405" s="291" t="str">
        <f t="shared" ref="Q405:Q410" si="233">IF(O405=0,0,IF(X405=0,"manual",(O405/(R405*tax*markup*IF(Y405&lt;&gt;"",VLOOKUP(LEFT(Y405,2),cityindex,2,0),1)+S405*markup*difficulty*IF(Y405&lt;&gt;"",VLOOKUP(LEFT(Y405,2),cityindex,3,0),1)+W405*markup*difficulty*IF(Y405&lt;&gt;"",VLOOKUP(LEFT(Y405,2),cityindex,3,0),1)))-1))</f>
        <v>manual</v>
      </c>
      <c r="S405" s="143">
        <f t="shared" ref="S405:S410" si="234">U405*V405</f>
        <v>0</v>
      </c>
      <c r="X405" s="143">
        <f t="shared" ref="X405:X410" si="235">SUM(R405,S405,W405)</f>
        <v>0</v>
      </c>
      <c r="AD405" s="604"/>
    </row>
    <row r="406" spans="4:30" x14ac:dyDescent="0.2">
      <c r="D406" s="228"/>
      <c r="F406" s="228" t="s">
        <v>1447</v>
      </c>
      <c r="G406" s="228"/>
      <c r="H406" s="228"/>
      <c r="I406" s="295">
        <v>1</v>
      </c>
      <c r="J406" s="231" t="s">
        <v>390</v>
      </c>
      <c r="K406" s="580">
        <v>2563.52</v>
      </c>
      <c r="L406" s="232">
        <v>235.98</v>
      </c>
      <c r="M406" s="232">
        <v>141.74</v>
      </c>
      <c r="N406" s="232"/>
      <c r="O406" s="232">
        <f t="shared" si="231"/>
        <v>2941.24</v>
      </c>
      <c r="P406" s="233">
        <f t="shared" si="232"/>
        <v>2941</v>
      </c>
      <c r="Q406" s="291" t="str">
        <f t="shared" si="233"/>
        <v>manual</v>
      </c>
      <c r="S406" s="143">
        <f t="shared" si="234"/>
        <v>0</v>
      </c>
      <c r="X406" s="143">
        <f t="shared" si="235"/>
        <v>0</v>
      </c>
      <c r="AD406" s="604"/>
    </row>
    <row r="407" spans="4:30" x14ac:dyDescent="0.2">
      <c r="D407" s="228"/>
      <c r="F407" s="228" t="s">
        <v>1446</v>
      </c>
      <c r="G407" s="228"/>
      <c r="H407" s="228"/>
      <c r="I407" s="295">
        <v>1</v>
      </c>
      <c r="J407" s="231" t="s">
        <v>390</v>
      </c>
      <c r="K407" s="580">
        <v>4431.13</v>
      </c>
      <c r="L407" s="232">
        <v>778.12</v>
      </c>
      <c r="M407" s="232">
        <v>141.74</v>
      </c>
      <c r="N407" s="232"/>
      <c r="O407" s="232">
        <f t="shared" si="231"/>
        <v>5350.99</v>
      </c>
      <c r="P407" s="233">
        <f t="shared" si="232"/>
        <v>5351</v>
      </c>
      <c r="Q407" s="291" t="str">
        <f t="shared" si="233"/>
        <v>manual</v>
      </c>
      <c r="S407" s="143">
        <f t="shared" si="234"/>
        <v>0</v>
      </c>
      <c r="X407" s="143">
        <f t="shared" si="235"/>
        <v>0</v>
      </c>
      <c r="AD407" s="604"/>
    </row>
    <row r="408" spans="4:30" x14ac:dyDescent="0.2">
      <c r="D408" s="228"/>
      <c r="F408" s="228" t="s">
        <v>1445</v>
      </c>
      <c r="G408" s="228"/>
      <c r="H408" s="228"/>
      <c r="I408" s="295">
        <v>1</v>
      </c>
      <c r="J408" s="231" t="s">
        <v>390</v>
      </c>
      <c r="K408" s="580">
        <v>4870</v>
      </c>
      <c r="L408" s="232">
        <v>1000</v>
      </c>
      <c r="M408" s="232">
        <v>140</v>
      </c>
      <c r="N408" s="232"/>
      <c r="O408" s="232">
        <f t="shared" si="231"/>
        <v>6010</v>
      </c>
      <c r="P408" s="233">
        <f t="shared" si="232"/>
        <v>6010</v>
      </c>
      <c r="Q408" s="291" t="str">
        <f t="shared" si="233"/>
        <v>manual</v>
      </c>
      <c r="S408" s="143">
        <f t="shared" si="234"/>
        <v>0</v>
      </c>
      <c r="X408" s="143">
        <f t="shared" si="235"/>
        <v>0</v>
      </c>
      <c r="AD408" s="604"/>
    </row>
    <row r="409" spans="4:30" x14ac:dyDescent="0.2">
      <c r="D409" s="228"/>
      <c r="F409" s="228" t="s">
        <v>1670</v>
      </c>
      <c r="G409" s="228"/>
      <c r="H409" s="228"/>
      <c r="I409" s="295">
        <v>1</v>
      </c>
      <c r="J409" s="231" t="s">
        <v>390</v>
      </c>
      <c r="K409" s="580">
        <v>2134.4</v>
      </c>
      <c r="L409" s="232">
        <v>176.62</v>
      </c>
      <c r="M409" s="232"/>
      <c r="N409" s="232"/>
      <c r="O409" s="232">
        <f t="shared" si="231"/>
        <v>2311.02</v>
      </c>
      <c r="P409" s="233">
        <f t="shared" si="232"/>
        <v>2311</v>
      </c>
      <c r="Q409" s="291" t="str">
        <f t="shared" si="233"/>
        <v>manual</v>
      </c>
      <c r="S409" s="143">
        <f t="shared" si="234"/>
        <v>0</v>
      </c>
      <c r="X409" s="143">
        <f t="shared" si="235"/>
        <v>0</v>
      </c>
      <c r="AD409" s="604"/>
    </row>
    <row r="410" spans="4:30" x14ac:dyDescent="0.2">
      <c r="D410" s="228"/>
      <c r="F410" s="228" t="s">
        <v>1444</v>
      </c>
      <c r="G410" s="228"/>
      <c r="H410" s="228"/>
      <c r="I410" s="295">
        <v>1</v>
      </c>
      <c r="J410" s="231" t="s">
        <v>390</v>
      </c>
      <c r="K410" s="580">
        <v>160</v>
      </c>
      <c r="L410" s="232">
        <v>50</v>
      </c>
      <c r="M410" s="232"/>
      <c r="N410" s="232"/>
      <c r="O410" s="232">
        <f t="shared" si="231"/>
        <v>210</v>
      </c>
      <c r="P410" s="233">
        <f t="shared" si="232"/>
        <v>210</v>
      </c>
      <c r="Q410" s="291" t="str">
        <f t="shared" si="233"/>
        <v>manual</v>
      </c>
      <c r="S410" s="143">
        <f t="shared" si="234"/>
        <v>0</v>
      </c>
      <c r="X410" s="143">
        <f t="shared" si="235"/>
        <v>0</v>
      </c>
      <c r="AD410" s="604"/>
    </row>
    <row r="411" spans="4:30" x14ac:dyDescent="0.2">
      <c r="D411" s="228"/>
      <c r="F411" s="228" t="s">
        <v>1442</v>
      </c>
      <c r="G411" s="228"/>
      <c r="H411" s="228"/>
      <c r="I411" s="295"/>
      <c r="J411" s="231"/>
      <c r="K411" s="580"/>
      <c r="L411" s="232"/>
      <c r="M411" s="232"/>
      <c r="N411" s="232"/>
      <c r="O411" s="232">
        <f t="shared" ref="O411:O428" si="236">SUM(K411:N411)*embed</f>
        <v>0</v>
      </c>
      <c r="P411" s="233">
        <f t="shared" si="228"/>
        <v>0</v>
      </c>
      <c r="Q411" s="291">
        <f t="shared" ref="Q411:Q437" si="237">IF(O411=0,0,IF(X411=0,"manual",(O411/(R411*tax*markup*IF(Y411&lt;&gt;"",VLOOKUP(LEFT(Y411,2),cityindex,2,0),1)+S411*markup*difficulty*IF(Y411&lt;&gt;"",VLOOKUP(LEFT(Y411,2),cityindex,3,0),1)+W411*markup*difficulty*IF(Y411&lt;&gt;"",VLOOKUP(LEFT(Y411,2),cityindex,3,0),1)))-1))</f>
        <v>0</v>
      </c>
      <c r="S411" s="143">
        <f t="shared" si="229"/>
        <v>0</v>
      </c>
      <c r="X411" s="143">
        <f t="shared" si="230"/>
        <v>0</v>
      </c>
      <c r="AD411" s="604"/>
    </row>
    <row r="412" spans="4:30" x14ac:dyDescent="0.2">
      <c r="D412" s="228"/>
      <c r="F412" s="228"/>
      <c r="G412" s="228" t="s">
        <v>1668</v>
      </c>
      <c r="H412" s="228"/>
      <c r="I412" s="295">
        <v>408</v>
      </c>
      <c r="J412" s="231" t="s">
        <v>309</v>
      </c>
      <c r="K412" s="580">
        <v>52.46</v>
      </c>
      <c r="L412" s="232">
        <v>8.33</v>
      </c>
      <c r="M412" s="232"/>
      <c r="N412" s="232"/>
      <c r="O412" s="232">
        <f t="shared" si="236"/>
        <v>60.79</v>
      </c>
      <c r="P412" s="233">
        <f t="shared" si="228"/>
        <v>24802</v>
      </c>
      <c r="Q412" s="291" t="str">
        <f t="shared" si="237"/>
        <v>manual</v>
      </c>
      <c r="S412" s="143">
        <f t="shared" si="229"/>
        <v>0</v>
      </c>
      <c r="X412" s="143">
        <f t="shared" si="230"/>
        <v>0</v>
      </c>
      <c r="AC412" s="143">
        <f>I412-[1]SITE!$I$320</f>
        <v>-13</v>
      </c>
      <c r="AD412" s="604" t="s">
        <v>1665</v>
      </c>
    </row>
    <row r="413" spans="4:30" x14ac:dyDescent="0.2">
      <c r="D413" s="228"/>
      <c r="F413" s="228" t="s">
        <v>1443</v>
      </c>
      <c r="G413" s="228"/>
      <c r="H413" s="228"/>
      <c r="I413" s="295">
        <v>4</v>
      </c>
      <c r="J413" s="231" t="s">
        <v>390</v>
      </c>
      <c r="K413" s="580">
        <v>240</v>
      </c>
      <c r="L413" s="232">
        <v>130</v>
      </c>
      <c r="M413" s="232"/>
      <c r="N413" s="232"/>
      <c r="O413" s="232">
        <f t="shared" si="236"/>
        <v>370</v>
      </c>
      <c r="P413" s="233">
        <f t="shared" si="228"/>
        <v>1480</v>
      </c>
      <c r="Q413" s="291" t="str">
        <f t="shared" si="237"/>
        <v>manual</v>
      </c>
      <c r="S413" s="143">
        <f t="shared" si="229"/>
        <v>0</v>
      </c>
      <c r="X413" s="143">
        <f t="shared" si="230"/>
        <v>0</v>
      </c>
      <c r="AD413" s="604"/>
    </row>
    <row r="414" spans="4:30" x14ac:dyDescent="0.2">
      <c r="D414" s="228"/>
      <c r="E414" s="228"/>
      <c r="F414" s="228" t="s">
        <v>1667</v>
      </c>
      <c r="G414" s="228"/>
      <c r="H414" s="228"/>
      <c r="I414" s="295">
        <v>1</v>
      </c>
      <c r="J414" s="231" t="s">
        <v>390</v>
      </c>
      <c r="K414" s="580">
        <v>110</v>
      </c>
      <c r="L414" s="232">
        <v>50</v>
      </c>
      <c r="M414" s="232"/>
      <c r="N414" s="232"/>
      <c r="O414" s="232">
        <f t="shared" ref="O414" si="238">SUM(K414:N414)*embed</f>
        <v>160</v>
      </c>
      <c r="P414" s="233">
        <f t="shared" si="228"/>
        <v>160</v>
      </c>
      <c r="Q414" s="291" t="str">
        <f t="shared" si="237"/>
        <v>manual</v>
      </c>
      <c r="S414" s="143">
        <f t="shared" si="229"/>
        <v>0</v>
      </c>
      <c r="X414" s="143">
        <f t="shared" si="230"/>
        <v>0</v>
      </c>
      <c r="AD414" s="604"/>
    </row>
    <row r="415" spans="4:30" x14ac:dyDescent="0.2">
      <c r="D415" s="228"/>
      <c r="E415" s="228"/>
      <c r="F415" s="228"/>
      <c r="G415" s="228"/>
      <c r="H415" s="228"/>
      <c r="I415" s="295"/>
      <c r="J415" s="231"/>
      <c r="K415" s="580">
        <f>R415*tax*markup*IF(Y415&lt;&gt;"",VLOOKUP(LEFT(Y415,2),cityindex,2,0),1)</f>
        <v>0</v>
      </c>
      <c r="L415" s="232">
        <f>S415*markup*difficulty*IF(Y415&lt;&gt;"",VLOOKUP(LEFT(Y415,2),cityindex,3,0),1)</f>
        <v>0</v>
      </c>
      <c r="M415" s="232">
        <f>W415*markup*difficulty*IF(Y415&lt;&gt;"",VLOOKUP(LEFT(Y415,2),cityindex,3,0),1)</f>
        <v>0</v>
      </c>
      <c r="N415" s="232"/>
      <c r="O415" s="232">
        <f>SUM(K415:N415)*embed</f>
        <v>0</v>
      </c>
      <c r="P415" s="233">
        <f>ROUND((O415*I415),0)</f>
        <v>0</v>
      </c>
      <c r="Q415" s="291">
        <f>IF(O415=0,0,IF(X415=0,"manual",(O415/(R415*tax*markup*IF(Y415&lt;&gt;"",VLOOKUP(LEFT(Y415,2),cityindex,2,0),1)+S415*markup*difficulty*IF(Y415&lt;&gt;"",VLOOKUP(LEFT(Y415,2),cityindex,3,0),1)+W415*markup*difficulty*IF(Y415&lt;&gt;"",VLOOKUP(LEFT(Y415,2),cityindex,3,0),1)))-1))</f>
        <v>0</v>
      </c>
      <c r="S415" s="143">
        <f>U415*V415</f>
        <v>0</v>
      </c>
      <c r="X415" s="143">
        <f>SUM(R415,S415,W415)</f>
        <v>0</v>
      </c>
      <c r="AD415" s="604"/>
    </row>
    <row r="416" spans="4:30" x14ac:dyDescent="0.2">
      <c r="D416" s="228"/>
      <c r="E416" s="1" t="s">
        <v>1448</v>
      </c>
      <c r="F416" s="228"/>
      <c r="G416" s="228"/>
      <c r="H416" s="228"/>
      <c r="I416" s="295"/>
      <c r="J416" s="231"/>
      <c r="K416" s="580">
        <f>R416*tax*markup*IF(Y416&lt;&gt;"",VLOOKUP(LEFT(Y416,2),cityindex,2,0),1)</f>
        <v>0</v>
      </c>
      <c r="L416" s="232">
        <f>S416*markup*difficulty*IF(Y416&lt;&gt;"",VLOOKUP(LEFT(Y416,2),cityindex,3,0),1)</f>
        <v>0</v>
      </c>
      <c r="M416" s="232">
        <f t="shared" ref="M416:M423" si="239">W416*markup*difficulty*IF(Y416&lt;&gt;"",VLOOKUP(LEFT(Y416,2),cityindex,3,0),1)</f>
        <v>0</v>
      </c>
      <c r="N416" s="232"/>
      <c r="O416" s="232">
        <f t="shared" si="236"/>
        <v>0</v>
      </c>
      <c r="P416" s="233">
        <f t="shared" si="228"/>
        <v>0</v>
      </c>
      <c r="Q416" s="291">
        <f t="shared" si="237"/>
        <v>0</v>
      </c>
      <c r="S416" s="143">
        <f t="shared" si="229"/>
        <v>0</v>
      </c>
      <c r="X416" s="143">
        <f t="shared" si="230"/>
        <v>0</v>
      </c>
      <c r="AD416" s="604"/>
    </row>
    <row r="417" spans="4:30" x14ac:dyDescent="0.2">
      <c r="D417" s="228"/>
      <c r="E417" s="228"/>
      <c r="F417" s="1" t="s">
        <v>1452</v>
      </c>
      <c r="G417" s="1"/>
      <c r="H417" s="1"/>
      <c r="I417" s="28">
        <v>1</v>
      </c>
      <c r="J417" s="231" t="s">
        <v>390</v>
      </c>
      <c r="K417" s="580">
        <v>1440</v>
      </c>
      <c r="L417" s="232">
        <v>1300</v>
      </c>
      <c r="M417" s="232">
        <v>670</v>
      </c>
      <c r="N417" s="232"/>
      <c r="O417" s="232">
        <f>SUM(K417:N417)*embed</f>
        <v>3410</v>
      </c>
      <c r="P417" s="233">
        <f>ROUND((O417*I417),0)</f>
        <v>3410</v>
      </c>
      <c r="Q417" s="291" t="str">
        <f>IF(O417=0,0,IF(X417=0,"manual",(O417/(R417*tax*markup*IF(Y417&lt;&gt;"",VLOOKUP(LEFT(Y417,2),cityindex,2,0),1)+S417*markup*difficulty*IF(Y417&lt;&gt;"",VLOOKUP(LEFT(Y417,2),cityindex,3,0),1)+W417*markup*difficulty*IF(Y417&lt;&gt;"",VLOOKUP(LEFT(Y417,2),cityindex,3,0),1)))-1))</f>
        <v>manual</v>
      </c>
      <c r="S417" s="143">
        <f>U417*V417</f>
        <v>0</v>
      </c>
      <c r="X417" s="143">
        <f>SUM(R417,S417,W417)</f>
        <v>0</v>
      </c>
      <c r="AD417" s="604" t="s">
        <v>1313</v>
      </c>
    </row>
    <row r="418" spans="4:30" x14ac:dyDescent="0.2">
      <c r="D418" s="228"/>
      <c r="E418" s="228"/>
      <c r="F418" s="1" t="s">
        <v>1454</v>
      </c>
      <c r="G418" s="582"/>
      <c r="H418" s="582"/>
      <c r="I418" s="28">
        <f>ROUNDUP(I422/75,0)</f>
        <v>8</v>
      </c>
      <c r="J418" s="231" t="s">
        <v>390</v>
      </c>
      <c r="K418" s="580">
        <v>242</v>
      </c>
      <c r="L418" s="232">
        <v>65</v>
      </c>
      <c r="M418" s="232"/>
      <c r="N418" s="232"/>
      <c r="O418" s="232">
        <f>SUM(K418:N418)*embed</f>
        <v>307</v>
      </c>
      <c r="P418" s="233">
        <f>ROUND((O418*I418),0)</f>
        <v>2456</v>
      </c>
      <c r="Q418" s="291" t="str">
        <f>IF(O418=0,0,IF(X418=0,"manual",(O418/(R418*tax*markup*IF(Y418&lt;&gt;"",VLOOKUP(LEFT(Y418,2),cityindex,2,0),1)+S418*markup*difficulty*IF(Y418&lt;&gt;"",VLOOKUP(LEFT(Y418,2),cityindex,3,0),1)+W418*markup*difficulty*IF(Y418&lt;&gt;"",VLOOKUP(LEFT(Y418,2),cityindex,3,0),1)))-1))</f>
        <v>manual</v>
      </c>
      <c r="S418" s="143">
        <f>U418*V418</f>
        <v>0</v>
      </c>
      <c r="X418" s="143">
        <f>SUM(R418,S418,W418)</f>
        <v>0</v>
      </c>
      <c r="AC418" s="143">
        <f>I418-[1]SITE!$I$338</f>
        <v>7</v>
      </c>
      <c r="AD418" s="604" t="s">
        <v>1647</v>
      </c>
    </row>
    <row r="419" spans="4:30" x14ac:dyDescent="0.2">
      <c r="D419" s="228"/>
      <c r="E419" s="228"/>
      <c r="F419" s="228" t="s">
        <v>1455</v>
      </c>
      <c r="G419" s="228"/>
      <c r="H419" s="228"/>
      <c r="I419" s="295">
        <v>1</v>
      </c>
      <c r="J419" s="231" t="s">
        <v>390</v>
      </c>
      <c r="K419" s="580">
        <v>2790</v>
      </c>
      <c r="L419" s="232">
        <v>100</v>
      </c>
      <c r="M419" s="232">
        <v>710</v>
      </c>
      <c r="N419" s="232"/>
      <c r="O419" s="232">
        <f>SUM(K419:N419)*embed</f>
        <v>3600</v>
      </c>
      <c r="P419" s="233">
        <f>ROUND((O419*I419),0)</f>
        <v>3600</v>
      </c>
      <c r="Q419" s="291" t="str">
        <f>IF(O419=0,0,IF(X419=0,"manual",(O419/(R419*tax*markup*IF(Y419&lt;&gt;"",VLOOKUP(LEFT(Y419,2),cityindex,2,0),1)+S419*markup*difficulty*IF(Y419&lt;&gt;"",VLOOKUP(LEFT(Y419,2),cityindex,3,0),1)+W419*markup*difficulty*IF(Y419&lt;&gt;"",VLOOKUP(LEFT(Y419,2),cityindex,3,0),1)))-1))</f>
        <v>manual</v>
      </c>
      <c r="S419" s="143">
        <f>U419*V419</f>
        <v>0</v>
      </c>
      <c r="X419" s="143">
        <f>SUM(R419,S419,W419)</f>
        <v>0</v>
      </c>
      <c r="AD419" s="604" t="s">
        <v>1313</v>
      </c>
    </row>
    <row r="420" spans="4:30" x14ac:dyDescent="0.2">
      <c r="D420" s="228"/>
      <c r="F420" s="228" t="s">
        <v>1449</v>
      </c>
      <c r="G420" s="228"/>
      <c r="H420" s="228"/>
      <c r="I420" s="295"/>
      <c r="J420" s="231"/>
      <c r="K420" s="580"/>
      <c r="L420" s="232"/>
      <c r="M420" s="232">
        <f t="shared" si="239"/>
        <v>0</v>
      </c>
      <c r="N420" s="232"/>
      <c r="O420" s="232">
        <f t="shared" si="236"/>
        <v>0</v>
      </c>
      <c r="P420" s="233">
        <f t="shared" si="228"/>
        <v>0</v>
      </c>
      <c r="Q420" s="291">
        <f t="shared" si="237"/>
        <v>0</v>
      </c>
      <c r="S420" s="143">
        <f t="shared" si="229"/>
        <v>0</v>
      </c>
      <c r="X420" s="143">
        <f t="shared" si="230"/>
        <v>0</v>
      </c>
      <c r="AD420" s="604"/>
    </row>
    <row r="421" spans="4:30" x14ac:dyDescent="0.2">
      <c r="D421" s="228"/>
      <c r="F421" s="228"/>
      <c r="G421" s="228" t="s">
        <v>1440</v>
      </c>
      <c r="H421" s="228"/>
      <c r="I421" s="295"/>
      <c r="J421" s="231"/>
      <c r="K421" s="580" t="s">
        <v>1450</v>
      </c>
      <c r="L421" s="232"/>
      <c r="M421" s="232">
        <f t="shared" si="239"/>
        <v>0</v>
      </c>
      <c r="N421" s="232"/>
      <c r="O421" s="232">
        <f t="shared" si="236"/>
        <v>0</v>
      </c>
      <c r="P421" s="233">
        <f t="shared" si="228"/>
        <v>0</v>
      </c>
      <c r="Q421" s="291">
        <f t="shared" si="237"/>
        <v>0</v>
      </c>
      <c r="S421" s="143">
        <f t="shared" si="229"/>
        <v>0</v>
      </c>
      <c r="X421" s="143">
        <f t="shared" si="230"/>
        <v>0</v>
      </c>
      <c r="AD421" s="604"/>
    </row>
    <row r="422" spans="4:30" x14ac:dyDescent="0.2">
      <c r="D422" s="228"/>
      <c r="F422" s="228"/>
      <c r="G422" s="228"/>
      <c r="H422" s="228" t="s">
        <v>599</v>
      </c>
      <c r="I422" s="295">
        <v>558</v>
      </c>
      <c r="J422" s="231" t="s">
        <v>309</v>
      </c>
      <c r="K422" s="580">
        <v>26.05</v>
      </c>
      <c r="L422" s="232">
        <v>10.24</v>
      </c>
      <c r="M422" s="232">
        <f t="shared" si="239"/>
        <v>0</v>
      </c>
      <c r="N422" s="232"/>
      <c r="O422" s="232">
        <f t="shared" si="236"/>
        <v>36.29</v>
      </c>
      <c r="P422" s="233">
        <f t="shared" si="228"/>
        <v>20250</v>
      </c>
      <c r="Q422" s="291" t="str">
        <f t="shared" si="237"/>
        <v>manual</v>
      </c>
      <c r="S422" s="143">
        <f t="shared" si="229"/>
        <v>0</v>
      </c>
      <c r="X422" s="143">
        <f t="shared" si="230"/>
        <v>0</v>
      </c>
      <c r="AC422" s="143">
        <f>I422-[1]SITE!$I$334</f>
        <v>-54.700000000000045</v>
      </c>
      <c r="AD422" s="604" t="s">
        <v>1665</v>
      </c>
    </row>
    <row r="423" spans="4:30" x14ac:dyDescent="0.2">
      <c r="D423" s="228"/>
      <c r="F423" s="228"/>
      <c r="G423" s="228"/>
      <c r="H423" s="228" t="s">
        <v>1451</v>
      </c>
      <c r="I423" s="295">
        <v>330</v>
      </c>
      <c r="J423" s="231" t="s">
        <v>309</v>
      </c>
      <c r="K423" s="580">
        <v>47.66</v>
      </c>
      <c r="L423" s="232">
        <v>12.67</v>
      </c>
      <c r="M423" s="232">
        <f t="shared" si="239"/>
        <v>0</v>
      </c>
      <c r="N423" s="232"/>
      <c r="O423" s="232">
        <f t="shared" si="236"/>
        <v>60.33</v>
      </c>
      <c r="P423" s="233">
        <f t="shared" si="228"/>
        <v>19909</v>
      </c>
      <c r="Q423" s="291" t="str">
        <f t="shared" si="237"/>
        <v>manual</v>
      </c>
      <c r="S423" s="143">
        <f t="shared" si="229"/>
        <v>0</v>
      </c>
      <c r="X423" s="143">
        <f t="shared" si="230"/>
        <v>0</v>
      </c>
      <c r="AC423" s="143">
        <f>I423-[1]SITE!$I$335</f>
        <v>-31.900000000000034</v>
      </c>
      <c r="AD423" s="604" t="s">
        <v>1665</v>
      </c>
    </row>
    <row r="424" spans="4:30" x14ac:dyDescent="0.2">
      <c r="D424" s="228"/>
      <c r="E424" s="228"/>
      <c r="F424" s="1" t="s">
        <v>1453</v>
      </c>
      <c r="G424" s="1"/>
      <c r="H424" s="1"/>
      <c r="I424" s="28">
        <v>3</v>
      </c>
      <c r="J424" s="231" t="s">
        <v>390</v>
      </c>
      <c r="K424" s="580">
        <v>410</v>
      </c>
      <c r="L424" s="232">
        <v>50</v>
      </c>
      <c r="M424" s="232"/>
      <c r="N424" s="232"/>
      <c r="O424" s="232">
        <f t="shared" si="236"/>
        <v>460</v>
      </c>
      <c r="P424" s="233">
        <f t="shared" si="228"/>
        <v>1380</v>
      </c>
      <c r="Q424" s="291" t="str">
        <f t="shared" si="237"/>
        <v>manual</v>
      </c>
      <c r="S424" s="143">
        <f t="shared" si="229"/>
        <v>0</v>
      </c>
      <c r="X424" s="143">
        <f t="shared" si="230"/>
        <v>0</v>
      </c>
      <c r="AC424" s="143">
        <f>I424-[1]SITE!$I$337</f>
        <v>-5</v>
      </c>
      <c r="AD424" s="604" t="s">
        <v>1665</v>
      </c>
    </row>
    <row r="425" spans="4:30" x14ac:dyDescent="0.2">
      <c r="D425" s="228"/>
      <c r="E425" s="228"/>
      <c r="F425" s="228"/>
      <c r="G425" s="228"/>
      <c r="H425" s="228"/>
      <c r="I425" s="295"/>
      <c r="J425" s="231"/>
      <c r="K425" s="580">
        <f>R425*tax*markup*IF(Y425&lt;&gt;"",VLOOKUP(LEFT(Y425,2),cityindex,2,0),1)</f>
        <v>0</v>
      </c>
      <c r="L425" s="232">
        <f>S425*markup*difficulty*IF(Y425&lt;&gt;"",VLOOKUP(LEFT(Y425,2),cityindex,3,0),1)</f>
        <v>0</v>
      </c>
      <c r="M425" s="232">
        <f t="shared" ref="M425:M434" si="240">W425*markup*difficulty*IF(Y425&lt;&gt;"",VLOOKUP(LEFT(Y425,2),cityindex,3,0),1)</f>
        <v>0</v>
      </c>
      <c r="N425" s="232"/>
      <c r="O425" s="232">
        <f t="shared" si="236"/>
        <v>0</v>
      </c>
      <c r="P425" s="233">
        <f t="shared" si="228"/>
        <v>0</v>
      </c>
      <c r="Q425" s="291">
        <f t="shared" si="237"/>
        <v>0</v>
      </c>
      <c r="S425" s="143">
        <f t="shared" si="229"/>
        <v>0</v>
      </c>
      <c r="X425" s="143">
        <f t="shared" si="230"/>
        <v>0</v>
      </c>
      <c r="AD425" s="604"/>
    </row>
    <row r="426" spans="4:30" x14ac:dyDescent="0.2">
      <c r="D426" s="228"/>
      <c r="E426" s="228" t="s">
        <v>1456</v>
      </c>
      <c r="F426" s="228"/>
      <c r="G426" s="228"/>
      <c r="H426" s="228"/>
      <c r="I426" s="295"/>
      <c r="J426" s="231"/>
      <c r="K426" s="580">
        <f>R426*tax*markup*IF(Y426&lt;&gt;"",VLOOKUP(LEFT(Y426,2),cityindex,2,0),1)</f>
        <v>0</v>
      </c>
      <c r="L426" s="232">
        <f>S426*markup*difficulty*IF(Y426&lt;&gt;"",VLOOKUP(LEFT(Y426,2),cityindex,3,0),1)</f>
        <v>0</v>
      </c>
      <c r="M426" s="232">
        <f t="shared" si="240"/>
        <v>0</v>
      </c>
      <c r="N426" s="232"/>
      <c r="O426" s="232">
        <f t="shared" si="236"/>
        <v>0</v>
      </c>
      <c r="P426" s="233">
        <f t="shared" si="228"/>
        <v>0</v>
      </c>
      <c r="Q426" s="291">
        <f t="shared" si="237"/>
        <v>0</v>
      </c>
      <c r="S426" s="143">
        <f t="shared" si="229"/>
        <v>0</v>
      </c>
      <c r="X426" s="143">
        <f t="shared" si="230"/>
        <v>0</v>
      </c>
      <c r="AD426" s="604"/>
    </row>
    <row r="427" spans="4:30" x14ac:dyDescent="0.2">
      <c r="D427" s="228"/>
      <c r="F427" s="228" t="s">
        <v>1461</v>
      </c>
      <c r="G427" s="228"/>
      <c r="H427" s="228"/>
      <c r="I427" s="295">
        <v>1</v>
      </c>
      <c r="J427" s="231" t="s">
        <v>390</v>
      </c>
      <c r="K427" s="580">
        <v>3640</v>
      </c>
      <c r="L427" s="232">
        <v>310</v>
      </c>
      <c r="M427" s="232"/>
      <c r="N427" s="232"/>
      <c r="O427" s="232">
        <f>SUM(K427:N427)*embed</f>
        <v>3950</v>
      </c>
      <c r="P427" s="233">
        <f>ROUND((O427*I427),0)</f>
        <v>3950</v>
      </c>
      <c r="Q427" s="291" t="str">
        <f>IF(O427=0,0,IF(X427=0,"manual",(O427/(R427*tax*markup*IF(Y427&lt;&gt;"",VLOOKUP(LEFT(Y427,2),cityindex,2,0),1)+S427*markup*difficulty*IF(Y427&lt;&gt;"",VLOOKUP(LEFT(Y427,2),cityindex,3,0),1)+W427*markup*difficulty*IF(Y427&lt;&gt;"",VLOOKUP(LEFT(Y427,2),cityindex,3,0),1)))-1))</f>
        <v>manual</v>
      </c>
      <c r="S427" s="143">
        <f>U427*V427</f>
        <v>0</v>
      </c>
      <c r="X427" s="143">
        <f>SUM(R427,S427,W427)</f>
        <v>0</v>
      </c>
      <c r="AC427" s="143">
        <f>I427-[1]SITE!I346</f>
        <v>0</v>
      </c>
      <c r="AD427" s="604"/>
    </row>
    <row r="428" spans="4:30" x14ac:dyDescent="0.2">
      <c r="D428" s="228"/>
      <c r="E428" s="228"/>
      <c r="F428" s="228" t="s">
        <v>1457</v>
      </c>
      <c r="G428" s="228"/>
      <c r="H428" s="228"/>
      <c r="I428" s="295"/>
      <c r="J428" s="231"/>
      <c r="K428" s="580"/>
      <c r="L428" s="232">
        <f>S428*markup*difficulty*IF(Y428&lt;&gt;"",VLOOKUP(LEFT(Y428,2),cityindex,3,0),1)</f>
        <v>0</v>
      </c>
      <c r="M428" s="232">
        <f t="shared" si="240"/>
        <v>0</v>
      </c>
      <c r="N428" s="232"/>
      <c r="O428" s="232">
        <f t="shared" si="236"/>
        <v>0</v>
      </c>
      <c r="P428" s="233">
        <f t="shared" si="228"/>
        <v>0</v>
      </c>
      <c r="Q428" s="291">
        <f t="shared" si="237"/>
        <v>0</v>
      </c>
      <c r="S428" s="143">
        <f t="shared" si="229"/>
        <v>0</v>
      </c>
      <c r="X428" s="143">
        <f t="shared" si="230"/>
        <v>0</v>
      </c>
      <c r="AD428" s="604"/>
    </row>
    <row r="429" spans="4:30" x14ac:dyDescent="0.2">
      <c r="D429" s="228"/>
      <c r="E429" s="228"/>
      <c r="F429" s="228"/>
      <c r="G429" s="228" t="s">
        <v>599</v>
      </c>
      <c r="H429" s="228"/>
      <c r="I429" s="312">
        <v>54</v>
      </c>
      <c r="J429" s="232" t="s">
        <v>309</v>
      </c>
      <c r="K429" s="583">
        <f>94.85*0.9*0.9*0.5</f>
        <v>38.414249999999996</v>
      </c>
      <c r="L429" s="232">
        <v>22.96</v>
      </c>
      <c r="M429" s="232">
        <f t="shared" ref="M429" si="241">W429*markup*difficulty*IF(Y429&lt;&gt;"",VLOOKUP(LEFT(Y429,2),cityindex,3,0),1)</f>
        <v>0</v>
      </c>
      <c r="N429" s="232"/>
      <c r="O429" s="232">
        <f t="shared" ref="O429:O434" si="242">SUM(J429:N429)*embed</f>
        <v>61.374249999999996</v>
      </c>
      <c r="P429" s="233">
        <f t="shared" ref="P429" si="243">ROUND((O429*I429),0)</f>
        <v>3314</v>
      </c>
      <c r="Q429" s="291" t="str">
        <f t="shared" ref="Q429" si="244">IF(O429=0,0,IF(X429=0,"manual",(O429/(R429*tax*markup*IF(Y429&lt;&gt;"",VLOOKUP(LEFT(Y429,2),cityindex,2,0),1)+S429*markup*difficulty*IF(Y429&lt;&gt;"",VLOOKUP(LEFT(Y429,2),cityindex,3,0),1)+W429*markup*difficulty*IF(Y429&lt;&gt;"",VLOOKUP(LEFT(Y429,2),cityindex,3,0),1)))-1))</f>
        <v>manual</v>
      </c>
      <c r="S429" s="143">
        <f t="shared" ref="S429" si="245">U429*V429</f>
        <v>0</v>
      </c>
      <c r="X429" s="143">
        <f t="shared" ref="X429" si="246">SUM(R429,S429,W429)</f>
        <v>0</v>
      </c>
      <c r="AD429" s="604" t="s">
        <v>1316</v>
      </c>
    </row>
    <row r="430" spans="4:30" x14ac:dyDescent="0.2">
      <c r="D430" s="228"/>
      <c r="E430" s="228"/>
      <c r="F430" s="228"/>
      <c r="G430" s="228" t="s">
        <v>1451</v>
      </c>
      <c r="H430" s="228"/>
      <c r="I430" s="312">
        <v>371</v>
      </c>
      <c r="J430" s="232" t="s">
        <v>309</v>
      </c>
      <c r="K430" s="583">
        <f>94.85*0.9*0.9</f>
        <v>76.828499999999991</v>
      </c>
      <c r="L430" s="232">
        <v>22.96</v>
      </c>
      <c r="M430" s="232">
        <f t="shared" si="240"/>
        <v>0</v>
      </c>
      <c r="N430" s="232"/>
      <c r="O430" s="232">
        <f t="shared" si="242"/>
        <v>99.788499999999999</v>
      </c>
      <c r="P430" s="233">
        <f t="shared" si="228"/>
        <v>37022</v>
      </c>
      <c r="Q430" s="291" t="str">
        <f t="shared" si="237"/>
        <v>manual</v>
      </c>
      <c r="S430" s="143">
        <f t="shared" si="229"/>
        <v>0</v>
      </c>
      <c r="X430" s="143">
        <f t="shared" si="230"/>
        <v>0</v>
      </c>
      <c r="AD430" s="604" t="s">
        <v>1316</v>
      </c>
    </row>
    <row r="431" spans="4:30" x14ac:dyDescent="0.2">
      <c r="D431" s="228"/>
      <c r="E431" s="228"/>
      <c r="F431" s="228"/>
      <c r="G431" s="228" t="s">
        <v>1114</v>
      </c>
      <c r="H431" s="228"/>
      <c r="I431" s="312">
        <v>55</v>
      </c>
      <c r="J431" s="232" t="s">
        <v>309</v>
      </c>
      <c r="K431" s="583">
        <f>94.85*0.9</f>
        <v>85.364999999999995</v>
      </c>
      <c r="L431" s="232">
        <v>22.96</v>
      </c>
      <c r="M431" s="232">
        <f t="shared" ref="M431" si="247">W431*markup*difficulty*IF(Y431&lt;&gt;"",VLOOKUP(LEFT(Y431,2),cityindex,3,0),1)</f>
        <v>0</v>
      </c>
      <c r="N431" s="232"/>
      <c r="O431" s="232">
        <f t="shared" si="242"/>
        <v>108.32499999999999</v>
      </c>
      <c r="P431" s="233">
        <f t="shared" ref="P431" si="248">ROUND((O431*I431),0)</f>
        <v>5958</v>
      </c>
      <c r="Q431" s="291" t="str">
        <f t="shared" ref="Q431" si="249">IF(O431=0,0,IF(X431=0,"manual",(O431/(R431*tax*markup*IF(Y431&lt;&gt;"",VLOOKUP(LEFT(Y431,2),cityindex,2,0),1)+S431*markup*difficulty*IF(Y431&lt;&gt;"",VLOOKUP(LEFT(Y431,2),cityindex,3,0),1)+W431*markup*difficulty*IF(Y431&lt;&gt;"",VLOOKUP(LEFT(Y431,2),cityindex,3,0),1)))-1))</f>
        <v>manual</v>
      </c>
      <c r="S431" s="143">
        <f t="shared" ref="S431" si="250">U431*V431</f>
        <v>0</v>
      </c>
      <c r="X431" s="143">
        <f t="shared" ref="X431" si="251">SUM(R431,S431,W431)</f>
        <v>0</v>
      </c>
      <c r="AD431" s="604" t="s">
        <v>1316</v>
      </c>
    </row>
    <row r="432" spans="4:30" x14ac:dyDescent="0.2">
      <c r="D432" s="228"/>
      <c r="E432" s="228"/>
      <c r="F432" s="228"/>
      <c r="G432" s="228" t="s">
        <v>1458</v>
      </c>
      <c r="H432" s="228"/>
      <c r="I432" s="312">
        <v>112</v>
      </c>
      <c r="J432" s="232" t="s">
        <v>309</v>
      </c>
      <c r="K432" s="583">
        <v>94.85</v>
      </c>
      <c r="L432" s="232">
        <v>22.96</v>
      </c>
      <c r="M432" s="232">
        <f t="shared" si="240"/>
        <v>0</v>
      </c>
      <c r="N432" s="232"/>
      <c r="O432" s="232">
        <f t="shared" si="242"/>
        <v>117.81</v>
      </c>
      <c r="P432" s="233">
        <f t="shared" si="228"/>
        <v>13195</v>
      </c>
      <c r="Q432" s="291" t="str">
        <f t="shared" si="237"/>
        <v>manual</v>
      </c>
      <c r="S432" s="143">
        <f t="shared" si="229"/>
        <v>0</v>
      </c>
      <c r="X432" s="143">
        <f t="shared" si="230"/>
        <v>0</v>
      </c>
      <c r="AC432" s="143">
        <f>I432-[1]SITE!I343</f>
        <v>-7</v>
      </c>
      <c r="AD432" s="604" t="s">
        <v>1665</v>
      </c>
    </row>
    <row r="433" spans="4:30" x14ac:dyDescent="0.2">
      <c r="D433" s="228"/>
      <c r="E433" s="228"/>
      <c r="F433" s="228"/>
      <c r="G433" s="228" t="s">
        <v>1459</v>
      </c>
      <c r="H433" s="228"/>
      <c r="I433" s="312">
        <v>75</v>
      </c>
      <c r="J433" s="232" t="s">
        <v>309</v>
      </c>
      <c r="K433" s="583">
        <v>149.08000000000001</v>
      </c>
      <c r="L433" s="232">
        <v>27.7</v>
      </c>
      <c r="M433" s="232">
        <f t="shared" si="240"/>
        <v>0</v>
      </c>
      <c r="N433" s="232"/>
      <c r="O433" s="232">
        <f t="shared" si="242"/>
        <v>176.78</v>
      </c>
      <c r="P433" s="233">
        <f t="shared" si="228"/>
        <v>13259</v>
      </c>
      <c r="Q433" s="291" t="str">
        <f t="shared" si="237"/>
        <v>manual</v>
      </c>
      <c r="S433" s="143">
        <f t="shared" si="229"/>
        <v>0</v>
      </c>
      <c r="X433" s="143">
        <f t="shared" si="230"/>
        <v>0</v>
      </c>
      <c r="AC433" s="143">
        <f>I433-[1]SITE!I344</f>
        <v>-8</v>
      </c>
      <c r="AD433" s="604" t="s">
        <v>1665</v>
      </c>
    </row>
    <row r="434" spans="4:30" x14ac:dyDescent="0.2">
      <c r="D434" s="228"/>
      <c r="E434" s="228"/>
      <c r="F434" s="228"/>
      <c r="G434" s="228" t="s">
        <v>1460</v>
      </c>
      <c r="H434" s="228"/>
      <c r="I434" s="312">
        <v>292</v>
      </c>
      <c r="J434" s="232" t="s">
        <v>309</v>
      </c>
      <c r="K434" s="583">
        <v>190.7</v>
      </c>
      <c r="L434" s="232">
        <v>27.7</v>
      </c>
      <c r="M434" s="232">
        <f t="shared" si="240"/>
        <v>0</v>
      </c>
      <c r="N434" s="232"/>
      <c r="O434" s="232">
        <f t="shared" si="242"/>
        <v>218.39999999999998</v>
      </c>
      <c r="P434" s="233">
        <f t="shared" si="228"/>
        <v>63773</v>
      </c>
      <c r="Q434" s="291" t="str">
        <f t="shared" si="237"/>
        <v>manual</v>
      </c>
      <c r="S434" s="143">
        <f t="shared" si="229"/>
        <v>0</v>
      </c>
      <c r="X434" s="143">
        <f t="shared" si="230"/>
        <v>0</v>
      </c>
      <c r="AC434" s="143">
        <f>I434-[1]SITE!I345</f>
        <v>-6</v>
      </c>
      <c r="AD434" s="604" t="s">
        <v>1665</v>
      </c>
    </row>
    <row r="435" spans="4:30" ht="12.75" customHeight="1" x14ac:dyDescent="0.2">
      <c r="F435" s="143" t="s">
        <v>1671</v>
      </c>
      <c r="I435" s="146">
        <v>2</v>
      </c>
      <c r="J435" s="147" t="s">
        <v>390</v>
      </c>
      <c r="K435" s="296">
        <f>R435*tax*markup*IF(Y435&lt;&gt;"",VLOOKUP(LEFT(Y435,2),cityindex,2,0),1)+943</f>
        <v>943</v>
      </c>
      <c r="L435" s="296">
        <f>S435*markup*difficulty*IF(Y435&lt;&gt;"",VLOOKUP(LEFT(Y435,2),cityindex,3,0),1)+640.28</f>
        <v>640.28</v>
      </c>
      <c r="M435" s="296">
        <f t="shared" ref="M435" si="252">W435*markup*difficulty*IF(Y435&lt;&gt;"",VLOOKUP(LEFT(Y435,2),cityindex,3,0),1)</f>
        <v>0</v>
      </c>
      <c r="N435" s="149"/>
      <c r="O435" s="149">
        <f t="shared" ref="O435:O442" si="253">SUM(K435:N435)*embed</f>
        <v>1583.28</v>
      </c>
      <c r="P435" s="216">
        <f>ROUND((O435*I435),0)</f>
        <v>3167</v>
      </c>
      <c r="Q435" s="291" t="str">
        <f>IF(O435=0,0,IF(X435=0,"manual",(O435/(R435*tax*markup*IF(Y435&lt;&gt;"",VLOOKUP(LEFT(Y435,2),cityindex,2,0),1)+S435*markup*difficulty*IF(Y435&lt;&gt;"",VLOOKUP(LEFT(Y435,2),cityindex,3,0),1)+W435*markup*difficulty*IF(Y435&lt;&gt;"",VLOOKUP(LEFT(Y435,2),cityindex,3,0),1)))-1))</f>
        <v>manual</v>
      </c>
      <c r="S435" s="143">
        <f t="shared" si="229"/>
        <v>0</v>
      </c>
      <c r="X435" s="143">
        <f t="shared" si="230"/>
        <v>0</v>
      </c>
      <c r="Z435" s="143"/>
      <c r="AA435" s="143"/>
      <c r="AB435" s="143"/>
      <c r="AD435" s="604" t="s">
        <v>1316</v>
      </c>
    </row>
    <row r="436" spans="4:30" x14ac:dyDescent="0.2">
      <c r="D436" s="228"/>
      <c r="F436" s="228" t="s">
        <v>1672</v>
      </c>
      <c r="G436" s="228"/>
      <c r="H436" s="228"/>
      <c r="I436" s="295">
        <v>2</v>
      </c>
      <c r="J436" s="231" t="s">
        <v>390</v>
      </c>
      <c r="K436" s="580">
        <v>2680</v>
      </c>
      <c r="L436" s="232">
        <v>500</v>
      </c>
      <c r="M436" s="232"/>
      <c r="N436" s="232"/>
      <c r="O436" s="232">
        <f t="shared" si="253"/>
        <v>3180</v>
      </c>
      <c r="P436" s="233">
        <f t="shared" ref="P436" si="254">ROUND((O436*I436),0)</f>
        <v>6360</v>
      </c>
      <c r="Q436" s="291" t="str">
        <f t="shared" si="237"/>
        <v>manual</v>
      </c>
      <c r="S436" s="143">
        <f t="shared" si="229"/>
        <v>0</v>
      </c>
      <c r="X436" s="143">
        <f t="shared" si="230"/>
        <v>0</v>
      </c>
      <c r="AD436" s="604" t="s">
        <v>1313</v>
      </c>
    </row>
    <row r="437" spans="4:30" x14ac:dyDescent="0.2">
      <c r="D437" s="228"/>
      <c r="E437" s="228"/>
      <c r="F437" s="228"/>
      <c r="G437" s="228"/>
      <c r="H437" s="228"/>
      <c r="I437" s="295"/>
      <c r="J437" s="231"/>
      <c r="K437" s="580">
        <f>R437*tax*markup*IF(Y437&lt;&gt;"",VLOOKUP(LEFT(Y437,2),cityindex,2,0),1)</f>
        <v>0</v>
      </c>
      <c r="L437" s="232">
        <f>S437*markup*difficulty*IF(Y437&lt;&gt;"",VLOOKUP(LEFT(Y437,2),cityindex,3,0),1)</f>
        <v>0</v>
      </c>
      <c r="M437" s="232">
        <f>W437*markup*difficulty*IF(Y437&lt;&gt;"",VLOOKUP(LEFT(Y437,2),cityindex,3,0),1)</f>
        <v>0</v>
      </c>
      <c r="N437" s="232"/>
      <c r="O437" s="232">
        <f t="shared" si="253"/>
        <v>0</v>
      </c>
      <c r="P437" s="233">
        <f t="shared" ref="P437:P442" si="255">ROUND((O437*I437),0)</f>
        <v>0</v>
      </c>
      <c r="Q437" s="291">
        <f t="shared" si="237"/>
        <v>0</v>
      </c>
      <c r="S437" s="143">
        <f t="shared" si="229"/>
        <v>0</v>
      </c>
      <c r="X437" s="143">
        <f t="shared" si="230"/>
        <v>0</v>
      </c>
      <c r="AD437" s="604" t="s">
        <v>1673</v>
      </c>
    </row>
    <row r="438" spans="4:30" x14ac:dyDescent="0.2">
      <c r="D438" s="228"/>
      <c r="E438" s="228" t="s">
        <v>1087</v>
      </c>
      <c r="F438" s="228"/>
      <c r="G438" s="228"/>
      <c r="H438" s="228"/>
      <c r="I438" s="230"/>
      <c r="J438" s="231"/>
      <c r="K438" s="232"/>
      <c r="L438" s="232"/>
      <c r="M438" s="232"/>
      <c r="N438" s="232"/>
      <c r="O438" s="232">
        <f t="shared" si="253"/>
        <v>0</v>
      </c>
      <c r="P438" s="233">
        <f t="shared" si="255"/>
        <v>0</v>
      </c>
      <c r="Q438" s="298">
        <f>IF(O438=0,0,IF(X438=0,"manual",(O438/(R438*tax*markup*IF(Y438&lt;&gt;"",VLOOKUP(LEFT(Y438,2),cityindex,2,0),1)+S438*markup*difficulty*IF(Y438&lt;&gt;"",VLOOKUP(LEFT(Y438,2),cityindex,3,0),1)+W438*markup*difficulty*IF(Y438&lt;&gt;"",VLOOKUP(LEFT(Y438,2),cityindex,3,0),1)))-1))</f>
        <v>0</v>
      </c>
      <c r="S438" s="143">
        <f>U438*V438</f>
        <v>0</v>
      </c>
      <c r="X438" s="143">
        <f>SUM(R438,S438,W438)</f>
        <v>0</v>
      </c>
      <c r="Z438" s="143"/>
      <c r="AA438" s="143"/>
      <c r="AB438" s="143"/>
      <c r="AD438" s="604"/>
    </row>
    <row r="439" spans="4:30" x14ac:dyDescent="0.2">
      <c r="D439" s="228"/>
      <c r="E439" s="228"/>
      <c r="F439" s="228" t="s">
        <v>1088</v>
      </c>
      <c r="G439" s="228"/>
      <c r="H439" s="228"/>
      <c r="I439" s="230"/>
      <c r="J439" s="231"/>
      <c r="K439" s="232"/>
      <c r="L439" s="232"/>
      <c r="M439" s="232"/>
      <c r="N439" s="232"/>
      <c r="O439" s="232">
        <f t="shared" si="253"/>
        <v>0</v>
      </c>
      <c r="P439" s="233">
        <f t="shared" si="255"/>
        <v>0</v>
      </c>
      <c r="Q439" s="298">
        <f>IF(O439=0,0,IF(X439=0,"manual",(O439/(R439*tax*markup*IF(Y439&lt;&gt;"",VLOOKUP(LEFT(Y439,2),cityindex,2,0),1)+S439*markup*difficulty*IF(Y439&lt;&gt;"",VLOOKUP(LEFT(Y439,2),cityindex,3,0),1)+W439*markup*difficulty*IF(Y439&lt;&gt;"",VLOOKUP(LEFT(Y439,2),cityindex,3,0),1)))-1))</f>
        <v>0</v>
      </c>
      <c r="S439" s="143">
        <f>U439*V439</f>
        <v>0</v>
      </c>
      <c r="X439" s="143">
        <f>SUM(R439,S439,W439)</f>
        <v>0</v>
      </c>
      <c r="Z439" s="143"/>
      <c r="AA439" s="143"/>
      <c r="AB439" s="143"/>
      <c r="AD439" s="604"/>
    </row>
    <row r="440" spans="4:30" x14ac:dyDescent="0.2">
      <c r="D440" s="228"/>
      <c r="E440" s="228"/>
      <c r="F440" s="228"/>
      <c r="G440" s="228" t="s">
        <v>1838</v>
      </c>
      <c r="H440" s="228"/>
      <c r="I440" s="230">
        <v>1</v>
      </c>
      <c r="J440" s="231" t="s">
        <v>390</v>
      </c>
      <c r="K440" s="232">
        <v>1800</v>
      </c>
      <c r="L440" s="232">
        <v>2500</v>
      </c>
      <c r="M440" s="232">
        <f>W440*markup*difficulty*IF(Y440&lt;&gt;"",VLOOKUP(LEFT(Y440,2),cityindex,3,0),1)</f>
        <v>0</v>
      </c>
      <c r="N440" s="232"/>
      <c r="O440" s="232">
        <f>SUM(K440:N440)*embed</f>
        <v>4300</v>
      </c>
      <c r="P440" s="233">
        <f t="shared" si="255"/>
        <v>4300</v>
      </c>
      <c r="Q440" s="298" t="str">
        <f>IF(O440=0,0,IF(X440=0,"manual",(O440/(R440*tax*markup*IF(Y440&lt;&gt;"",VLOOKUP(LEFT(Y440,2),cityindex,2,0),1)+S440*markup*difficulty*IF(Y440&lt;&gt;"",VLOOKUP(LEFT(Y440,2),cityindex,3,0),1)+W440*markup*difficulty*IF(Y440&lt;&gt;"",VLOOKUP(LEFT(Y440,2),cityindex,3,0),1)))-1))</f>
        <v>manual</v>
      </c>
      <c r="S440" s="143">
        <f>U440*V440</f>
        <v>0</v>
      </c>
      <c r="X440" s="143">
        <f>SUM(R440,S440,W440)</f>
        <v>0</v>
      </c>
      <c r="Z440" s="143"/>
      <c r="AA440" s="143"/>
      <c r="AB440" s="143"/>
      <c r="AD440" s="604"/>
    </row>
    <row r="441" spans="4:30" x14ac:dyDescent="0.2">
      <c r="D441" s="228"/>
      <c r="E441" s="228"/>
      <c r="F441" s="228"/>
      <c r="G441" s="228" t="s">
        <v>1839</v>
      </c>
      <c r="H441" s="228"/>
      <c r="I441" s="230">
        <v>1</v>
      </c>
      <c r="J441" s="231" t="s">
        <v>390</v>
      </c>
      <c r="K441" s="232">
        <v>30885.88</v>
      </c>
      <c r="L441" s="232">
        <v>7512.04</v>
      </c>
      <c r="M441" s="232"/>
      <c r="N441" s="232">
        <v>10000</v>
      </c>
      <c r="O441" s="232">
        <f t="shared" si="253"/>
        <v>48397.919999999998</v>
      </c>
      <c r="P441" s="233">
        <f t="shared" si="255"/>
        <v>48398</v>
      </c>
      <c r="Q441" s="298" t="str">
        <f>IF(O441=0,0,IF(X441=0,"manual",(O441/(R441*tax*markup*IF(Y441&lt;&gt;"",VLOOKUP(LEFT(Y441,2),cityindex,2,0),1)+S441*markup*difficulty*IF(Y441&lt;&gt;"",VLOOKUP(LEFT(Y441,2),cityindex,3,0),1)+W441*markup*difficulty*IF(Y441&lt;&gt;"",VLOOKUP(LEFT(Y441,2),cityindex,3,0),1)))-1))</f>
        <v>manual</v>
      </c>
      <c r="S441" s="143">
        <f>U441*V441</f>
        <v>0</v>
      </c>
      <c r="X441" s="143">
        <f>SUM(R441,S441,W441)</f>
        <v>0</v>
      </c>
      <c r="Z441" s="143"/>
      <c r="AA441" s="143"/>
      <c r="AB441" s="143"/>
      <c r="AD441" s="604"/>
    </row>
    <row r="442" spans="4:30" x14ac:dyDescent="0.2">
      <c r="D442" s="228"/>
      <c r="E442" s="228"/>
      <c r="F442" s="228"/>
      <c r="G442" s="228" t="s">
        <v>1089</v>
      </c>
      <c r="H442" s="228"/>
      <c r="I442" s="230">
        <v>400</v>
      </c>
      <c r="J442" s="231" t="s">
        <v>309</v>
      </c>
      <c r="K442" s="232"/>
      <c r="L442" s="232"/>
      <c r="M442" s="232">
        <v>0.1</v>
      </c>
      <c r="N442" s="232">
        <v>245</v>
      </c>
      <c r="O442" s="232">
        <f t="shared" si="253"/>
        <v>245.1</v>
      </c>
      <c r="P442" s="233">
        <f t="shared" si="255"/>
        <v>98040</v>
      </c>
      <c r="Q442" s="298" t="str">
        <f>IF(O442=0,0,IF(X442=0,"manual",(O442/(R442*tax*markup*IF(Y442&lt;&gt;"",VLOOKUP(LEFT(Y442,2),cityindex,2,0),1)+S442*markup*difficulty*IF(Y442&lt;&gt;"",VLOOKUP(LEFT(Y442,2),cityindex,3,0),1)+W442*markup*difficulty*IF(Y442&lt;&gt;"",VLOOKUP(LEFT(Y442,2),cityindex,3,0),1)))-1))</f>
        <v>manual</v>
      </c>
      <c r="S442" s="143">
        <f>U442*V442</f>
        <v>0</v>
      </c>
      <c r="X442" s="143">
        <f>SUM(R442,S442,W442)</f>
        <v>0</v>
      </c>
      <c r="Z442" s="143"/>
      <c r="AA442" s="143"/>
      <c r="AB442" s="143"/>
      <c r="AD442" s="604"/>
    </row>
    <row r="443" spans="4:30" x14ac:dyDescent="0.2">
      <c r="K443" s="149">
        <f t="shared" si="213"/>
        <v>0</v>
      </c>
      <c r="L443" s="149">
        <f t="shared" si="214"/>
        <v>0</v>
      </c>
      <c r="M443" s="149">
        <f t="shared" si="215"/>
        <v>0</v>
      </c>
      <c r="N443" s="149"/>
      <c r="O443" s="149">
        <f t="shared" si="216"/>
        <v>0</v>
      </c>
      <c r="P443" s="216">
        <f t="shared" si="217"/>
        <v>0</v>
      </c>
      <c r="Q443" s="291">
        <f t="shared" si="218"/>
        <v>0</v>
      </c>
      <c r="S443" s="143">
        <f t="shared" ref="S443:S460" si="256">U443*V443</f>
        <v>0</v>
      </c>
      <c r="X443" s="143">
        <f t="shared" ref="X443:X460" si="257">SUM(R443,S443,W443)</f>
        <v>0</v>
      </c>
      <c r="AD443" s="604"/>
    </row>
    <row r="444" spans="4:30" ht="24.75" customHeight="1" x14ac:dyDescent="0.2">
      <c r="D444" s="217" t="str">
        <f>"TOTAL - " &amp; D394</f>
        <v>TOTAL - 33  UTILITIES</v>
      </c>
      <c r="E444" s="217"/>
      <c r="F444" s="217"/>
      <c r="G444" s="217"/>
      <c r="H444" s="217"/>
      <c r="I444" s="218"/>
      <c r="J444" s="219"/>
      <c r="K444" s="220"/>
      <c r="L444" s="220"/>
      <c r="M444" s="220"/>
      <c r="N444" s="220"/>
      <c r="O444" s="221"/>
      <c r="P444" s="222">
        <f>SUM(P394:P443)</f>
        <v>413694</v>
      </c>
      <c r="Q444" s="294" t="str">
        <f>_xlfn.CONCAT(TEXT(SUM(P444/GFA),"$#,##0.00"),"/SF")</f>
        <v>$3.05/SF</v>
      </c>
      <c r="S444" s="143">
        <f t="shared" si="256"/>
        <v>0</v>
      </c>
      <c r="X444" s="143">
        <f t="shared" si="257"/>
        <v>0</v>
      </c>
      <c r="Z444" s="314"/>
      <c r="AA444" s="344">
        <f>P444/BUILDING!NetDirectCost</f>
        <v>5.703171861517755E-2</v>
      </c>
      <c r="AD444" s="604"/>
    </row>
    <row r="445" spans="4:30" hidden="1" x14ac:dyDescent="0.2">
      <c r="K445" s="149"/>
      <c r="L445" s="149"/>
      <c r="M445" s="149"/>
      <c r="N445" s="149"/>
      <c r="P445" s="216"/>
      <c r="Q445" s="291">
        <f t="shared" ref="Q445:Q459" si="258">IF(O445=0,0,IF(X445=0,"manual",O445/((R445*tax*markup*IF(Y445&lt;&gt;"",VLOOKUP(LEFT(Y445,2),cityindex,2,0),1))+S445*markup*difficulty*IF(Y445&lt;&gt;"",VLOOKUP(LEFT(Y445,2),cityindex,3,0),1)+W445*markup*difficulty*IF(Y445&lt;&gt;"",VLOOKUP(LEFT(Y445,2),cityindex,3,0),1))))</f>
        <v>0</v>
      </c>
      <c r="S445" s="143">
        <f t="shared" si="256"/>
        <v>0</v>
      </c>
      <c r="X445" s="143">
        <f t="shared" si="257"/>
        <v>0</v>
      </c>
    </row>
    <row r="446" spans="4:30" hidden="1" x14ac:dyDescent="0.2">
      <c r="D446" s="214" t="s">
        <v>290</v>
      </c>
      <c r="E446" s="215"/>
      <c r="F446" s="215"/>
      <c r="G446" s="215"/>
      <c r="H446" s="215"/>
      <c r="K446" s="149"/>
      <c r="L446" s="149"/>
      <c r="M446" s="149"/>
      <c r="N446" s="149"/>
      <c r="P446" s="216"/>
      <c r="Q446" s="291">
        <f t="shared" si="258"/>
        <v>0</v>
      </c>
      <c r="S446" s="143">
        <f t="shared" si="256"/>
        <v>0</v>
      </c>
      <c r="X446" s="143">
        <f t="shared" si="257"/>
        <v>0</v>
      </c>
    </row>
    <row r="447" spans="4:30" hidden="1" x14ac:dyDescent="0.2">
      <c r="K447" s="149">
        <f>R447*tax*markup*IF(Y447&lt;&gt;"",VLOOKUP(LEFT(Y447,2),cityindex,2,0),1)</f>
        <v>0</v>
      </c>
      <c r="L447" s="149">
        <f>S447*markup*difficulty*IF(Y447&lt;&gt;"",VLOOKUP(LEFT(Y447,2),cityindex,3,0),1)</f>
        <v>0</v>
      </c>
      <c r="M447" s="149">
        <f>W447*markup*difficulty*IF(Y447&lt;&gt;"",VLOOKUP(LEFT(Y447,2),cityindex,3,0),1)</f>
        <v>0</v>
      </c>
      <c r="N447" s="149"/>
      <c r="O447" s="149">
        <f>SUM(K447:N447)*embed</f>
        <v>0</v>
      </c>
      <c r="P447" s="216">
        <f>ROUND((O447*I447),0)</f>
        <v>0</v>
      </c>
      <c r="Q447" s="291">
        <f t="shared" si="258"/>
        <v>0</v>
      </c>
      <c r="S447" s="143">
        <f t="shared" si="256"/>
        <v>0</v>
      </c>
      <c r="X447" s="143">
        <f t="shared" si="257"/>
        <v>0</v>
      </c>
    </row>
    <row r="448" spans="4:30" ht="24.75" hidden="1" customHeight="1" x14ac:dyDescent="0.2">
      <c r="D448" s="217" t="str">
        <f>"TOTAL - " &amp; D446</f>
        <v>TOTAL - 34  TRANSPORTATION</v>
      </c>
      <c r="E448" s="217"/>
      <c r="F448" s="217"/>
      <c r="G448" s="217"/>
      <c r="H448" s="217"/>
      <c r="I448" s="218"/>
      <c r="J448" s="219"/>
      <c r="K448" s="220"/>
      <c r="L448" s="220"/>
      <c r="M448" s="220"/>
      <c r="N448" s="220"/>
      <c r="O448" s="221"/>
      <c r="P448" s="222">
        <f>SUM(P446:P447)</f>
        <v>0</v>
      </c>
      <c r="S448" s="143">
        <f t="shared" si="256"/>
        <v>0</v>
      </c>
      <c r="X448" s="143">
        <f t="shared" si="257"/>
        <v>0</v>
      </c>
      <c r="Z448" s="314">
        <f>P448/GFA</f>
        <v>0</v>
      </c>
      <c r="AA448" s="315"/>
    </row>
    <row r="449" spans="1:47" hidden="1" x14ac:dyDescent="0.2">
      <c r="K449" s="149"/>
      <c r="L449" s="149"/>
      <c r="M449" s="149"/>
      <c r="N449" s="149"/>
      <c r="P449" s="216"/>
      <c r="Q449" s="291">
        <f t="shared" si="258"/>
        <v>0</v>
      </c>
      <c r="S449" s="143">
        <f t="shared" si="256"/>
        <v>0</v>
      </c>
      <c r="X449" s="143">
        <f t="shared" si="257"/>
        <v>0</v>
      </c>
    </row>
    <row r="450" spans="1:47" hidden="1" x14ac:dyDescent="0.2">
      <c r="D450" s="214" t="s">
        <v>291</v>
      </c>
      <c r="E450" s="215"/>
      <c r="F450" s="215"/>
      <c r="G450" s="215"/>
      <c r="H450" s="215"/>
      <c r="K450" s="149"/>
      <c r="L450" s="149"/>
      <c r="M450" s="149"/>
      <c r="N450" s="149"/>
      <c r="P450" s="216"/>
      <c r="Q450" s="291">
        <f t="shared" si="258"/>
        <v>0</v>
      </c>
      <c r="S450" s="143">
        <f t="shared" si="256"/>
        <v>0</v>
      </c>
      <c r="X450" s="143">
        <f t="shared" si="257"/>
        <v>0</v>
      </c>
    </row>
    <row r="451" spans="1:47" hidden="1" x14ac:dyDescent="0.2">
      <c r="K451" s="149">
        <f>R451*tax*markup*IF(Y451&lt;&gt;"",VLOOKUP(LEFT(Y451,2),cityindex,2,0),1)</f>
        <v>0</v>
      </c>
      <c r="L451" s="149">
        <f>S451*markup*difficulty*IF(Y451&lt;&gt;"",VLOOKUP(LEFT(Y451,2),cityindex,3,0),1)</f>
        <v>0</v>
      </c>
      <c r="M451" s="149">
        <f>W451*markup*difficulty*IF(Y451&lt;&gt;"",VLOOKUP(LEFT(Y451,2),cityindex,3,0),1)</f>
        <v>0</v>
      </c>
      <c r="N451" s="149"/>
      <c r="O451" s="149">
        <f>SUM(K451:N451)*embed</f>
        <v>0</v>
      </c>
      <c r="P451" s="216">
        <f>ROUND((O451*I451),0)</f>
        <v>0</v>
      </c>
      <c r="Q451" s="291">
        <f t="shared" si="258"/>
        <v>0</v>
      </c>
      <c r="S451" s="143">
        <f t="shared" si="256"/>
        <v>0</v>
      </c>
      <c r="X451" s="143">
        <f t="shared" si="257"/>
        <v>0</v>
      </c>
    </row>
    <row r="452" spans="1:47" ht="24.75" hidden="1" customHeight="1" x14ac:dyDescent="0.2">
      <c r="D452" s="217" t="str">
        <f>"TOTAL - " &amp; D450</f>
        <v>TOTAL - 35  WATERWAY AND MARINE</v>
      </c>
      <c r="E452" s="217"/>
      <c r="F452" s="217"/>
      <c r="G452" s="217"/>
      <c r="H452" s="217"/>
      <c r="I452" s="218"/>
      <c r="J452" s="219"/>
      <c r="K452" s="220"/>
      <c r="L452" s="220"/>
      <c r="M452" s="220"/>
      <c r="N452" s="220"/>
      <c r="O452" s="221"/>
      <c r="P452" s="222">
        <f>SUM(P450:P451)</f>
        <v>0</v>
      </c>
      <c r="S452" s="143">
        <f t="shared" si="256"/>
        <v>0</v>
      </c>
      <c r="X452" s="143">
        <f t="shared" si="257"/>
        <v>0</v>
      </c>
      <c r="Z452" s="314">
        <f>P452/GFA</f>
        <v>0</v>
      </c>
      <c r="AA452" s="315"/>
    </row>
    <row r="453" spans="1:47" hidden="1" x14ac:dyDescent="0.2">
      <c r="K453" s="149"/>
      <c r="L453" s="149"/>
      <c r="M453" s="149"/>
      <c r="N453" s="149"/>
      <c r="P453" s="216"/>
      <c r="Q453" s="291">
        <f t="shared" si="258"/>
        <v>0</v>
      </c>
      <c r="S453" s="143">
        <f t="shared" si="256"/>
        <v>0</v>
      </c>
      <c r="X453" s="143">
        <f t="shared" si="257"/>
        <v>0</v>
      </c>
    </row>
    <row r="454" spans="1:47" hidden="1" x14ac:dyDescent="0.2">
      <c r="D454" s="214" t="s">
        <v>292</v>
      </c>
      <c r="E454" s="215"/>
      <c r="F454" s="215"/>
      <c r="G454" s="215"/>
      <c r="H454" s="215"/>
      <c r="K454" s="149"/>
      <c r="L454" s="149"/>
      <c r="M454" s="149"/>
      <c r="N454" s="149"/>
      <c r="P454" s="216"/>
      <c r="Q454" s="291">
        <f t="shared" si="258"/>
        <v>0</v>
      </c>
      <c r="S454" s="143">
        <f t="shared" si="256"/>
        <v>0</v>
      </c>
      <c r="X454" s="143">
        <f t="shared" si="257"/>
        <v>0</v>
      </c>
    </row>
    <row r="455" spans="1:47" hidden="1" x14ac:dyDescent="0.2">
      <c r="K455" s="149">
        <f>R455*tax*markup*IF(Y455&lt;&gt;"",VLOOKUP(LEFT(Y455,2),cityindex,2,0),1)</f>
        <v>0</v>
      </c>
      <c r="L455" s="149">
        <f>S455*markup*difficulty*IF(Y455&lt;&gt;"",VLOOKUP(LEFT(Y455,2),cityindex,3,0),1)</f>
        <v>0</v>
      </c>
      <c r="M455" s="149">
        <f>W455*markup*difficulty*IF(Y455&lt;&gt;"",VLOOKUP(LEFT(Y455,2),cityindex,3,0),1)</f>
        <v>0</v>
      </c>
      <c r="N455" s="149"/>
      <c r="O455" s="149">
        <f>SUM(K455:N455)*embed</f>
        <v>0</v>
      </c>
      <c r="P455" s="216">
        <f>ROUND((O455*I455),0)</f>
        <v>0</v>
      </c>
      <c r="Q455" s="291">
        <f t="shared" si="258"/>
        <v>0</v>
      </c>
      <c r="S455" s="143">
        <f t="shared" si="256"/>
        <v>0</v>
      </c>
      <c r="X455" s="143">
        <f t="shared" si="257"/>
        <v>0</v>
      </c>
    </row>
    <row r="456" spans="1:47" ht="24.75" hidden="1" customHeight="1" x14ac:dyDescent="0.2">
      <c r="D456" s="217" t="str">
        <f>"TOTAL - " &amp; D454</f>
        <v>TOTAL - 41  MATERIAL PROCESSING AND HANDLING EQUIPMENT</v>
      </c>
      <c r="E456" s="217"/>
      <c r="F456" s="217"/>
      <c r="G456" s="217"/>
      <c r="H456" s="217"/>
      <c r="I456" s="218"/>
      <c r="J456" s="219"/>
      <c r="K456" s="220"/>
      <c r="L456" s="220"/>
      <c r="M456" s="220"/>
      <c r="N456" s="220"/>
      <c r="O456" s="221"/>
      <c r="P456" s="222">
        <f>SUM(P454:P455)</f>
        <v>0</v>
      </c>
      <c r="S456" s="143">
        <f t="shared" si="256"/>
        <v>0</v>
      </c>
      <c r="X456" s="143">
        <f t="shared" si="257"/>
        <v>0</v>
      </c>
      <c r="Z456" s="314">
        <f>P456/GFA</f>
        <v>0</v>
      </c>
      <c r="AA456" s="315"/>
    </row>
    <row r="457" spans="1:47" hidden="1" x14ac:dyDescent="0.2">
      <c r="K457" s="149"/>
      <c r="L457" s="149"/>
      <c r="M457" s="149"/>
      <c r="N457" s="149"/>
      <c r="P457" s="216"/>
      <c r="Q457" s="291">
        <f t="shared" si="258"/>
        <v>0</v>
      </c>
      <c r="S457" s="143">
        <f t="shared" si="256"/>
        <v>0</v>
      </c>
      <c r="X457" s="143">
        <f t="shared" si="257"/>
        <v>0</v>
      </c>
    </row>
    <row r="458" spans="1:47" hidden="1" x14ac:dyDescent="0.2">
      <c r="D458" s="214" t="s">
        <v>293</v>
      </c>
      <c r="E458" s="215"/>
      <c r="F458" s="215"/>
      <c r="G458" s="215"/>
      <c r="H458" s="215"/>
      <c r="K458" s="149"/>
      <c r="L458" s="149"/>
      <c r="M458" s="149"/>
      <c r="N458" s="149"/>
      <c r="P458" s="216"/>
      <c r="Q458" s="291">
        <f t="shared" si="258"/>
        <v>0</v>
      </c>
      <c r="S458" s="143">
        <f t="shared" si="256"/>
        <v>0</v>
      </c>
      <c r="X458" s="143">
        <f t="shared" si="257"/>
        <v>0</v>
      </c>
    </row>
    <row r="459" spans="1:47" hidden="1" x14ac:dyDescent="0.2">
      <c r="K459" s="149">
        <f>R459*tax*markup*IF(Y459&lt;&gt;"",VLOOKUP(LEFT(Y459,2),cityindex,2,0),1)</f>
        <v>0</v>
      </c>
      <c r="L459" s="149">
        <f>S459*markup*difficulty*IF(Y459&lt;&gt;"",VLOOKUP(LEFT(Y459,2),cityindex,3,0),1)</f>
        <v>0</v>
      </c>
      <c r="M459" s="149">
        <f>W459*markup*difficulty*IF(Y459&lt;&gt;"",VLOOKUP(LEFT(Y459,2),cityindex,3,0),1)</f>
        <v>0</v>
      </c>
      <c r="N459" s="149"/>
      <c r="O459" s="149">
        <f>SUM(K459:N459)*embed</f>
        <v>0</v>
      </c>
      <c r="P459" s="216">
        <f>ROUND((O459*I459),0)</f>
        <v>0</v>
      </c>
      <c r="Q459" s="291">
        <f t="shared" si="258"/>
        <v>0</v>
      </c>
      <c r="S459" s="143">
        <f t="shared" si="256"/>
        <v>0</v>
      </c>
      <c r="X459" s="143">
        <f t="shared" si="257"/>
        <v>0</v>
      </c>
    </row>
    <row r="460" spans="1:47" ht="24.75" hidden="1" customHeight="1" x14ac:dyDescent="0.2">
      <c r="D460" s="217" t="str">
        <f>"TOTAL - " &amp; D458</f>
        <v>TOTAL - 44  POLLUTION CONTROL EQUIPMENT</v>
      </c>
      <c r="E460" s="217"/>
      <c r="F460" s="217"/>
      <c r="G460" s="217"/>
      <c r="H460" s="217"/>
      <c r="I460" s="218"/>
      <c r="J460" s="219"/>
      <c r="K460" s="220"/>
      <c r="L460" s="220"/>
      <c r="M460" s="220"/>
      <c r="N460" s="220"/>
      <c r="O460" s="221"/>
      <c r="P460" s="222">
        <f>SUM(P458:P459)</f>
        <v>0</v>
      </c>
      <c r="S460" s="143">
        <f t="shared" si="256"/>
        <v>0</v>
      </c>
      <c r="X460" s="143">
        <f t="shared" si="257"/>
        <v>0</v>
      </c>
      <c r="Z460" s="314">
        <f>P460/GFA</f>
        <v>0</v>
      </c>
      <c r="AA460" s="315"/>
    </row>
    <row r="461" spans="1:47" s="150" customFormat="1" x14ac:dyDescent="0.2">
      <c r="A461" s="143" t="s">
        <v>935</v>
      </c>
      <c r="B461" s="237" t="s">
        <v>936</v>
      </c>
      <c r="C461" s="145"/>
      <c r="D461" s="143"/>
      <c r="E461" s="143"/>
      <c r="F461" s="143"/>
      <c r="G461" s="143"/>
      <c r="H461" s="143"/>
      <c r="I461" s="146"/>
      <c r="J461" s="147"/>
      <c r="K461" s="148"/>
      <c r="L461" s="148"/>
      <c r="M461" s="148"/>
      <c r="N461" s="238"/>
      <c r="O461" s="149"/>
      <c r="P461" s="216"/>
      <c r="Q461" s="291"/>
      <c r="R461" s="143"/>
      <c r="S461" s="143"/>
      <c r="T461" s="143"/>
      <c r="U461" s="143"/>
      <c r="V461" s="143"/>
      <c r="W461" s="143"/>
      <c r="X461" s="143"/>
      <c r="Y461" s="143"/>
      <c r="Z461" s="311"/>
      <c r="AA461" s="311"/>
      <c r="AB461" s="311"/>
      <c r="AC461" s="143"/>
      <c r="AD461" s="602"/>
      <c r="AE461" s="143"/>
      <c r="AF461" s="143"/>
      <c r="AG461" s="143"/>
      <c r="AH461" s="143"/>
      <c r="AI461" s="143"/>
      <c r="AJ461" s="143"/>
      <c r="AK461" s="143"/>
      <c r="AL461" s="143"/>
      <c r="AM461" s="143"/>
      <c r="AN461" s="143"/>
      <c r="AO461" s="143"/>
      <c r="AP461" s="143"/>
      <c r="AQ461" s="143"/>
      <c r="AR461" s="143"/>
      <c r="AS461" s="143"/>
      <c r="AT461" s="143"/>
      <c r="AU461" s="143"/>
    </row>
    <row r="462" spans="1:47" s="150" customFormat="1" x14ac:dyDescent="0.2">
      <c r="A462" s="143"/>
      <c r="B462" s="144"/>
      <c r="C462" s="145"/>
      <c r="D462" s="143"/>
      <c r="E462" s="143"/>
      <c r="F462" s="143"/>
      <c r="G462" s="143"/>
      <c r="H462" s="143"/>
      <c r="I462" s="146"/>
      <c r="J462" s="147"/>
      <c r="K462" s="148"/>
      <c r="L462" s="148"/>
      <c r="M462" s="148"/>
      <c r="N462" s="238"/>
      <c r="O462" s="149"/>
      <c r="P462" s="216"/>
      <c r="Q462" s="291"/>
      <c r="R462" s="143"/>
      <c r="S462" s="143"/>
      <c r="T462" s="143"/>
      <c r="U462" s="143"/>
      <c r="V462" s="143"/>
      <c r="W462" s="143"/>
      <c r="X462" s="143"/>
      <c r="Y462" s="143"/>
      <c r="Z462" s="311"/>
      <c r="AA462" s="311"/>
      <c r="AB462" s="311"/>
      <c r="AC462" s="143"/>
      <c r="AD462" s="602"/>
      <c r="AE462" s="143"/>
      <c r="AF462" s="143"/>
      <c r="AG462" s="143"/>
      <c r="AH462" s="143"/>
      <c r="AI462" s="143"/>
      <c r="AJ462" s="143"/>
      <c r="AK462" s="143"/>
      <c r="AL462" s="143"/>
      <c r="AM462" s="143"/>
      <c r="AN462" s="143"/>
      <c r="AO462" s="143"/>
      <c r="AP462" s="143"/>
      <c r="AQ462" s="143"/>
      <c r="AR462" s="143"/>
      <c r="AS462" s="143"/>
      <c r="AT462" s="143"/>
      <c r="AU462" s="143"/>
    </row>
    <row r="463" spans="1:47" s="150" customFormat="1" x14ac:dyDescent="0.2">
      <c r="A463" s="143"/>
      <c r="B463" s="144"/>
      <c r="C463" s="145"/>
      <c r="D463" s="143"/>
      <c r="E463" s="143"/>
      <c r="F463" s="143"/>
      <c r="G463" s="143"/>
      <c r="H463" s="143"/>
      <c r="I463" s="146"/>
      <c r="J463" s="147"/>
      <c r="K463" s="148"/>
      <c r="L463" s="148"/>
      <c r="M463" s="148"/>
      <c r="N463" s="148"/>
      <c r="O463" s="149"/>
      <c r="P463" s="216"/>
      <c r="Q463" s="291"/>
      <c r="R463" s="143"/>
      <c r="S463" s="143"/>
      <c r="T463" s="143"/>
      <c r="U463" s="143"/>
      <c r="V463" s="143"/>
      <c r="W463" s="143"/>
      <c r="X463" s="143"/>
      <c r="Y463" s="143"/>
      <c r="Z463" s="311"/>
      <c r="AA463" s="311"/>
      <c r="AB463" s="311"/>
      <c r="AC463" s="143"/>
      <c r="AD463" s="602"/>
      <c r="AE463" s="143"/>
      <c r="AF463" s="143"/>
      <c r="AG463" s="143"/>
      <c r="AH463" s="143"/>
      <c r="AI463" s="143"/>
      <c r="AJ463" s="143"/>
      <c r="AK463" s="143"/>
      <c r="AL463" s="143"/>
      <c r="AM463" s="143"/>
      <c r="AN463" s="143"/>
      <c r="AO463" s="143"/>
      <c r="AP463" s="143"/>
      <c r="AQ463" s="143"/>
      <c r="AR463" s="143"/>
      <c r="AS463" s="143"/>
      <c r="AT463" s="143"/>
      <c r="AU463" s="143"/>
    </row>
    <row r="464" spans="1:47" s="150" customFormat="1" x14ac:dyDescent="0.2">
      <c r="A464" s="143"/>
      <c r="B464" s="144"/>
      <c r="C464" s="145"/>
      <c r="D464" s="143"/>
      <c r="E464" s="143"/>
      <c r="F464" s="143"/>
      <c r="G464" s="143"/>
      <c r="H464" s="143"/>
      <c r="I464" s="146"/>
      <c r="J464" s="147"/>
      <c r="K464" s="148"/>
      <c r="L464" s="148"/>
      <c r="M464" s="148"/>
      <c r="N464" s="148"/>
      <c r="O464" s="149"/>
      <c r="P464" s="216"/>
      <c r="Q464" s="291"/>
      <c r="R464" s="143"/>
      <c r="S464" s="143"/>
      <c r="T464" s="143"/>
      <c r="U464" s="143"/>
      <c r="V464" s="143"/>
      <c r="W464" s="143"/>
      <c r="X464" s="143"/>
      <c r="Y464" s="143"/>
      <c r="Z464" s="311"/>
      <c r="AA464" s="311"/>
      <c r="AB464" s="311"/>
      <c r="AC464" s="143"/>
      <c r="AD464" s="602"/>
      <c r="AE464" s="143"/>
      <c r="AF464" s="143"/>
      <c r="AG464" s="143"/>
      <c r="AH464" s="143"/>
      <c r="AI464" s="143"/>
      <c r="AJ464" s="143"/>
      <c r="AK464" s="143"/>
      <c r="AL464" s="143"/>
      <c r="AM464" s="143"/>
      <c r="AN464" s="143"/>
      <c r="AO464" s="143"/>
      <c r="AP464" s="143"/>
      <c r="AQ464" s="143"/>
      <c r="AR464" s="143"/>
      <c r="AS464" s="143"/>
      <c r="AT464" s="143"/>
      <c r="AU464" s="143"/>
    </row>
    <row r="465" spans="1:47" s="150" customFormat="1" x14ac:dyDescent="0.2">
      <c r="A465" s="143"/>
      <c r="B465" s="144"/>
      <c r="C465" s="145"/>
      <c r="D465" s="143"/>
      <c r="E465" s="143"/>
      <c r="F465" s="143"/>
      <c r="G465" s="143"/>
      <c r="H465" s="143"/>
      <c r="I465" s="146"/>
      <c r="J465" s="147"/>
      <c r="K465" s="148"/>
      <c r="L465" s="148"/>
      <c r="M465" s="148"/>
      <c r="N465" s="148"/>
      <c r="O465" s="149"/>
      <c r="P465" s="216"/>
      <c r="Q465" s="291"/>
      <c r="R465" s="143"/>
      <c r="S465" s="143"/>
      <c r="T465" s="143"/>
      <c r="U465" s="143"/>
      <c r="V465" s="143"/>
      <c r="W465" s="143"/>
      <c r="X465" s="143"/>
      <c r="Y465" s="143"/>
      <c r="Z465" s="311"/>
      <c r="AA465" s="311"/>
      <c r="AB465" s="311"/>
      <c r="AC465" s="143"/>
      <c r="AD465" s="602"/>
      <c r="AE465" s="143"/>
      <c r="AF465" s="143"/>
      <c r="AG465" s="143"/>
      <c r="AH465" s="143"/>
      <c r="AI465" s="143"/>
      <c r="AJ465" s="143"/>
      <c r="AK465" s="143"/>
      <c r="AL465" s="143"/>
      <c r="AM465" s="143"/>
      <c r="AN465" s="143"/>
      <c r="AO465" s="143"/>
      <c r="AP465" s="143"/>
      <c r="AQ465" s="143"/>
      <c r="AR465" s="143"/>
      <c r="AS465" s="143"/>
      <c r="AT465" s="143"/>
      <c r="AU465" s="143"/>
    </row>
    <row r="466" spans="1:47" s="150" customFormat="1" x14ac:dyDescent="0.2">
      <c r="A466" s="143"/>
      <c r="B466" s="144"/>
      <c r="C466" s="145"/>
      <c r="D466" s="143"/>
      <c r="E466" s="143"/>
      <c r="F466" s="143"/>
      <c r="G466" s="143"/>
      <c r="H466" s="143"/>
      <c r="I466" s="146"/>
      <c r="J466" s="147"/>
      <c r="K466" s="148"/>
      <c r="L466" s="148"/>
      <c r="M466" s="148"/>
      <c r="N466" s="148"/>
      <c r="O466" s="149"/>
      <c r="P466" s="216"/>
      <c r="Q466" s="291"/>
      <c r="R466" s="143"/>
      <c r="S466" s="143"/>
      <c r="T466" s="143"/>
      <c r="U466" s="143"/>
      <c r="V466" s="143"/>
      <c r="W466" s="143"/>
      <c r="X466" s="143"/>
      <c r="Y466" s="143"/>
      <c r="Z466" s="311"/>
      <c r="AA466" s="311"/>
      <c r="AB466" s="311"/>
      <c r="AC466" s="143"/>
      <c r="AD466" s="602"/>
      <c r="AE466" s="143"/>
      <c r="AF466" s="143"/>
      <c r="AG466" s="143"/>
      <c r="AH466" s="143"/>
      <c r="AI466" s="143"/>
      <c r="AJ466" s="143"/>
      <c r="AK466" s="143"/>
      <c r="AL466" s="143"/>
      <c r="AM466" s="143"/>
      <c r="AN466" s="143"/>
      <c r="AO466" s="143"/>
      <c r="AP466" s="143"/>
      <c r="AQ466" s="143"/>
      <c r="AR466" s="143"/>
      <c r="AS466" s="143"/>
      <c r="AT466" s="143"/>
      <c r="AU466" s="143"/>
    </row>
    <row r="467" spans="1:47" s="150" customFormat="1" x14ac:dyDescent="0.2">
      <c r="A467" s="143"/>
      <c r="B467" s="144"/>
      <c r="C467" s="145"/>
      <c r="D467" s="143"/>
      <c r="E467" s="143"/>
      <c r="F467" s="143"/>
      <c r="G467" s="143"/>
      <c r="H467" s="143"/>
      <c r="I467" s="146"/>
      <c r="J467" s="147"/>
      <c r="K467" s="148"/>
      <c r="L467" s="148"/>
      <c r="M467" s="148"/>
      <c r="N467" s="148"/>
      <c r="O467" s="149"/>
      <c r="P467" s="216"/>
      <c r="Q467" s="291"/>
      <c r="R467" s="143"/>
      <c r="S467" s="143"/>
      <c r="T467" s="143"/>
      <c r="U467" s="143"/>
      <c r="V467" s="143"/>
      <c r="W467" s="143"/>
      <c r="X467" s="143"/>
      <c r="Y467" s="143"/>
      <c r="Z467" s="311"/>
      <c r="AA467" s="311"/>
      <c r="AB467" s="311"/>
      <c r="AC467" s="143"/>
      <c r="AD467" s="602"/>
      <c r="AE467" s="143"/>
      <c r="AF467" s="143"/>
      <c r="AG467" s="143"/>
      <c r="AH467" s="143"/>
      <c r="AI467" s="143"/>
      <c r="AJ467" s="143"/>
      <c r="AK467" s="143"/>
      <c r="AL467" s="143"/>
      <c r="AM467" s="143"/>
      <c r="AN467" s="143"/>
      <c r="AO467" s="143"/>
      <c r="AP467" s="143"/>
      <c r="AQ467" s="143"/>
      <c r="AR467" s="143"/>
      <c r="AS467" s="143"/>
      <c r="AT467" s="143"/>
      <c r="AU467" s="143"/>
    </row>
    <row r="468" spans="1:47" s="150" customFormat="1" x14ac:dyDescent="0.2">
      <c r="A468" s="143"/>
      <c r="B468" s="144"/>
      <c r="C468" s="145"/>
      <c r="D468" s="143"/>
      <c r="E468" s="143"/>
      <c r="F468" s="143"/>
      <c r="G468" s="143"/>
      <c r="H468" s="143"/>
      <c r="I468" s="146"/>
      <c r="J468" s="147"/>
      <c r="K468" s="148"/>
      <c r="L468" s="148"/>
      <c r="M468" s="148"/>
      <c r="N468" s="148"/>
      <c r="O468" s="149"/>
      <c r="P468" s="216"/>
      <c r="Q468" s="291"/>
      <c r="R468" s="143"/>
      <c r="S468" s="143"/>
      <c r="T468" s="143"/>
      <c r="U468" s="143"/>
      <c r="V468" s="143"/>
      <c r="W468" s="143"/>
      <c r="X468" s="143"/>
      <c r="Y468" s="143"/>
      <c r="Z468" s="311"/>
      <c r="AA468" s="311"/>
      <c r="AB468" s="311"/>
      <c r="AC468" s="143"/>
      <c r="AD468" s="602"/>
      <c r="AE468" s="143"/>
      <c r="AF468" s="143"/>
      <c r="AG468" s="143"/>
      <c r="AH468" s="143"/>
      <c r="AI468" s="143"/>
      <c r="AJ468" s="143"/>
      <c r="AK468" s="143"/>
      <c r="AL468" s="143"/>
      <c r="AM468" s="143"/>
      <c r="AN468" s="143"/>
      <c r="AO468" s="143"/>
      <c r="AP468" s="143"/>
      <c r="AQ468" s="143"/>
      <c r="AR468" s="143"/>
      <c r="AS468" s="143"/>
      <c r="AT468" s="143"/>
      <c r="AU468" s="143"/>
    </row>
    <row r="469" spans="1:47" s="150" customFormat="1" x14ac:dyDescent="0.2">
      <c r="A469" s="143"/>
      <c r="B469" s="144"/>
      <c r="C469" s="145"/>
      <c r="D469" s="143"/>
      <c r="E469" s="143"/>
      <c r="F469" s="143"/>
      <c r="G469" s="143"/>
      <c r="H469" s="143"/>
      <c r="I469" s="146"/>
      <c r="J469" s="147"/>
      <c r="K469" s="148"/>
      <c r="L469" s="148"/>
      <c r="M469" s="148"/>
      <c r="N469" s="148"/>
      <c r="O469" s="149"/>
      <c r="P469" s="216"/>
      <c r="Q469" s="291"/>
      <c r="R469" s="143"/>
      <c r="S469" s="143"/>
      <c r="T469" s="143"/>
      <c r="U469" s="143"/>
      <c r="V469" s="143"/>
      <c r="W469" s="143"/>
      <c r="X469" s="143"/>
      <c r="Y469" s="143"/>
      <c r="Z469" s="311"/>
      <c r="AA469" s="311"/>
      <c r="AB469" s="311"/>
      <c r="AC469" s="143"/>
      <c r="AD469" s="602"/>
      <c r="AE469" s="143"/>
      <c r="AF469" s="143"/>
      <c r="AG469" s="143"/>
      <c r="AH469" s="143"/>
      <c r="AI469" s="143"/>
      <c r="AJ469" s="143"/>
      <c r="AK469" s="143"/>
      <c r="AL469" s="143"/>
      <c r="AM469" s="143"/>
      <c r="AN469" s="143"/>
      <c r="AO469" s="143"/>
      <c r="AP469" s="143"/>
      <c r="AQ469" s="143"/>
      <c r="AR469" s="143"/>
      <c r="AS469" s="143"/>
      <c r="AT469" s="143"/>
      <c r="AU469" s="143"/>
    </row>
    <row r="470" spans="1:47" s="150" customFormat="1" x14ac:dyDescent="0.2">
      <c r="A470" s="143"/>
      <c r="B470" s="144"/>
      <c r="C470" s="145"/>
      <c r="D470" s="143"/>
      <c r="E470" s="143"/>
      <c r="F470" s="143"/>
      <c r="G470" s="143"/>
      <c r="H470" s="143"/>
      <c r="I470" s="146"/>
      <c r="J470" s="147"/>
      <c r="K470" s="148"/>
      <c r="L470" s="148"/>
      <c r="M470" s="148"/>
      <c r="N470" s="148"/>
      <c r="O470" s="149"/>
      <c r="P470" s="216"/>
      <c r="Q470" s="291"/>
      <c r="R470" s="143"/>
      <c r="S470" s="143"/>
      <c r="T470" s="143"/>
      <c r="U470" s="143"/>
      <c r="V470" s="143"/>
      <c r="W470" s="143"/>
      <c r="X470" s="143"/>
      <c r="Y470" s="143"/>
      <c r="Z470" s="311"/>
      <c r="AA470" s="311"/>
      <c r="AB470" s="311"/>
      <c r="AC470" s="143"/>
      <c r="AD470" s="602"/>
      <c r="AE470" s="143"/>
      <c r="AF470" s="143"/>
      <c r="AG470" s="143"/>
      <c r="AH470" s="143"/>
      <c r="AI470" s="143"/>
      <c r="AJ470" s="143"/>
      <c r="AK470" s="143"/>
      <c r="AL470" s="143"/>
      <c r="AM470" s="143"/>
      <c r="AN470" s="143"/>
      <c r="AO470" s="143"/>
      <c r="AP470" s="143"/>
      <c r="AQ470" s="143"/>
      <c r="AR470" s="143"/>
      <c r="AS470" s="143"/>
      <c r="AT470" s="143"/>
      <c r="AU470" s="143"/>
    </row>
    <row r="471" spans="1:47" s="150" customFormat="1" x14ac:dyDescent="0.2">
      <c r="A471" s="143"/>
      <c r="B471" s="144"/>
      <c r="C471" s="145"/>
      <c r="D471" s="143"/>
      <c r="E471" s="143"/>
      <c r="F471" s="143"/>
      <c r="G471" s="143"/>
      <c r="H471" s="143"/>
      <c r="I471" s="146"/>
      <c r="J471" s="147"/>
      <c r="K471" s="148"/>
      <c r="L471" s="148"/>
      <c r="M471" s="148"/>
      <c r="N471" s="148"/>
      <c r="O471" s="149"/>
      <c r="P471" s="216"/>
      <c r="Q471" s="291"/>
      <c r="R471" s="143"/>
      <c r="S471" s="143"/>
      <c r="T471" s="143"/>
      <c r="U471" s="143"/>
      <c r="V471" s="143"/>
      <c r="W471" s="143"/>
      <c r="X471" s="143"/>
      <c r="Y471" s="143"/>
      <c r="Z471" s="311"/>
      <c r="AA471" s="311"/>
      <c r="AB471" s="311"/>
      <c r="AC471" s="143"/>
      <c r="AD471" s="602"/>
      <c r="AE471" s="143"/>
      <c r="AF471" s="143"/>
      <c r="AG471" s="143"/>
      <c r="AH471" s="143"/>
      <c r="AI471" s="143"/>
      <c r="AJ471" s="143"/>
      <c r="AK471" s="143"/>
      <c r="AL471" s="143"/>
      <c r="AM471" s="143"/>
      <c r="AN471" s="143"/>
      <c r="AO471" s="143"/>
      <c r="AP471" s="143"/>
      <c r="AQ471" s="143"/>
      <c r="AR471" s="143"/>
      <c r="AS471" s="143"/>
      <c r="AT471" s="143"/>
      <c r="AU471" s="143"/>
    </row>
    <row r="472" spans="1:47" s="150" customFormat="1" x14ac:dyDescent="0.2">
      <c r="A472" s="143"/>
      <c r="B472" s="144"/>
      <c r="C472" s="145"/>
      <c r="D472" s="143"/>
      <c r="E472" s="143"/>
      <c r="F472" s="143"/>
      <c r="G472" s="143"/>
      <c r="H472" s="143"/>
      <c r="I472" s="146"/>
      <c r="J472" s="147"/>
      <c r="K472" s="148"/>
      <c r="L472" s="148"/>
      <c r="M472" s="148"/>
      <c r="N472" s="148"/>
      <c r="O472" s="149"/>
      <c r="P472" s="216"/>
      <c r="Q472" s="291"/>
      <c r="R472" s="143"/>
      <c r="S472" s="143"/>
      <c r="T472" s="143"/>
      <c r="U472" s="143"/>
      <c r="V472" s="143"/>
      <c r="W472" s="143"/>
      <c r="X472" s="143"/>
      <c r="Y472" s="143"/>
      <c r="Z472" s="311"/>
      <c r="AA472" s="311"/>
      <c r="AB472" s="311"/>
      <c r="AC472" s="143"/>
      <c r="AD472" s="602"/>
      <c r="AE472" s="143"/>
      <c r="AF472" s="143"/>
      <c r="AG472" s="143"/>
      <c r="AH472" s="143"/>
      <c r="AI472" s="143"/>
      <c r="AJ472" s="143"/>
      <c r="AK472" s="143"/>
      <c r="AL472" s="143"/>
      <c r="AM472" s="143"/>
      <c r="AN472" s="143"/>
      <c r="AO472" s="143"/>
      <c r="AP472" s="143"/>
      <c r="AQ472" s="143"/>
      <c r="AR472" s="143"/>
      <c r="AS472" s="143"/>
      <c r="AT472" s="143"/>
      <c r="AU472" s="143"/>
    </row>
    <row r="473" spans="1:47" s="150" customFormat="1" x14ac:dyDescent="0.2">
      <c r="A473" s="143"/>
      <c r="B473" s="144"/>
      <c r="C473" s="145"/>
      <c r="D473" s="143"/>
      <c r="E473" s="143"/>
      <c r="F473" s="143"/>
      <c r="G473" s="143"/>
      <c r="H473" s="143"/>
      <c r="I473" s="146"/>
      <c r="J473" s="147"/>
      <c r="K473" s="148"/>
      <c r="L473" s="148"/>
      <c r="M473" s="148"/>
      <c r="N473" s="148"/>
      <c r="O473" s="149"/>
      <c r="P473" s="216"/>
      <c r="Q473" s="291"/>
      <c r="R473" s="143"/>
      <c r="S473" s="143"/>
      <c r="T473" s="143"/>
      <c r="U473" s="143"/>
      <c r="V473" s="143"/>
      <c r="W473" s="143"/>
      <c r="X473" s="143"/>
      <c r="Y473" s="143"/>
      <c r="Z473" s="311"/>
      <c r="AA473" s="311"/>
      <c r="AB473" s="311"/>
      <c r="AC473" s="143"/>
      <c r="AD473" s="602"/>
      <c r="AE473" s="143"/>
      <c r="AF473" s="143"/>
      <c r="AG473" s="143"/>
      <c r="AH473" s="143"/>
      <c r="AI473" s="143"/>
      <c r="AJ473" s="143"/>
      <c r="AK473" s="143"/>
      <c r="AL473" s="143"/>
      <c r="AM473" s="143"/>
      <c r="AN473" s="143"/>
      <c r="AO473" s="143"/>
      <c r="AP473" s="143"/>
      <c r="AQ473" s="143"/>
      <c r="AR473" s="143"/>
      <c r="AS473" s="143"/>
      <c r="AT473" s="143"/>
      <c r="AU473" s="143"/>
    </row>
    <row r="474" spans="1:47" s="150" customFormat="1" x14ac:dyDescent="0.2">
      <c r="A474" s="143"/>
      <c r="B474" s="144"/>
      <c r="C474" s="145"/>
      <c r="D474" s="143"/>
      <c r="E474" s="143"/>
      <c r="F474" s="143"/>
      <c r="G474" s="143"/>
      <c r="H474" s="143"/>
      <c r="I474" s="146"/>
      <c r="J474" s="147"/>
      <c r="K474" s="148"/>
      <c r="L474" s="148"/>
      <c r="M474" s="148"/>
      <c r="N474" s="148"/>
      <c r="O474" s="149"/>
      <c r="P474" s="216"/>
      <c r="Q474" s="291"/>
      <c r="R474" s="143"/>
      <c r="S474" s="143"/>
      <c r="T474" s="143"/>
      <c r="U474" s="143"/>
      <c r="V474" s="143"/>
      <c r="W474" s="143"/>
      <c r="X474" s="143"/>
      <c r="Y474" s="143"/>
      <c r="Z474" s="311"/>
      <c r="AA474" s="311"/>
      <c r="AB474" s="311"/>
      <c r="AC474" s="143"/>
      <c r="AD474" s="602"/>
      <c r="AE474" s="143"/>
      <c r="AF474" s="143"/>
      <c r="AG474" s="143"/>
      <c r="AH474" s="143"/>
      <c r="AI474" s="143"/>
      <c r="AJ474" s="143"/>
      <c r="AK474" s="143"/>
      <c r="AL474" s="143"/>
      <c r="AM474" s="143"/>
      <c r="AN474" s="143"/>
      <c r="AO474" s="143"/>
      <c r="AP474" s="143"/>
      <c r="AQ474" s="143"/>
      <c r="AR474" s="143"/>
      <c r="AS474" s="143"/>
      <c r="AT474" s="143"/>
      <c r="AU474" s="143"/>
    </row>
    <row r="475" spans="1:47" s="150" customFormat="1" x14ac:dyDescent="0.2">
      <c r="A475" s="143"/>
      <c r="B475" s="144"/>
      <c r="C475" s="145"/>
      <c r="D475" s="143"/>
      <c r="E475" s="143"/>
      <c r="F475" s="143"/>
      <c r="G475" s="143"/>
      <c r="H475" s="143"/>
      <c r="I475" s="146"/>
      <c r="J475" s="147"/>
      <c r="K475" s="148"/>
      <c r="L475" s="148"/>
      <c r="M475" s="148"/>
      <c r="N475" s="148"/>
      <c r="O475" s="149"/>
      <c r="P475" s="216"/>
      <c r="Q475" s="291"/>
      <c r="R475" s="143"/>
      <c r="S475" s="143"/>
      <c r="T475" s="143"/>
      <c r="U475" s="143"/>
      <c r="V475" s="143"/>
      <c r="W475" s="143"/>
      <c r="X475" s="143"/>
      <c r="Y475" s="143"/>
      <c r="Z475" s="311"/>
      <c r="AA475" s="311"/>
      <c r="AB475" s="311"/>
      <c r="AC475" s="143"/>
      <c r="AD475" s="602"/>
      <c r="AE475" s="143"/>
      <c r="AF475" s="143"/>
      <c r="AG475" s="143"/>
      <c r="AH475" s="143"/>
      <c r="AI475" s="143"/>
      <c r="AJ475" s="143"/>
      <c r="AK475" s="143"/>
      <c r="AL475" s="143"/>
      <c r="AM475" s="143"/>
      <c r="AN475" s="143"/>
      <c r="AO475" s="143"/>
      <c r="AP475" s="143"/>
      <c r="AQ475" s="143"/>
      <c r="AR475" s="143"/>
      <c r="AS475" s="143"/>
      <c r="AT475" s="143"/>
      <c r="AU475" s="143"/>
    </row>
    <row r="476" spans="1:47" s="150" customFormat="1" x14ac:dyDescent="0.2">
      <c r="A476" s="143"/>
      <c r="B476" s="144"/>
      <c r="C476" s="145"/>
      <c r="D476" s="143"/>
      <c r="E476" s="143"/>
      <c r="F476" s="143"/>
      <c r="G476" s="143"/>
      <c r="H476" s="143"/>
      <c r="I476" s="146"/>
      <c r="J476" s="147"/>
      <c r="K476" s="148"/>
      <c r="L476" s="148"/>
      <c r="M476" s="148"/>
      <c r="N476" s="148"/>
      <c r="O476" s="149"/>
      <c r="P476" s="146"/>
      <c r="Q476" s="291"/>
      <c r="R476" s="143"/>
      <c r="S476" s="143"/>
      <c r="T476" s="143"/>
      <c r="U476" s="143"/>
      <c r="V476" s="143"/>
      <c r="W476" s="143"/>
      <c r="X476" s="143"/>
      <c r="Y476" s="143"/>
      <c r="Z476" s="311"/>
      <c r="AA476" s="311"/>
      <c r="AB476" s="311"/>
      <c r="AC476" s="143"/>
      <c r="AD476" s="602"/>
      <c r="AE476" s="143"/>
      <c r="AF476" s="143"/>
      <c r="AG476" s="143"/>
      <c r="AH476" s="143"/>
      <c r="AI476" s="143"/>
      <c r="AJ476" s="143"/>
      <c r="AK476" s="143"/>
      <c r="AL476" s="143"/>
      <c r="AM476" s="143"/>
      <c r="AN476" s="143"/>
      <c r="AO476" s="143"/>
      <c r="AP476" s="143"/>
      <c r="AQ476" s="143"/>
      <c r="AR476" s="143"/>
      <c r="AS476" s="143"/>
      <c r="AT476" s="143"/>
      <c r="AU476" s="143"/>
    </row>
    <row r="477" spans="1:47" s="150" customFormat="1" x14ac:dyDescent="0.2">
      <c r="A477" s="143"/>
      <c r="B477" s="144"/>
      <c r="C477" s="145"/>
      <c r="D477" s="143"/>
      <c r="E477" s="143"/>
      <c r="F477" s="143"/>
      <c r="G477" s="143"/>
      <c r="H477" s="143"/>
      <c r="I477" s="146"/>
      <c r="J477" s="147"/>
      <c r="K477" s="148"/>
      <c r="L477" s="148"/>
      <c r="M477" s="148"/>
      <c r="N477" s="148"/>
      <c r="O477" s="149"/>
      <c r="P477" s="146"/>
      <c r="Q477" s="291"/>
      <c r="R477" s="143"/>
      <c r="S477" s="143"/>
      <c r="T477" s="143"/>
      <c r="U477" s="143"/>
      <c r="V477" s="143"/>
      <c r="W477" s="143"/>
      <c r="X477" s="143"/>
      <c r="Y477" s="143"/>
      <c r="Z477" s="311"/>
      <c r="AA477" s="311"/>
      <c r="AB477" s="311"/>
      <c r="AC477" s="143"/>
      <c r="AD477" s="602"/>
      <c r="AE477" s="143"/>
      <c r="AF477" s="143"/>
      <c r="AG477" s="143"/>
      <c r="AH477" s="143"/>
      <c r="AI477" s="143"/>
      <c r="AJ477" s="143"/>
      <c r="AK477" s="143"/>
      <c r="AL477" s="143"/>
      <c r="AM477" s="143"/>
      <c r="AN477" s="143"/>
      <c r="AO477" s="143"/>
      <c r="AP477" s="143"/>
      <c r="AQ477" s="143"/>
      <c r="AR477" s="143"/>
      <c r="AS477" s="143"/>
      <c r="AT477" s="143"/>
      <c r="AU477" s="143"/>
    </row>
    <row r="478" spans="1:47" s="150" customFormat="1" x14ac:dyDescent="0.2">
      <c r="A478" s="143"/>
      <c r="B478" s="144"/>
      <c r="C478" s="145"/>
      <c r="D478" s="143"/>
      <c r="E478" s="143"/>
      <c r="F478" s="143"/>
      <c r="G478" s="143"/>
      <c r="H478" s="143"/>
      <c r="I478" s="146"/>
      <c r="J478" s="147"/>
      <c r="K478" s="148"/>
      <c r="L478" s="148"/>
      <c r="M478" s="148"/>
      <c r="N478" s="148"/>
      <c r="O478" s="149"/>
      <c r="P478" s="146"/>
      <c r="Q478" s="291"/>
      <c r="R478" s="143"/>
      <c r="S478" s="143"/>
      <c r="T478" s="143"/>
      <c r="U478" s="143"/>
      <c r="V478" s="143"/>
      <c r="W478" s="143"/>
      <c r="X478" s="143"/>
      <c r="Y478" s="143"/>
      <c r="Z478" s="311"/>
      <c r="AA478" s="311"/>
      <c r="AB478" s="311"/>
      <c r="AC478" s="143"/>
      <c r="AD478" s="602"/>
      <c r="AE478" s="143"/>
      <c r="AF478" s="143"/>
      <c r="AG478" s="143"/>
      <c r="AH478" s="143"/>
      <c r="AI478" s="143"/>
      <c r="AJ478" s="143"/>
      <c r="AK478" s="143"/>
      <c r="AL478" s="143"/>
      <c r="AM478" s="143"/>
      <c r="AN478" s="143"/>
      <c r="AO478" s="143"/>
      <c r="AP478" s="143"/>
      <c r="AQ478" s="143"/>
      <c r="AR478" s="143"/>
      <c r="AS478" s="143"/>
      <c r="AT478" s="143"/>
      <c r="AU478" s="143"/>
    </row>
    <row r="479" spans="1:47" s="150" customFormat="1" x14ac:dyDescent="0.2">
      <c r="A479" s="143"/>
      <c r="B479" s="144"/>
      <c r="C479" s="145"/>
      <c r="D479" s="143"/>
      <c r="E479" s="143"/>
      <c r="F479" s="143"/>
      <c r="G479" s="143"/>
      <c r="H479" s="143"/>
      <c r="I479" s="146"/>
      <c r="J479" s="147"/>
      <c r="K479" s="148"/>
      <c r="L479" s="148"/>
      <c r="M479" s="148"/>
      <c r="N479" s="148"/>
      <c r="O479" s="149"/>
      <c r="P479" s="146"/>
      <c r="Q479" s="291"/>
      <c r="R479" s="143"/>
      <c r="S479" s="143"/>
      <c r="T479" s="143"/>
      <c r="U479" s="143"/>
      <c r="V479" s="143"/>
      <c r="W479" s="143"/>
      <c r="X479" s="143"/>
      <c r="Y479" s="143"/>
      <c r="Z479" s="311"/>
      <c r="AA479" s="311"/>
      <c r="AB479" s="311"/>
      <c r="AC479" s="143"/>
      <c r="AD479" s="602"/>
      <c r="AE479" s="143"/>
      <c r="AF479" s="143"/>
      <c r="AG479" s="143"/>
      <c r="AH479" s="143"/>
      <c r="AI479" s="143"/>
      <c r="AJ479" s="143"/>
      <c r="AK479" s="143"/>
      <c r="AL479" s="143"/>
      <c r="AM479" s="143"/>
      <c r="AN479" s="143"/>
      <c r="AO479" s="143"/>
      <c r="AP479" s="143"/>
      <c r="AQ479" s="143"/>
      <c r="AR479" s="143"/>
      <c r="AS479" s="143"/>
      <c r="AT479" s="143"/>
      <c r="AU479" s="143"/>
    </row>
    <row r="480" spans="1:47" s="150" customFormat="1" x14ac:dyDescent="0.2">
      <c r="A480" s="143"/>
      <c r="B480" s="144"/>
      <c r="C480" s="145"/>
      <c r="D480" s="143"/>
      <c r="E480" s="143"/>
      <c r="F480" s="143"/>
      <c r="G480" s="143"/>
      <c r="H480" s="143"/>
      <c r="I480" s="146"/>
      <c r="J480" s="147"/>
      <c r="K480" s="148"/>
      <c r="L480" s="148"/>
      <c r="M480" s="148"/>
      <c r="N480" s="148"/>
      <c r="O480" s="149"/>
      <c r="P480" s="146"/>
      <c r="Q480" s="291"/>
      <c r="R480" s="143"/>
      <c r="S480" s="143"/>
      <c r="T480" s="143"/>
      <c r="U480" s="143"/>
      <c r="V480" s="143"/>
      <c r="W480" s="143"/>
      <c r="X480" s="143"/>
      <c r="Y480" s="143"/>
      <c r="Z480" s="311"/>
      <c r="AA480" s="311"/>
      <c r="AB480" s="311"/>
      <c r="AC480" s="143"/>
      <c r="AD480" s="602"/>
      <c r="AE480" s="143"/>
      <c r="AF480" s="143"/>
      <c r="AG480" s="143"/>
      <c r="AH480" s="143"/>
      <c r="AI480" s="143"/>
      <c r="AJ480" s="143"/>
      <c r="AK480" s="143"/>
      <c r="AL480" s="143"/>
      <c r="AM480" s="143"/>
      <c r="AN480" s="143"/>
      <c r="AO480" s="143"/>
      <c r="AP480" s="143"/>
      <c r="AQ480" s="143"/>
      <c r="AR480" s="143"/>
      <c r="AS480" s="143"/>
      <c r="AT480" s="143"/>
      <c r="AU480" s="143"/>
    </row>
    <row r="481" spans="1:47" s="150" customFormat="1" x14ac:dyDescent="0.2">
      <c r="A481" s="143"/>
      <c r="B481" s="144"/>
      <c r="C481" s="145"/>
      <c r="D481" s="143"/>
      <c r="E481" s="143"/>
      <c r="F481" s="143"/>
      <c r="G481" s="143"/>
      <c r="H481" s="143"/>
      <c r="I481" s="146"/>
      <c r="J481" s="147"/>
      <c r="K481" s="148"/>
      <c r="L481" s="148"/>
      <c r="M481" s="148"/>
      <c r="N481" s="148"/>
      <c r="O481" s="149"/>
      <c r="P481" s="146"/>
      <c r="Q481" s="291"/>
      <c r="R481" s="143"/>
      <c r="S481" s="143"/>
      <c r="T481" s="143"/>
      <c r="U481" s="143"/>
      <c r="V481" s="143"/>
      <c r="W481" s="143"/>
      <c r="X481" s="143"/>
      <c r="Y481" s="143"/>
      <c r="Z481" s="311"/>
      <c r="AA481" s="311"/>
      <c r="AB481" s="311"/>
      <c r="AC481" s="143"/>
      <c r="AD481" s="602"/>
      <c r="AE481" s="143"/>
      <c r="AF481" s="143"/>
      <c r="AG481" s="143"/>
      <c r="AH481" s="143"/>
      <c r="AI481" s="143"/>
      <c r="AJ481" s="143"/>
      <c r="AK481" s="143"/>
      <c r="AL481" s="143"/>
      <c r="AM481" s="143"/>
      <c r="AN481" s="143"/>
      <c r="AO481" s="143"/>
      <c r="AP481" s="143"/>
      <c r="AQ481" s="143"/>
      <c r="AR481" s="143"/>
      <c r="AS481" s="143"/>
      <c r="AT481" s="143"/>
      <c r="AU481" s="143"/>
    </row>
    <row r="482" spans="1:47" s="150" customFormat="1" x14ac:dyDescent="0.2">
      <c r="A482" s="143"/>
      <c r="B482" s="144"/>
      <c r="C482" s="145"/>
      <c r="D482" s="143"/>
      <c r="E482" s="143"/>
      <c r="F482" s="143"/>
      <c r="G482" s="143"/>
      <c r="H482" s="143"/>
      <c r="I482" s="146"/>
      <c r="J482" s="147"/>
      <c r="K482" s="148"/>
      <c r="L482" s="148"/>
      <c r="M482" s="148"/>
      <c r="N482" s="148"/>
      <c r="O482" s="149"/>
      <c r="P482" s="146"/>
      <c r="Q482" s="291"/>
      <c r="R482" s="143"/>
      <c r="S482" s="143"/>
      <c r="T482" s="143"/>
      <c r="U482" s="143"/>
      <c r="V482" s="143"/>
      <c r="W482" s="143"/>
      <c r="X482" s="143"/>
      <c r="Y482" s="143"/>
      <c r="Z482" s="311"/>
      <c r="AA482" s="311"/>
      <c r="AB482" s="311"/>
      <c r="AC482" s="143"/>
      <c r="AD482" s="602"/>
      <c r="AE482" s="143"/>
      <c r="AF482" s="143"/>
      <c r="AG482" s="143"/>
      <c r="AH482" s="143"/>
      <c r="AI482" s="143"/>
      <c r="AJ482" s="143"/>
      <c r="AK482" s="143"/>
      <c r="AL482" s="143"/>
      <c r="AM482" s="143"/>
      <c r="AN482" s="143"/>
      <c r="AO482" s="143"/>
      <c r="AP482" s="143"/>
      <c r="AQ482" s="143"/>
      <c r="AR482" s="143"/>
      <c r="AS482" s="143"/>
      <c r="AT482" s="143"/>
      <c r="AU482" s="143"/>
    </row>
    <row r="483" spans="1:47" s="150" customFormat="1" x14ac:dyDescent="0.2">
      <c r="A483" s="143"/>
      <c r="B483" s="144"/>
      <c r="C483" s="145"/>
      <c r="D483" s="143"/>
      <c r="E483" s="143"/>
      <c r="F483" s="143"/>
      <c r="G483" s="143"/>
      <c r="H483" s="143"/>
      <c r="I483" s="146"/>
      <c r="J483" s="147"/>
      <c r="K483" s="148"/>
      <c r="L483" s="148"/>
      <c r="M483" s="148"/>
      <c r="N483" s="148"/>
      <c r="O483" s="149"/>
      <c r="P483" s="146"/>
      <c r="Q483" s="291"/>
      <c r="R483" s="143"/>
      <c r="S483" s="143"/>
      <c r="T483" s="143"/>
      <c r="U483" s="143"/>
      <c r="V483" s="143"/>
      <c r="W483" s="143"/>
      <c r="X483" s="143"/>
      <c r="Y483" s="143"/>
      <c r="Z483" s="311"/>
      <c r="AA483" s="311"/>
      <c r="AB483" s="311"/>
      <c r="AC483" s="143"/>
      <c r="AD483" s="602"/>
      <c r="AE483" s="143"/>
      <c r="AF483" s="143"/>
      <c r="AG483" s="143"/>
      <c r="AH483" s="143"/>
      <c r="AI483" s="143"/>
      <c r="AJ483" s="143"/>
      <c r="AK483" s="143"/>
      <c r="AL483" s="143"/>
      <c r="AM483" s="143"/>
      <c r="AN483" s="143"/>
      <c r="AO483" s="143"/>
      <c r="AP483" s="143"/>
      <c r="AQ483" s="143"/>
      <c r="AR483" s="143"/>
      <c r="AS483" s="143"/>
      <c r="AT483" s="143"/>
      <c r="AU483" s="143"/>
    </row>
    <row r="484" spans="1:47" s="150" customFormat="1" x14ac:dyDescent="0.2">
      <c r="A484" s="143"/>
      <c r="B484" s="144"/>
      <c r="C484" s="145"/>
      <c r="D484" s="143"/>
      <c r="E484" s="143"/>
      <c r="F484" s="143"/>
      <c r="G484" s="143"/>
      <c r="H484" s="143"/>
      <c r="I484" s="146"/>
      <c r="J484" s="147"/>
      <c r="K484" s="148"/>
      <c r="L484" s="148"/>
      <c r="M484" s="148"/>
      <c r="N484" s="148"/>
      <c r="O484" s="149"/>
      <c r="P484" s="146"/>
      <c r="Q484" s="291"/>
      <c r="R484" s="143"/>
      <c r="S484" s="143"/>
      <c r="T484" s="143"/>
      <c r="U484" s="143"/>
      <c r="V484" s="143"/>
      <c r="W484" s="143"/>
      <c r="X484" s="143"/>
      <c r="Y484" s="143"/>
      <c r="Z484" s="311"/>
      <c r="AA484" s="311"/>
      <c r="AB484" s="311"/>
      <c r="AC484" s="143"/>
      <c r="AD484" s="602"/>
      <c r="AE484" s="143"/>
      <c r="AF484" s="143"/>
      <c r="AG484" s="143"/>
      <c r="AH484" s="143"/>
      <c r="AI484" s="143"/>
      <c r="AJ484" s="143"/>
      <c r="AK484" s="143"/>
      <c r="AL484" s="143"/>
      <c r="AM484" s="143"/>
      <c r="AN484" s="143"/>
      <c r="AO484" s="143"/>
      <c r="AP484" s="143"/>
      <c r="AQ484" s="143"/>
      <c r="AR484" s="143"/>
      <c r="AS484" s="143"/>
      <c r="AT484" s="143"/>
      <c r="AU484" s="143"/>
    </row>
    <row r="485" spans="1:47" s="150" customFormat="1" x14ac:dyDescent="0.2">
      <c r="A485" s="143"/>
      <c r="B485" s="144"/>
      <c r="C485" s="145"/>
      <c r="D485" s="143"/>
      <c r="E485" s="143"/>
      <c r="F485" s="143"/>
      <c r="G485" s="143"/>
      <c r="H485" s="143"/>
      <c r="I485" s="146"/>
      <c r="J485" s="147"/>
      <c r="K485" s="148"/>
      <c r="L485" s="148"/>
      <c r="M485" s="148"/>
      <c r="N485" s="148"/>
      <c r="O485" s="149"/>
      <c r="P485" s="146"/>
      <c r="Q485" s="291"/>
      <c r="R485" s="143"/>
      <c r="S485" s="143"/>
      <c r="T485" s="143"/>
      <c r="U485" s="143"/>
      <c r="V485" s="143"/>
      <c r="W485" s="143"/>
      <c r="X485" s="143"/>
      <c r="Y485" s="143"/>
      <c r="Z485" s="311"/>
      <c r="AA485" s="311"/>
      <c r="AB485" s="311"/>
      <c r="AC485" s="143"/>
      <c r="AD485" s="602"/>
      <c r="AE485" s="143"/>
      <c r="AF485" s="143"/>
      <c r="AG485" s="143"/>
      <c r="AH485" s="143"/>
      <c r="AI485" s="143"/>
      <c r="AJ485" s="143"/>
      <c r="AK485" s="143"/>
      <c r="AL485" s="143"/>
      <c r="AM485" s="143"/>
      <c r="AN485" s="143"/>
      <c r="AO485" s="143"/>
      <c r="AP485" s="143"/>
      <c r="AQ485" s="143"/>
      <c r="AR485" s="143"/>
      <c r="AS485" s="143"/>
      <c r="AT485" s="143"/>
      <c r="AU485" s="143"/>
    </row>
    <row r="486" spans="1:47" s="150" customFormat="1" x14ac:dyDescent="0.2">
      <c r="A486" s="143"/>
      <c r="B486" s="144"/>
      <c r="C486" s="145"/>
      <c r="D486" s="143"/>
      <c r="E486" s="143"/>
      <c r="F486" s="143"/>
      <c r="G486" s="143"/>
      <c r="H486" s="143"/>
      <c r="I486" s="146"/>
      <c r="J486" s="147"/>
      <c r="K486" s="148"/>
      <c r="L486" s="148"/>
      <c r="M486" s="148"/>
      <c r="N486" s="148"/>
      <c r="O486" s="149"/>
      <c r="P486" s="146"/>
      <c r="Q486" s="291"/>
      <c r="R486" s="143"/>
      <c r="S486" s="143"/>
      <c r="T486" s="143"/>
      <c r="U486" s="143"/>
      <c r="V486" s="143"/>
      <c r="W486" s="143"/>
      <c r="X486" s="143"/>
      <c r="Y486" s="143"/>
      <c r="Z486" s="311"/>
      <c r="AA486" s="311"/>
      <c r="AB486" s="311"/>
      <c r="AC486" s="143"/>
      <c r="AD486" s="602"/>
      <c r="AE486" s="143"/>
      <c r="AF486" s="143"/>
      <c r="AG486" s="143"/>
      <c r="AH486" s="143"/>
      <c r="AI486" s="143"/>
      <c r="AJ486" s="143"/>
      <c r="AK486" s="143"/>
      <c r="AL486" s="143"/>
      <c r="AM486" s="143"/>
      <c r="AN486" s="143"/>
      <c r="AO486" s="143"/>
      <c r="AP486" s="143"/>
      <c r="AQ486" s="143"/>
      <c r="AR486" s="143"/>
      <c r="AS486" s="143"/>
      <c r="AT486" s="143"/>
      <c r="AU486" s="143"/>
    </row>
    <row r="487" spans="1:47" s="150" customFormat="1" x14ac:dyDescent="0.2">
      <c r="A487" s="143"/>
      <c r="B487" s="144"/>
      <c r="C487" s="145"/>
      <c r="D487" s="143"/>
      <c r="E487" s="143"/>
      <c r="F487" s="143"/>
      <c r="G487" s="143"/>
      <c r="H487" s="143"/>
      <c r="I487" s="146"/>
      <c r="J487" s="147"/>
      <c r="K487" s="148"/>
      <c r="L487" s="148"/>
      <c r="M487" s="148"/>
      <c r="N487" s="148"/>
      <c r="O487" s="149"/>
      <c r="P487" s="146"/>
      <c r="Q487" s="291"/>
      <c r="R487" s="143"/>
      <c r="S487" s="143"/>
      <c r="T487" s="143"/>
      <c r="U487" s="143"/>
      <c r="V487" s="143"/>
      <c r="W487" s="143"/>
      <c r="X487" s="143"/>
      <c r="Y487" s="143"/>
      <c r="Z487" s="311"/>
      <c r="AA487" s="311"/>
      <c r="AB487" s="311"/>
      <c r="AC487" s="143"/>
      <c r="AD487" s="602"/>
      <c r="AE487" s="143"/>
      <c r="AF487" s="143"/>
      <c r="AG487" s="143"/>
      <c r="AH487" s="143"/>
      <c r="AI487" s="143"/>
      <c r="AJ487" s="143"/>
      <c r="AK487" s="143"/>
      <c r="AL487" s="143"/>
      <c r="AM487" s="143"/>
      <c r="AN487" s="143"/>
      <c r="AO487" s="143"/>
      <c r="AP487" s="143"/>
      <c r="AQ487" s="143"/>
      <c r="AR487" s="143"/>
      <c r="AS487" s="143"/>
      <c r="AT487" s="143"/>
      <c r="AU487" s="143"/>
    </row>
    <row r="488" spans="1:47" s="150" customFormat="1" x14ac:dyDescent="0.2">
      <c r="A488" s="143"/>
      <c r="B488" s="144"/>
      <c r="C488" s="145"/>
      <c r="D488" s="143"/>
      <c r="E488" s="143"/>
      <c r="F488" s="143"/>
      <c r="G488" s="143"/>
      <c r="H488" s="143"/>
      <c r="I488" s="146"/>
      <c r="J488" s="147"/>
      <c r="K488" s="148"/>
      <c r="L488" s="148"/>
      <c r="M488" s="148"/>
      <c r="N488" s="148"/>
      <c r="O488" s="149"/>
      <c r="P488" s="146"/>
      <c r="Q488" s="291"/>
      <c r="R488" s="143"/>
      <c r="S488" s="143"/>
      <c r="T488" s="143"/>
      <c r="U488" s="143"/>
      <c r="V488" s="143"/>
      <c r="W488" s="143"/>
      <c r="X488" s="143"/>
      <c r="Y488" s="143"/>
      <c r="Z488" s="311"/>
      <c r="AA488" s="311"/>
      <c r="AB488" s="311"/>
      <c r="AC488" s="143"/>
      <c r="AD488" s="602"/>
      <c r="AE488" s="143"/>
      <c r="AF488" s="143"/>
      <c r="AG488" s="143"/>
      <c r="AH488" s="143"/>
      <c r="AI488" s="143"/>
      <c r="AJ488" s="143"/>
      <c r="AK488" s="143"/>
      <c r="AL488" s="143"/>
      <c r="AM488" s="143"/>
      <c r="AN488" s="143"/>
      <c r="AO488" s="143"/>
      <c r="AP488" s="143"/>
      <c r="AQ488" s="143"/>
      <c r="AR488" s="143"/>
      <c r="AS488" s="143"/>
      <c r="AT488" s="143"/>
      <c r="AU488" s="143"/>
    </row>
    <row r="489" spans="1:47" s="150" customFormat="1" x14ac:dyDescent="0.2">
      <c r="A489" s="143"/>
      <c r="B489" s="144"/>
      <c r="C489" s="145"/>
      <c r="D489" s="143"/>
      <c r="E489" s="143"/>
      <c r="F489" s="143"/>
      <c r="G489" s="143"/>
      <c r="H489" s="143"/>
      <c r="I489" s="146"/>
      <c r="J489" s="147"/>
      <c r="K489" s="148"/>
      <c r="L489" s="148"/>
      <c r="M489" s="148"/>
      <c r="N489" s="148"/>
      <c r="O489" s="149"/>
      <c r="P489" s="146"/>
      <c r="Q489" s="291"/>
      <c r="R489" s="143"/>
      <c r="S489" s="143"/>
      <c r="T489" s="143"/>
      <c r="U489" s="143"/>
      <c r="V489" s="143"/>
      <c r="W489" s="143"/>
      <c r="X489" s="143"/>
      <c r="Y489" s="143"/>
      <c r="Z489" s="311"/>
      <c r="AA489" s="311"/>
      <c r="AB489" s="311"/>
      <c r="AC489" s="143"/>
      <c r="AD489" s="602"/>
      <c r="AE489" s="143"/>
      <c r="AF489" s="143"/>
      <c r="AG489" s="143"/>
      <c r="AH489" s="143"/>
      <c r="AI489" s="143"/>
      <c r="AJ489" s="143"/>
      <c r="AK489" s="143"/>
      <c r="AL489" s="143"/>
      <c r="AM489" s="143"/>
      <c r="AN489" s="143"/>
      <c r="AO489" s="143"/>
      <c r="AP489" s="143"/>
      <c r="AQ489" s="143"/>
      <c r="AR489" s="143"/>
      <c r="AS489" s="143"/>
      <c r="AT489" s="143"/>
      <c r="AU489" s="143"/>
    </row>
    <row r="490" spans="1:47" s="150" customFormat="1" x14ac:dyDescent="0.2">
      <c r="A490" s="143"/>
      <c r="B490" s="144"/>
      <c r="C490" s="145"/>
      <c r="D490" s="143"/>
      <c r="E490" s="143"/>
      <c r="F490" s="143"/>
      <c r="G490" s="143"/>
      <c r="H490" s="143"/>
      <c r="I490" s="146"/>
      <c r="J490" s="147"/>
      <c r="K490" s="148"/>
      <c r="L490" s="148"/>
      <c r="M490" s="148"/>
      <c r="N490" s="148"/>
      <c r="O490" s="149"/>
      <c r="P490" s="146"/>
      <c r="Q490" s="291"/>
      <c r="R490" s="143"/>
      <c r="S490" s="143"/>
      <c r="T490" s="143"/>
      <c r="U490" s="143"/>
      <c r="V490" s="143"/>
      <c r="W490" s="143"/>
      <c r="X490" s="143"/>
      <c r="Y490" s="143"/>
      <c r="Z490" s="311"/>
      <c r="AA490" s="311"/>
      <c r="AB490" s="311"/>
      <c r="AC490" s="143"/>
      <c r="AD490" s="602"/>
      <c r="AE490" s="143"/>
      <c r="AF490" s="143"/>
      <c r="AG490" s="143"/>
      <c r="AH490" s="143"/>
      <c r="AI490" s="143"/>
      <c r="AJ490" s="143"/>
      <c r="AK490" s="143"/>
      <c r="AL490" s="143"/>
      <c r="AM490" s="143"/>
      <c r="AN490" s="143"/>
      <c r="AO490" s="143"/>
      <c r="AP490" s="143"/>
      <c r="AQ490" s="143"/>
      <c r="AR490" s="143"/>
      <c r="AS490" s="143"/>
      <c r="AT490" s="143"/>
      <c r="AU490" s="143"/>
    </row>
    <row r="491" spans="1:47" s="150" customFormat="1" x14ac:dyDescent="0.2">
      <c r="A491" s="143"/>
      <c r="B491" s="144"/>
      <c r="C491" s="145"/>
      <c r="D491" s="143"/>
      <c r="E491" s="143"/>
      <c r="F491" s="143"/>
      <c r="G491" s="143"/>
      <c r="H491" s="143"/>
      <c r="I491" s="146"/>
      <c r="J491" s="147"/>
      <c r="K491" s="148"/>
      <c r="L491" s="148"/>
      <c r="M491" s="148"/>
      <c r="N491" s="148"/>
      <c r="O491" s="149"/>
      <c r="P491" s="146"/>
      <c r="Q491" s="291"/>
      <c r="R491" s="143"/>
      <c r="S491" s="143"/>
      <c r="T491" s="143"/>
      <c r="U491" s="143"/>
      <c r="V491" s="143"/>
      <c r="W491" s="143"/>
      <c r="X491" s="143"/>
      <c r="Y491" s="143"/>
      <c r="Z491" s="311"/>
      <c r="AA491" s="311"/>
      <c r="AB491" s="311"/>
      <c r="AC491" s="143"/>
      <c r="AD491" s="602"/>
      <c r="AE491" s="143"/>
      <c r="AF491" s="143"/>
      <c r="AG491" s="143"/>
      <c r="AH491" s="143"/>
      <c r="AI491" s="143"/>
      <c r="AJ491" s="143"/>
      <c r="AK491" s="143"/>
      <c r="AL491" s="143"/>
      <c r="AM491" s="143"/>
      <c r="AN491" s="143"/>
      <c r="AO491" s="143"/>
      <c r="AP491" s="143"/>
      <c r="AQ491" s="143"/>
      <c r="AR491" s="143"/>
      <c r="AS491" s="143"/>
      <c r="AT491" s="143"/>
      <c r="AU491" s="143"/>
    </row>
    <row r="492" spans="1:47" s="150" customFormat="1" x14ac:dyDescent="0.2">
      <c r="A492" s="143"/>
      <c r="B492" s="144"/>
      <c r="C492" s="145"/>
      <c r="D492" s="143"/>
      <c r="E492" s="143"/>
      <c r="F492" s="143"/>
      <c r="G492" s="143"/>
      <c r="H492" s="143"/>
      <c r="I492" s="146"/>
      <c r="J492" s="147"/>
      <c r="K492" s="148"/>
      <c r="L492" s="148"/>
      <c r="M492" s="148"/>
      <c r="N492" s="148"/>
      <c r="O492" s="149"/>
      <c r="P492" s="146"/>
      <c r="Q492" s="291"/>
      <c r="R492" s="143"/>
      <c r="S492" s="143"/>
      <c r="T492" s="143"/>
      <c r="U492" s="143"/>
      <c r="V492" s="143"/>
      <c r="W492" s="143"/>
      <c r="X492" s="143"/>
      <c r="Y492" s="143"/>
      <c r="Z492" s="311"/>
      <c r="AA492" s="311"/>
      <c r="AB492" s="311"/>
      <c r="AC492" s="143"/>
      <c r="AD492" s="602"/>
      <c r="AE492" s="143"/>
      <c r="AF492" s="143"/>
      <c r="AG492" s="143"/>
      <c r="AH492" s="143"/>
      <c r="AI492" s="143"/>
      <c r="AJ492" s="143"/>
      <c r="AK492" s="143"/>
      <c r="AL492" s="143"/>
      <c r="AM492" s="143"/>
      <c r="AN492" s="143"/>
      <c r="AO492" s="143"/>
      <c r="AP492" s="143"/>
      <c r="AQ492" s="143"/>
      <c r="AR492" s="143"/>
      <c r="AS492" s="143"/>
      <c r="AT492" s="143"/>
      <c r="AU492" s="143"/>
    </row>
    <row r="493" spans="1:47" s="150" customFormat="1" x14ac:dyDescent="0.2">
      <c r="A493" s="143"/>
      <c r="B493" s="144"/>
      <c r="C493" s="145"/>
      <c r="D493" s="143"/>
      <c r="E493" s="143"/>
      <c r="F493" s="143"/>
      <c r="G493" s="143"/>
      <c r="H493" s="143"/>
      <c r="I493" s="146"/>
      <c r="J493" s="147"/>
      <c r="K493" s="148"/>
      <c r="L493" s="148"/>
      <c r="M493" s="148"/>
      <c r="N493" s="148"/>
      <c r="O493" s="149"/>
      <c r="P493" s="146"/>
      <c r="Q493" s="291"/>
      <c r="R493" s="143"/>
      <c r="S493" s="143"/>
      <c r="T493" s="143"/>
      <c r="U493" s="143"/>
      <c r="V493" s="143"/>
      <c r="W493" s="143"/>
      <c r="X493" s="143"/>
      <c r="Y493" s="143"/>
      <c r="Z493" s="311"/>
      <c r="AA493" s="311"/>
      <c r="AB493" s="311"/>
      <c r="AC493" s="143"/>
      <c r="AD493" s="602"/>
      <c r="AE493" s="143"/>
      <c r="AF493" s="143"/>
      <c r="AG493" s="143"/>
      <c r="AH493" s="143"/>
      <c r="AI493" s="143"/>
      <c r="AJ493" s="143"/>
      <c r="AK493" s="143"/>
      <c r="AL493" s="143"/>
      <c r="AM493" s="143"/>
      <c r="AN493" s="143"/>
      <c r="AO493" s="143"/>
      <c r="AP493" s="143"/>
      <c r="AQ493" s="143"/>
      <c r="AR493" s="143"/>
      <c r="AS493" s="143"/>
      <c r="AT493" s="143"/>
      <c r="AU493" s="143"/>
    </row>
    <row r="494" spans="1:47" s="150" customFormat="1" x14ac:dyDescent="0.2">
      <c r="A494" s="143"/>
      <c r="B494" s="144"/>
      <c r="C494" s="145"/>
      <c r="D494" s="143"/>
      <c r="E494" s="143"/>
      <c r="F494" s="143"/>
      <c r="G494" s="143"/>
      <c r="H494" s="143"/>
      <c r="I494" s="146"/>
      <c r="J494" s="147"/>
      <c r="K494" s="148"/>
      <c r="L494" s="148"/>
      <c r="M494" s="148"/>
      <c r="N494" s="148"/>
      <c r="O494" s="149"/>
      <c r="P494" s="146"/>
      <c r="Q494" s="291"/>
      <c r="R494" s="143"/>
      <c r="S494" s="143"/>
      <c r="T494" s="143"/>
      <c r="U494" s="143"/>
      <c r="V494" s="143"/>
      <c r="W494" s="143"/>
      <c r="X494" s="143"/>
      <c r="Y494" s="143"/>
      <c r="Z494" s="311"/>
      <c r="AA494" s="311"/>
      <c r="AB494" s="311"/>
      <c r="AC494" s="143"/>
      <c r="AD494" s="602"/>
      <c r="AE494" s="143"/>
      <c r="AF494" s="143"/>
      <c r="AG494" s="143"/>
      <c r="AH494" s="143"/>
      <c r="AI494" s="143"/>
      <c r="AJ494" s="143"/>
      <c r="AK494" s="143"/>
      <c r="AL494" s="143"/>
      <c r="AM494" s="143"/>
      <c r="AN494" s="143"/>
      <c r="AO494" s="143"/>
      <c r="AP494" s="143"/>
      <c r="AQ494" s="143"/>
      <c r="AR494" s="143"/>
      <c r="AS494" s="143"/>
      <c r="AT494" s="143"/>
      <c r="AU494" s="143"/>
    </row>
    <row r="495" spans="1:47" s="150" customFormat="1" x14ac:dyDescent="0.2">
      <c r="A495" s="143"/>
      <c r="B495" s="144"/>
      <c r="C495" s="145"/>
      <c r="D495" s="143"/>
      <c r="E495" s="143"/>
      <c r="F495" s="143"/>
      <c r="G495" s="143"/>
      <c r="H495" s="143"/>
      <c r="I495" s="146"/>
      <c r="J495" s="147"/>
      <c r="K495" s="148"/>
      <c r="L495" s="148"/>
      <c r="M495" s="148"/>
      <c r="N495" s="148"/>
      <c r="O495" s="149"/>
      <c r="P495" s="146"/>
      <c r="Q495" s="291"/>
      <c r="R495" s="143"/>
      <c r="S495" s="143"/>
      <c r="T495" s="143"/>
      <c r="U495" s="143"/>
      <c r="V495" s="143"/>
      <c r="W495" s="143"/>
      <c r="X495" s="143"/>
      <c r="Y495" s="143"/>
      <c r="Z495" s="311"/>
      <c r="AA495" s="311"/>
      <c r="AB495" s="311"/>
      <c r="AC495" s="143"/>
      <c r="AD495" s="602"/>
      <c r="AE495" s="143"/>
      <c r="AF495" s="143"/>
      <c r="AG495" s="143"/>
      <c r="AH495" s="143"/>
      <c r="AI495" s="143"/>
      <c r="AJ495" s="143"/>
      <c r="AK495" s="143"/>
      <c r="AL495" s="143"/>
      <c r="AM495" s="143"/>
      <c r="AN495" s="143"/>
      <c r="AO495" s="143"/>
      <c r="AP495" s="143"/>
      <c r="AQ495" s="143"/>
      <c r="AR495" s="143"/>
      <c r="AS495" s="143"/>
      <c r="AT495" s="143"/>
      <c r="AU495" s="143"/>
    </row>
    <row r="496" spans="1:47" s="150" customFormat="1" x14ac:dyDescent="0.2">
      <c r="A496" s="143"/>
      <c r="B496" s="144"/>
      <c r="C496" s="145"/>
      <c r="D496" s="143"/>
      <c r="E496" s="143"/>
      <c r="F496" s="143"/>
      <c r="G496" s="143"/>
      <c r="H496" s="143"/>
      <c r="I496" s="146"/>
      <c r="J496" s="147"/>
      <c r="K496" s="148"/>
      <c r="L496" s="148"/>
      <c r="M496" s="148"/>
      <c r="N496" s="148"/>
      <c r="O496" s="149"/>
      <c r="P496" s="146"/>
      <c r="Q496" s="291"/>
      <c r="R496" s="143"/>
      <c r="S496" s="143"/>
      <c r="T496" s="143"/>
      <c r="U496" s="143"/>
      <c r="V496" s="143"/>
      <c r="W496" s="143"/>
      <c r="X496" s="143"/>
      <c r="Y496" s="143"/>
      <c r="Z496" s="311"/>
      <c r="AA496" s="311"/>
      <c r="AB496" s="311"/>
      <c r="AC496" s="143"/>
      <c r="AD496" s="602"/>
      <c r="AE496" s="143"/>
      <c r="AF496" s="143"/>
      <c r="AG496" s="143"/>
      <c r="AH496" s="143"/>
      <c r="AI496" s="143"/>
      <c r="AJ496" s="143"/>
      <c r="AK496" s="143"/>
      <c r="AL496" s="143"/>
      <c r="AM496" s="143"/>
      <c r="AN496" s="143"/>
      <c r="AO496" s="143"/>
      <c r="AP496" s="143"/>
      <c r="AQ496" s="143"/>
      <c r="AR496" s="143"/>
      <c r="AS496" s="143"/>
      <c r="AT496" s="143"/>
      <c r="AU496" s="143"/>
    </row>
    <row r="497" spans="1:47" s="150" customFormat="1" x14ac:dyDescent="0.2">
      <c r="A497" s="143"/>
      <c r="B497" s="144"/>
      <c r="C497" s="145"/>
      <c r="D497" s="143"/>
      <c r="E497" s="143"/>
      <c r="F497" s="143"/>
      <c r="G497" s="143"/>
      <c r="H497" s="143"/>
      <c r="I497" s="146"/>
      <c r="J497" s="147"/>
      <c r="K497" s="148"/>
      <c r="L497" s="148"/>
      <c r="M497" s="148"/>
      <c r="N497" s="148"/>
      <c r="O497" s="149"/>
      <c r="P497" s="146"/>
      <c r="Q497" s="291"/>
      <c r="R497" s="143"/>
      <c r="S497" s="143"/>
      <c r="T497" s="143"/>
      <c r="U497" s="143"/>
      <c r="V497" s="143"/>
      <c r="W497" s="143"/>
      <c r="X497" s="143"/>
      <c r="Y497" s="143"/>
      <c r="Z497" s="311"/>
      <c r="AA497" s="311"/>
      <c r="AB497" s="311"/>
      <c r="AC497" s="143"/>
      <c r="AD497" s="602"/>
      <c r="AE497" s="143"/>
      <c r="AF497" s="143"/>
      <c r="AG497" s="143"/>
      <c r="AH497" s="143"/>
      <c r="AI497" s="143"/>
      <c r="AJ497" s="143"/>
      <c r="AK497" s="143"/>
      <c r="AL497" s="143"/>
      <c r="AM497" s="143"/>
      <c r="AN497" s="143"/>
      <c r="AO497" s="143"/>
      <c r="AP497" s="143"/>
      <c r="AQ497" s="143"/>
      <c r="AR497" s="143"/>
      <c r="AS497" s="143"/>
      <c r="AT497" s="143"/>
      <c r="AU497" s="143"/>
    </row>
    <row r="498" spans="1:47" s="150" customFormat="1" x14ac:dyDescent="0.2">
      <c r="A498" s="143"/>
      <c r="B498" s="144"/>
      <c r="C498" s="145"/>
      <c r="D498" s="143"/>
      <c r="E498" s="143"/>
      <c r="F498" s="143"/>
      <c r="G498" s="143"/>
      <c r="H498" s="143"/>
      <c r="I498" s="146"/>
      <c r="J498" s="147"/>
      <c r="K498" s="148"/>
      <c r="L498" s="148"/>
      <c r="M498" s="148"/>
      <c r="N498" s="148"/>
      <c r="O498" s="149"/>
      <c r="P498" s="146"/>
      <c r="Q498" s="291"/>
      <c r="R498" s="143"/>
      <c r="S498" s="143"/>
      <c r="T498" s="143"/>
      <c r="U498" s="143"/>
      <c r="V498" s="143"/>
      <c r="W498" s="143"/>
      <c r="X498" s="143"/>
      <c r="Y498" s="143"/>
      <c r="Z498" s="311"/>
      <c r="AA498" s="311"/>
      <c r="AB498" s="311"/>
      <c r="AC498" s="143"/>
      <c r="AD498" s="602"/>
      <c r="AE498" s="143"/>
      <c r="AF498" s="143"/>
      <c r="AG498" s="143"/>
      <c r="AH498" s="143"/>
      <c r="AI498" s="143"/>
      <c r="AJ498" s="143"/>
      <c r="AK498" s="143"/>
      <c r="AL498" s="143"/>
      <c r="AM498" s="143"/>
      <c r="AN498" s="143"/>
      <c r="AO498" s="143"/>
      <c r="AP498" s="143"/>
      <c r="AQ498" s="143"/>
      <c r="AR498" s="143"/>
      <c r="AS498" s="143"/>
      <c r="AT498" s="143"/>
      <c r="AU498" s="143"/>
    </row>
    <row r="499" spans="1:47" s="150" customFormat="1" x14ac:dyDescent="0.2">
      <c r="A499" s="143"/>
      <c r="B499" s="144"/>
      <c r="C499" s="145"/>
      <c r="D499" s="143"/>
      <c r="E499" s="143"/>
      <c r="F499" s="143"/>
      <c r="G499" s="143"/>
      <c r="H499" s="143"/>
      <c r="I499" s="146"/>
      <c r="J499" s="147"/>
      <c r="K499" s="148"/>
      <c r="L499" s="148"/>
      <c r="M499" s="148"/>
      <c r="N499" s="148"/>
      <c r="O499" s="149"/>
      <c r="P499" s="146"/>
      <c r="Q499" s="291"/>
      <c r="R499" s="143"/>
      <c r="S499" s="143"/>
      <c r="T499" s="143"/>
      <c r="U499" s="143"/>
      <c r="V499" s="143"/>
      <c r="W499" s="143"/>
      <c r="X499" s="143"/>
      <c r="Y499" s="143"/>
      <c r="Z499" s="311"/>
      <c r="AA499" s="311"/>
      <c r="AB499" s="311"/>
      <c r="AC499" s="143"/>
      <c r="AD499" s="602"/>
      <c r="AE499" s="143"/>
      <c r="AF499" s="143"/>
      <c r="AG499" s="143"/>
      <c r="AH499" s="143"/>
      <c r="AI499" s="143"/>
      <c r="AJ499" s="143"/>
      <c r="AK499" s="143"/>
      <c r="AL499" s="143"/>
      <c r="AM499" s="143"/>
      <c r="AN499" s="143"/>
      <c r="AO499" s="143"/>
      <c r="AP499" s="143"/>
      <c r="AQ499" s="143"/>
      <c r="AR499" s="143"/>
      <c r="AS499" s="143"/>
      <c r="AT499" s="143"/>
      <c r="AU499" s="143"/>
    </row>
    <row r="500" spans="1:47" s="150" customFormat="1" x14ac:dyDescent="0.2">
      <c r="A500" s="143"/>
      <c r="B500" s="144"/>
      <c r="C500" s="145"/>
      <c r="D500" s="143"/>
      <c r="E500" s="143"/>
      <c r="F500" s="143"/>
      <c r="G500" s="143"/>
      <c r="H500" s="143"/>
      <c r="I500" s="146"/>
      <c r="J500" s="147"/>
      <c r="K500" s="148"/>
      <c r="L500" s="148"/>
      <c r="M500" s="148"/>
      <c r="N500" s="148"/>
      <c r="O500" s="149"/>
      <c r="P500" s="146"/>
      <c r="Q500" s="291"/>
      <c r="R500" s="143"/>
      <c r="S500" s="143"/>
      <c r="T500" s="143"/>
      <c r="U500" s="143"/>
      <c r="V500" s="143"/>
      <c r="W500" s="143"/>
      <c r="X500" s="143"/>
      <c r="Y500" s="143"/>
      <c r="Z500" s="311"/>
      <c r="AA500" s="311"/>
      <c r="AB500" s="311"/>
      <c r="AC500" s="143"/>
      <c r="AD500" s="602"/>
      <c r="AE500" s="143"/>
      <c r="AF500" s="143"/>
      <c r="AG500" s="143"/>
      <c r="AH500" s="143"/>
      <c r="AI500" s="143"/>
      <c r="AJ500" s="143"/>
      <c r="AK500" s="143"/>
      <c r="AL500" s="143"/>
      <c r="AM500" s="143"/>
      <c r="AN500" s="143"/>
      <c r="AO500" s="143"/>
      <c r="AP500" s="143"/>
      <c r="AQ500" s="143"/>
      <c r="AR500" s="143"/>
      <c r="AS500" s="143"/>
      <c r="AT500" s="143"/>
      <c r="AU500" s="143"/>
    </row>
    <row r="501" spans="1:47" s="150" customFormat="1" x14ac:dyDescent="0.2">
      <c r="A501" s="143"/>
      <c r="B501" s="144"/>
      <c r="C501" s="145"/>
      <c r="D501" s="143"/>
      <c r="E501" s="143"/>
      <c r="F501" s="143"/>
      <c r="G501" s="143"/>
      <c r="H501" s="143"/>
      <c r="I501" s="146"/>
      <c r="J501" s="147"/>
      <c r="K501" s="148"/>
      <c r="L501" s="148"/>
      <c r="M501" s="148"/>
      <c r="N501" s="148"/>
      <c r="O501" s="149"/>
      <c r="P501" s="146"/>
      <c r="Q501" s="291"/>
      <c r="R501" s="143"/>
      <c r="S501" s="143"/>
      <c r="T501" s="143"/>
      <c r="U501" s="143"/>
      <c r="V501" s="143"/>
      <c r="W501" s="143"/>
      <c r="X501" s="143"/>
      <c r="Y501" s="143"/>
      <c r="Z501" s="311"/>
      <c r="AA501" s="311"/>
      <c r="AB501" s="311"/>
      <c r="AC501" s="143"/>
      <c r="AD501" s="602"/>
      <c r="AE501" s="143"/>
      <c r="AF501" s="143"/>
      <c r="AG501" s="143"/>
      <c r="AH501" s="143"/>
      <c r="AI501" s="143"/>
      <c r="AJ501" s="143"/>
      <c r="AK501" s="143"/>
      <c r="AL501" s="143"/>
      <c r="AM501" s="143"/>
      <c r="AN501" s="143"/>
      <c r="AO501" s="143"/>
      <c r="AP501" s="143"/>
      <c r="AQ501" s="143"/>
      <c r="AR501" s="143"/>
      <c r="AS501" s="143"/>
      <c r="AT501" s="143"/>
      <c r="AU501" s="143"/>
    </row>
    <row r="502" spans="1:47" s="150" customFormat="1" x14ac:dyDescent="0.2">
      <c r="A502" s="143"/>
      <c r="B502" s="144"/>
      <c r="C502" s="145"/>
      <c r="D502" s="143"/>
      <c r="E502" s="143"/>
      <c r="F502" s="143"/>
      <c r="G502" s="143"/>
      <c r="H502" s="143"/>
      <c r="I502" s="146"/>
      <c r="J502" s="147"/>
      <c r="K502" s="148"/>
      <c r="L502" s="148"/>
      <c r="M502" s="148"/>
      <c r="N502" s="148"/>
      <c r="O502" s="149"/>
      <c r="P502" s="146"/>
      <c r="Q502" s="291"/>
      <c r="R502" s="143"/>
      <c r="S502" s="143"/>
      <c r="T502" s="143"/>
      <c r="U502" s="143"/>
      <c r="V502" s="143"/>
      <c r="W502" s="143"/>
      <c r="X502" s="143"/>
      <c r="Y502" s="143"/>
      <c r="Z502" s="311"/>
      <c r="AA502" s="311"/>
      <c r="AB502" s="311"/>
      <c r="AC502" s="143"/>
      <c r="AD502" s="602"/>
      <c r="AE502" s="143"/>
      <c r="AF502" s="143"/>
      <c r="AG502" s="143"/>
      <c r="AH502" s="143"/>
      <c r="AI502" s="143"/>
      <c r="AJ502" s="143"/>
      <c r="AK502" s="143"/>
      <c r="AL502" s="143"/>
      <c r="AM502" s="143"/>
      <c r="AN502" s="143"/>
      <c r="AO502" s="143"/>
      <c r="AP502" s="143"/>
      <c r="AQ502" s="143"/>
      <c r="AR502" s="143"/>
      <c r="AS502" s="143"/>
      <c r="AT502" s="143"/>
      <c r="AU502" s="143"/>
    </row>
    <row r="503" spans="1:47" s="150" customFormat="1" x14ac:dyDescent="0.2">
      <c r="A503" s="143"/>
      <c r="B503" s="144"/>
      <c r="C503" s="145"/>
      <c r="D503" s="143"/>
      <c r="E503" s="143"/>
      <c r="F503" s="143"/>
      <c r="G503" s="143"/>
      <c r="H503" s="143"/>
      <c r="I503" s="146"/>
      <c r="J503" s="147"/>
      <c r="K503" s="148"/>
      <c r="L503" s="148"/>
      <c r="M503" s="148"/>
      <c r="N503" s="148"/>
      <c r="O503" s="149"/>
      <c r="P503" s="146"/>
      <c r="Q503" s="291"/>
      <c r="R503" s="143"/>
      <c r="S503" s="143"/>
      <c r="T503" s="143"/>
      <c r="U503" s="143"/>
      <c r="V503" s="143"/>
      <c r="W503" s="143"/>
      <c r="X503" s="143"/>
      <c r="Y503" s="143"/>
      <c r="Z503" s="311"/>
      <c r="AA503" s="311"/>
      <c r="AB503" s="311"/>
      <c r="AC503" s="143"/>
      <c r="AD503" s="602"/>
      <c r="AE503" s="143"/>
      <c r="AF503" s="143"/>
      <c r="AG503" s="143"/>
      <c r="AH503" s="143"/>
      <c r="AI503" s="143"/>
      <c r="AJ503" s="143"/>
      <c r="AK503" s="143"/>
      <c r="AL503" s="143"/>
      <c r="AM503" s="143"/>
      <c r="AN503" s="143"/>
      <c r="AO503" s="143"/>
      <c r="AP503" s="143"/>
      <c r="AQ503" s="143"/>
      <c r="AR503" s="143"/>
      <c r="AS503" s="143"/>
      <c r="AT503" s="143"/>
      <c r="AU503" s="143"/>
    </row>
    <row r="504" spans="1:47" s="150" customFormat="1" x14ac:dyDescent="0.2">
      <c r="A504" s="143"/>
      <c r="B504" s="144"/>
      <c r="C504" s="145"/>
      <c r="D504" s="143"/>
      <c r="E504" s="143"/>
      <c r="F504" s="143"/>
      <c r="G504" s="143"/>
      <c r="H504" s="143"/>
      <c r="I504" s="146"/>
      <c r="J504" s="147"/>
      <c r="K504" s="148"/>
      <c r="L504" s="148"/>
      <c r="M504" s="148"/>
      <c r="N504" s="148"/>
      <c r="O504" s="149"/>
      <c r="P504" s="146"/>
      <c r="Q504" s="291"/>
      <c r="R504" s="143"/>
      <c r="S504" s="143"/>
      <c r="T504" s="143"/>
      <c r="U504" s="143"/>
      <c r="V504" s="143"/>
      <c r="W504" s="143"/>
      <c r="X504" s="143"/>
      <c r="Y504" s="143"/>
      <c r="Z504" s="311"/>
      <c r="AA504" s="311"/>
      <c r="AB504" s="311"/>
      <c r="AC504" s="143"/>
      <c r="AD504" s="602"/>
      <c r="AE504" s="143"/>
      <c r="AF504" s="143"/>
      <c r="AG504" s="143"/>
      <c r="AH504" s="143"/>
      <c r="AI504" s="143"/>
      <c r="AJ504" s="143"/>
      <c r="AK504" s="143"/>
      <c r="AL504" s="143"/>
      <c r="AM504" s="143"/>
      <c r="AN504" s="143"/>
      <c r="AO504" s="143"/>
      <c r="AP504" s="143"/>
      <c r="AQ504" s="143"/>
      <c r="AR504" s="143"/>
      <c r="AS504" s="143"/>
      <c r="AT504" s="143"/>
      <c r="AU504" s="143"/>
    </row>
  </sheetData>
  <sheetProtection formatCells="0" formatColumns="0" formatRows="0" insertColumns="0" insertRows="0" insertHyperlinks="0" deleteColumns="0" deleteRows="0" sort="0" autoFilter="0" pivotTables="0"/>
  <dataConsolidate/>
  <mergeCells count="1">
    <mergeCell ref="AG21:AL21"/>
  </mergeCells>
  <dataValidations disablePrompts="1" count="1">
    <dataValidation type="list" allowBlank="1" showInputMessage="1" showErrorMessage="1" sqref="H8 JD8 SZ8 ACV8 AMR8 AWN8 BGJ8 BQF8 CAB8 CJX8 CTT8 DDP8 DNL8 DXH8 EHD8 EQZ8 FAV8 FKR8 FUN8 GEJ8 GOF8 GYB8 HHX8 HRT8 IBP8 ILL8 IVH8 JFD8 JOZ8 JYV8 KIR8 KSN8 LCJ8 LMF8 LWB8 MFX8 MPT8 MZP8 NJL8 NTH8 ODD8 OMZ8 OWV8 PGR8 PQN8 QAJ8 QKF8 QUB8 RDX8 RNT8 RXP8 SHL8 SRH8 TBD8 TKZ8 TUV8 UER8 UON8 UYJ8 VIF8 VSB8 WBX8 WLT8 WVP8 H65268 JD65268 SZ65268 ACV65268 AMR65268 AWN65268 BGJ65268 BQF65268 CAB65268 CJX65268 CTT65268 DDP65268 DNL65268 DXH65268 EHD65268 EQZ65268 FAV65268 FKR65268 FUN65268 GEJ65268 GOF65268 GYB65268 HHX65268 HRT65268 IBP65268 ILL65268 IVH65268 JFD65268 JOZ65268 JYV65268 KIR65268 KSN65268 LCJ65268 LMF65268 LWB65268 MFX65268 MPT65268 MZP65268 NJL65268 NTH65268 ODD65268 OMZ65268 OWV65268 PGR65268 PQN65268 QAJ65268 QKF65268 QUB65268 RDX65268 RNT65268 RXP65268 SHL65268 SRH65268 TBD65268 TKZ65268 TUV65268 UER65268 UON65268 UYJ65268 VIF65268 VSB65268 WBX65268 WLT65268 WVP65268 H130804 JD130804 SZ130804 ACV130804 AMR130804 AWN130804 BGJ130804 BQF130804 CAB130804 CJX130804 CTT130804 DDP130804 DNL130804 DXH130804 EHD130804 EQZ130804 FAV130804 FKR130804 FUN130804 GEJ130804 GOF130804 GYB130804 HHX130804 HRT130804 IBP130804 ILL130804 IVH130804 JFD130804 JOZ130804 JYV130804 KIR130804 KSN130804 LCJ130804 LMF130804 LWB130804 MFX130804 MPT130804 MZP130804 NJL130804 NTH130804 ODD130804 OMZ130804 OWV130804 PGR130804 PQN130804 QAJ130804 QKF130804 QUB130804 RDX130804 RNT130804 RXP130804 SHL130804 SRH130804 TBD130804 TKZ130804 TUV130804 UER130804 UON130804 UYJ130804 VIF130804 VSB130804 WBX130804 WLT130804 WVP130804 H196340 JD196340 SZ196340 ACV196340 AMR196340 AWN196340 BGJ196340 BQF196340 CAB196340 CJX196340 CTT196340 DDP196340 DNL196340 DXH196340 EHD196340 EQZ196340 FAV196340 FKR196340 FUN196340 GEJ196340 GOF196340 GYB196340 HHX196340 HRT196340 IBP196340 ILL196340 IVH196340 JFD196340 JOZ196340 JYV196340 KIR196340 KSN196340 LCJ196340 LMF196340 LWB196340 MFX196340 MPT196340 MZP196340 NJL196340 NTH196340 ODD196340 OMZ196340 OWV196340 PGR196340 PQN196340 QAJ196340 QKF196340 QUB196340 RDX196340 RNT196340 RXP196340 SHL196340 SRH196340 TBD196340 TKZ196340 TUV196340 UER196340 UON196340 UYJ196340 VIF196340 VSB196340 WBX196340 WLT196340 WVP196340 H261876 JD261876 SZ261876 ACV261876 AMR261876 AWN261876 BGJ261876 BQF261876 CAB261876 CJX261876 CTT261876 DDP261876 DNL261876 DXH261876 EHD261876 EQZ261876 FAV261876 FKR261876 FUN261876 GEJ261876 GOF261876 GYB261876 HHX261876 HRT261876 IBP261876 ILL261876 IVH261876 JFD261876 JOZ261876 JYV261876 KIR261876 KSN261876 LCJ261876 LMF261876 LWB261876 MFX261876 MPT261876 MZP261876 NJL261876 NTH261876 ODD261876 OMZ261876 OWV261876 PGR261876 PQN261876 QAJ261876 QKF261876 QUB261876 RDX261876 RNT261876 RXP261876 SHL261876 SRH261876 TBD261876 TKZ261876 TUV261876 UER261876 UON261876 UYJ261876 VIF261876 VSB261876 WBX261876 WLT261876 WVP261876 H327412 JD327412 SZ327412 ACV327412 AMR327412 AWN327412 BGJ327412 BQF327412 CAB327412 CJX327412 CTT327412 DDP327412 DNL327412 DXH327412 EHD327412 EQZ327412 FAV327412 FKR327412 FUN327412 GEJ327412 GOF327412 GYB327412 HHX327412 HRT327412 IBP327412 ILL327412 IVH327412 JFD327412 JOZ327412 JYV327412 KIR327412 KSN327412 LCJ327412 LMF327412 LWB327412 MFX327412 MPT327412 MZP327412 NJL327412 NTH327412 ODD327412 OMZ327412 OWV327412 PGR327412 PQN327412 QAJ327412 QKF327412 QUB327412 RDX327412 RNT327412 RXP327412 SHL327412 SRH327412 TBD327412 TKZ327412 TUV327412 UER327412 UON327412 UYJ327412 VIF327412 VSB327412 WBX327412 WLT327412 WVP327412 H392948 JD392948 SZ392948 ACV392948 AMR392948 AWN392948 BGJ392948 BQF392948 CAB392948 CJX392948 CTT392948 DDP392948 DNL392948 DXH392948 EHD392948 EQZ392948 FAV392948 FKR392948 FUN392948 GEJ392948 GOF392948 GYB392948 HHX392948 HRT392948 IBP392948 ILL392948 IVH392948 JFD392948 JOZ392948 JYV392948 KIR392948 KSN392948 LCJ392948 LMF392948 LWB392948 MFX392948 MPT392948 MZP392948 NJL392948 NTH392948 ODD392948 OMZ392948 OWV392948 PGR392948 PQN392948 QAJ392948 QKF392948 QUB392948 RDX392948 RNT392948 RXP392948 SHL392948 SRH392948 TBD392948 TKZ392948 TUV392948 UER392948 UON392948 UYJ392948 VIF392948 VSB392948 WBX392948 WLT392948 WVP392948 H458484 JD458484 SZ458484 ACV458484 AMR458484 AWN458484 BGJ458484 BQF458484 CAB458484 CJX458484 CTT458484 DDP458484 DNL458484 DXH458484 EHD458484 EQZ458484 FAV458484 FKR458484 FUN458484 GEJ458484 GOF458484 GYB458484 HHX458484 HRT458484 IBP458484 ILL458484 IVH458484 JFD458484 JOZ458484 JYV458484 KIR458484 KSN458484 LCJ458484 LMF458484 LWB458484 MFX458484 MPT458484 MZP458484 NJL458484 NTH458484 ODD458484 OMZ458484 OWV458484 PGR458484 PQN458484 QAJ458484 QKF458484 QUB458484 RDX458484 RNT458484 RXP458484 SHL458484 SRH458484 TBD458484 TKZ458484 TUV458484 UER458484 UON458484 UYJ458484 VIF458484 VSB458484 WBX458484 WLT458484 WVP458484 H524020 JD524020 SZ524020 ACV524020 AMR524020 AWN524020 BGJ524020 BQF524020 CAB524020 CJX524020 CTT524020 DDP524020 DNL524020 DXH524020 EHD524020 EQZ524020 FAV524020 FKR524020 FUN524020 GEJ524020 GOF524020 GYB524020 HHX524020 HRT524020 IBP524020 ILL524020 IVH524020 JFD524020 JOZ524020 JYV524020 KIR524020 KSN524020 LCJ524020 LMF524020 LWB524020 MFX524020 MPT524020 MZP524020 NJL524020 NTH524020 ODD524020 OMZ524020 OWV524020 PGR524020 PQN524020 QAJ524020 QKF524020 QUB524020 RDX524020 RNT524020 RXP524020 SHL524020 SRH524020 TBD524020 TKZ524020 TUV524020 UER524020 UON524020 UYJ524020 VIF524020 VSB524020 WBX524020 WLT524020 WVP524020 H589556 JD589556 SZ589556 ACV589556 AMR589556 AWN589556 BGJ589556 BQF589556 CAB589556 CJX589556 CTT589556 DDP589556 DNL589556 DXH589556 EHD589556 EQZ589556 FAV589556 FKR589556 FUN589556 GEJ589556 GOF589556 GYB589556 HHX589556 HRT589556 IBP589556 ILL589556 IVH589556 JFD589556 JOZ589556 JYV589556 KIR589556 KSN589556 LCJ589556 LMF589556 LWB589556 MFX589556 MPT589556 MZP589556 NJL589556 NTH589556 ODD589556 OMZ589556 OWV589556 PGR589556 PQN589556 QAJ589556 QKF589556 QUB589556 RDX589556 RNT589556 RXP589556 SHL589556 SRH589556 TBD589556 TKZ589556 TUV589556 UER589556 UON589556 UYJ589556 VIF589556 VSB589556 WBX589556 WLT589556 WVP589556 H655092 JD655092 SZ655092 ACV655092 AMR655092 AWN655092 BGJ655092 BQF655092 CAB655092 CJX655092 CTT655092 DDP655092 DNL655092 DXH655092 EHD655092 EQZ655092 FAV655092 FKR655092 FUN655092 GEJ655092 GOF655092 GYB655092 HHX655092 HRT655092 IBP655092 ILL655092 IVH655092 JFD655092 JOZ655092 JYV655092 KIR655092 KSN655092 LCJ655092 LMF655092 LWB655092 MFX655092 MPT655092 MZP655092 NJL655092 NTH655092 ODD655092 OMZ655092 OWV655092 PGR655092 PQN655092 QAJ655092 QKF655092 QUB655092 RDX655092 RNT655092 RXP655092 SHL655092 SRH655092 TBD655092 TKZ655092 TUV655092 UER655092 UON655092 UYJ655092 VIF655092 VSB655092 WBX655092 WLT655092 WVP655092 H720628 JD720628 SZ720628 ACV720628 AMR720628 AWN720628 BGJ720628 BQF720628 CAB720628 CJX720628 CTT720628 DDP720628 DNL720628 DXH720628 EHD720628 EQZ720628 FAV720628 FKR720628 FUN720628 GEJ720628 GOF720628 GYB720628 HHX720628 HRT720628 IBP720628 ILL720628 IVH720628 JFD720628 JOZ720628 JYV720628 KIR720628 KSN720628 LCJ720628 LMF720628 LWB720628 MFX720628 MPT720628 MZP720628 NJL720628 NTH720628 ODD720628 OMZ720628 OWV720628 PGR720628 PQN720628 QAJ720628 QKF720628 QUB720628 RDX720628 RNT720628 RXP720628 SHL720628 SRH720628 TBD720628 TKZ720628 TUV720628 UER720628 UON720628 UYJ720628 VIF720628 VSB720628 WBX720628 WLT720628 WVP720628 H786164 JD786164 SZ786164 ACV786164 AMR786164 AWN786164 BGJ786164 BQF786164 CAB786164 CJX786164 CTT786164 DDP786164 DNL786164 DXH786164 EHD786164 EQZ786164 FAV786164 FKR786164 FUN786164 GEJ786164 GOF786164 GYB786164 HHX786164 HRT786164 IBP786164 ILL786164 IVH786164 JFD786164 JOZ786164 JYV786164 KIR786164 KSN786164 LCJ786164 LMF786164 LWB786164 MFX786164 MPT786164 MZP786164 NJL786164 NTH786164 ODD786164 OMZ786164 OWV786164 PGR786164 PQN786164 QAJ786164 QKF786164 QUB786164 RDX786164 RNT786164 RXP786164 SHL786164 SRH786164 TBD786164 TKZ786164 TUV786164 UER786164 UON786164 UYJ786164 VIF786164 VSB786164 WBX786164 WLT786164 WVP786164 H851700 JD851700 SZ851700 ACV851700 AMR851700 AWN851700 BGJ851700 BQF851700 CAB851700 CJX851700 CTT851700 DDP851700 DNL851700 DXH851700 EHD851700 EQZ851700 FAV851700 FKR851700 FUN851700 GEJ851700 GOF851700 GYB851700 HHX851700 HRT851700 IBP851700 ILL851700 IVH851700 JFD851700 JOZ851700 JYV851700 KIR851700 KSN851700 LCJ851700 LMF851700 LWB851700 MFX851700 MPT851700 MZP851700 NJL851700 NTH851700 ODD851700 OMZ851700 OWV851700 PGR851700 PQN851700 QAJ851700 QKF851700 QUB851700 RDX851700 RNT851700 RXP851700 SHL851700 SRH851700 TBD851700 TKZ851700 TUV851700 UER851700 UON851700 UYJ851700 VIF851700 VSB851700 WBX851700 WLT851700 WVP851700 H917236 JD917236 SZ917236 ACV917236 AMR917236 AWN917236 BGJ917236 BQF917236 CAB917236 CJX917236 CTT917236 DDP917236 DNL917236 DXH917236 EHD917236 EQZ917236 FAV917236 FKR917236 FUN917236 GEJ917236 GOF917236 GYB917236 HHX917236 HRT917236 IBP917236 ILL917236 IVH917236 JFD917236 JOZ917236 JYV917236 KIR917236 KSN917236 LCJ917236 LMF917236 LWB917236 MFX917236 MPT917236 MZP917236 NJL917236 NTH917236 ODD917236 OMZ917236 OWV917236 PGR917236 PQN917236 QAJ917236 QKF917236 QUB917236 RDX917236 RNT917236 RXP917236 SHL917236 SRH917236 TBD917236 TKZ917236 TUV917236 UER917236 UON917236 UYJ917236 VIF917236 VSB917236 WBX917236 WLT917236 WVP917236 H982772 JD982772 SZ982772 ACV982772 AMR982772 AWN982772 BGJ982772 BQF982772 CAB982772 CJX982772 CTT982772 DDP982772 DNL982772 DXH982772 EHD982772 EQZ982772 FAV982772 FKR982772 FUN982772 GEJ982772 GOF982772 GYB982772 HHX982772 HRT982772 IBP982772 ILL982772 IVH982772 JFD982772 JOZ982772 JYV982772 KIR982772 KSN982772 LCJ982772 LMF982772 LWB982772 MFX982772 MPT982772 MZP982772 NJL982772 NTH982772 ODD982772 OMZ982772 OWV982772 PGR982772 PQN982772 QAJ982772 QKF982772 QUB982772 RDX982772 RNT982772 RXP982772 SHL982772 SRH982772 TBD982772 TKZ982772 TUV982772 UER982772 UON982772 UYJ982772 VIF982772 VSB982772 WBX982772 WLT982772 WVP982772" xr:uid="{DFA7E021-37FA-441D-BFFC-B8BD4C57E29A}">
      <formula1>"TRUE,FALSE"</formula1>
    </dataValidation>
  </dataValidations>
  <hyperlinks>
    <hyperlink ref="AL15" location="BUILDING!AL15" display="BUILDING!AL15" xr:uid="{F3F33F1C-76F9-49D0-9CF3-82F520C0A498}"/>
  </hyperlinks>
  <pageMargins left="0.5" right="0.5" top="0.5" bottom="0.75" header="0" footer="0.5"/>
  <pageSetup firstPageNumber="18" fitToHeight="1000" orientation="portrait" useFirstPageNumber="1" r:id="rId1"/>
  <headerFooter alignWithMargins="0">
    <oddFooter>&amp;L&amp;"Calibri,Regular"Prepared by:  OCMI&amp;R&amp;"Calibri,Regular"&amp;10 Sheet &amp;P of 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7969" r:id="rId4" name="Button 1">
              <controlPr locked="0" defaultSize="0" autoFill="0" autoPict="0" macro="[0]!Module5.hideShowSF2">
                <anchor moveWithCells="1" sizeWithCells="1">
                  <from>
                    <xdr:col>32</xdr:col>
                    <xdr:colOff>57150</xdr:colOff>
                    <xdr:row>6</xdr:row>
                    <xdr:rowOff>76200</xdr:rowOff>
                  </from>
                  <to>
                    <xdr:col>32</xdr:col>
                    <xdr:colOff>1238250</xdr:colOff>
                    <xdr:row>8</xdr:row>
                    <xdr:rowOff>66675</xdr:rowOff>
                  </to>
                </anchor>
              </controlPr>
            </control>
          </mc:Choice>
        </mc:AlternateContent>
        <mc:AlternateContent xmlns:mc="http://schemas.openxmlformats.org/markup-compatibility/2006">
          <mc:Choice Requires="x14">
            <control shapeId="1107970" r:id="rId5" name="Button 2">
              <controlPr defaultSize="0" print="0" autoFill="0" autoPict="0" macro="[0]!jumpToDetail">
                <anchor moveWithCells="1" sizeWithCells="1">
                  <from>
                    <xdr:col>37</xdr:col>
                    <xdr:colOff>28575</xdr:colOff>
                    <xdr:row>11</xdr:row>
                    <xdr:rowOff>133350</xdr:rowOff>
                  </from>
                  <to>
                    <xdr:col>37</xdr:col>
                    <xdr:colOff>838200</xdr:colOff>
                    <xdr:row>13</xdr:row>
                    <xdr:rowOff>38100</xdr:rowOff>
                  </to>
                </anchor>
              </controlPr>
            </control>
          </mc:Choice>
        </mc:AlternateContent>
        <mc:AlternateContent xmlns:mc="http://schemas.openxmlformats.org/markup-compatibility/2006">
          <mc:Choice Requires="x14">
            <control shapeId="1107971" r:id="rId6" name="Button 3">
              <controlPr defaultSize="0" print="0" autoFill="0" autoPict="0" macro="[0]!jumpToSummary">
                <anchor moveWithCells="1" sizeWithCells="1">
                  <from>
                    <xdr:col>15</xdr:col>
                    <xdr:colOff>238125</xdr:colOff>
                    <xdr:row>460</xdr:row>
                    <xdr:rowOff>95250</xdr:rowOff>
                  </from>
                  <to>
                    <xdr:col>15</xdr:col>
                    <xdr:colOff>1066800</xdr:colOff>
                    <xdr:row>462</xdr:row>
                    <xdr:rowOff>0</xdr:rowOff>
                  </to>
                </anchor>
              </controlPr>
            </control>
          </mc:Choice>
        </mc:AlternateContent>
        <mc:AlternateContent xmlns:mc="http://schemas.openxmlformats.org/markup-compatibility/2006">
          <mc:Choice Requires="x14">
            <control shapeId="1107972" r:id="rId7" name="SiteCheck">
              <controlPr defaultSize="0" autoFill="0" autoLine="0" autoPict="0" macro="[0]!callSiteClick">
                <anchor moveWithCells="1" sizeWithCells="1">
                  <from>
                    <xdr:col>6</xdr:col>
                    <xdr:colOff>133350</xdr:colOff>
                    <xdr:row>6</xdr:row>
                    <xdr:rowOff>133350</xdr:rowOff>
                  </from>
                  <to>
                    <xdr:col>7</xdr:col>
                    <xdr:colOff>190500</xdr:colOff>
                    <xdr:row>8</xdr:row>
                    <xdr:rowOff>19050</xdr:rowOff>
                  </to>
                </anchor>
              </controlPr>
            </control>
          </mc:Choice>
        </mc:AlternateContent>
        <mc:AlternateContent xmlns:mc="http://schemas.openxmlformats.org/markup-compatibility/2006">
          <mc:Choice Requires="x14">
            <control shapeId="1107973" r:id="rId8" name="Button 5">
              <controlPr locked="0" defaultSize="0" autoFill="0" autoPict="0" macro="[0]!orientPortrait">
                <anchor moveWithCells="1" sizeWithCells="1">
                  <from>
                    <xdr:col>7</xdr:col>
                    <xdr:colOff>1914525</xdr:colOff>
                    <xdr:row>2</xdr:row>
                    <xdr:rowOff>0</xdr:rowOff>
                  </from>
                  <to>
                    <xdr:col>7</xdr:col>
                    <xdr:colOff>2733675</xdr:colOff>
                    <xdr:row>3</xdr:row>
                    <xdr:rowOff>57150</xdr:rowOff>
                  </to>
                </anchor>
              </controlPr>
            </control>
          </mc:Choice>
        </mc:AlternateContent>
        <mc:AlternateContent xmlns:mc="http://schemas.openxmlformats.org/markup-compatibility/2006">
          <mc:Choice Requires="x14">
            <control shapeId="1107974" r:id="rId9" name="Button 6">
              <controlPr locked="0" defaultSize="0" autoFill="0" autoPict="0" macro="[0]!orientLandscape">
                <anchor moveWithCells="1" sizeWithCells="1">
                  <from>
                    <xdr:col>7</xdr:col>
                    <xdr:colOff>1914525</xdr:colOff>
                    <xdr:row>3</xdr:row>
                    <xdr:rowOff>114300</xdr:rowOff>
                  </from>
                  <to>
                    <xdr:col>7</xdr:col>
                    <xdr:colOff>2733675</xdr:colOff>
                    <xdr:row>5</xdr:row>
                    <xdr:rowOff>19050</xdr:rowOff>
                  </to>
                </anchor>
              </controlPr>
            </control>
          </mc:Choice>
        </mc:AlternateContent>
        <mc:AlternateContent xmlns:mc="http://schemas.openxmlformats.org/markup-compatibility/2006">
          <mc:Choice Requires="x14">
            <control shapeId="1107975" r:id="rId10" name="MaterialCheck">
              <controlPr defaultSize="0" autoFill="0" autoLine="0" autoPict="0" macro="[0]!callMaterialColumn">
                <anchor moveWithCells="1" sizeWithCells="1">
                  <from>
                    <xdr:col>8</xdr:col>
                    <xdr:colOff>180975</xdr:colOff>
                    <xdr:row>1</xdr:row>
                    <xdr:rowOff>133350</xdr:rowOff>
                  </from>
                  <to>
                    <xdr:col>9</xdr:col>
                    <xdr:colOff>323850</xdr:colOff>
                    <xdr:row>3</xdr:row>
                    <xdr:rowOff>38100</xdr:rowOff>
                  </to>
                </anchor>
              </controlPr>
            </control>
          </mc:Choice>
        </mc:AlternateContent>
        <mc:AlternateContent xmlns:mc="http://schemas.openxmlformats.org/markup-compatibility/2006">
          <mc:Choice Requires="x14">
            <control shapeId="1107976" r:id="rId11" name="LaborCheck">
              <controlPr defaultSize="0" autoFill="0" autoLine="0" autoPict="0" macro="[0]!callLaborColumn">
                <anchor moveWithCells="1" sizeWithCells="1">
                  <from>
                    <xdr:col>8</xdr:col>
                    <xdr:colOff>180975</xdr:colOff>
                    <xdr:row>3</xdr:row>
                    <xdr:rowOff>9525</xdr:rowOff>
                  </from>
                  <to>
                    <xdr:col>9</xdr:col>
                    <xdr:colOff>323850</xdr:colOff>
                    <xdr:row>4</xdr:row>
                    <xdr:rowOff>76200</xdr:rowOff>
                  </to>
                </anchor>
              </controlPr>
            </control>
          </mc:Choice>
        </mc:AlternateContent>
        <mc:AlternateContent xmlns:mc="http://schemas.openxmlformats.org/markup-compatibility/2006">
          <mc:Choice Requires="x14">
            <control shapeId="1107977" r:id="rId12" name="EquipmentCheck">
              <controlPr defaultSize="0" autoFill="0" autoLine="0" autoPict="0" macro="[0]!callEquipmentColumn">
                <anchor moveWithCells="1" sizeWithCells="1">
                  <from>
                    <xdr:col>8</xdr:col>
                    <xdr:colOff>180975</xdr:colOff>
                    <xdr:row>4</xdr:row>
                    <xdr:rowOff>57150</xdr:rowOff>
                  </from>
                  <to>
                    <xdr:col>9</xdr:col>
                    <xdr:colOff>323850</xdr:colOff>
                    <xdr:row>5</xdr:row>
                    <xdr:rowOff>123825</xdr:rowOff>
                  </to>
                </anchor>
              </controlPr>
            </control>
          </mc:Choice>
        </mc:AlternateContent>
        <mc:AlternateContent xmlns:mc="http://schemas.openxmlformats.org/markup-compatibility/2006">
          <mc:Choice Requires="x14">
            <control shapeId="1107978" r:id="rId13" name="OtherCheck">
              <controlPr defaultSize="0" autoFill="0" autoLine="0" autoPict="0" macro="[0]!callOtherColumn">
                <anchor moveWithCells="1" sizeWithCells="1">
                  <from>
                    <xdr:col>8</xdr:col>
                    <xdr:colOff>180975</xdr:colOff>
                    <xdr:row>5</xdr:row>
                    <xdr:rowOff>95250</xdr:rowOff>
                  </from>
                  <to>
                    <xdr:col>9</xdr:col>
                    <xdr:colOff>323850</xdr:colOff>
                    <xdr:row>7</xdr:row>
                    <xdr:rowOff>0</xdr:rowOff>
                  </to>
                </anchor>
              </controlPr>
            </control>
          </mc:Choice>
        </mc:AlternateContent>
        <mc:AlternateContent xmlns:mc="http://schemas.openxmlformats.org/markup-compatibility/2006">
          <mc:Choice Requires="x14">
            <control shapeId="1107979" r:id="rId14" name="Button 11">
              <controlPr defaultSize="0" print="0" autoFill="0" autoPict="0" macro="[0]!jumpToSummary">
                <anchor moveWithCells="1" sizeWithCells="1">
                  <from>
                    <xdr:col>14</xdr:col>
                    <xdr:colOff>95250</xdr:colOff>
                    <xdr:row>1</xdr:row>
                    <xdr:rowOff>161925</xdr:rowOff>
                  </from>
                  <to>
                    <xdr:col>15</xdr:col>
                    <xdr:colOff>19050</xdr:colOff>
                    <xdr:row>3</xdr:row>
                    <xdr:rowOff>57150</xdr:rowOff>
                  </to>
                </anchor>
              </controlPr>
            </control>
          </mc:Choice>
        </mc:AlternateContent>
        <mc:AlternateContent xmlns:mc="http://schemas.openxmlformats.org/markup-compatibility/2006">
          <mc:Choice Requires="x14">
            <control shapeId="1107980" r:id="rId15" name="Button 12">
              <controlPr defaultSize="0" print="0" autoFill="0" autoPict="0" macro="[0]!jumpToDetail">
                <anchor moveWithCells="1" sizeWithCells="1">
                  <from>
                    <xdr:col>14</xdr:col>
                    <xdr:colOff>95250</xdr:colOff>
                    <xdr:row>3</xdr:row>
                    <xdr:rowOff>104775</xdr:rowOff>
                  </from>
                  <to>
                    <xdr:col>15</xdr:col>
                    <xdr:colOff>19050</xdr:colOff>
                    <xdr:row>5</xdr:row>
                    <xdr:rowOff>9525</xdr:rowOff>
                  </to>
                </anchor>
              </controlPr>
            </control>
          </mc:Choice>
        </mc:AlternateContent>
        <mc:AlternateContent xmlns:mc="http://schemas.openxmlformats.org/markup-compatibility/2006">
          <mc:Choice Requires="x14">
            <control shapeId="1107981" r:id="rId16" name="Button 13">
              <controlPr locked="0" defaultSize="0" autoFill="0" autoPict="0" macro="[0]!Module5.runQAQC">
                <anchor moveWithCells="1" sizeWithCells="1">
                  <from>
                    <xdr:col>7</xdr:col>
                    <xdr:colOff>1914525</xdr:colOff>
                    <xdr:row>6</xdr:row>
                    <xdr:rowOff>114300</xdr:rowOff>
                  </from>
                  <to>
                    <xdr:col>7</xdr:col>
                    <xdr:colOff>2266950</xdr:colOff>
                    <xdr:row>8</xdr:row>
                    <xdr:rowOff>19050</xdr:rowOff>
                  </to>
                </anchor>
              </controlPr>
            </control>
          </mc:Choice>
        </mc:AlternateContent>
        <mc:AlternateContent xmlns:mc="http://schemas.openxmlformats.org/markup-compatibility/2006">
          <mc:Choice Requires="x14">
            <control shapeId="1107982" r:id="rId17" name="Button 14">
              <controlPr locked="0" defaultSize="0" autoFill="0" autoPict="0" macro="[0]!Module5.undoQAQC">
                <anchor moveWithCells="1" sizeWithCells="1">
                  <from>
                    <xdr:col>7</xdr:col>
                    <xdr:colOff>2352675</xdr:colOff>
                    <xdr:row>6</xdr:row>
                    <xdr:rowOff>114300</xdr:rowOff>
                  </from>
                  <to>
                    <xdr:col>7</xdr:col>
                    <xdr:colOff>2714625</xdr:colOff>
                    <xdr:row>8</xdr:row>
                    <xdr:rowOff>19050</xdr:rowOff>
                  </to>
                </anchor>
              </controlPr>
            </control>
          </mc:Choice>
        </mc:AlternateContent>
        <mc:AlternateContent xmlns:mc="http://schemas.openxmlformats.org/markup-compatibility/2006">
          <mc:Choice Requires="x14">
            <control shapeId="1107983" r:id="rId18" name="Button 15">
              <controlPr defaultSize="0" print="0" autoFill="0" autoPict="0" macro="[0]!Module12.ControlQuanti">
                <anchor moveWithCells="1" sizeWithCells="1">
                  <from>
                    <xdr:col>15</xdr:col>
                    <xdr:colOff>295275</xdr:colOff>
                    <xdr:row>1</xdr:row>
                    <xdr:rowOff>57150</xdr:rowOff>
                  </from>
                  <to>
                    <xdr:col>16</xdr:col>
                    <xdr:colOff>400050</xdr:colOff>
                    <xdr:row>4</xdr:row>
                    <xdr:rowOff>9525</xdr:rowOff>
                  </to>
                </anchor>
              </controlPr>
            </control>
          </mc:Choice>
        </mc:AlternateContent>
        <mc:AlternateContent xmlns:mc="http://schemas.openxmlformats.org/markup-compatibility/2006">
          <mc:Choice Requires="x14">
            <control shapeId="1107984" r:id="rId19" name="Button 16">
              <controlPr defaultSize="0" print="0" autoFill="0" autoPict="0" macro="[0]!itemSelector_Click">
                <anchor moveWithCells="1" sizeWithCells="1">
                  <from>
                    <xdr:col>15</xdr:col>
                    <xdr:colOff>304800</xdr:colOff>
                    <xdr:row>4</xdr:row>
                    <xdr:rowOff>114300</xdr:rowOff>
                  </from>
                  <to>
                    <xdr:col>16</xdr:col>
                    <xdr:colOff>409575</xdr:colOff>
                    <xdr:row>7</xdr:row>
                    <xdr:rowOff>57150</xdr:rowOff>
                  </to>
                </anchor>
              </controlPr>
            </control>
          </mc:Choice>
        </mc:AlternateContent>
        <mc:AlternateContent xmlns:mc="http://schemas.openxmlformats.org/markup-compatibility/2006">
          <mc:Choice Requires="x14">
            <control shapeId="1107985" r:id="rId20" name="Button 17">
              <controlPr locked="0" defaultSize="0" autoFill="0" autoPict="0" macro="[0]!hideEmptySections">
                <anchor moveWithCells="1" sizeWithCells="1">
                  <from>
                    <xdr:col>32</xdr:col>
                    <xdr:colOff>47625</xdr:colOff>
                    <xdr:row>2</xdr:row>
                    <xdr:rowOff>38100</xdr:rowOff>
                  </from>
                  <to>
                    <xdr:col>32</xdr:col>
                    <xdr:colOff>1504950</xdr:colOff>
                    <xdr:row>3</xdr:row>
                    <xdr:rowOff>123825</xdr:rowOff>
                  </to>
                </anchor>
              </controlPr>
            </control>
          </mc:Choice>
        </mc:AlternateContent>
        <mc:AlternateContent xmlns:mc="http://schemas.openxmlformats.org/markup-compatibility/2006">
          <mc:Choice Requires="x14">
            <control shapeId="1107986" r:id="rId21" name="Button 18">
              <controlPr locked="0" defaultSize="0" autoFill="0" autoPict="0" macro="[0]!unhideAllSections">
                <anchor moveWithCells="1" sizeWithCells="1">
                  <from>
                    <xdr:col>32</xdr:col>
                    <xdr:colOff>47625</xdr:colOff>
                    <xdr:row>4</xdr:row>
                    <xdr:rowOff>19050</xdr:rowOff>
                  </from>
                  <to>
                    <xdr:col>32</xdr:col>
                    <xdr:colOff>1504950</xdr:colOff>
                    <xdr:row>5</xdr:row>
                    <xdr:rowOff>114300</xdr:rowOff>
                  </to>
                </anchor>
              </controlPr>
            </control>
          </mc:Choice>
        </mc:AlternateContent>
        <mc:AlternateContent xmlns:mc="http://schemas.openxmlformats.org/markup-compatibility/2006">
          <mc:Choice Requires="x14">
            <control shapeId="1107987" r:id="rId22" name="Button 19">
              <controlPr defaultSize="0" print="0" autoFill="0" autoPict="0" macro="[0]!moveRows">
                <anchor moveWithCells="1" sizeWithCells="1">
                  <from>
                    <xdr:col>14</xdr:col>
                    <xdr:colOff>95250</xdr:colOff>
                    <xdr:row>5</xdr:row>
                    <xdr:rowOff>104775</xdr:rowOff>
                  </from>
                  <to>
                    <xdr:col>15</xdr:col>
                    <xdr:colOff>19050</xdr:colOff>
                    <xdr:row>7</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1AA9E-B099-4B26-97AD-460434DD7348}">
  <sheetPr filterMode="1">
    <tabColor rgb="FF92D050"/>
    <pageSetUpPr autoPageBreaks="0"/>
  </sheetPr>
  <dimension ref="A1:M1048571"/>
  <sheetViews>
    <sheetView showGridLines="0" view="pageBreakPreview" topLeftCell="A4" zoomScale="130" zoomScaleNormal="130" zoomScaleSheetLayoutView="130" workbookViewId="0">
      <selection activeCell="C10" sqref="C10"/>
    </sheetView>
  </sheetViews>
  <sheetFormatPr defaultColWidth="9.140625" defaultRowHeight="12.75" x14ac:dyDescent="0.2"/>
  <cols>
    <col min="1" max="1" width="2.7109375" style="244" customWidth="1"/>
    <col min="2" max="2" width="36.5703125" style="244" customWidth="1"/>
    <col min="3" max="4" width="12.42578125" style="244" customWidth="1"/>
    <col min="5" max="5" width="15.85546875" style="244" customWidth="1"/>
    <col min="6" max="6" width="11.7109375" style="244" customWidth="1"/>
    <col min="7" max="7" width="5.5703125" style="244" customWidth="1"/>
    <col min="8" max="10" width="18" style="244" customWidth="1"/>
    <col min="11" max="20" width="13.28515625" style="244" customWidth="1"/>
    <col min="21" max="16384" width="9.140625" style="244"/>
  </cols>
  <sheetData>
    <row r="1" spans="1:13" ht="33.75" customHeight="1" x14ac:dyDescent="0.2">
      <c r="B1" s="245"/>
      <c r="C1" s="245"/>
      <c r="D1" s="245"/>
      <c r="E1" s="245"/>
      <c r="F1" s="245"/>
      <c r="G1" s="245"/>
      <c r="H1" s="245"/>
      <c r="I1" s="245"/>
      <c r="J1" s="245"/>
    </row>
    <row r="2" spans="1:13" ht="15.75" customHeight="1" x14ac:dyDescent="0.2">
      <c r="B2" s="570"/>
      <c r="C2" s="572"/>
      <c r="D2" s="248"/>
      <c r="E2" s="249"/>
      <c r="F2" s="248"/>
      <c r="G2" s="245"/>
      <c r="H2" s="245"/>
      <c r="I2" s="245"/>
      <c r="J2" s="250" t="str">
        <f>Initial!C3</f>
        <v>Hunt County Government Building</v>
      </c>
    </row>
    <row r="3" spans="1:13" ht="15.75" customHeight="1" x14ac:dyDescent="0.25">
      <c r="B3" s="570"/>
      <c r="C3" s="248"/>
      <c r="D3" s="248"/>
      <c r="E3" s="249"/>
      <c r="F3" s="248"/>
      <c r="G3" s="245"/>
      <c r="H3" s="245"/>
      <c r="I3" s="245"/>
      <c r="J3" s="251" t="s">
        <v>956</v>
      </c>
    </row>
    <row r="4" spans="1:13" ht="12" customHeight="1" x14ac:dyDescent="0.2">
      <c r="B4" s="252"/>
      <c r="C4" s="248"/>
      <c r="D4" s="248"/>
      <c r="E4" s="249"/>
      <c r="F4" s="248"/>
      <c r="G4" s="245"/>
      <c r="H4" s="245"/>
      <c r="I4" s="245"/>
      <c r="J4" s="253" t="str">
        <f>Initial!C4</f>
        <v>Greenville, TX</v>
      </c>
    </row>
    <row r="5" spans="1:13" ht="9" customHeight="1" x14ac:dyDescent="0.2">
      <c r="B5" s="252"/>
      <c r="C5" s="248"/>
      <c r="D5" s="248"/>
      <c r="E5" s="249"/>
      <c r="F5" s="248"/>
      <c r="G5" s="245"/>
      <c r="H5" s="245"/>
      <c r="I5" s="245"/>
      <c r="J5" s="253"/>
    </row>
    <row r="6" spans="1:13" ht="18.75" customHeight="1" x14ac:dyDescent="0.2">
      <c r="B6" s="252" t="str">
        <f>Initial!C5</f>
        <v>CONSTRUCTION DOCUMENTS ESTIMATE</v>
      </c>
      <c r="C6" s="248"/>
      <c r="D6" s="248"/>
      <c r="E6" s="249"/>
      <c r="F6" s="248"/>
      <c r="G6" s="245"/>
      <c r="H6" s="245"/>
      <c r="I6" s="245"/>
      <c r="J6" s="254" t="str">
        <f>"OCMI JOB #: "&amp; Initial!C2 &amp; " | " &amp; Initial!C6</f>
        <v>OCMI JOB #: 240540.000 | 24 December 2024</v>
      </c>
    </row>
    <row r="7" spans="1:13" ht="12.75" customHeight="1" thickBot="1" x14ac:dyDescent="0.25">
      <c r="B7" s="571"/>
      <c r="C7" s="248"/>
      <c r="D7" s="248"/>
      <c r="E7" s="249"/>
      <c r="F7" s="248"/>
      <c r="G7" s="254"/>
      <c r="H7" s="245"/>
      <c r="I7" s="245"/>
      <c r="J7" s="245"/>
    </row>
    <row r="8" spans="1:13" ht="28.5" customHeight="1" thickBot="1" x14ac:dyDescent="0.25">
      <c r="A8" s="260"/>
      <c r="B8" s="711" t="s">
        <v>957</v>
      </c>
      <c r="C8" s="711"/>
      <c r="D8" s="711"/>
      <c r="E8" s="711"/>
      <c r="F8" s="711"/>
      <c r="G8" s="711"/>
      <c r="H8" s="711"/>
      <c r="I8" s="711"/>
      <c r="J8" s="711"/>
    </row>
    <row r="9" spans="1:13" ht="9" customHeight="1" x14ac:dyDescent="0.2">
      <c r="B9" s="571"/>
      <c r="C9" s="248"/>
      <c r="D9" s="248"/>
      <c r="E9" s="248"/>
      <c r="F9" s="248"/>
      <c r="G9" s="254"/>
      <c r="H9" s="245"/>
      <c r="I9" s="245"/>
      <c r="J9" s="245"/>
      <c r="M9" s="259"/>
    </row>
    <row r="10" spans="1:13" s="256" customFormat="1" ht="22.5" customHeight="1" x14ac:dyDescent="0.2">
      <c r="B10" s="257" t="s">
        <v>0</v>
      </c>
      <c r="C10" s="564" t="str">
        <f>UPPER('Project Info'!H23)</f>
        <v>DD COST ESTIMATE</v>
      </c>
      <c r="D10" s="564" t="str">
        <f>UPPER('Project Info'!H24)</f>
        <v>CD COST ESTIMATE</v>
      </c>
      <c r="E10" s="258"/>
      <c r="F10" s="714" t="s">
        <v>958</v>
      </c>
      <c r="G10" s="714"/>
      <c r="H10" s="712"/>
      <c r="I10" s="712"/>
      <c r="J10" s="712"/>
      <c r="L10" s="259"/>
      <c r="M10" s="259"/>
    </row>
    <row r="11" spans="1:13" s="256" customFormat="1" ht="6" customHeight="1" x14ac:dyDescent="0.2">
      <c r="B11" s="257"/>
      <c r="C11" s="552"/>
      <c r="D11" s="565"/>
      <c r="E11" s="551"/>
      <c r="F11" s="566"/>
      <c r="G11" s="566"/>
      <c r="H11" s="259"/>
      <c r="I11" s="259"/>
      <c r="J11" s="259"/>
      <c r="L11" s="568"/>
      <c r="M11" s="568"/>
    </row>
    <row r="12" spans="1:13" s="256" customFormat="1" ht="9" hidden="1" customHeight="1" x14ac:dyDescent="0.25">
      <c r="A12" s="260" t="str">
        <f t="shared" ref="A12:A33" si="0">IF(SUM(C12:D12)=0,"X","")</f>
        <v>X</v>
      </c>
      <c r="B12" s="261" t="str">
        <f>BUILDING!AG25</f>
        <v>01  GENERAL REQUIREMENTS</v>
      </c>
      <c r="C12" s="552">
        <f>[1]BUILDING!AI25+[1]SITE!AI25</f>
        <v>0</v>
      </c>
      <c r="D12" s="552">
        <f>BUILDING!AI25+SITE!AI25</f>
        <v>0</v>
      </c>
      <c r="E12" s="553">
        <f t="shared" ref="E12:E34" si="1">D12-C12</f>
        <v>0</v>
      </c>
      <c r="F12" s="567">
        <f>D12-C12</f>
        <v>0</v>
      </c>
      <c r="G12" s="554">
        <f>IFERROR((D12-C12)/C12,0)</f>
        <v>0</v>
      </c>
      <c r="H12" s="713"/>
      <c r="I12" s="713"/>
      <c r="J12" s="713"/>
      <c r="L12" s="568"/>
      <c r="M12" s="568"/>
    </row>
    <row r="13" spans="1:13" ht="10.5" customHeight="1" x14ac:dyDescent="0.25">
      <c r="A13" s="260" t="str">
        <f t="shared" si="0"/>
        <v/>
      </c>
      <c r="B13" s="261" t="str">
        <f>BUILDING!AG26</f>
        <v>02  EXISTING CONDITIONS</v>
      </c>
      <c r="C13" s="552">
        <f>[1]BUILDING!AI26+[1]SITE!AI26</f>
        <v>229806</v>
      </c>
      <c r="D13" s="552">
        <f>BUILDING!AI26+SITE!AI26</f>
        <v>261651</v>
      </c>
      <c r="E13" s="553">
        <f>D13-C13</f>
        <v>31845</v>
      </c>
      <c r="F13" s="567">
        <f>D13-C13</f>
        <v>31845</v>
      </c>
      <c r="G13" s="554">
        <f>IFERROR((D13-C13)/C13,0)</f>
        <v>0.13857340539411503</v>
      </c>
      <c r="H13" s="713" t="s">
        <v>1710</v>
      </c>
      <c r="I13" s="713"/>
      <c r="J13" s="713"/>
      <c r="L13" s="568"/>
      <c r="M13" s="568"/>
    </row>
    <row r="14" spans="1:13" ht="10.5" customHeight="1" x14ac:dyDescent="0.25">
      <c r="A14" s="260" t="str">
        <f t="shared" si="0"/>
        <v/>
      </c>
      <c r="B14" s="261" t="str">
        <f>BUILDING!AG27</f>
        <v>03  CONCRETE</v>
      </c>
      <c r="C14" s="552">
        <f>[1]BUILDING!AI27+[1]SITE!AI27</f>
        <v>654831</v>
      </c>
      <c r="D14" s="552">
        <f>BUILDING!AI27+SITE!AI27</f>
        <v>531632</v>
      </c>
      <c r="E14" s="553">
        <f t="shared" si="1"/>
        <v>-123199</v>
      </c>
      <c r="F14" s="567">
        <f t="shared" ref="F14:F34" si="2">D14-C14</f>
        <v>-123199</v>
      </c>
      <c r="G14" s="554">
        <f t="shared" ref="G14:G34" si="3">IFERROR((D14-C14)/C14,0)</f>
        <v>-0.18813861897191794</v>
      </c>
      <c r="H14" s="594" t="s">
        <v>1709</v>
      </c>
      <c r="I14" s="594"/>
      <c r="J14" s="594"/>
      <c r="L14" s="568"/>
      <c r="M14" s="568"/>
    </row>
    <row r="15" spans="1:13" ht="10.5" customHeight="1" x14ac:dyDescent="0.25">
      <c r="A15" s="260" t="str">
        <f t="shared" si="0"/>
        <v/>
      </c>
      <c r="B15" s="261" t="str">
        <f>BUILDING!AG28</f>
        <v>04  MASONRY</v>
      </c>
      <c r="C15" s="552">
        <f>[1]BUILDING!AI28+[1]SITE!AI28</f>
        <v>257274</v>
      </c>
      <c r="D15" s="552">
        <f>BUILDING!AI28+SITE!AI28</f>
        <v>238624</v>
      </c>
      <c r="E15" s="553">
        <f t="shared" si="1"/>
        <v>-18650</v>
      </c>
      <c r="F15" s="567">
        <f t="shared" si="2"/>
        <v>-18650</v>
      </c>
      <c r="G15" s="554">
        <f t="shared" si="3"/>
        <v>-7.2490807465970128E-2</v>
      </c>
      <c r="H15" s="594"/>
      <c r="I15" s="594"/>
      <c r="J15" s="594"/>
      <c r="L15" s="568"/>
      <c r="M15" s="568"/>
    </row>
    <row r="16" spans="1:13" ht="10.5" customHeight="1" x14ac:dyDescent="0.25">
      <c r="A16" s="260" t="str">
        <f t="shared" si="0"/>
        <v/>
      </c>
      <c r="B16" s="261" t="str">
        <f>BUILDING!AG29</f>
        <v>05  METALS</v>
      </c>
      <c r="C16" s="552">
        <f>[1]BUILDING!AI29+[1]SITE!AI29</f>
        <v>475536</v>
      </c>
      <c r="D16" s="552">
        <f>BUILDING!AI29+SITE!AI29</f>
        <v>480334</v>
      </c>
      <c r="E16" s="553">
        <f t="shared" si="1"/>
        <v>4798</v>
      </c>
      <c r="F16" s="567">
        <f t="shared" si="2"/>
        <v>4798</v>
      </c>
      <c r="G16" s="554">
        <f t="shared" si="3"/>
        <v>1.0089667238652804E-2</v>
      </c>
      <c r="H16" s="621" t="s">
        <v>1715</v>
      </c>
      <c r="I16" s="594"/>
      <c r="J16" s="594"/>
      <c r="L16" s="568"/>
      <c r="M16" s="568"/>
    </row>
    <row r="17" spans="1:13" ht="10.5" customHeight="1" x14ac:dyDescent="0.25">
      <c r="A17" s="260" t="str">
        <f t="shared" si="0"/>
        <v/>
      </c>
      <c r="B17" s="261" t="str">
        <f>BUILDING!AG30</f>
        <v>06  WOOD, PLASTICS, AND COMPOSITES</v>
      </c>
      <c r="C17" s="552">
        <f>[1]BUILDING!AI30+[1]SITE!AI30</f>
        <v>11871</v>
      </c>
      <c r="D17" s="552">
        <f>BUILDING!AI30+SITE!AI30</f>
        <v>11871</v>
      </c>
      <c r="E17" s="553">
        <f t="shared" si="1"/>
        <v>0</v>
      </c>
      <c r="F17" s="567">
        <f t="shared" si="2"/>
        <v>0</v>
      </c>
      <c r="G17" s="554">
        <f t="shared" si="3"/>
        <v>0</v>
      </c>
      <c r="H17" s="594"/>
      <c r="I17" s="594"/>
      <c r="J17" s="594"/>
      <c r="L17" s="568"/>
      <c r="M17" s="568"/>
    </row>
    <row r="18" spans="1:13" ht="10.5" customHeight="1" x14ac:dyDescent="0.25">
      <c r="A18" s="260" t="str">
        <f t="shared" si="0"/>
        <v/>
      </c>
      <c r="B18" s="261" t="str">
        <f>BUILDING!AG31</f>
        <v>07  THERMAL AND MOISTURE PROTECTION</v>
      </c>
      <c r="C18" s="552">
        <f>[1]BUILDING!AI31+[1]SITE!AI31</f>
        <v>1075690</v>
      </c>
      <c r="D18" s="552">
        <f>BUILDING!AI31+SITE!AI31</f>
        <v>1075835</v>
      </c>
      <c r="E18" s="553">
        <f t="shared" si="1"/>
        <v>145</v>
      </c>
      <c r="F18" s="567">
        <f t="shared" si="2"/>
        <v>145</v>
      </c>
      <c r="G18" s="554">
        <f t="shared" si="3"/>
        <v>1.3479719993678477E-4</v>
      </c>
      <c r="H18" s="594"/>
      <c r="I18" s="594"/>
      <c r="J18" s="594"/>
      <c r="L18" s="568"/>
      <c r="M18" s="568"/>
    </row>
    <row r="19" spans="1:13" ht="10.5" customHeight="1" x14ac:dyDescent="0.25">
      <c r="A19" s="260" t="str">
        <f t="shared" si="0"/>
        <v/>
      </c>
      <c r="B19" s="261" t="str">
        <f>BUILDING!AG32</f>
        <v>08  OPENINGS</v>
      </c>
      <c r="C19" s="552">
        <f>[1]BUILDING!AI32+[1]SITE!AI32</f>
        <v>393235</v>
      </c>
      <c r="D19" s="552">
        <f>BUILDING!AI32+SITE!AI32</f>
        <v>392874</v>
      </c>
      <c r="E19" s="553">
        <f t="shared" si="1"/>
        <v>-361</v>
      </c>
      <c r="F19" s="567">
        <f t="shared" si="2"/>
        <v>-361</v>
      </c>
      <c r="G19" s="554">
        <f t="shared" si="3"/>
        <v>-9.180261166986662E-4</v>
      </c>
      <c r="H19" s="594"/>
      <c r="I19" s="594"/>
      <c r="J19" s="594"/>
      <c r="L19" s="568"/>
      <c r="M19" s="568"/>
    </row>
    <row r="20" spans="1:13" ht="10.5" customHeight="1" x14ac:dyDescent="0.25">
      <c r="A20" s="260" t="str">
        <f t="shared" si="0"/>
        <v/>
      </c>
      <c r="B20" s="261" t="str">
        <f>BUILDING!AG33</f>
        <v>09  FINISHES</v>
      </c>
      <c r="C20" s="552">
        <f>[1]BUILDING!AI33+[1]SITE!AI33</f>
        <v>1323651</v>
      </c>
      <c r="D20" s="552">
        <f>BUILDING!AI33+SITE!AI33</f>
        <v>1272458</v>
      </c>
      <c r="E20" s="553">
        <f t="shared" si="1"/>
        <v>-51193</v>
      </c>
      <c r="F20" s="567">
        <f t="shared" si="2"/>
        <v>-51193</v>
      </c>
      <c r="G20" s="554">
        <f t="shared" si="3"/>
        <v>-3.8675602556867333E-2</v>
      </c>
      <c r="H20" s="594" t="s">
        <v>1734</v>
      </c>
      <c r="I20" s="594"/>
      <c r="J20" s="594"/>
      <c r="L20" s="626">
        <v>-166700</v>
      </c>
      <c r="M20" s="625">
        <v>-0.12065109613728314</v>
      </c>
    </row>
    <row r="21" spans="1:13" ht="10.5" customHeight="1" x14ac:dyDescent="0.25">
      <c r="A21" s="260" t="str">
        <f t="shared" si="0"/>
        <v/>
      </c>
      <c r="B21" s="261" t="str">
        <f>BUILDING!AG34</f>
        <v>10  SPECIALTIES</v>
      </c>
      <c r="C21" s="552">
        <f>[1]BUILDING!AI34+[1]SITE!AI34</f>
        <v>100435</v>
      </c>
      <c r="D21" s="552">
        <f>BUILDING!AI34+SITE!AI34</f>
        <v>100680</v>
      </c>
      <c r="E21" s="553">
        <f t="shared" si="1"/>
        <v>245</v>
      </c>
      <c r="F21" s="567">
        <f t="shared" si="2"/>
        <v>245</v>
      </c>
      <c r="G21" s="554">
        <f t="shared" si="3"/>
        <v>2.4393886593319061E-3</v>
      </c>
      <c r="H21" s="594"/>
      <c r="I21" s="594"/>
      <c r="J21" s="594"/>
      <c r="L21" s="568"/>
      <c r="M21" s="568"/>
    </row>
    <row r="22" spans="1:13" ht="9" hidden="1" customHeight="1" x14ac:dyDescent="0.25">
      <c r="A22" s="260" t="str">
        <f t="shared" si="0"/>
        <v>X</v>
      </c>
      <c r="B22" s="261" t="str">
        <f>BUILDING!AG35</f>
        <v>11  EQUIPMENT</v>
      </c>
      <c r="C22" s="552">
        <f>[1]BUILDING!AI35+[1]SITE!AI35</f>
        <v>0</v>
      </c>
      <c r="D22" s="552">
        <f>BUILDING!AI35+SITE!AI35</f>
        <v>0</v>
      </c>
      <c r="E22" s="553">
        <f t="shared" si="1"/>
        <v>0</v>
      </c>
      <c r="F22" s="567">
        <f t="shared" si="2"/>
        <v>0</v>
      </c>
      <c r="G22" s="554">
        <f t="shared" si="3"/>
        <v>0</v>
      </c>
      <c r="H22" s="568"/>
      <c r="I22" s="568"/>
      <c r="J22" s="568"/>
      <c r="L22" s="568"/>
      <c r="M22" s="568"/>
    </row>
    <row r="23" spans="1:13" ht="10.5" customHeight="1" x14ac:dyDescent="0.25">
      <c r="A23" s="260" t="str">
        <f t="shared" si="0"/>
        <v/>
      </c>
      <c r="B23" s="261" t="str">
        <f>BUILDING!AG36</f>
        <v>12  FURNISHINGS</v>
      </c>
      <c r="C23" s="552">
        <f>[1]BUILDING!AI36+[1]SITE!AI36</f>
        <v>142243</v>
      </c>
      <c r="D23" s="552">
        <f>BUILDING!AI36+SITE!AI36</f>
        <v>139925</v>
      </c>
      <c r="E23" s="553">
        <f t="shared" si="1"/>
        <v>-2318</v>
      </c>
      <c r="F23" s="567">
        <f t="shared" si="2"/>
        <v>-2318</v>
      </c>
      <c r="G23" s="554">
        <f t="shared" si="3"/>
        <v>-1.6296056747959479E-2</v>
      </c>
      <c r="H23" s="594"/>
      <c r="I23" s="594"/>
      <c r="J23" s="594"/>
      <c r="L23" s="568"/>
      <c r="M23" s="568"/>
    </row>
    <row r="24" spans="1:13" ht="9" hidden="1" customHeight="1" x14ac:dyDescent="0.25">
      <c r="A24" s="260" t="str">
        <f t="shared" si="0"/>
        <v>X</v>
      </c>
      <c r="B24" s="261" t="str">
        <f>BUILDING!AG37</f>
        <v>13  SPECIAL CONSTRUCTION</v>
      </c>
      <c r="C24" s="552">
        <f>[1]BUILDING!AI37+[1]SITE!AI37</f>
        <v>0</v>
      </c>
      <c r="D24" s="552">
        <f>BUILDING!AI37+SITE!AI37</f>
        <v>0</v>
      </c>
      <c r="E24" s="553">
        <f t="shared" si="1"/>
        <v>0</v>
      </c>
      <c r="F24" s="567">
        <f t="shared" si="2"/>
        <v>0</v>
      </c>
      <c r="G24" s="554">
        <f t="shared" si="3"/>
        <v>0</v>
      </c>
      <c r="H24" s="568"/>
      <c r="I24" s="568"/>
      <c r="J24" s="568"/>
      <c r="L24" s="568"/>
      <c r="M24" s="568"/>
    </row>
    <row r="25" spans="1:13" ht="9" hidden="1" customHeight="1" x14ac:dyDescent="0.25">
      <c r="A25" s="260" t="str">
        <f t="shared" si="0"/>
        <v>X</v>
      </c>
      <c r="B25" s="261" t="str">
        <f>BUILDING!AG38</f>
        <v>14  CONVEYING EQUIPMENT</v>
      </c>
      <c r="C25" s="552">
        <f>[1]BUILDING!AI38+[1]SITE!AI38</f>
        <v>0</v>
      </c>
      <c r="D25" s="552">
        <f>BUILDING!AI38+SITE!AI38</f>
        <v>0</v>
      </c>
      <c r="E25" s="553">
        <f t="shared" si="1"/>
        <v>0</v>
      </c>
      <c r="F25" s="567">
        <f t="shared" si="2"/>
        <v>0</v>
      </c>
      <c r="G25" s="554">
        <f t="shared" si="3"/>
        <v>0</v>
      </c>
      <c r="H25" s="568"/>
      <c r="I25" s="568"/>
      <c r="J25" s="568"/>
      <c r="L25" s="568"/>
      <c r="M25" s="568"/>
    </row>
    <row r="26" spans="1:13" ht="10.5" customHeight="1" x14ac:dyDescent="0.25">
      <c r="A26" s="260" t="str">
        <f t="shared" si="0"/>
        <v/>
      </c>
      <c r="B26" s="261" t="str">
        <f>BUILDING!AG39</f>
        <v>21  FIRE SUPPRESSION</v>
      </c>
      <c r="C26" s="552">
        <f>[1]BUILDING!AI39+[1]SITE!AI39</f>
        <v>172574</v>
      </c>
      <c r="D26" s="552">
        <f>BUILDING!AI39+SITE!AI39</f>
        <v>229166</v>
      </c>
      <c r="E26" s="553">
        <f t="shared" si="1"/>
        <v>56592</v>
      </c>
      <c r="F26" s="567">
        <f t="shared" si="2"/>
        <v>56592</v>
      </c>
      <c r="G26" s="554">
        <f t="shared" si="3"/>
        <v>0.32792888847682733</v>
      </c>
      <c r="H26" s="594" t="s">
        <v>1855</v>
      </c>
      <c r="I26" s="594"/>
      <c r="J26" s="594"/>
      <c r="L26" s="568"/>
      <c r="M26" s="568"/>
    </row>
    <row r="27" spans="1:13" ht="10.5" customHeight="1" x14ac:dyDescent="0.25">
      <c r="A27" s="260" t="str">
        <f t="shared" si="0"/>
        <v/>
      </c>
      <c r="B27" s="261" t="str">
        <f>BUILDING!AG40</f>
        <v>22  PLUMBING</v>
      </c>
      <c r="C27" s="552">
        <f>[1]BUILDING!AI40+[1]SITE!AI40</f>
        <v>363011</v>
      </c>
      <c r="D27" s="552">
        <f>BUILDING!AI40+SITE!AI40</f>
        <v>289742</v>
      </c>
      <c r="E27" s="553">
        <f t="shared" si="1"/>
        <v>-73269</v>
      </c>
      <c r="F27" s="567">
        <f t="shared" si="2"/>
        <v>-73269</v>
      </c>
      <c r="G27" s="554">
        <f t="shared" si="3"/>
        <v>-0.20183685893815889</v>
      </c>
      <c r="H27" s="594" t="s">
        <v>1664</v>
      </c>
      <c r="I27" s="594"/>
      <c r="J27" s="594"/>
      <c r="L27" s="568"/>
      <c r="M27" s="568"/>
    </row>
    <row r="28" spans="1:13" ht="10.5" customHeight="1" x14ac:dyDescent="0.25">
      <c r="A28" s="260" t="str">
        <f t="shared" si="0"/>
        <v/>
      </c>
      <c r="B28" s="261" t="str">
        <f>BUILDING!AG41</f>
        <v>23  HEATING, VENTILATING, AND AIR CONDITIONING</v>
      </c>
      <c r="C28" s="552">
        <f>[1]BUILDING!AI41+[1]SITE!AI41</f>
        <v>1327818</v>
      </c>
      <c r="D28" s="552">
        <f>BUILDING!AI41+SITE!AI41</f>
        <v>1192454</v>
      </c>
      <c r="E28" s="553">
        <f t="shared" si="1"/>
        <v>-135364</v>
      </c>
      <c r="F28" s="567">
        <f t="shared" si="2"/>
        <v>-135364</v>
      </c>
      <c r="G28" s="554">
        <f t="shared" si="3"/>
        <v>-0.10194469422767277</v>
      </c>
      <c r="H28" s="594" t="s">
        <v>1663</v>
      </c>
      <c r="I28" s="594"/>
      <c r="J28" s="594"/>
      <c r="L28" s="568"/>
      <c r="M28" s="568"/>
    </row>
    <row r="29" spans="1:13" ht="10.5" customHeight="1" x14ac:dyDescent="0.25">
      <c r="A29" s="260" t="str">
        <f t="shared" si="0"/>
        <v/>
      </c>
      <c r="B29" s="261" t="str">
        <f>BUILDING!AG42</f>
        <v>26  ELECTRICAL</v>
      </c>
      <c r="C29" s="552">
        <f>[1]BUILDING!AI42+[1]SITE!AI42</f>
        <v>1004992</v>
      </c>
      <c r="D29" s="552">
        <f>BUILDING!AI42+SITE!AI42</f>
        <v>969588</v>
      </c>
      <c r="E29" s="553">
        <f t="shared" si="1"/>
        <v>-35404</v>
      </c>
      <c r="F29" s="567">
        <f t="shared" si="2"/>
        <v>-35404</v>
      </c>
      <c r="G29" s="554">
        <f t="shared" si="3"/>
        <v>-3.5228141119531299E-2</v>
      </c>
      <c r="H29" s="594" t="s">
        <v>1840</v>
      </c>
      <c r="I29" s="594"/>
      <c r="J29" s="594"/>
      <c r="L29" s="568"/>
      <c r="M29" s="568"/>
    </row>
    <row r="30" spans="1:13" ht="10.5" customHeight="1" x14ac:dyDescent="0.25">
      <c r="A30" s="260" t="str">
        <f t="shared" si="0"/>
        <v/>
      </c>
      <c r="B30" s="261" t="str">
        <f>BUILDING!AG43</f>
        <v>27  COMMUNICATIONS</v>
      </c>
      <c r="C30" s="552">
        <f>[1]BUILDING!AI43+[1]SITE!AI43</f>
        <v>134955</v>
      </c>
      <c r="D30" s="552">
        <f>BUILDING!AI43+SITE!AI43</f>
        <v>56270</v>
      </c>
      <c r="E30" s="553">
        <f t="shared" si="1"/>
        <v>-78685</v>
      </c>
      <c r="F30" s="567">
        <f t="shared" si="2"/>
        <v>-78685</v>
      </c>
      <c r="G30" s="554">
        <f t="shared" si="3"/>
        <v>-0.58304620058538026</v>
      </c>
      <c r="H30" s="594" t="s">
        <v>1841</v>
      </c>
      <c r="I30" s="594"/>
      <c r="J30" s="594"/>
      <c r="L30" s="568"/>
      <c r="M30" s="568"/>
    </row>
    <row r="31" spans="1:13" ht="10.5" customHeight="1" x14ac:dyDescent="0.25">
      <c r="A31" s="260" t="str">
        <f t="shared" si="0"/>
        <v/>
      </c>
      <c r="B31" s="261" t="str">
        <f>BUILDING!AG44</f>
        <v>28  ELECTRONIC SAFETY AND SECURITY</v>
      </c>
      <c r="C31" s="552">
        <f>[1]BUILDING!AI44+[1]SITE!AI44</f>
        <v>60640</v>
      </c>
      <c r="D31" s="552">
        <f>BUILDING!AI44+SITE!AI44</f>
        <v>59021</v>
      </c>
      <c r="E31" s="553">
        <f t="shared" si="1"/>
        <v>-1619</v>
      </c>
      <c r="F31" s="567">
        <f t="shared" si="2"/>
        <v>-1619</v>
      </c>
      <c r="G31" s="554">
        <f t="shared" si="3"/>
        <v>-2.6698548812664907E-2</v>
      </c>
      <c r="H31" s="594"/>
      <c r="I31" s="594"/>
      <c r="J31" s="594"/>
      <c r="L31" s="568"/>
      <c r="M31" s="568"/>
    </row>
    <row r="32" spans="1:13" ht="10.5" customHeight="1" x14ac:dyDescent="0.25">
      <c r="A32" s="260" t="str">
        <f t="shared" si="0"/>
        <v/>
      </c>
      <c r="B32" s="261" t="str">
        <f>BUILDING!AG45</f>
        <v>31  EARTHWORK</v>
      </c>
      <c r="C32" s="552">
        <f>[1]BUILDING!AI45+[1]SITE!AI45</f>
        <v>233231</v>
      </c>
      <c r="D32" s="552">
        <f>BUILDING!AI45+SITE!AI45</f>
        <v>208729</v>
      </c>
      <c r="E32" s="553">
        <f t="shared" si="1"/>
        <v>-24502</v>
      </c>
      <c r="F32" s="567">
        <f t="shared" si="2"/>
        <v>-24502</v>
      </c>
      <c r="G32" s="554">
        <f t="shared" si="3"/>
        <v>-0.10505464539448015</v>
      </c>
      <c r="H32" s="594" t="s">
        <v>1787</v>
      </c>
      <c r="I32" s="594"/>
      <c r="J32" s="594"/>
      <c r="L32" s="568"/>
      <c r="M32" s="568"/>
    </row>
    <row r="33" spans="1:13" ht="10.5" customHeight="1" x14ac:dyDescent="0.25">
      <c r="A33" s="260" t="str">
        <f t="shared" si="0"/>
        <v/>
      </c>
      <c r="B33" s="261" t="str">
        <f>BUILDING!AG46</f>
        <v>32  EXTERIOR IMPROVEMENTS</v>
      </c>
      <c r="C33" s="552">
        <f>[1]BUILDING!AI46+[1]SITE!AI46</f>
        <v>1315951</v>
      </c>
      <c r="D33" s="552">
        <f>BUILDING!AI46+SITE!AI46</f>
        <v>1824227</v>
      </c>
      <c r="E33" s="553">
        <f t="shared" si="1"/>
        <v>508276</v>
      </c>
      <c r="F33" s="567">
        <f t="shared" si="2"/>
        <v>508276</v>
      </c>
      <c r="G33" s="554">
        <f t="shared" si="3"/>
        <v>0.38624234488974135</v>
      </c>
      <c r="H33" s="594" t="s">
        <v>1854</v>
      </c>
      <c r="I33" s="594"/>
      <c r="J33" s="594"/>
      <c r="L33" s="568"/>
      <c r="M33" s="568"/>
    </row>
    <row r="34" spans="1:13" ht="10.5" customHeight="1" x14ac:dyDescent="0.25">
      <c r="A34" s="260" t="str">
        <f>IF(SUM(C34:D34)=0,"X","")</f>
        <v/>
      </c>
      <c r="B34" s="261" t="str">
        <f>BUILDING!AG47</f>
        <v>33  UTILITIES</v>
      </c>
      <c r="C34" s="552">
        <f>[1]BUILDING!AI47+[1]SITE!AI47</f>
        <v>341491</v>
      </c>
      <c r="D34" s="552">
        <f>BUILDING!AI47+SITE!AI47</f>
        <v>413694</v>
      </c>
      <c r="E34" s="553">
        <f t="shared" si="1"/>
        <v>72203</v>
      </c>
      <c r="F34" s="567">
        <f t="shared" si="2"/>
        <v>72203</v>
      </c>
      <c r="G34" s="554">
        <f t="shared" si="3"/>
        <v>0.21143456196502983</v>
      </c>
      <c r="H34" s="594" t="s">
        <v>1842</v>
      </c>
      <c r="I34" s="594"/>
      <c r="J34" s="594"/>
      <c r="L34" s="568"/>
      <c r="M34" s="568"/>
    </row>
    <row r="35" spans="1:13" ht="6" customHeight="1" x14ac:dyDescent="0.25">
      <c r="A35" s="260"/>
      <c r="B35" s="261"/>
      <c r="C35" s="262"/>
      <c r="D35" s="262"/>
      <c r="E35" s="263"/>
      <c r="F35" s="271"/>
      <c r="G35" s="264"/>
      <c r="H35" s="594"/>
      <c r="I35" s="594"/>
      <c r="J35" s="594"/>
      <c r="L35" s="568"/>
      <c r="M35" s="568"/>
    </row>
    <row r="36" spans="1:13" ht="9.9499999999999993" customHeight="1" x14ac:dyDescent="0.25">
      <c r="A36" s="260"/>
      <c r="B36" s="266" t="s">
        <v>132</v>
      </c>
      <c r="C36" s="267">
        <f>SUM(C11:C35)</f>
        <v>9619235</v>
      </c>
      <c r="D36" s="267">
        <f>SUM(D11:D35)</f>
        <v>9748775</v>
      </c>
      <c r="E36" s="268">
        <f t="shared" ref="E36:E48" si="4">D36-C36</f>
        <v>129540</v>
      </c>
      <c r="F36" s="269">
        <f>D36-C36</f>
        <v>129540</v>
      </c>
      <c r="G36" s="270">
        <f t="shared" ref="G36" si="5">IFERROR((D36-C36)/C36,0)</f>
        <v>1.3466767367675289E-2</v>
      </c>
      <c r="H36" s="594"/>
      <c r="I36" s="594"/>
      <c r="J36" s="594"/>
      <c r="L36" s="568"/>
      <c r="M36" s="568"/>
    </row>
    <row r="37" spans="1:13" ht="9.9499999999999993" hidden="1" customHeight="1" x14ac:dyDescent="0.25">
      <c r="A37" s="260" t="s">
        <v>959</v>
      </c>
      <c r="B37" s="261"/>
      <c r="C37" s="262"/>
      <c r="D37" s="262"/>
      <c r="E37" s="263"/>
      <c r="F37" s="271"/>
      <c r="G37" s="264"/>
      <c r="H37" s="568"/>
      <c r="I37" s="568"/>
      <c r="J37" s="568"/>
      <c r="L37" s="568"/>
      <c r="M37" s="568"/>
    </row>
    <row r="38" spans="1:13" ht="9.9499999999999993" customHeight="1" x14ac:dyDescent="0.25">
      <c r="A38" s="260" t="str">
        <f t="shared" ref="A38:A46" si="6">IF(SUM(C38:D38)=0,"X","")</f>
        <v/>
      </c>
      <c r="B38" s="563" t="str">
        <f>Summary!C58</f>
        <v>DESIGN CONTINGENCY</v>
      </c>
      <c r="C38" s="272">
        <f>[1]Summary!E58</f>
        <v>769538.8</v>
      </c>
      <c r="D38" s="272">
        <f>Summary!E58</f>
        <v>292463.25</v>
      </c>
      <c r="E38" s="263">
        <f t="shared" si="4"/>
        <v>-477075.55000000005</v>
      </c>
      <c r="F38" s="274">
        <f>D38-C38</f>
        <v>-477075.55000000005</v>
      </c>
      <c r="G38" s="273">
        <f t="shared" ref="G38:G46" si="7">IFERROR((D38-C38)/C38,0)</f>
        <v>-0.61994996223712184</v>
      </c>
      <c r="H38" s="594" t="s">
        <v>1856</v>
      </c>
      <c r="I38" s="594"/>
      <c r="J38" s="594"/>
      <c r="L38" s="568"/>
      <c r="M38" s="568"/>
    </row>
    <row r="39" spans="1:13" ht="9.9499999999999993" customHeight="1" x14ac:dyDescent="0.25">
      <c r="A39" s="260" t="str">
        <f t="shared" si="6"/>
        <v/>
      </c>
      <c r="B39" s="563" t="str">
        <f>Summary!C59</f>
        <v>ESCALATION TO MIDPOINT 02/2026</v>
      </c>
      <c r="C39" s="272">
        <f>[1]Summary!E59</f>
        <v>553721.64354000008</v>
      </c>
      <c r="D39" s="272">
        <f>Summary!E59</f>
        <v>445192.84015372675</v>
      </c>
      <c r="E39" s="263">
        <f>D39-C39</f>
        <v>-108528.80338627333</v>
      </c>
      <c r="F39" s="274">
        <f>D39-C39</f>
        <v>-108528.80338627333</v>
      </c>
      <c r="G39" s="273">
        <f t="shared" si="7"/>
        <v>-0.19599884644645169</v>
      </c>
      <c r="H39" s="594"/>
      <c r="I39" s="594"/>
      <c r="J39" s="594"/>
      <c r="L39" s="568"/>
      <c r="M39" s="568"/>
    </row>
    <row r="40" spans="1:13" ht="9.9499999999999993" hidden="1" customHeight="1" x14ac:dyDescent="0.25">
      <c r="A40" s="260" t="str">
        <f t="shared" si="6"/>
        <v>X</v>
      </c>
      <c r="B40" s="563" t="str">
        <f>Summary!C60</f>
        <v>CONTRACTOR CONTINGENCY</v>
      </c>
      <c r="C40" s="272">
        <f>[1]Summary!E60</f>
        <v>0</v>
      </c>
      <c r="D40" s="272">
        <f>Summary!E60</f>
        <v>0</v>
      </c>
      <c r="E40" s="263">
        <f t="shared" si="4"/>
        <v>0</v>
      </c>
      <c r="F40" s="274">
        <f t="shared" ref="F40:F46" si="8">D40-C40</f>
        <v>0</v>
      </c>
      <c r="G40" s="273">
        <f t="shared" si="7"/>
        <v>0</v>
      </c>
      <c r="H40" s="568"/>
      <c r="I40" s="568"/>
      <c r="J40" s="568"/>
      <c r="L40" s="568"/>
      <c r="M40" s="568"/>
    </row>
    <row r="41" spans="1:13" ht="9.9499999999999993" customHeight="1" x14ac:dyDescent="0.25">
      <c r="A41" s="260" t="str">
        <f t="shared" si="6"/>
        <v/>
      </c>
      <c r="B41" s="563" t="str">
        <f>Summary!C61</f>
        <v>GENERAL CONDITIONS/REQUIREMENTS</v>
      </c>
      <c r="C41" s="272">
        <f>[1]Summary!E61</f>
        <v>1313099.4532248001</v>
      </c>
      <c r="D41" s="272">
        <f>Summary!E61</f>
        <v>1258371.7308184472</v>
      </c>
      <c r="E41" s="263">
        <f t="shared" si="4"/>
        <v>-54727.72240635287</v>
      </c>
      <c r="F41" s="274">
        <f t="shared" si="8"/>
        <v>-54727.72240635287</v>
      </c>
      <c r="G41" s="273">
        <f t="shared" si="7"/>
        <v>-4.1678276745869297E-2</v>
      </c>
      <c r="H41" s="643"/>
      <c r="I41" s="594"/>
      <c r="J41" s="594"/>
      <c r="L41" s="568"/>
      <c r="M41" s="568"/>
    </row>
    <row r="42" spans="1:13" ht="9.9499999999999993" customHeight="1" x14ac:dyDescent="0.25">
      <c r="A42" s="260" t="str">
        <f t="shared" si="6"/>
        <v/>
      </c>
      <c r="B42" s="563" t="str">
        <f>Summary!C62</f>
        <v>CONTRACTOR OVERHEAD AND PROFIT</v>
      </c>
      <c r="C42" s="272">
        <f>[1]Summary!E62</f>
        <v>980447.59174118412</v>
      </c>
      <c r="D42" s="272">
        <f>Summary!E62</f>
        <v>939584.22567777394</v>
      </c>
      <c r="E42" s="263">
        <f t="shared" si="4"/>
        <v>-40863.366063410183</v>
      </c>
      <c r="F42" s="274">
        <f t="shared" si="8"/>
        <v>-40863.366063410183</v>
      </c>
      <c r="G42" s="273">
        <f t="shared" si="7"/>
        <v>-4.1678276745869332E-2</v>
      </c>
      <c r="H42" s="568"/>
      <c r="I42" s="568"/>
      <c r="J42" s="568"/>
      <c r="L42" s="568"/>
      <c r="M42" s="568"/>
    </row>
    <row r="43" spans="1:13" ht="9.9499999999999993" customHeight="1" x14ac:dyDescent="0.25">
      <c r="A43" s="260" t="str">
        <f t="shared" si="6"/>
        <v/>
      </c>
      <c r="B43" s="563" t="str">
        <f>Summary!C63</f>
        <v>INSURANCE AND BONDS</v>
      </c>
      <c r="C43" s="272">
        <f>[1]Summary!E63</f>
        <v>330901.06221264967</v>
      </c>
      <c r="D43" s="272">
        <f>Summary!E63</f>
        <v>317109.67616624874</v>
      </c>
      <c r="E43" s="263">
        <f t="shared" si="4"/>
        <v>-13791.386046400934</v>
      </c>
      <c r="F43" s="274">
        <f t="shared" si="8"/>
        <v>-13791.386046400934</v>
      </c>
      <c r="G43" s="273">
        <f t="shared" si="7"/>
        <v>-4.1678276745869318E-2</v>
      </c>
      <c r="H43" s="568"/>
      <c r="I43" s="568"/>
      <c r="J43" s="568"/>
      <c r="L43" s="568"/>
      <c r="M43" s="568"/>
    </row>
    <row r="44" spans="1:13" ht="9.9499999999999993" hidden="1" customHeight="1" x14ac:dyDescent="0.25">
      <c r="A44" s="260" t="str">
        <f t="shared" si="6"/>
        <v>X</v>
      </c>
      <c r="B44" s="563" t="str">
        <f>Summary!C64</f>
        <v>BONDS: CONTRACTOR</v>
      </c>
      <c r="C44" s="272">
        <f>[1]Summary!E64</f>
        <v>0</v>
      </c>
      <c r="D44" s="272">
        <f>Summary!E64</f>
        <v>0</v>
      </c>
      <c r="E44" s="263">
        <f t="shared" si="4"/>
        <v>0</v>
      </c>
      <c r="F44" s="274">
        <f t="shared" si="8"/>
        <v>0</v>
      </c>
      <c r="G44" s="273">
        <f t="shared" si="7"/>
        <v>0</v>
      </c>
      <c r="H44" s="568"/>
      <c r="I44" s="568"/>
      <c r="J44" s="568"/>
      <c r="L44" s="568"/>
      <c r="M44" s="568"/>
    </row>
    <row r="45" spans="1:13" ht="9.9499999999999993" hidden="1" customHeight="1" x14ac:dyDescent="0.25">
      <c r="A45" s="260" t="str">
        <f>IF(SUM(C45:D45)=0,"X","")</f>
        <v>X</v>
      </c>
      <c r="B45" s="563" t="str">
        <f>Summary!C65</f>
        <v>BONDS: SUBCONTRACTOR</v>
      </c>
      <c r="C45" s="272">
        <f>[1]Summary!E65</f>
        <v>0</v>
      </c>
      <c r="D45" s="272">
        <f>Summary!E65</f>
        <v>0</v>
      </c>
      <c r="E45" s="263">
        <f t="shared" si="4"/>
        <v>0</v>
      </c>
      <c r="F45" s="274">
        <f t="shared" si="8"/>
        <v>0</v>
      </c>
      <c r="G45" s="273">
        <f t="shared" si="7"/>
        <v>0</v>
      </c>
      <c r="H45" s="568"/>
      <c r="I45" s="568"/>
      <c r="J45" s="568"/>
      <c r="L45" s="568"/>
      <c r="M45" s="568"/>
    </row>
    <row r="46" spans="1:13" ht="9.9499999999999993" hidden="1" customHeight="1" x14ac:dyDescent="0.25">
      <c r="A46" s="260" t="str">
        <f t="shared" si="6"/>
        <v>X</v>
      </c>
      <c r="B46" s="563" t="str">
        <f>Summary!C66</f>
        <v>LOSS DUE TO ESCALATION</v>
      </c>
      <c r="C46" s="272">
        <f>[1]Summary!E66</f>
        <v>0</v>
      </c>
      <c r="D46" s="272">
        <f>Summary!E66</f>
        <v>0</v>
      </c>
      <c r="E46" s="263">
        <f t="shared" si="4"/>
        <v>0</v>
      </c>
      <c r="F46" s="274">
        <f t="shared" si="8"/>
        <v>0</v>
      </c>
      <c r="G46" s="273">
        <f t="shared" si="7"/>
        <v>0</v>
      </c>
      <c r="H46" s="568"/>
      <c r="I46" s="568"/>
      <c r="J46" s="568"/>
      <c r="L46" s="568"/>
      <c r="M46" s="568"/>
    </row>
    <row r="47" spans="1:13" ht="6" customHeight="1" x14ac:dyDescent="0.25">
      <c r="A47" s="245"/>
      <c r="B47" s="563"/>
      <c r="C47" s="272"/>
      <c r="D47" s="272"/>
      <c r="E47" s="263"/>
      <c r="F47" s="274"/>
      <c r="G47" s="273"/>
      <c r="H47" s="568"/>
      <c r="I47" s="568"/>
      <c r="J47" s="568"/>
      <c r="L47" s="568"/>
      <c r="M47" s="568"/>
    </row>
    <row r="48" spans="1:13" ht="9.9499999999999993" customHeight="1" x14ac:dyDescent="0.25">
      <c r="A48" s="245"/>
      <c r="B48" s="547" t="s">
        <v>1</v>
      </c>
      <c r="C48" s="548">
        <f>SUM(C36:C46)</f>
        <v>13566943.550718635</v>
      </c>
      <c r="D48" s="548">
        <f>SUM(D36:D46)</f>
        <v>13001496.722816197</v>
      </c>
      <c r="E48" s="268">
        <f t="shared" si="4"/>
        <v>-565446.82790243812</v>
      </c>
      <c r="F48" s="549">
        <f>D48-C48</f>
        <v>-565446.82790243812</v>
      </c>
      <c r="G48" s="550">
        <f>IFERROR((D48-C48)/C48,0)</f>
        <v>-4.1678276745869311E-2</v>
      </c>
      <c r="H48" s="568"/>
      <c r="I48" s="568"/>
      <c r="J48" s="568"/>
      <c r="L48" s="568"/>
      <c r="M48" s="568"/>
    </row>
    <row r="49" spans="1:13" ht="6.75" customHeight="1" x14ac:dyDescent="0.2">
      <c r="A49" s="245"/>
      <c r="B49" s="278"/>
      <c r="C49" s="248"/>
      <c r="D49" s="248"/>
      <c r="E49" s="245"/>
      <c r="F49" s="569"/>
      <c r="G49" s="245"/>
      <c r="H49" s="713"/>
      <c r="I49" s="713"/>
      <c r="J49" s="713"/>
      <c r="L49" s="568"/>
      <c r="M49" s="568"/>
    </row>
    <row r="50" spans="1:13" ht="9.9499999999999993" customHeight="1" x14ac:dyDescent="0.25">
      <c r="A50" s="245"/>
      <c r="B50" s="275" t="s">
        <v>83</v>
      </c>
      <c r="C50" s="279">
        <f>BUILDING!GFA</f>
        <v>31474</v>
      </c>
      <c r="D50" s="279">
        <f>BUILDING!GFA</f>
        <v>31474</v>
      </c>
      <c r="E50" s="263">
        <f>D50-C50</f>
        <v>0</v>
      </c>
      <c r="F50" s="546">
        <f>D50-C50</f>
        <v>0</v>
      </c>
      <c r="G50" s="277">
        <f>IFERROR((D50-C50)/C50,0)</f>
        <v>0</v>
      </c>
      <c r="H50" s="713"/>
      <c r="I50" s="713"/>
      <c r="J50" s="713"/>
      <c r="L50" s="568"/>
      <c r="M50" s="568"/>
    </row>
    <row r="51" spans="1:13" ht="9.9499999999999993" customHeight="1" x14ac:dyDescent="0.25">
      <c r="A51" s="245"/>
      <c r="B51" s="275" t="s">
        <v>960</v>
      </c>
      <c r="C51" s="276">
        <f>C48/C50</f>
        <v>431.0524099484856</v>
      </c>
      <c r="D51" s="276">
        <f>D48/D50</f>
        <v>413.08688831467867</v>
      </c>
      <c r="E51" s="263">
        <f>D51-C51</f>
        <v>-17.965521633806929</v>
      </c>
      <c r="F51" s="546">
        <f>D51-C51</f>
        <v>-17.965521633806929</v>
      </c>
      <c r="G51" s="277">
        <f>IFERROR((D51-C51)/C51,0)</f>
        <v>-4.1678276745869394E-2</v>
      </c>
      <c r="H51" s="713"/>
      <c r="I51" s="713"/>
      <c r="J51" s="713"/>
      <c r="L51" s="265"/>
      <c r="M51" s="265"/>
    </row>
    <row r="52" spans="1:13" ht="9" customHeight="1" x14ac:dyDescent="0.2">
      <c r="A52" s="245"/>
      <c r="B52" s="257"/>
      <c r="C52" s="248"/>
      <c r="D52" s="280"/>
      <c r="E52" s="281"/>
      <c r="F52" s="282"/>
      <c r="G52" s="245"/>
      <c r="H52" s="265"/>
      <c r="I52" s="265"/>
      <c r="J52" s="265"/>
      <c r="L52" s="245"/>
      <c r="M52" s="245"/>
    </row>
    <row r="53" spans="1:13" ht="11.1" customHeight="1" x14ac:dyDescent="0.2">
      <c r="A53" s="245"/>
      <c r="B53" s="245"/>
      <c r="C53" s="245"/>
      <c r="D53" s="245"/>
      <c r="E53" s="283"/>
      <c r="F53" s="283"/>
      <c r="G53" s="283"/>
      <c r="H53" s="245"/>
      <c r="I53" s="245"/>
      <c r="J53" s="245"/>
      <c r="L53" s="245"/>
      <c r="M53" s="245"/>
    </row>
    <row r="54" spans="1:13" ht="11.1" customHeight="1" x14ac:dyDescent="0.2">
      <c r="A54" s="245"/>
      <c r="B54" s="245"/>
      <c r="C54" s="245"/>
      <c r="D54" s="245"/>
      <c r="E54" s="248"/>
      <c r="F54" s="248"/>
      <c r="G54" s="248"/>
      <c r="H54" s="245"/>
      <c r="I54" s="245"/>
      <c r="J54" s="245"/>
      <c r="L54" s="245"/>
      <c r="M54" s="245"/>
    </row>
    <row r="55" spans="1:13" ht="11.1" customHeight="1" x14ac:dyDescent="0.2">
      <c r="A55" s="245"/>
      <c r="B55" s="245"/>
      <c r="C55" s="245"/>
      <c r="D55" s="245"/>
      <c r="E55" s="248"/>
      <c r="F55" s="248"/>
      <c r="G55" s="248"/>
      <c r="H55" s="245"/>
      <c r="I55" s="245"/>
      <c r="J55" s="245"/>
    </row>
    <row r="56" spans="1:13" ht="11.1" customHeight="1" x14ac:dyDescent="0.2">
      <c r="A56" s="245"/>
      <c r="E56" s="248"/>
      <c r="F56" s="248"/>
      <c r="G56" s="248"/>
      <c r="H56" s="245"/>
    </row>
    <row r="57" spans="1:13" ht="11.1" customHeight="1" x14ac:dyDescent="0.2">
      <c r="A57" s="245"/>
      <c r="E57" s="248"/>
      <c r="F57" s="248"/>
      <c r="G57" s="248"/>
      <c r="H57" s="245"/>
    </row>
    <row r="58" spans="1:13" ht="11.1" customHeight="1" x14ac:dyDescent="0.2">
      <c r="A58" s="245"/>
      <c r="E58" s="248"/>
      <c r="F58" s="248"/>
      <c r="G58" s="248"/>
      <c r="H58" s="245"/>
    </row>
    <row r="59" spans="1:13" ht="11.1" customHeight="1" x14ac:dyDescent="0.2">
      <c r="A59" s="245"/>
      <c r="E59" s="248"/>
      <c r="F59" s="248"/>
      <c r="G59" s="248"/>
      <c r="H59" s="245"/>
    </row>
    <row r="60" spans="1:13" ht="11.1" customHeight="1" x14ac:dyDescent="0.2">
      <c r="A60" s="245"/>
      <c r="E60" s="248"/>
      <c r="F60" s="248"/>
      <c r="G60" s="248"/>
      <c r="H60" s="245"/>
    </row>
    <row r="61" spans="1:13" ht="11.1" customHeight="1" x14ac:dyDescent="0.2">
      <c r="A61" s="245"/>
      <c r="E61" s="248"/>
      <c r="F61" s="248"/>
      <c r="G61" s="248"/>
      <c r="H61" s="245"/>
    </row>
    <row r="62" spans="1:13" ht="11.1" customHeight="1" x14ac:dyDescent="0.2">
      <c r="A62" s="245"/>
      <c r="E62" s="284"/>
      <c r="F62" s="284"/>
      <c r="G62" s="248"/>
      <c r="H62" s="245"/>
    </row>
    <row r="63" spans="1:13" ht="11.1" customHeight="1" x14ac:dyDescent="0.2">
      <c r="A63" s="245"/>
      <c r="E63" s="248"/>
      <c r="F63" s="248"/>
      <c r="G63" s="248"/>
      <c r="H63" s="245"/>
    </row>
    <row r="64" spans="1:13" ht="11.1" customHeight="1" x14ac:dyDescent="0.2">
      <c r="A64" s="245"/>
      <c r="E64" s="248"/>
      <c r="F64" s="248"/>
      <c r="G64" s="248"/>
      <c r="H64" s="245"/>
    </row>
    <row r="65" spans="1:8" ht="11.1" customHeight="1" x14ac:dyDescent="0.2">
      <c r="A65" s="245"/>
      <c r="E65" s="248"/>
      <c r="F65" s="248"/>
      <c r="G65" s="248"/>
      <c r="H65" s="245"/>
    </row>
    <row r="66" spans="1:8" ht="11.1" customHeight="1" x14ac:dyDescent="0.2">
      <c r="A66" s="245"/>
      <c r="E66" s="248"/>
      <c r="F66" s="248"/>
      <c r="G66" s="248"/>
      <c r="H66" s="245"/>
    </row>
    <row r="67" spans="1:8" ht="11.1" customHeight="1" x14ac:dyDescent="0.2">
      <c r="A67" s="245"/>
      <c r="E67" s="248"/>
      <c r="F67" s="248"/>
      <c r="G67" s="248"/>
      <c r="H67" s="245"/>
    </row>
    <row r="68" spans="1:8" ht="11.1" customHeight="1" x14ac:dyDescent="0.2">
      <c r="A68" s="245"/>
      <c r="E68" s="248"/>
      <c r="F68" s="248"/>
      <c r="G68" s="248"/>
      <c r="H68" s="245"/>
    </row>
    <row r="69" spans="1:8" ht="11.1" customHeight="1" x14ac:dyDescent="0.2">
      <c r="A69" s="245"/>
      <c r="E69" s="248"/>
      <c r="F69" s="248"/>
      <c r="G69" s="248"/>
      <c r="H69" s="245"/>
    </row>
    <row r="70" spans="1:8" ht="11.1" customHeight="1" x14ac:dyDescent="0.2">
      <c r="A70" s="245"/>
      <c r="E70" s="248"/>
      <c r="F70" s="248"/>
      <c r="G70" s="248"/>
      <c r="H70" s="245"/>
    </row>
    <row r="71" spans="1:8" ht="11.1" customHeight="1" x14ac:dyDescent="0.2">
      <c r="A71" s="245"/>
      <c r="E71" s="248"/>
      <c r="F71" s="248"/>
      <c r="G71" s="248"/>
      <c r="H71" s="245"/>
    </row>
    <row r="72" spans="1:8" ht="11.1" customHeight="1" x14ac:dyDescent="0.2">
      <c r="A72" s="245"/>
      <c r="E72" s="245"/>
      <c r="F72" s="245"/>
      <c r="G72" s="245"/>
    </row>
    <row r="73" spans="1:8" ht="11.1" customHeight="1" x14ac:dyDescent="0.2"/>
    <row r="74" spans="1:8" ht="11.1" customHeight="1" x14ac:dyDescent="0.2"/>
    <row r="75" spans="1:8" ht="11.1" customHeight="1" x14ac:dyDescent="0.2"/>
    <row r="76" spans="1:8" ht="11.1" customHeight="1" x14ac:dyDescent="0.2"/>
    <row r="77" spans="1:8" ht="11.1" customHeight="1" x14ac:dyDescent="0.2"/>
    <row r="78" spans="1:8" ht="11.1" customHeight="1" x14ac:dyDescent="0.2"/>
    <row r="79" spans="1:8" ht="11.1" customHeight="1" x14ac:dyDescent="0.2"/>
    <row r="80" spans="1:8" ht="11.1" customHeight="1" x14ac:dyDescent="0.2"/>
    <row r="81" ht="11.1" customHeight="1" x14ac:dyDescent="0.2"/>
    <row r="82" ht="11.1" customHeight="1" x14ac:dyDescent="0.2"/>
    <row r="83" ht="11.1" customHeight="1" x14ac:dyDescent="0.2"/>
    <row r="84" ht="11.1" customHeight="1" x14ac:dyDescent="0.2"/>
    <row r="85" ht="11.1" customHeight="1" x14ac:dyDescent="0.2"/>
    <row r="86" ht="11.1" customHeight="1" x14ac:dyDescent="0.2"/>
    <row r="87" ht="17.100000000000001" customHeight="1" x14ac:dyDescent="0.2"/>
    <row r="88" ht="17.100000000000001" customHeight="1" x14ac:dyDescent="0.2"/>
    <row r="89" ht="17.100000000000001" customHeight="1" x14ac:dyDescent="0.2"/>
    <row r="90" ht="17.100000000000001" customHeight="1" x14ac:dyDescent="0.2"/>
    <row r="91" ht="17.100000000000001" customHeight="1" x14ac:dyDescent="0.2"/>
    <row r="1048558" spans="1:10" ht="15" x14ac:dyDescent="0.2">
      <c r="A1048558" s="243"/>
      <c r="B1048558" s="243"/>
      <c r="C1048558" s="243"/>
      <c r="D1048558" s="243"/>
      <c r="E1048558" s="243"/>
      <c r="F1048558" s="243"/>
      <c r="G1048558" s="243"/>
      <c r="H1048558" s="243"/>
      <c r="I1048558" s="243"/>
      <c r="J1048558" s="243"/>
    </row>
    <row r="1048559" spans="1:10" ht="15" x14ac:dyDescent="0.2">
      <c r="A1048559" s="243"/>
      <c r="B1048559" s="243"/>
      <c r="C1048559" s="243"/>
      <c r="D1048559" s="243"/>
      <c r="E1048559" s="243"/>
      <c r="F1048559" s="243"/>
      <c r="G1048559" s="243"/>
      <c r="H1048559" s="243"/>
      <c r="I1048559" s="243"/>
      <c r="J1048559" s="243"/>
    </row>
    <row r="1048560" spans="1:10" ht="15" x14ac:dyDescent="0.2">
      <c r="A1048560" s="243"/>
      <c r="B1048560" s="243"/>
      <c r="C1048560" s="243"/>
      <c r="D1048560" s="243"/>
      <c r="E1048560" s="243"/>
      <c r="F1048560" s="243"/>
      <c r="G1048560" s="243"/>
      <c r="H1048560" s="243"/>
      <c r="I1048560" s="243"/>
      <c r="J1048560" s="243"/>
    </row>
    <row r="1048561" spans="2:10" x14ac:dyDescent="0.2">
      <c r="B1048561" s="245"/>
      <c r="C1048561" s="245"/>
      <c r="D1048561" s="245"/>
      <c r="E1048561" s="245"/>
      <c r="F1048561" s="245"/>
      <c r="G1048561" s="245"/>
    </row>
    <row r="1048562" spans="2:10" x14ac:dyDescent="0.2">
      <c r="B1048562" s="245"/>
      <c r="C1048562" s="245"/>
      <c r="D1048562" s="245"/>
      <c r="E1048562" s="245"/>
      <c r="F1048562" s="245"/>
      <c r="G1048562" s="245"/>
    </row>
    <row r="1048563" spans="2:10" ht="15.75" x14ac:dyDescent="0.2">
      <c r="B1048563" s="246"/>
      <c r="C1048563" s="247"/>
      <c r="D1048563" s="248"/>
      <c r="E1048563" s="248"/>
      <c r="F1048563" s="248"/>
      <c r="J1048563" s="250"/>
    </row>
    <row r="1048564" spans="2:10" ht="15.75" x14ac:dyDescent="0.25">
      <c r="B1048564" s="246"/>
      <c r="C1048564" s="248"/>
      <c r="D1048564" s="248"/>
      <c r="E1048564" s="248"/>
      <c r="F1048564" s="248"/>
      <c r="J1048564" s="251"/>
    </row>
    <row r="1048565" spans="2:10" ht="18.75" x14ac:dyDescent="0.2">
      <c r="B1048565" s="252"/>
      <c r="C1048565" s="248"/>
      <c r="D1048565" s="248"/>
      <c r="E1048565" s="248"/>
      <c r="F1048565" s="248"/>
      <c r="J1048565" s="253"/>
    </row>
    <row r="1048566" spans="2:10" ht="18.75" x14ac:dyDescent="0.2">
      <c r="B1048566" s="252"/>
      <c r="C1048566" s="248"/>
      <c r="D1048566" s="248"/>
      <c r="E1048566" s="248"/>
      <c r="F1048566" s="248"/>
      <c r="J1048566" s="253"/>
    </row>
    <row r="1048567" spans="2:10" ht="18.75" x14ac:dyDescent="0.2">
      <c r="B1048567" s="252"/>
      <c r="C1048567" s="248"/>
      <c r="D1048567" s="248"/>
      <c r="E1048567" s="248"/>
      <c r="F1048567" s="248"/>
      <c r="J1048567" s="254"/>
    </row>
    <row r="1048568" spans="2:10" ht="13.5" thickBot="1" x14ac:dyDescent="0.25">
      <c r="B1048568" s="255"/>
      <c r="C1048568" s="248"/>
      <c r="D1048568" s="248"/>
      <c r="E1048568" s="248"/>
      <c r="F1048568" s="248"/>
      <c r="G1048568" s="254"/>
    </row>
    <row r="1048569" spans="2:10" ht="24" thickBot="1" x14ac:dyDescent="0.25">
      <c r="B1048569" s="711"/>
      <c r="C1048569" s="711"/>
      <c r="D1048569" s="711"/>
      <c r="E1048569" s="711"/>
      <c r="F1048569" s="711"/>
      <c r="G1048569" s="711"/>
      <c r="H1048569" s="711"/>
      <c r="I1048569" s="711"/>
      <c r="J1048569" s="711"/>
    </row>
    <row r="1048570" spans="2:10" x14ac:dyDescent="0.2">
      <c r="B1048570" s="255"/>
      <c r="C1048570" s="248"/>
      <c r="D1048570" s="248"/>
      <c r="E1048570" s="248"/>
      <c r="F1048570" s="248"/>
      <c r="G1048570" s="254"/>
    </row>
    <row r="1048571" spans="2:10" x14ac:dyDescent="0.2">
      <c r="B1048571" s="257"/>
      <c r="C1048571" s="259"/>
      <c r="D1048571" s="259"/>
      <c r="E1048571" s="248"/>
      <c r="F1048571" s="712"/>
      <c r="G1048571" s="712"/>
      <c r="H1048571" s="285"/>
      <c r="I1048571" s="285"/>
      <c r="J1048571" s="285"/>
    </row>
  </sheetData>
  <autoFilter ref="A8:A46" xr:uid="{C927FB61-A23A-468B-A052-573A33051E70}">
    <filterColumn colId="0">
      <filters blank="1"/>
    </filterColumn>
  </autoFilter>
  <mergeCells count="10">
    <mergeCell ref="B8:J8"/>
    <mergeCell ref="F10:G10"/>
    <mergeCell ref="H10:J10"/>
    <mergeCell ref="H12:J12"/>
    <mergeCell ref="H13:J13"/>
    <mergeCell ref="B1048569:J1048569"/>
    <mergeCell ref="F1048571:G1048571"/>
    <mergeCell ref="H49:J49"/>
    <mergeCell ref="H50:J50"/>
    <mergeCell ref="H51:J51"/>
  </mergeCells>
  <conditionalFormatting sqref="E12:E35">
    <cfRule type="dataBar" priority="4">
      <dataBar showValue="0">
        <cfvo type="min"/>
        <cfvo type="max"/>
        <color rgb="FF6CB33F"/>
      </dataBar>
      <extLst>
        <ext xmlns:x14="http://schemas.microsoft.com/office/spreadsheetml/2009/9/main" uri="{B025F937-C7B1-47D3-B67F-A62EFF666E3E}">
          <x14:id>{2AC418DB-3179-45E0-B185-290B3B97CC10}</x14:id>
        </ext>
      </extLst>
    </cfRule>
  </conditionalFormatting>
  <conditionalFormatting sqref="E36:E48">
    <cfRule type="dataBar" priority="3">
      <dataBar showValue="0">
        <cfvo type="min"/>
        <cfvo type="max"/>
        <color rgb="FF6CB33F"/>
      </dataBar>
      <extLst>
        <ext xmlns:x14="http://schemas.microsoft.com/office/spreadsheetml/2009/9/main" uri="{B025F937-C7B1-47D3-B67F-A62EFF666E3E}">
          <x14:id>{0E49C45B-9235-441B-A737-02DC3A4A59CA}</x14:id>
        </ext>
      </extLst>
    </cfRule>
  </conditionalFormatting>
  <conditionalFormatting sqref="E50">
    <cfRule type="dataBar" priority="1">
      <dataBar showValue="0">
        <cfvo type="min"/>
        <cfvo type="max"/>
        <color rgb="FF6CB33F"/>
      </dataBar>
      <extLst>
        <ext xmlns:x14="http://schemas.microsoft.com/office/spreadsheetml/2009/9/main" uri="{B025F937-C7B1-47D3-B67F-A62EFF666E3E}">
          <x14:id>{EFB854AA-B613-4CAB-8852-F63E170A4A9C}</x14:id>
        </ext>
      </extLst>
    </cfRule>
  </conditionalFormatting>
  <conditionalFormatting sqref="E51">
    <cfRule type="dataBar" priority="2">
      <dataBar showValue="0">
        <cfvo type="min"/>
        <cfvo type="max"/>
        <color rgb="FF6CB33F"/>
      </dataBar>
      <extLst>
        <ext xmlns:x14="http://schemas.microsoft.com/office/spreadsheetml/2009/9/main" uri="{B025F937-C7B1-47D3-B67F-A62EFF666E3E}">
          <x14:id>{FA28370A-F8B9-4F2C-851C-AE4B6E15404C}</x14:id>
        </ext>
      </extLst>
    </cfRule>
  </conditionalFormatting>
  <printOptions horizontalCentered="1"/>
  <pageMargins left="0.25" right="0.25" top="0.75" bottom="0.75" header="0.3" footer="0.3"/>
  <pageSetup scale="90" fitToWidth="0" fitToHeight="0" orientation="landscape" useFirstPageNumber="1" r:id="rId1"/>
  <headerFooter>
    <oddFooter>&amp;LPrepared by OCMI, Inc.&amp;R&amp;"Calibri,Regular"&amp;10 Sheet &amp;P of 1</oddFooter>
  </headerFooter>
  <drawing r:id="rId2"/>
  <extLst>
    <ext xmlns:x14="http://schemas.microsoft.com/office/spreadsheetml/2009/9/main" uri="{78C0D931-6437-407d-A8EE-F0AAD7539E65}">
      <x14:conditionalFormattings>
        <x14:conditionalFormatting xmlns:xm="http://schemas.microsoft.com/office/excel/2006/main">
          <x14:cfRule type="dataBar" id="{2AC418DB-3179-45E0-B185-290B3B97CC10}">
            <x14:dataBar minLength="0" maxLength="100" border="1" gradient="0" negativeBarBorderColorSameAsPositive="0" axisPosition="middle">
              <x14:cfvo type="autoMin"/>
              <x14:cfvo type="autoMax"/>
              <x14:borderColor rgb="FF6CB33F"/>
              <x14:negativeFillColor rgb="FF00447C"/>
              <x14:negativeBorderColor rgb="FF00447C"/>
              <x14:axisColor theme="0" tint="-0.14999847407452621"/>
            </x14:dataBar>
          </x14:cfRule>
          <xm:sqref>E12:E35</xm:sqref>
        </x14:conditionalFormatting>
        <x14:conditionalFormatting xmlns:xm="http://schemas.microsoft.com/office/excel/2006/main">
          <x14:cfRule type="dataBar" id="{0E49C45B-9235-441B-A737-02DC3A4A59CA}">
            <x14:dataBar minLength="0" maxLength="100" border="1" gradient="0" negativeBarBorderColorSameAsPositive="0" axisPosition="middle">
              <x14:cfvo type="autoMin"/>
              <x14:cfvo type="autoMax"/>
              <x14:borderColor rgb="FF6CB33F"/>
              <x14:negativeFillColor rgb="FF00447C"/>
              <x14:negativeBorderColor rgb="FF00447C"/>
              <x14:axisColor theme="0" tint="-0.14999847407452621"/>
            </x14:dataBar>
          </x14:cfRule>
          <xm:sqref>E36:E48</xm:sqref>
        </x14:conditionalFormatting>
        <x14:conditionalFormatting xmlns:xm="http://schemas.microsoft.com/office/excel/2006/main">
          <x14:cfRule type="dataBar" id="{EFB854AA-B613-4CAB-8852-F63E170A4A9C}">
            <x14:dataBar minLength="0" maxLength="100" border="1" gradient="0" negativeBarBorderColorSameAsPositive="0" axisPosition="middle">
              <x14:cfvo type="autoMin"/>
              <x14:cfvo type="autoMax"/>
              <x14:borderColor rgb="FF6CB33F"/>
              <x14:negativeFillColor rgb="FF00447C"/>
              <x14:negativeBorderColor rgb="FF00447C"/>
              <x14:axisColor theme="0" tint="-0.14999847407452621"/>
            </x14:dataBar>
          </x14:cfRule>
          <xm:sqref>E50</xm:sqref>
        </x14:conditionalFormatting>
        <x14:conditionalFormatting xmlns:xm="http://schemas.microsoft.com/office/excel/2006/main">
          <x14:cfRule type="dataBar" id="{FA28370A-F8B9-4F2C-851C-AE4B6E15404C}">
            <x14:dataBar minLength="0" maxLength="100" border="1" gradient="0" negativeBarBorderColorSameAsPositive="0" axisPosition="middle">
              <x14:cfvo type="autoMin"/>
              <x14:cfvo type="autoMax"/>
              <x14:borderColor rgb="FF6CB33F"/>
              <x14:negativeFillColor rgb="FF00447C"/>
              <x14:negativeBorderColor rgb="FF00447C"/>
              <x14:axisColor theme="0" tint="-0.14999847407452621"/>
            </x14:dataBar>
          </x14:cfRule>
          <xm:sqref>E51</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60373FB69CF4945B9E8BAEED4A174BE" ma:contentTypeVersion="14" ma:contentTypeDescription="Create a new document." ma:contentTypeScope="" ma:versionID="651710d89547516e351a86b398e58c4f">
  <xsd:schema xmlns:xsd="http://www.w3.org/2001/XMLSchema" xmlns:xs="http://www.w3.org/2001/XMLSchema" xmlns:p="http://schemas.microsoft.com/office/2006/metadata/properties" xmlns:ns2="edb37fda-0a0c-47d5-b38c-43b8870b5f97" xmlns:ns3="e6021f70-d684-419f-b82a-0a5b38d0c319" targetNamespace="http://schemas.microsoft.com/office/2006/metadata/properties" ma:root="true" ma:fieldsID="4774d3f22e265b45b350d9b3ec3f4088" ns2:_="" ns3:_="">
    <xsd:import namespace="edb37fda-0a0c-47d5-b38c-43b8870b5f97"/>
    <xsd:import namespace="e6021f70-d684-419f-b82a-0a5b38d0c31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element ref="ns2:lcf76f155ced4ddcb4097134ff3c332f" minOccurs="0"/>
                <xsd:element ref="ns3:TaxCatchAll" minOccurs="0"/>
                <xsd:element ref="ns2:MediaServiceDateTaken" minOccurs="0"/>
                <xsd:element ref="ns2:MediaServiceLocation"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db37fda-0a0c-47d5-b38c-43b8870b5f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f91bbb8c-36ec-41f2-b63e-80abb9b8dfb2"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Location" ma:index="16" nillable="true" ma:displayName="Location" ma:indexed="true"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6021f70-d684-419f-b82a-0a5b38d0c31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06d6271-13d5-40cf-bb14-57e045ff4dc3}" ma:internalName="TaxCatchAll" ma:showField="CatchAllData" ma:web="e6021f70-d684-419f-b82a-0a5b38d0c319">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db37fda-0a0c-47d5-b38c-43b8870b5f97">
      <Terms xmlns="http://schemas.microsoft.com/office/infopath/2007/PartnerControls"/>
    </lcf76f155ced4ddcb4097134ff3c332f>
    <TaxCatchAll xmlns="e6021f70-d684-419f-b82a-0a5b38d0c319" xsi:nil="true"/>
  </documentManagement>
</p:properties>
</file>

<file path=customXml/itemProps1.xml><?xml version="1.0" encoding="utf-8"?>
<ds:datastoreItem xmlns:ds="http://schemas.openxmlformats.org/officeDocument/2006/customXml" ds:itemID="{C3DE3FAF-3413-4E6C-B445-E172C50702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db37fda-0a0c-47d5-b38c-43b8870b5f97"/>
    <ds:schemaRef ds:uri="e6021f70-d684-419f-b82a-0a5b38d0c3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FD5E23-B97A-4DD5-940A-AC2E3196CDCC}">
  <ds:schemaRefs>
    <ds:schemaRef ds:uri="http://schemas.microsoft.com/sharepoint/v3/contenttype/forms"/>
  </ds:schemaRefs>
</ds:datastoreItem>
</file>

<file path=customXml/itemProps3.xml><?xml version="1.0" encoding="utf-8"?>
<ds:datastoreItem xmlns:ds="http://schemas.openxmlformats.org/officeDocument/2006/customXml" ds:itemID="{0472EFE5-BA7E-4B1C-A3A0-5C175926C8F1}">
  <ds:schemaRefs>
    <ds:schemaRef ds:uri="http://schemas.microsoft.com/office/2006/documentManagement/types"/>
    <ds:schemaRef ds:uri="e6021f70-d684-419f-b82a-0a5b38d0c319"/>
    <ds:schemaRef ds:uri="http://schemas.microsoft.com/office/2006/metadata/properties"/>
    <ds:schemaRef ds:uri="http://purl.org/dc/terms/"/>
    <ds:schemaRef ds:uri="edb37fda-0a0c-47d5-b38c-43b8870b5f97"/>
    <ds:schemaRef ds:uri="http://purl.org/dc/dcmitype/"/>
    <ds:schemaRef ds:uri="http://schemas.openxmlformats.org/package/2006/metadata/core-properties"/>
    <ds:schemaRef ds:uri="http://schemas.microsoft.com/office/infopath/2007/PartnerControl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74</vt:i4>
      </vt:variant>
    </vt:vector>
  </HeadingPairs>
  <TitlesOfParts>
    <vt:vector size="81" baseType="lpstr">
      <vt:lpstr>Project Info</vt:lpstr>
      <vt:lpstr>Initial</vt:lpstr>
      <vt:lpstr>Cover Sheet</vt:lpstr>
      <vt:lpstr>Summary</vt:lpstr>
      <vt:lpstr>BUILDING</vt:lpstr>
      <vt:lpstr>SITE</vt:lpstr>
      <vt:lpstr>Total VR</vt:lpstr>
      <vt:lpstr>'Cover Sheet'!BottomPrintArea</vt:lpstr>
      <vt:lpstr>cityindex</vt:lpstr>
      <vt:lpstr>compounding</vt:lpstr>
      <vt:lpstr>BUILDING!ControlQuantityInfo</vt:lpstr>
      <vt:lpstr>'CSI (2004)'!ControlQuantityInfo</vt:lpstr>
      <vt:lpstr>SITE!ControlQuantityInfo</vt:lpstr>
      <vt:lpstr>date</vt:lpstr>
      <vt:lpstr>'Cover Sheet'!DeliveryMethodDropdown</vt:lpstr>
      <vt:lpstr>difficulty</vt:lpstr>
      <vt:lpstr>durationMonths</vt:lpstr>
      <vt:lpstr>embed</vt:lpstr>
      <vt:lpstr>estimate_detail</vt:lpstr>
      <vt:lpstr>BUILDING!FECA</vt:lpstr>
      <vt:lpstr>'CSI (2004)'!FECA</vt:lpstr>
      <vt:lpstr>SITE!FECA</vt:lpstr>
      <vt:lpstr>format</vt:lpstr>
      <vt:lpstr>BUILDING!GFA</vt:lpstr>
      <vt:lpstr>'CSI (2004)'!GFA</vt:lpstr>
      <vt:lpstr>SITE!GFA</vt:lpstr>
      <vt:lpstr>job_number</vt:lpstr>
      <vt:lpstr>'Cover Sheet'!LaborRateDropdown</vt:lpstr>
      <vt:lpstr>markup</vt:lpstr>
      <vt:lpstr>Markups</vt:lpstr>
      <vt:lpstr>Summary!MarkupStart</vt:lpstr>
      <vt:lpstr>BUILDING!NetDirectCost</vt:lpstr>
      <vt:lpstr>'CSI (2004)'!NetDirectCost</vt:lpstr>
      <vt:lpstr>SITE!NetDirectCost</vt:lpstr>
      <vt:lpstr>BUILDING!PageUom</vt:lpstr>
      <vt:lpstr>'CSI (2004)'!PageUom</vt:lpstr>
      <vt:lpstr>SITE!PageUom</vt:lpstr>
      <vt:lpstr>BUILDING!Print_Area</vt:lpstr>
      <vt:lpstr>'Cover Sheet'!Print_Area</vt:lpstr>
      <vt:lpstr>'CSI (2004)'!Print_Area</vt:lpstr>
      <vt:lpstr>'Project Info'!Print_Area</vt:lpstr>
      <vt:lpstr>SITE!Print_Area</vt:lpstr>
      <vt:lpstr>Summary!Print_Area</vt:lpstr>
      <vt:lpstr>'Total VR'!Print_Area</vt:lpstr>
      <vt:lpstr>BUILDING!Print_Titles</vt:lpstr>
      <vt:lpstr>'Cover Sheet'!Print_Titles</vt:lpstr>
      <vt:lpstr>'CSI (2004)'!Print_Titles</vt:lpstr>
      <vt:lpstr>SITE!Print_Titles</vt:lpstr>
      <vt:lpstr>project_location</vt:lpstr>
      <vt:lpstr>project_name</vt:lpstr>
      <vt:lpstr>region</vt:lpstr>
      <vt:lpstr>BUILDING!region1</vt:lpstr>
      <vt:lpstr>'CSI (2004)'!region1</vt:lpstr>
      <vt:lpstr>SITE!region1</vt:lpstr>
      <vt:lpstr>RegionPref</vt:lpstr>
      <vt:lpstr>BUILDING!sheetTemplate</vt:lpstr>
      <vt:lpstr>'Cover Sheet'!sheetTemplate</vt:lpstr>
      <vt:lpstr>'CSI (2004)'!sheetTemplate</vt:lpstr>
      <vt:lpstr>SITE!sheetTemplate</vt:lpstr>
      <vt:lpstr>Summary!sheetTemplate</vt:lpstr>
      <vt:lpstr>BUILDING!site</vt:lpstr>
      <vt:lpstr>'CSI (2004)'!site</vt:lpstr>
      <vt:lpstr>SITE!site</vt:lpstr>
      <vt:lpstr>BUILDING!SUB_NAME</vt:lpstr>
      <vt:lpstr>'CSI (2004)'!SUB_NAME</vt:lpstr>
      <vt:lpstr>SITE!SUB_NAME</vt:lpstr>
      <vt:lpstr>tax</vt:lpstr>
      <vt:lpstr>template</vt:lpstr>
      <vt:lpstr>'Cover Sheet'!TopPrintArea</vt:lpstr>
      <vt:lpstr>Summary!TOTAL_CONSTRUCTION_COST</vt:lpstr>
      <vt:lpstr>Summary!TOTAL_COST</vt:lpstr>
      <vt:lpstr>Summary!TOTAL_COST2</vt:lpstr>
      <vt:lpstr>BUILDING!TotalCost</vt:lpstr>
      <vt:lpstr>'CSI (2004)'!TotalCost</vt:lpstr>
      <vt:lpstr>SITE!TotalCost</vt:lpstr>
      <vt:lpstr>uom</vt:lpstr>
      <vt:lpstr>BUILDING!VegasGrid</vt:lpstr>
      <vt:lpstr>'CSI (2004)'!VegasGrid</vt:lpstr>
      <vt:lpstr>SITE!VegasGrid</vt:lpstr>
      <vt:lpstr>Version</vt:lpstr>
      <vt:lpstr>'Total VR'!Weight1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Dowdell</dc:creator>
  <cp:lastModifiedBy>Nishant More</cp:lastModifiedBy>
  <cp:lastPrinted>2024-12-24T18:38:41Z</cp:lastPrinted>
  <dcterms:created xsi:type="dcterms:W3CDTF">1996-10-14T23:33:28Z</dcterms:created>
  <dcterms:modified xsi:type="dcterms:W3CDTF">2026-05-20T22:33:56Z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0x010100660373FB69CF4945B9E8BAEED4A174BE</vt:lpwstr>
  </property>
  <property fmtid="{D5CDD505-2E9C-101B-9397-08002B2CF9AE}" pid="3" name="MediaServiceImageTags">
    <vt:lpwstr/>
  </property>
</Properties>
</file>