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unioviedo.sharepoint.com/sites/DPPI24-E11/Documentos compartidos/General/DPPI24-E11/Ejercicios/Entrega de presupuestos y planificacion/"/>
    </mc:Choice>
  </mc:AlternateContent>
  <xr:revisionPtr revIDLastSave="928" documentId="8_{526A47F4-7D3F-4A45-99FE-4DF2EFC4B338}" xr6:coauthVersionLast="47" xr6:coauthVersionMax="47" xr10:uidLastSave="{6990436C-5381-41B5-A2B1-8AA71A02496F}"/>
  <bookViews>
    <workbookView xWindow="780" yWindow="780" windowWidth="25455" windowHeight="14805" activeTab="1" xr2:uid="{87663AD4-E0EA-FB4D-8BBC-3472C734FADC}"/>
  </bookViews>
  <sheets>
    <sheet name="CLIENTE" sheetId="26" r:id="rId1"/>
    <sheet name="Ponderación de costes cliente" sheetId="1" r:id="rId2"/>
    <sheet name="Definición de empresa-personal" sheetId="2" r:id="rId3"/>
    <sheet name="Definición de empresa-servicios" sheetId="3" r:id="rId4"/>
    <sheet name="Definición de empresa-resumen" sheetId="4" r:id="rId5"/>
    <sheet name="Resumen de partidas - sin benef" sheetId="6" r:id="rId6"/>
    <sheet name="Partida - Otros costes" sheetId="25" r:id="rId7"/>
    <sheet name="Partida - Documentación y GP" sheetId="12" r:id="rId8"/>
    <sheet name="Partida - Análisis de requisito" sheetId="7" r:id="rId9"/>
    <sheet name="Partida - Diseño y Arquitectura" sheetId="17" r:id="rId10"/>
    <sheet name="Partida - Sistema mensajería" sheetId="8" r:id="rId11"/>
    <sheet name="Partida - Gestión de usuarios" sheetId="19" r:id="rId12"/>
    <sheet name="Partida - Sistema de geo" sheetId="13" r:id="rId13"/>
    <sheet name="Partida - Dashboard de seguimie" sheetId="9" r:id="rId14"/>
    <sheet name="Partida - App usr. gest. emerg." sheetId="21" r:id="rId15"/>
    <sheet name="Partida - Adquisición de hardwa" sheetId="22" r:id="rId16"/>
    <sheet name="Partida - Instalación hospitale" sheetId="10" r:id="rId17"/>
    <sheet name="Partida - Instalación vehiculos" sheetId="11" r:id="rId18"/>
    <sheet name="Partida -  Int. Sist. Centrales" sheetId="18" r:id="rId19"/>
    <sheet name="Partida - App Mensj y Alerts" sheetId="16" r:id="rId20"/>
    <sheet name="Partida - Manuales de Usuario" sheetId="15" r:id="rId21"/>
    <sheet name="Partida - Pruebas y depuracion" sheetId="20" r:id="rId22"/>
    <sheet name="Partida - Hardware " sheetId="23" r:id="rId23"/>
  </sheets>
  <definedNames>
    <definedName name="_xlnm._FilterDatabase" localSheetId="2" hidden="1">'Definición de empresa-personal'!$A$19:$F$19</definedName>
    <definedName name="_xlnm._FilterDatabase" localSheetId="5" hidden="1">'Resumen de partidas - sin benef'!#REF!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7" i="1" l="1"/>
  <c r="C26" i="1"/>
  <c r="C25" i="1"/>
  <c r="C24" i="1"/>
  <c r="C23" i="1"/>
  <c r="C22" i="1"/>
  <c r="N23" i="1"/>
  <c r="J23" i="1"/>
  <c r="K22" i="1"/>
  <c r="J17" i="6"/>
  <c r="J19" i="6" s="1"/>
  <c r="C8" i="1" s="1"/>
  <c r="F24" i="6"/>
  <c r="B54" i="2"/>
  <c r="G34" i="12"/>
  <c r="H34" i="12" s="1"/>
  <c r="I33" i="12" s="1"/>
  <c r="G32" i="12"/>
  <c r="H32" i="12" s="1"/>
  <c r="I31" i="12" s="1"/>
  <c r="G30" i="12"/>
  <c r="H30" i="12" s="1"/>
  <c r="I29" i="12" s="1"/>
  <c r="G28" i="12"/>
  <c r="H28" i="12" s="1"/>
  <c r="I27" i="12" s="1"/>
  <c r="G26" i="12"/>
  <c r="H26" i="12" s="1"/>
  <c r="I25" i="12" s="1"/>
  <c r="G24" i="12"/>
  <c r="H24" i="12" s="1"/>
  <c r="I23" i="12" s="1"/>
  <c r="G22" i="12"/>
  <c r="H22" i="12" s="1"/>
  <c r="I21" i="12" s="1"/>
  <c r="J20" i="12" s="1"/>
  <c r="E27" i="3"/>
  <c r="E28" i="3"/>
  <c r="M14" i="26"/>
  <c r="D28" i="3"/>
  <c r="D27" i="3"/>
  <c r="D4" i="2"/>
  <c r="E4" i="2" s="1"/>
  <c r="D5" i="2"/>
  <c r="E5" i="2" s="1"/>
  <c r="D6" i="2"/>
  <c r="E6" i="2" s="1"/>
  <c r="F8" i="1"/>
  <c r="H23" i="26"/>
  <c r="C9" i="26"/>
  <c r="E28" i="1"/>
  <c r="F28" i="1" s="1"/>
  <c r="C28" i="1"/>
  <c r="K42" i="1"/>
  <c r="O42" i="1"/>
  <c r="J16" i="6"/>
  <c r="C10" i="1"/>
  <c r="F9" i="1" l="1"/>
  <c r="F11" i="1" s="1"/>
  <c r="C11" i="1"/>
  <c r="C9" i="1"/>
  <c r="H7" i="25"/>
  <c r="H8" i="25"/>
  <c r="I5" i="25" s="1"/>
  <c r="H9" i="25"/>
  <c r="H10" i="25"/>
  <c r="H11" i="25"/>
  <c r="H12" i="25"/>
  <c r="H6" i="25"/>
  <c r="E11" i="25"/>
  <c r="E10" i="25"/>
  <c r="E12" i="25"/>
  <c r="E9" i="25"/>
  <c r="E8" i="25"/>
  <c r="E7" i="25"/>
  <c r="E6" i="25"/>
  <c r="I13" i="25"/>
  <c r="H4" i="23"/>
  <c r="G15" i="23"/>
  <c r="J4" i="25" l="1"/>
  <c r="G5" i="23"/>
  <c r="G14" i="23"/>
  <c r="G13" i="23"/>
  <c r="G12" i="23"/>
  <c r="G11" i="23"/>
  <c r="G10" i="23"/>
  <c r="G9" i="23"/>
  <c r="G8" i="23"/>
  <c r="G7" i="23"/>
  <c r="G6" i="23"/>
  <c r="G7" i="22"/>
  <c r="G5" i="22"/>
  <c r="G23" i="21"/>
  <c r="G21" i="21"/>
  <c r="G19" i="21"/>
  <c r="G17" i="21"/>
  <c r="G15" i="21"/>
  <c r="G13" i="21"/>
  <c r="G11" i="21"/>
  <c r="G9" i="21"/>
  <c r="G7" i="21"/>
  <c r="G5" i="21"/>
  <c r="G33" i="19"/>
  <c r="G31" i="19"/>
  <c r="G29" i="19"/>
  <c r="G27" i="19"/>
  <c r="G25" i="19"/>
  <c r="G23" i="19"/>
  <c r="G21" i="19"/>
  <c r="G19" i="19"/>
  <c r="G17" i="19"/>
  <c r="G15" i="19"/>
  <c r="G13" i="19"/>
  <c r="G11" i="19"/>
  <c r="G9" i="19"/>
  <c r="G7" i="19"/>
  <c r="G5" i="19"/>
  <c r="G13" i="17"/>
  <c r="G15" i="17"/>
  <c r="G11" i="17"/>
  <c r="G9" i="17"/>
  <c r="G7" i="17"/>
  <c r="G5" i="17"/>
  <c r="G18" i="12"/>
  <c r="G11" i="13"/>
  <c r="G5" i="13"/>
  <c r="G7" i="13"/>
  <c r="G9" i="13"/>
  <c r="G13" i="13"/>
  <c r="G15" i="13"/>
  <c r="G17" i="13"/>
  <c r="G19" i="13"/>
  <c r="G21" i="13"/>
  <c r="G23" i="13"/>
  <c r="G5" i="12"/>
  <c r="G7" i="12"/>
  <c r="G9" i="12"/>
  <c r="G11" i="12"/>
  <c r="G13" i="12"/>
  <c r="G15" i="12"/>
  <c r="G5" i="11"/>
  <c r="G7" i="11"/>
  <c r="G9" i="11"/>
  <c r="G11" i="11"/>
  <c r="G13" i="11"/>
  <c r="G15" i="11"/>
  <c r="G17" i="11"/>
  <c r="G19" i="11"/>
  <c r="H89" i="10"/>
  <c r="H91" i="10"/>
  <c r="H93" i="10"/>
  <c r="H95" i="10"/>
  <c r="H97" i="10"/>
  <c r="H78" i="10"/>
  <c r="H80" i="10"/>
  <c r="H82" i="10"/>
  <c r="H84" i="10"/>
  <c r="H86" i="10"/>
  <c r="H67" i="10"/>
  <c r="H69" i="10"/>
  <c r="H71" i="10"/>
  <c r="H73" i="10"/>
  <c r="H75" i="10"/>
  <c r="H56" i="10"/>
  <c r="H58" i="10"/>
  <c r="H60" i="10"/>
  <c r="H62" i="10"/>
  <c r="H64" i="10"/>
  <c r="H53" i="10"/>
  <c r="H51" i="10"/>
  <c r="H49" i="10"/>
  <c r="H39" i="10"/>
  <c r="H41" i="10"/>
  <c r="H43" i="10"/>
  <c r="H45" i="10"/>
  <c r="H47" i="10"/>
  <c r="H28" i="10"/>
  <c r="H30" i="10"/>
  <c r="H32" i="10"/>
  <c r="H34" i="10"/>
  <c r="H36" i="10"/>
  <c r="H17" i="10"/>
  <c r="H19" i="10"/>
  <c r="H21" i="10"/>
  <c r="H23" i="10"/>
  <c r="H25" i="10"/>
  <c r="H5" i="10"/>
  <c r="H6" i="10"/>
  <c r="H8" i="10"/>
  <c r="H10" i="10"/>
  <c r="H12" i="10"/>
  <c r="H14" i="10"/>
  <c r="G5" i="9"/>
  <c r="G7" i="9"/>
  <c r="G9" i="9"/>
  <c r="G11" i="9"/>
  <c r="G13" i="9"/>
  <c r="G15" i="9"/>
  <c r="G17" i="9"/>
  <c r="G19" i="9"/>
  <c r="G21" i="9"/>
  <c r="G25" i="8"/>
  <c r="G23" i="8"/>
  <c r="G21" i="8"/>
  <c r="G19" i="8"/>
  <c r="G5" i="8"/>
  <c r="G7" i="8"/>
  <c r="G9" i="8"/>
  <c r="G11" i="8"/>
  <c r="G13" i="8"/>
  <c r="G15" i="8"/>
  <c r="G17" i="8"/>
  <c r="G7" i="7"/>
  <c r="G9" i="7"/>
  <c r="G11" i="7"/>
  <c r="G13" i="7"/>
  <c r="G15" i="7"/>
  <c r="G17" i="7"/>
  <c r="G5" i="7"/>
  <c r="D47" i="2"/>
  <c r="E47" i="2" s="1"/>
  <c r="C64" i="2" s="1"/>
  <c r="B38" i="2"/>
  <c r="D38" i="2" s="1"/>
  <c r="E38" i="2" s="1"/>
  <c r="C55" i="2" s="1"/>
  <c r="B39" i="2"/>
  <c r="D39" i="2" s="1"/>
  <c r="E39" i="2" s="1"/>
  <c r="C56" i="2" s="1"/>
  <c r="B40" i="2"/>
  <c r="D40" i="2" s="1"/>
  <c r="E40" i="2" s="1"/>
  <c r="C57" i="2" s="1"/>
  <c r="B41" i="2"/>
  <c r="D41" i="2" s="1"/>
  <c r="E41" i="2" s="1"/>
  <c r="C58" i="2" s="1"/>
  <c r="B42" i="2"/>
  <c r="D42" i="2" s="1"/>
  <c r="E42" i="2" s="1"/>
  <c r="C59" i="2" s="1"/>
  <c r="B43" i="2"/>
  <c r="D43" i="2" s="1"/>
  <c r="E43" i="2" s="1"/>
  <c r="C60" i="2" s="1"/>
  <c r="B44" i="2"/>
  <c r="D44" i="2" s="1"/>
  <c r="E44" i="2" s="1"/>
  <c r="C61" i="2" s="1"/>
  <c r="B45" i="2"/>
  <c r="D45" i="2" s="1"/>
  <c r="E45" i="2" s="1"/>
  <c r="C62" i="2" s="1"/>
  <c r="B46" i="2"/>
  <c r="D46" i="2" s="1"/>
  <c r="E46" i="2" s="1"/>
  <c r="C63" i="2" s="1"/>
  <c r="B47" i="2"/>
  <c r="B37" i="2"/>
  <c r="D37" i="2" s="1"/>
  <c r="E37" i="2" s="1"/>
  <c r="C30" i="3"/>
  <c r="D30" i="3" s="1"/>
  <c r="E30" i="3" s="1"/>
  <c r="D24" i="3"/>
  <c r="E24" i="3" s="1"/>
  <c r="D25" i="3"/>
  <c r="E25" i="3" s="1"/>
  <c r="D26" i="3"/>
  <c r="E26" i="3" s="1"/>
  <c r="D29" i="3"/>
  <c r="E29" i="3" s="1"/>
  <c r="D31" i="3"/>
  <c r="E31" i="3" s="1"/>
  <c r="D23" i="3"/>
  <c r="E23" i="3" s="1"/>
  <c r="B18" i="3"/>
  <c r="C4" i="3"/>
  <c r="C5" i="3"/>
  <c r="C6" i="3"/>
  <c r="C7" i="3"/>
  <c r="C8" i="3"/>
  <c r="C9" i="3"/>
  <c r="C10" i="3"/>
  <c r="C11" i="3"/>
  <c r="C12" i="3"/>
  <c r="C13" i="3"/>
  <c r="C14" i="3"/>
  <c r="C15" i="3"/>
  <c r="C16" i="3"/>
  <c r="C3" i="3"/>
  <c r="E23" i="2"/>
  <c r="B15" i="2"/>
  <c r="B23" i="2"/>
  <c r="E21" i="2"/>
  <c r="E22" i="2"/>
  <c r="E24" i="2"/>
  <c r="E25" i="2"/>
  <c r="E26" i="2"/>
  <c r="E27" i="2"/>
  <c r="E28" i="2"/>
  <c r="E29" i="2"/>
  <c r="E30" i="2"/>
  <c r="E20" i="2"/>
  <c r="B21" i="2"/>
  <c r="B22" i="2"/>
  <c r="D7" i="2"/>
  <c r="E7" i="2" s="1"/>
  <c r="B24" i="2" s="1"/>
  <c r="D8" i="2"/>
  <c r="E8" i="2" s="1"/>
  <c r="B25" i="2" s="1"/>
  <c r="D9" i="2"/>
  <c r="E9" i="2" s="1"/>
  <c r="B26" i="2" s="1"/>
  <c r="D10" i="2"/>
  <c r="E10" i="2" s="1"/>
  <c r="B27" i="2" s="1"/>
  <c r="D11" i="2"/>
  <c r="E11" i="2" s="1"/>
  <c r="B28" i="2" s="1"/>
  <c r="D12" i="2"/>
  <c r="E12" i="2" s="1"/>
  <c r="B29" i="2" s="1"/>
  <c r="D13" i="2"/>
  <c r="E13" i="2" s="1"/>
  <c r="B30" i="2" s="1"/>
  <c r="D3" i="2"/>
  <c r="E3" i="2" s="1"/>
  <c r="B20" i="2" s="1"/>
  <c r="C18" i="3" l="1"/>
  <c r="C4" i="4" s="1"/>
  <c r="D4" i="4" s="1"/>
  <c r="E33" i="3"/>
  <c r="C5" i="4" s="1"/>
  <c r="D5" i="4" s="1"/>
  <c r="F24" i="2"/>
  <c r="F27" i="2"/>
  <c r="F30" i="2"/>
  <c r="F28" i="2"/>
  <c r="F29" i="2"/>
  <c r="F26" i="2"/>
  <c r="F25" i="2"/>
  <c r="F20" i="2"/>
  <c r="F22" i="2"/>
  <c r="F21" i="2"/>
  <c r="D23" i="2"/>
  <c r="F23" i="2"/>
  <c r="C54" i="2"/>
  <c r="E49" i="2"/>
  <c r="D30" i="2"/>
  <c r="D28" i="2"/>
  <c r="D26" i="2"/>
  <c r="D29" i="2"/>
  <c r="D27" i="2"/>
  <c r="E15" i="2"/>
  <c r="D22" i="2"/>
  <c r="D21" i="2"/>
  <c r="D20" i="2"/>
  <c r="B32" i="2"/>
  <c r="D24" i="2"/>
  <c r="D25" i="2"/>
  <c r="D32" i="2" l="1"/>
  <c r="B3" i="4" s="1"/>
  <c r="B6" i="4" s="1"/>
  <c r="H3" i="4" s="1"/>
  <c r="F32" i="2"/>
  <c r="C3" i="4" s="1"/>
  <c r="D3" i="4" l="1"/>
  <c r="D6" i="4" s="1"/>
  <c r="D7" i="4" s="1"/>
  <c r="C6" i="4"/>
  <c r="B59" i="2" l="1"/>
  <c r="F59" i="2" s="1"/>
  <c r="D59" i="2" s="1"/>
  <c r="B57" i="2"/>
  <c r="F57" i="2" s="1"/>
  <c r="D57" i="2" s="1"/>
  <c r="B60" i="2"/>
  <c r="F60" i="2" s="1"/>
  <c r="D60" i="2" s="1"/>
  <c r="B62" i="2"/>
  <c r="F62" i="2" s="1"/>
  <c r="D62" i="2" s="1"/>
  <c r="F54" i="2"/>
  <c r="D54" i="2" s="1"/>
  <c r="B55" i="2"/>
  <c r="F55" i="2" s="1"/>
  <c r="D55" i="2" s="1"/>
  <c r="B61" i="2"/>
  <c r="F61" i="2" s="1"/>
  <c r="D61" i="2" s="1"/>
  <c r="B63" i="2"/>
  <c r="F63" i="2" s="1"/>
  <c r="D63" i="2" s="1"/>
  <c r="B64" i="2"/>
  <c r="F64" i="2" s="1"/>
  <c r="D64" i="2" s="1"/>
  <c r="B58" i="2"/>
  <c r="F58" i="2" s="1"/>
  <c r="D58" i="2" s="1"/>
  <c r="B56" i="2"/>
  <c r="F56" i="2" s="1"/>
  <c r="D56" i="2" s="1"/>
  <c r="H4" i="4"/>
  <c r="H5" i="4" s="1"/>
  <c r="D8" i="4"/>
  <c r="H6" i="4"/>
  <c r="D66" i="2" l="1"/>
  <c r="H7" i="4"/>
  <c r="G8" i="22"/>
  <c r="H8" i="22" s="1"/>
  <c r="I7" i="22" s="1"/>
  <c r="G6" i="22"/>
  <c r="H6" i="22" s="1"/>
  <c r="I5" i="22" s="1"/>
  <c r="G19" i="12"/>
  <c r="H19" i="12" s="1"/>
  <c r="I18" i="12" s="1"/>
  <c r="J17" i="12" s="1"/>
  <c r="G18" i="11"/>
  <c r="H18" i="11" s="1"/>
  <c r="I17" i="11" s="1"/>
  <c r="H31" i="10"/>
  <c r="I31" i="10" s="1"/>
  <c r="J30" i="10" s="1"/>
  <c r="H13" i="10"/>
  <c r="I13" i="10" s="1"/>
  <c r="J12" i="10" s="1"/>
  <c r="G8" i="11"/>
  <c r="H8" i="11" s="1"/>
  <c r="I7" i="11" s="1"/>
  <c r="H92" i="10"/>
  <c r="I92" i="10" s="1"/>
  <c r="J91" i="10" s="1"/>
  <c r="H44" i="10"/>
  <c r="I44" i="10" s="1"/>
  <c r="J43" i="10" s="1"/>
  <c r="H29" i="10"/>
  <c r="I29" i="10" s="1"/>
  <c r="J28" i="10" s="1"/>
  <c r="H59" i="10"/>
  <c r="I59" i="10" s="1"/>
  <c r="J58" i="10" s="1"/>
  <c r="H24" i="10"/>
  <c r="I24" i="10" s="1"/>
  <c r="J23" i="10" s="1"/>
  <c r="H83" i="10"/>
  <c r="I83" i="10" s="1"/>
  <c r="J82" i="10" s="1"/>
  <c r="H94" i="10"/>
  <c r="I94" i="10" s="1"/>
  <c r="J93" i="10" s="1"/>
  <c r="H79" i="10"/>
  <c r="I79" i="10" s="1"/>
  <c r="J78" i="10" s="1"/>
  <c r="G20" i="11"/>
  <c r="H20" i="11" s="1"/>
  <c r="I19" i="11" s="1"/>
  <c r="H87" i="10"/>
  <c r="I87" i="10" s="1"/>
  <c r="J86" i="10" s="1"/>
  <c r="H18" i="10"/>
  <c r="I18" i="10" s="1"/>
  <c r="J17" i="10" s="1"/>
  <c r="H63" i="10"/>
  <c r="I63" i="10" s="1"/>
  <c r="J62" i="10" s="1"/>
  <c r="H52" i="10"/>
  <c r="I52" i="10" s="1"/>
  <c r="J51" i="10" s="1"/>
  <c r="H65" i="10"/>
  <c r="I65" i="10" s="1"/>
  <c r="J64" i="10" s="1"/>
  <c r="H46" i="10"/>
  <c r="I46" i="10" s="1"/>
  <c r="J45" i="10" s="1"/>
  <c r="G12" i="11"/>
  <c r="H12" i="11" s="1"/>
  <c r="I11" i="11" s="1"/>
  <c r="H98" i="10"/>
  <c r="I98" i="10" s="1"/>
  <c r="J97" i="10" s="1"/>
  <c r="H11" i="10"/>
  <c r="I11" i="10" s="1"/>
  <c r="J10" i="10" s="1"/>
  <c r="H33" i="10"/>
  <c r="I33" i="10" s="1"/>
  <c r="J32" i="10" s="1"/>
  <c r="H40" i="10"/>
  <c r="I40" i="10" s="1"/>
  <c r="J39" i="10" s="1"/>
  <c r="H20" i="10"/>
  <c r="I20" i="10" s="1"/>
  <c r="J19" i="10" s="1"/>
  <c r="H61" i="10"/>
  <c r="I61" i="10" s="1"/>
  <c r="J60" i="10" s="1"/>
  <c r="H26" i="10"/>
  <c r="I26" i="10" s="1"/>
  <c r="J25" i="10" s="1"/>
  <c r="H37" i="10"/>
  <c r="I37" i="10" s="1"/>
  <c r="J36" i="10" s="1"/>
  <c r="H68" i="10"/>
  <c r="I68" i="10" s="1"/>
  <c r="J67" i="10" s="1"/>
  <c r="H96" i="10"/>
  <c r="I96" i="10" s="1"/>
  <c r="J95" i="10" s="1"/>
  <c r="H85" i="10"/>
  <c r="I85" i="10" s="1"/>
  <c r="J84" i="10" s="1"/>
  <c r="H74" i="10"/>
  <c r="I74" i="10" s="1"/>
  <c r="J73" i="10" s="1"/>
  <c r="H76" i="10"/>
  <c r="I76" i="10" s="1"/>
  <c r="J75" i="10" s="1"/>
  <c r="H90" i="10"/>
  <c r="I90" i="10" s="1"/>
  <c r="J89" i="10" s="1"/>
  <c r="G6" i="11"/>
  <c r="H6" i="11" s="1"/>
  <c r="I5" i="11" s="1"/>
  <c r="G14" i="11"/>
  <c r="H14" i="11" s="1"/>
  <c r="I13" i="11" s="1"/>
  <c r="H35" i="10"/>
  <c r="I35" i="10" s="1"/>
  <c r="J34" i="10" s="1"/>
  <c r="H42" i="10"/>
  <c r="I42" i="10" s="1"/>
  <c r="J41" i="10" s="1"/>
  <c r="H9" i="10"/>
  <c r="I9" i="10" s="1"/>
  <c r="J8" i="10" s="1"/>
  <c r="H54" i="10"/>
  <c r="I54" i="10" s="1"/>
  <c r="J53" i="10" s="1"/>
  <c r="H15" i="10"/>
  <c r="I15" i="10" s="1"/>
  <c r="J14" i="10" s="1"/>
  <c r="H50" i="10"/>
  <c r="I50" i="10" s="1"/>
  <c r="J49" i="10" s="1"/>
  <c r="H72" i="10"/>
  <c r="I72" i="10" s="1"/>
  <c r="J71" i="10" s="1"/>
  <c r="G10" i="11"/>
  <c r="H10" i="11" s="1"/>
  <c r="I9" i="11" s="1"/>
  <c r="H57" i="10"/>
  <c r="I57" i="10" s="1"/>
  <c r="J56" i="10" s="1"/>
  <c r="G16" i="11"/>
  <c r="H16" i="11" s="1"/>
  <c r="I15" i="11" s="1"/>
  <c r="H70" i="10"/>
  <c r="I70" i="10" s="1"/>
  <c r="J69" i="10" s="1"/>
  <c r="H48" i="10"/>
  <c r="I48" i="10" s="1"/>
  <c r="J47" i="10" s="1"/>
  <c r="H22" i="10"/>
  <c r="I22" i="10" s="1"/>
  <c r="J21" i="10" s="1"/>
  <c r="H81" i="10"/>
  <c r="I81" i="10" s="1"/>
  <c r="J80" i="10" s="1"/>
  <c r="G16" i="20"/>
  <c r="H16" i="20" s="1"/>
  <c r="I15" i="20" s="1"/>
  <c r="G8" i="20"/>
  <c r="H8" i="20" s="1"/>
  <c r="I7" i="20" s="1"/>
  <c r="G12" i="20"/>
  <c r="H12" i="20" s="1"/>
  <c r="I11" i="20" s="1"/>
  <c r="G18" i="20"/>
  <c r="H18" i="20" s="1"/>
  <c r="I17" i="20" s="1"/>
  <c r="G14" i="20"/>
  <c r="H14" i="20" s="1"/>
  <c r="I13" i="20" s="1"/>
  <c r="G6" i="20"/>
  <c r="H6" i="20" s="1"/>
  <c r="I5" i="20" s="1"/>
  <c r="G10" i="20"/>
  <c r="H10" i="20" s="1"/>
  <c r="I9" i="20" s="1"/>
  <c r="G14" i="12"/>
  <c r="H14" i="12" s="1"/>
  <c r="I13" i="12" s="1"/>
  <c r="G8" i="7"/>
  <c r="H8" i="7" s="1"/>
  <c r="I7" i="7" s="1"/>
  <c r="G12" i="7"/>
  <c r="H12" i="7" s="1"/>
  <c r="I11" i="7" s="1"/>
  <c r="G14" i="7"/>
  <c r="H14" i="7" s="1"/>
  <c r="I13" i="7" s="1"/>
  <c r="G16" i="7"/>
  <c r="H16" i="7" s="1"/>
  <c r="I15" i="7" s="1"/>
  <c r="G10" i="7"/>
  <c r="H10" i="7" s="1"/>
  <c r="I9" i="7" s="1"/>
  <c r="G18" i="7"/>
  <c r="H18" i="7" s="1"/>
  <c r="I17" i="7" s="1"/>
  <c r="G6" i="7"/>
  <c r="H6" i="7" s="1"/>
  <c r="I5" i="7" s="1"/>
  <c r="G24" i="21"/>
  <c r="H24" i="21" s="1"/>
  <c r="I23" i="21" s="1"/>
  <c r="G10" i="16"/>
  <c r="H10" i="16" s="1"/>
  <c r="I9" i="16" s="1"/>
  <c r="G30" i="19"/>
  <c r="H30" i="19" s="1"/>
  <c r="I29" i="19" s="1"/>
  <c r="G22" i="16"/>
  <c r="H22" i="16" s="1"/>
  <c r="I21" i="16" s="1"/>
  <c r="G10" i="21"/>
  <c r="H10" i="21" s="1"/>
  <c r="I9" i="21" s="1"/>
  <c r="G10" i="18"/>
  <c r="H10" i="18" s="1"/>
  <c r="I9" i="18" s="1"/>
  <c r="G20" i="19"/>
  <c r="H20" i="19" s="1"/>
  <c r="I19" i="19" s="1"/>
  <c r="G8" i="18"/>
  <c r="H8" i="18" s="1"/>
  <c r="I7" i="18" s="1"/>
  <c r="G14" i="16"/>
  <c r="H14" i="16" s="1"/>
  <c r="I13" i="16" s="1"/>
  <c r="G22" i="21"/>
  <c r="H22" i="21" s="1"/>
  <c r="I21" i="21" s="1"/>
  <c r="G34" i="19"/>
  <c r="H34" i="19" s="1"/>
  <c r="I33" i="19" s="1"/>
  <c r="G16" i="19"/>
  <c r="H16" i="19" s="1"/>
  <c r="I15" i="19" s="1"/>
  <c r="G12" i="21"/>
  <c r="H12" i="21" s="1"/>
  <c r="I11" i="21" s="1"/>
  <c r="G10" i="19"/>
  <c r="H10" i="19" s="1"/>
  <c r="I9" i="19" s="1"/>
  <c r="G24" i="19"/>
  <c r="H24" i="19" s="1"/>
  <c r="I23" i="19" s="1"/>
  <c r="G12" i="16"/>
  <c r="H12" i="16" s="1"/>
  <c r="I11" i="16" s="1"/>
  <c r="G20" i="9"/>
  <c r="H20" i="9" s="1"/>
  <c r="I19" i="9" s="1"/>
  <c r="G6" i="8"/>
  <c r="H6" i="8" s="1"/>
  <c r="I5" i="8" s="1"/>
  <c r="G10" i="9"/>
  <c r="H10" i="9" s="1"/>
  <c r="I9" i="9" s="1"/>
  <c r="G12" i="9"/>
  <c r="H12" i="9" s="1"/>
  <c r="I11" i="9" s="1"/>
  <c r="G8" i="13"/>
  <c r="H8" i="13" s="1"/>
  <c r="I7" i="13" s="1"/>
  <c r="G22" i="13"/>
  <c r="H22" i="13" s="1"/>
  <c r="I21" i="13" s="1"/>
  <c r="G22" i="9"/>
  <c r="H22" i="9" s="1"/>
  <c r="I21" i="9" s="1"/>
  <c r="G8" i="8"/>
  <c r="H8" i="8" s="1"/>
  <c r="I7" i="8" s="1"/>
  <c r="G10" i="8"/>
  <c r="H10" i="8" s="1"/>
  <c r="I9" i="8" s="1"/>
  <c r="G6" i="17"/>
  <c r="H6" i="17" s="1"/>
  <c r="I5" i="17" s="1"/>
  <c r="G10" i="17"/>
  <c r="H10" i="17" s="1"/>
  <c r="I9" i="17" s="1"/>
  <c r="G18" i="17"/>
  <c r="H18" i="17" s="1"/>
  <c r="I17" i="17" s="1"/>
  <c r="G16" i="17"/>
  <c r="H16" i="17" s="1"/>
  <c r="I15" i="17" s="1"/>
  <c r="G14" i="17"/>
  <c r="H14" i="17" s="1"/>
  <c r="I13" i="17" s="1"/>
  <c r="G12" i="17"/>
  <c r="H12" i="17" s="1"/>
  <c r="I11" i="17" s="1"/>
  <c r="G8" i="17"/>
  <c r="H8" i="17" s="1"/>
  <c r="I7" i="17" s="1"/>
  <c r="G12" i="12"/>
  <c r="H12" i="12" s="1"/>
  <c r="I11" i="12" s="1"/>
  <c r="G8" i="12"/>
  <c r="H8" i="12" s="1"/>
  <c r="I7" i="12" s="1"/>
  <c r="G10" i="12"/>
  <c r="H10" i="12" s="1"/>
  <c r="I9" i="12" s="1"/>
  <c r="G6" i="16"/>
  <c r="H6" i="16" s="1"/>
  <c r="I5" i="16" s="1"/>
  <c r="G6" i="19"/>
  <c r="H6" i="19" s="1"/>
  <c r="I5" i="19" s="1"/>
  <c r="G14" i="19"/>
  <c r="H14" i="19" s="1"/>
  <c r="I13" i="19" s="1"/>
  <c r="G12" i="19"/>
  <c r="H12" i="19" s="1"/>
  <c r="I11" i="19" s="1"/>
  <c r="G16" i="16"/>
  <c r="H16" i="16" s="1"/>
  <c r="I15" i="16" s="1"/>
  <c r="G32" i="19"/>
  <c r="H32" i="19" s="1"/>
  <c r="I31" i="19" s="1"/>
  <c r="G28" i="19"/>
  <c r="H28" i="19" s="1"/>
  <c r="I27" i="19" s="1"/>
  <c r="G16" i="15"/>
  <c r="H16" i="15" s="1"/>
  <c r="I15" i="15" s="1"/>
  <c r="G12" i="18"/>
  <c r="H12" i="18" s="1"/>
  <c r="I11" i="18" s="1"/>
  <c r="G14" i="21"/>
  <c r="H14" i="21" s="1"/>
  <c r="I13" i="21" s="1"/>
  <c r="G26" i="19"/>
  <c r="H26" i="19" s="1"/>
  <c r="I25" i="19" s="1"/>
  <c r="G8" i="16"/>
  <c r="H8" i="16" s="1"/>
  <c r="I7" i="16" s="1"/>
  <c r="G16" i="21"/>
  <c r="H16" i="21" s="1"/>
  <c r="I15" i="21" s="1"/>
  <c r="G14" i="15"/>
  <c r="H14" i="15" s="1"/>
  <c r="I13" i="15" s="1"/>
  <c r="G18" i="19"/>
  <c r="H18" i="19" s="1"/>
  <c r="I17" i="19" s="1"/>
  <c r="G6" i="15"/>
  <c r="H6" i="15" s="1"/>
  <c r="G18" i="16"/>
  <c r="H18" i="16" s="1"/>
  <c r="I17" i="16" s="1"/>
  <c r="G8" i="15"/>
  <c r="H8" i="15" s="1"/>
  <c r="I7" i="15" s="1"/>
  <c r="G8" i="19"/>
  <c r="H8" i="19" s="1"/>
  <c r="I7" i="19" s="1"/>
  <c r="G22" i="19"/>
  <c r="H22" i="19" s="1"/>
  <c r="I21" i="19" s="1"/>
  <c r="G20" i="21"/>
  <c r="H20" i="21" s="1"/>
  <c r="I19" i="21" s="1"/>
  <c r="G12" i="15"/>
  <c r="H12" i="15" s="1"/>
  <c r="I11" i="15" s="1"/>
  <c r="G18" i="21"/>
  <c r="H18" i="21" s="1"/>
  <c r="I17" i="21" s="1"/>
  <c r="G8" i="21"/>
  <c r="H8" i="21" s="1"/>
  <c r="I7" i="21" s="1"/>
  <c r="G14" i="18"/>
  <c r="H14" i="18" s="1"/>
  <c r="I13" i="18" s="1"/>
  <c r="G6" i="21"/>
  <c r="H6" i="21" s="1"/>
  <c r="I5" i="21" s="1"/>
  <c r="G18" i="15"/>
  <c r="H18" i="15" s="1"/>
  <c r="I17" i="15" s="1"/>
  <c r="G6" i="18"/>
  <c r="H6" i="18" s="1"/>
  <c r="I5" i="18" s="1"/>
  <c r="G10" i="15"/>
  <c r="H10" i="15" s="1"/>
  <c r="I9" i="15" s="1"/>
  <c r="G20" i="16"/>
  <c r="H20" i="16" s="1"/>
  <c r="I19" i="16" s="1"/>
  <c r="G16" i="12"/>
  <c r="H16" i="12" s="1"/>
  <c r="I15" i="12" s="1"/>
  <c r="G14" i="13"/>
  <c r="H14" i="13" s="1"/>
  <c r="I13" i="13" s="1"/>
  <c r="G14" i="8"/>
  <c r="H14" i="8" s="1"/>
  <c r="I13" i="8" s="1"/>
  <c r="G8" i="9"/>
  <c r="H8" i="9" s="1"/>
  <c r="I7" i="9" s="1"/>
  <c r="G24" i="13"/>
  <c r="H24" i="13" s="1"/>
  <c r="I23" i="13" s="1"/>
  <c r="G6" i="9"/>
  <c r="H6" i="9" s="1"/>
  <c r="I5" i="9" s="1"/>
  <c r="G14" i="9"/>
  <c r="H14" i="9" s="1"/>
  <c r="I13" i="9" s="1"/>
  <c r="G6" i="13"/>
  <c r="H6" i="13" s="1"/>
  <c r="I5" i="13" s="1"/>
  <c r="G20" i="13"/>
  <c r="H20" i="13" s="1"/>
  <c r="I19" i="13" s="1"/>
  <c r="G6" i="12"/>
  <c r="H6" i="12" s="1"/>
  <c r="I5" i="12" s="1"/>
  <c r="G18" i="9"/>
  <c r="H18" i="9" s="1"/>
  <c r="I17" i="9" s="1"/>
  <c r="G26" i="8"/>
  <c r="H26" i="8" s="1"/>
  <c r="I25" i="8" s="1"/>
  <c r="G18" i="13"/>
  <c r="H18" i="13" s="1"/>
  <c r="I17" i="13" s="1"/>
  <c r="G24" i="8"/>
  <c r="H24" i="8" s="1"/>
  <c r="I23" i="8" s="1"/>
  <c r="G12" i="8"/>
  <c r="H12" i="8" s="1"/>
  <c r="I11" i="8" s="1"/>
  <c r="G12" i="13"/>
  <c r="H12" i="13" s="1"/>
  <c r="I11" i="13" s="1"/>
  <c r="G16" i="8"/>
  <c r="H16" i="8" s="1"/>
  <c r="I15" i="8" s="1"/>
  <c r="G16" i="13"/>
  <c r="H16" i="13" s="1"/>
  <c r="I15" i="13" s="1"/>
  <c r="G18" i="8"/>
  <c r="H18" i="8" s="1"/>
  <c r="I17" i="8" s="1"/>
  <c r="G20" i="8"/>
  <c r="H20" i="8" s="1"/>
  <c r="I19" i="8" s="1"/>
  <c r="G16" i="9"/>
  <c r="H16" i="9" s="1"/>
  <c r="I15" i="9" s="1"/>
  <c r="G10" i="13"/>
  <c r="H10" i="13" s="1"/>
  <c r="I9" i="13" s="1"/>
  <c r="G22" i="8"/>
  <c r="H22" i="8" s="1"/>
  <c r="I21" i="8" s="1"/>
  <c r="G21" i="20"/>
  <c r="H21" i="20" s="1"/>
  <c r="I20" i="20" s="1"/>
  <c r="H7" i="10"/>
  <c r="I5" i="15" l="1"/>
  <c r="J4" i="22"/>
  <c r="E19" i="6" s="1"/>
  <c r="J25" i="1"/>
  <c r="E6" i="6"/>
  <c r="K77" i="10"/>
  <c r="J4" i="19"/>
  <c r="K55" i="10"/>
  <c r="K66" i="10"/>
  <c r="J4" i="7"/>
  <c r="J4" i="8"/>
  <c r="J4" i="12"/>
  <c r="J35" i="12" s="1"/>
  <c r="J4" i="11"/>
  <c r="J4" i="15"/>
  <c r="K38" i="10"/>
  <c r="K88" i="10"/>
  <c r="K27" i="10"/>
  <c r="J4" i="16"/>
  <c r="J4" i="17"/>
  <c r="J4" i="18"/>
  <c r="H8" i="4"/>
  <c r="H9" i="4" s="1"/>
  <c r="J4" i="13"/>
  <c r="J4" i="9"/>
  <c r="K16" i="10"/>
  <c r="J4" i="21"/>
  <c r="J19" i="20"/>
  <c r="J4" i="20"/>
  <c r="G5" i="10" a="1"/>
  <c r="G5" i="10" s="1"/>
  <c r="I7" i="10"/>
  <c r="J6" i="10" s="1"/>
  <c r="K5" i="10" s="1"/>
  <c r="J38" i="1" l="1"/>
  <c r="K36" i="1"/>
  <c r="F17" i="6"/>
  <c r="J41" i="1"/>
  <c r="E22" i="6"/>
  <c r="J35" i="1"/>
  <c r="E16" i="6"/>
  <c r="E4" i="6"/>
  <c r="J30" i="1"/>
  <c r="E11" i="6"/>
  <c r="D4" i="18"/>
  <c r="J29" i="1"/>
  <c r="E10" i="6"/>
  <c r="K27" i="1"/>
  <c r="F8" i="6"/>
  <c r="J31" i="1"/>
  <c r="E12" i="6"/>
  <c r="K26" i="1"/>
  <c r="F7" i="6"/>
  <c r="J33" i="1"/>
  <c r="E14" i="6"/>
  <c r="J24" i="1"/>
  <c r="E5" i="6"/>
  <c r="J32" i="1"/>
  <c r="E13" i="6"/>
  <c r="J34" i="1"/>
  <c r="E15" i="6"/>
  <c r="L4" i="10"/>
  <c r="K28" i="1" l="1"/>
  <c r="J40" i="1"/>
  <c r="E21" i="6"/>
  <c r="F18" i="6" s="1"/>
  <c r="F3" i="6"/>
  <c r="F9" i="6"/>
  <c r="C15" i="1"/>
  <c r="K37" i="1" l="1"/>
  <c r="C16" i="1"/>
  <c r="E16" i="1" s="1"/>
  <c r="D23" i="1" s="1"/>
  <c r="E23" i="1" s="1"/>
  <c r="F23" i="1" s="1"/>
  <c r="C4" i="26" s="1"/>
  <c r="D26" i="1" l="1"/>
  <c r="E26" i="1" s="1"/>
  <c r="F26" i="1" s="1"/>
  <c r="C7" i="26" s="1"/>
  <c r="D22" i="1"/>
  <c r="E22" i="1" s="1"/>
  <c r="F22" i="1" s="1"/>
  <c r="C3" i="26" s="1"/>
  <c r="D25" i="1"/>
  <c r="E25" i="1" s="1"/>
  <c r="F25" i="1" s="1"/>
  <c r="C6" i="26" s="1"/>
  <c r="D24" i="1"/>
  <c r="E24" i="1" s="1"/>
  <c r="F24" i="1" s="1"/>
  <c r="C5" i="26" s="1"/>
  <c r="L35" i="1"/>
  <c r="M35" i="1" s="1"/>
  <c r="N35" i="1" s="1"/>
  <c r="L38" i="1"/>
  <c r="M38" i="1" s="1"/>
  <c r="N38" i="1" s="1"/>
  <c r="G19" i="26" s="1"/>
  <c r="L40" i="1"/>
  <c r="M40" i="1" s="1"/>
  <c r="N40" i="1" s="1"/>
  <c r="G21" i="26" s="1"/>
  <c r="L23" i="1"/>
  <c r="M23" i="1" s="1"/>
  <c r="L41" i="1"/>
  <c r="M41" i="1" s="1"/>
  <c r="N41" i="1" s="1"/>
  <c r="G22" i="26" s="1"/>
  <c r="L24" i="1"/>
  <c r="M24" i="1" s="1"/>
  <c r="N24" i="1" s="1"/>
  <c r="G5" i="26" s="1"/>
  <c r="L25" i="1"/>
  <c r="M25" i="1" s="1"/>
  <c r="N25" i="1" s="1"/>
  <c r="G6" i="26" s="1"/>
  <c r="L30" i="1"/>
  <c r="M30" i="1" s="1"/>
  <c r="N30" i="1" s="1"/>
  <c r="L26" i="1"/>
  <c r="M26" i="1" s="1"/>
  <c r="O26" i="1" s="1"/>
  <c r="H7" i="26" s="1"/>
  <c r="L31" i="1"/>
  <c r="M31" i="1" s="1"/>
  <c r="N31" i="1" s="1"/>
  <c r="L27" i="1"/>
  <c r="M27" i="1" s="1"/>
  <c r="O27" i="1" s="1"/>
  <c r="H8" i="26" s="1"/>
  <c r="L32" i="1"/>
  <c r="M32" i="1" s="1"/>
  <c r="N32" i="1" s="1"/>
  <c r="L34" i="1"/>
  <c r="M34" i="1" s="1"/>
  <c r="N34" i="1" s="1"/>
  <c r="L29" i="1"/>
  <c r="M29" i="1" s="1"/>
  <c r="N29" i="1" s="1"/>
  <c r="L36" i="1"/>
  <c r="M36" i="1" s="1"/>
  <c r="O36" i="1" s="1"/>
  <c r="H17" i="26" s="1"/>
  <c r="L33" i="1"/>
  <c r="M33" i="1" s="1"/>
  <c r="N33" i="1" s="1"/>
  <c r="D27" i="1"/>
  <c r="E27" i="1" s="1"/>
  <c r="F27" i="1" s="1"/>
  <c r="C8" i="26" s="1"/>
  <c r="F30" i="1" l="1"/>
  <c r="C11" i="26" s="1"/>
  <c r="G11" i="26"/>
  <c r="G13" i="26"/>
  <c r="G12" i="26"/>
  <c r="G10" i="26"/>
  <c r="G16" i="26"/>
  <c r="G14" i="26"/>
  <c r="G15" i="26"/>
  <c r="O37" i="1"/>
  <c r="H18" i="26" s="1"/>
  <c r="G29" i="26" s="1"/>
  <c r="G4" i="26"/>
  <c r="M5" i="26" s="1"/>
  <c r="M16" i="26" s="1"/>
  <c r="O22" i="1"/>
  <c r="G30" i="26"/>
  <c r="O28" i="1"/>
  <c r="H9" i="26" s="1"/>
  <c r="G31" i="26" l="1"/>
  <c r="H3" i="26"/>
  <c r="H25" i="26" s="1"/>
  <c r="O44" i="1"/>
  <c r="L8" i="26" l="1"/>
  <c r="L9" i="26"/>
  <c r="L13" i="26"/>
  <c r="L11" i="26"/>
  <c r="L12" i="26"/>
  <c r="L10" i="26"/>
  <c r="L7" i="26"/>
  <c r="M6" i="26"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<sst xmlns="http://schemas.openxmlformats.org/spreadsheetml/2006/main" count="1416" uniqueCount="343">
  <si>
    <t>Cliente reducido</t>
  </si>
  <si>
    <t>Partida</t>
  </si>
  <si>
    <t>Total</t>
  </si>
  <si>
    <t>Subtotal</t>
  </si>
  <si>
    <t>Documentación y gestión de proyecto</t>
  </si>
  <si>
    <t>Análisis de requisitos</t>
  </si>
  <si>
    <t>Manuales de usuario</t>
  </si>
  <si>
    <t>Diseño y arquitectura</t>
  </si>
  <si>
    <t>Documentación del proyecto</t>
  </si>
  <si>
    <t xml:space="preserve"> Manuales y formación</t>
  </si>
  <si>
    <t>-</t>
  </si>
  <si>
    <t>Contrucción</t>
  </si>
  <si>
    <t>Gestión de proyecto</t>
  </si>
  <si>
    <t>Desarrollo de la aplicación</t>
  </si>
  <si>
    <t>Pruebas, depuración y QA</t>
  </si>
  <si>
    <t>Integración con sistemas centrales</t>
  </si>
  <si>
    <t>Hardware</t>
  </si>
  <si>
    <t>Sistema de mensajería</t>
  </si>
  <si>
    <t>Hardware adquirido</t>
  </si>
  <si>
    <t>Construcción</t>
  </si>
  <si>
    <t>Gestión de usuarios</t>
  </si>
  <si>
    <t>Sistema de geoposicionamiento</t>
  </si>
  <si>
    <t>Aplicaciones de usuario app de avisos y mensajería</t>
  </si>
  <si>
    <t>Dashboard de seguimiento</t>
  </si>
  <si>
    <t>Aplicaciones de usuario para la gestión de emergencias</t>
  </si>
  <si>
    <t xml:space="preserve"> Hardware adquirido</t>
  </si>
  <si>
    <t>Adquisición de hardware</t>
  </si>
  <si>
    <t>Instalación de hardware</t>
  </si>
  <si>
    <t>Instación de hardware - Hospitales</t>
  </si>
  <si>
    <t>Instalación de hardware - vehículos</t>
  </si>
  <si>
    <t>Total a repartir</t>
  </si>
  <si>
    <t>Número de módulos</t>
  </si>
  <si>
    <t>Reparto por módulo</t>
  </si>
  <si>
    <t>Gestión de Costes. Ponderación Costes para el cliente</t>
  </si>
  <si>
    <t>Presupuesto Coste</t>
  </si>
  <si>
    <t>Otros Costes</t>
  </si>
  <si>
    <t>Beneficio (25%)</t>
  </si>
  <si>
    <t>total</t>
  </si>
  <si>
    <t>Calculo Porcentaje Ponderacion</t>
  </si>
  <si>
    <t>Valor a Promediar</t>
  </si>
  <si>
    <t>x=</t>
  </si>
  <si>
    <t>Partidas generales</t>
  </si>
  <si>
    <t>Partidas desglosadas</t>
  </si>
  <si>
    <t>Coste</t>
  </si>
  <si>
    <t>Porcentaje</t>
  </si>
  <si>
    <t xml:space="preserve">Ponderación </t>
  </si>
  <si>
    <t>Subcoste</t>
  </si>
  <si>
    <t>Total2</t>
  </si>
  <si>
    <t>TOTAL</t>
  </si>
  <si>
    <t>Personal de la empresa</t>
  </si>
  <si>
    <t>Personal</t>
  </si>
  <si>
    <t>Núm.</t>
  </si>
  <si>
    <t>Sueldo Bruto Anual</t>
  </si>
  <si>
    <t>Coste Salarial Año</t>
  </si>
  <si>
    <t>Director Gerente</t>
  </si>
  <si>
    <t>Comercial</t>
  </si>
  <si>
    <t>Jefe del Proyecto</t>
  </si>
  <si>
    <t>Coordinador del servicio</t>
  </si>
  <si>
    <t>Consultor de Tecnologia</t>
  </si>
  <si>
    <t>Arquitecto del Software</t>
  </si>
  <si>
    <t>Analista de Sistemas</t>
  </si>
  <si>
    <t>Desarrollador Senior</t>
  </si>
  <si>
    <t>Desarrollador Junior</t>
  </si>
  <si>
    <t>Tester</t>
  </si>
  <si>
    <t>Responsable y administrador de sistemas</t>
  </si>
  <si>
    <t>Productividad / CI del personal</t>
  </si>
  <si>
    <t>Prod(%)</t>
  </si>
  <si>
    <t>Coste Directo</t>
  </si>
  <si>
    <t>CI(%)</t>
  </si>
  <si>
    <t>Coste Indirecto</t>
  </si>
  <si>
    <t>Horas productivas</t>
  </si>
  <si>
    <t>Productividad (%)</t>
  </si>
  <si>
    <t>Horas/ año</t>
  </si>
  <si>
    <t>Horas productivas / año (por persona)</t>
  </si>
  <si>
    <t>Horas productivas / año (Total empresa)</t>
  </si>
  <si>
    <t>Precio hora (coste y venta)</t>
  </si>
  <si>
    <t>Precio/hora (Sin beneficios)</t>
  </si>
  <si>
    <t>Horas productivas (Total empresa)</t>
  </si>
  <si>
    <t>Facturación</t>
  </si>
  <si>
    <t>Precio /hora (con beneficio)</t>
  </si>
  <si>
    <t>Servicios</t>
  </si>
  <si>
    <t>Servicio</t>
  </si>
  <si>
    <t>Coste mes</t>
  </si>
  <si>
    <t>Coste año</t>
  </si>
  <si>
    <t>Limpieza</t>
  </si>
  <si>
    <t>Tipos de coste</t>
  </si>
  <si>
    <t>Mantenimiento y reparación de instalaciones</t>
  </si>
  <si>
    <t>Amortización</t>
  </si>
  <si>
    <t>Consumo eléctrico</t>
  </si>
  <si>
    <t>Alquiler</t>
  </si>
  <si>
    <t>Consumo de agua</t>
  </si>
  <si>
    <t>Subscripción mensual</t>
  </si>
  <si>
    <t>Gastos de viaje, desplazamiento, manutención y estancias del personal en otras localidades del personal no productivo (excepto los que se puedan asignar como costes directos)</t>
  </si>
  <si>
    <t>Gastos de oficina</t>
  </si>
  <si>
    <t>Renta oficina</t>
  </si>
  <si>
    <t>Honorarios de asesorías, auditorías y otros profesionales</t>
  </si>
  <si>
    <t>QA</t>
  </si>
  <si>
    <t>Primas de seguros</t>
  </si>
  <si>
    <t>Factura servicio de red y comunicaciones</t>
  </si>
  <si>
    <t>Costes administrativos</t>
  </si>
  <si>
    <t>Tributos y tasas diversas</t>
  </si>
  <si>
    <t>Control de seguridad de las instalaciones</t>
  </si>
  <si>
    <t>Costes de los medios de producción</t>
  </si>
  <si>
    <t>Equipo/licencia</t>
  </si>
  <si>
    <t>Unidades</t>
  </si>
  <si>
    <t>Precio</t>
  </si>
  <si>
    <t>Coste total</t>
  </si>
  <si>
    <t>tipo</t>
  </si>
  <si>
    <t>Plazo</t>
  </si>
  <si>
    <t>CPD (Servidores, SAI,etc.)</t>
  </si>
  <si>
    <t>Equipos de administración</t>
  </si>
  <si>
    <t>Equipos de desarrollo</t>
  </si>
  <si>
    <t>Portátiles</t>
  </si>
  <si>
    <t>Teléfono Android</t>
  </si>
  <si>
    <t>Teléfono IOS</t>
  </si>
  <si>
    <t>Licencias de desarrollo</t>
  </si>
  <si>
    <t>Licencia de Office365</t>
  </si>
  <si>
    <t>Licencia Github pro empresarial</t>
  </si>
  <si>
    <t>Costes directos</t>
  </si>
  <si>
    <t>Costes indirectos</t>
  </si>
  <si>
    <t>Nº</t>
  </si>
  <si>
    <t>Concepto</t>
  </si>
  <si>
    <t>Importe</t>
  </si>
  <si>
    <t>Total de los costes directos</t>
  </si>
  <si>
    <t>Total de los costes indirectos</t>
  </si>
  <si>
    <t>Medios de producción</t>
  </si>
  <si>
    <t>Suma de los costes directos e indirectos</t>
  </si>
  <si>
    <t>Beneficio deseado (25%)</t>
  </si>
  <si>
    <t>Beneficios deseados (25%)</t>
  </si>
  <si>
    <t>Coste total (suma de los costes directos, indirectos y beneficios)</t>
  </si>
  <si>
    <t>Necesidades de facturación</t>
  </si>
  <si>
    <t>Facturación posible en función de las horas de producción y de los precios por hora calculados</t>
  </si>
  <si>
    <t>Margen entre el coste total y la facturación (realción entre 5 y 6)</t>
  </si>
  <si>
    <t>Item</t>
  </si>
  <si>
    <t>Item vis</t>
  </si>
  <si>
    <t>Partida2</t>
  </si>
  <si>
    <t>001</t>
  </si>
  <si>
    <t>002</t>
  </si>
  <si>
    <t>003</t>
  </si>
  <si>
    <t>004</t>
  </si>
  <si>
    <t>005</t>
  </si>
  <si>
    <t>006</t>
  </si>
  <si>
    <t>007</t>
  </si>
  <si>
    <t>Otros costes</t>
  </si>
  <si>
    <t>008</t>
  </si>
  <si>
    <t>I1</t>
  </si>
  <si>
    <t>I2</t>
  </si>
  <si>
    <t>I3</t>
  </si>
  <si>
    <t>Descripción</t>
  </si>
  <si>
    <t>Cantidad</t>
  </si>
  <si>
    <t>Subtotal (2)</t>
  </si>
  <si>
    <t>Subtotal (3)</t>
  </si>
  <si>
    <t>01</t>
  </si>
  <si>
    <t>Viajes y dietas</t>
  </si>
  <si>
    <t>Viajes a hospitales</t>
  </si>
  <si>
    <t>Viaje a Jarrio</t>
  </si>
  <si>
    <t>Kilómetros</t>
  </si>
  <si>
    <t>Viaje a Cangas del Narcea</t>
  </si>
  <si>
    <t>Viaje a Avilés</t>
  </si>
  <si>
    <t>Viaje a Gijón</t>
  </si>
  <si>
    <t>Viaje a Arriondas</t>
  </si>
  <si>
    <t>Viaje a Mieres</t>
  </si>
  <si>
    <t>Viaje a Langreo</t>
  </si>
  <si>
    <t>Dietas en hospitales</t>
  </si>
  <si>
    <t>menus</t>
  </si>
  <si>
    <t>Documentación y Gestión de Proyecto</t>
  </si>
  <si>
    <t>Documentación</t>
  </si>
  <si>
    <t>DV - Documentación de visión</t>
  </si>
  <si>
    <t>horas</t>
  </si>
  <si>
    <t>DR - Documento de requisitos</t>
  </si>
  <si>
    <t>PP - Plan de proyecto</t>
  </si>
  <si>
    <t>DD - Documentación de diseño</t>
  </si>
  <si>
    <t>PPS  Plan de pruebas software</t>
  </si>
  <si>
    <t>Ddes - Documento de despliegue</t>
  </si>
  <si>
    <t>02</t>
  </si>
  <si>
    <t>Gestión</t>
  </si>
  <si>
    <t>03</t>
  </si>
  <si>
    <t>Manuales de Usuario</t>
  </si>
  <si>
    <t>Manual de usuario - Integración con sistemas centrales</t>
  </si>
  <si>
    <t>Manual de usuario - Sistema de Mensajería</t>
  </si>
  <si>
    <t>Manual de usuario - Gestión de usuarios</t>
  </si>
  <si>
    <t>04</t>
  </si>
  <si>
    <t>Manual de usuario - Sistema de geoposicionamiento</t>
  </si>
  <si>
    <t>05</t>
  </si>
  <si>
    <t>Manual de usuario - Aplicaciones de usuario app de avisos y mensajería</t>
  </si>
  <si>
    <t>06</t>
  </si>
  <si>
    <t>Manual de usuario - Dashboard de seguimiento</t>
  </si>
  <si>
    <t xml:space="preserve">Desarrollador Junior </t>
  </si>
  <si>
    <t>07</t>
  </si>
  <si>
    <t>Manual de usuario - Aplicaciones de usuario para la gestión de emergencias</t>
  </si>
  <si>
    <t>Análisis - Integración con sistemas centrales</t>
  </si>
  <si>
    <t>Análisis - Sistema de mensajería</t>
  </si>
  <si>
    <t>Análisis - Gestión de usuarios</t>
  </si>
  <si>
    <t>Análisis - Sistema de geoposicionamiento</t>
  </si>
  <si>
    <t>Análisis - Aplicaciones de usuario app de avisos y mensajería</t>
  </si>
  <si>
    <t>Análisis - Dashboard de seguimiento</t>
  </si>
  <si>
    <t>Análisis - Aplicaciones de usuario para la gestión de emergencias</t>
  </si>
  <si>
    <t>Diseño y Arquitectura</t>
  </si>
  <si>
    <t>Diseño y arquitectura - Integración con sistemas centrales</t>
  </si>
  <si>
    <t>Diseño y arquitectura - Sistema de mensajería</t>
  </si>
  <si>
    <t>Diseño y arquitectura - Gestión de usuarios</t>
  </si>
  <si>
    <t>Diseño y arquitectura- Sistema de geoposicionamiento</t>
  </si>
  <si>
    <t>Diseño y arquitectura - Aplicaciones de usuario app de avisos y mensajería</t>
  </si>
  <si>
    <t>Diseño y arquitectura - Dashboard de seguimiento</t>
  </si>
  <si>
    <t>Diseño y arquitectura - Aplicaciones de usuario para la gestión de emergencias</t>
  </si>
  <si>
    <t>Extraer alertas del middleware</t>
  </si>
  <si>
    <t>Extraer mensajes del middleware</t>
  </si>
  <si>
    <t>Listado de conversaciones</t>
  </si>
  <si>
    <t>Validación del parametro de busqueda</t>
  </si>
  <si>
    <t>Validar alerta</t>
  </si>
  <si>
    <t>Enviar alerta</t>
  </si>
  <si>
    <t>Listado de mensajes en una conversacion</t>
  </si>
  <si>
    <t>Validar mensaje</t>
  </si>
  <si>
    <t>009</t>
  </si>
  <si>
    <t>Busqueda de una conversación</t>
  </si>
  <si>
    <t>010</t>
  </si>
  <si>
    <t>Listado de alertas</t>
  </si>
  <si>
    <t>011</t>
  </si>
  <si>
    <t>Enviar mensaje</t>
  </si>
  <si>
    <t>Visualizar Historial Clinico</t>
  </si>
  <si>
    <t>Listado de citas</t>
  </si>
  <si>
    <t>Listado de pruebas</t>
  </si>
  <si>
    <t>Filtrar historial clinico por caracteristicas</t>
  </si>
  <si>
    <t>Obtener datos de una cita en concreto</t>
  </si>
  <si>
    <t>Obtener datos de un h.c en concreto</t>
  </si>
  <si>
    <t>Visualizacion de una cita especifica</t>
  </si>
  <si>
    <t>Filtrar historial clinico por usuario</t>
  </si>
  <si>
    <t>Obtener datos de una prueba en concreto</t>
  </si>
  <si>
    <t>Filtrar citas por caracteristicas</t>
  </si>
  <si>
    <t>Validar filtros historial clinico</t>
  </si>
  <si>
    <t>13</t>
  </si>
  <si>
    <t>012</t>
  </si>
  <si>
    <t>Visualizacion de una prueba especifica</t>
  </si>
  <si>
    <t>7</t>
  </si>
  <si>
    <t>013</t>
  </si>
  <si>
    <t>Filtrar pruebas por caracteristicas</t>
  </si>
  <si>
    <t>9</t>
  </si>
  <si>
    <t>014</t>
  </si>
  <si>
    <t>Validar filtros citas</t>
  </si>
  <si>
    <t>14</t>
  </si>
  <si>
    <t>015</t>
  </si>
  <si>
    <t>Validar filtros pruebas</t>
  </si>
  <si>
    <t>Listado de vehiculos en funcionamiento</t>
  </si>
  <si>
    <t>Asignación de ambulancias en función de la proximidad y la carga de trabajo.</t>
  </si>
  <si>
    <t>Histórico de rutas</t>
  </si>
  <si>
    <t>Listado de vehiculos parados</t>
  </si>
  <si>
    <t>Informes de actividad y desempeño</t>
  </si>
  <si>
    <t>Seguimiento en tiempo real de los vehículos</t>
  </si>
  <si>
    <t>Comunicación con el centro de control</t>
  </si>
  <si>
    <t>Registro de mantenimiento de vehículos</t>
  </si>
  <si>
    <t>Notificaciones de emergencias</t>
  </si>
  <si>
    <t>Notificaciones a familiares</t>
  </si>
  <si>
    <t>Historico de usuarios</t>
  </si>
  <si>
    <t>Historico de alertas</t>
  </si>
  <si>
    <t>Historico de ubicaciones de los vehiculos de emergencia</t>
  </si>
  <si>
    <t>Listado de ubicaciones actuales de los vehículos de emergencia</t>
  </si>
  <si>
    <t>Listado de clientes activos</t>
  </si>
  <si>
    <t>Filtrado de clientes activos</t>
  </si>
  <si>
    <t>Filtrado de vehiculos de emergencia</t>
  </si>
  <si>
    <t>Filtrado de alertas</t>
  </si>
  <si>
    <t>Aplicación de usuario para la gestión de emergencias</t>
  </si>
  <si>
    <t>Visualización de Emergencias Activas.</t>
  </si>
  <si>
    <t>Seguimiento de Emergencias.</t>
  </si>
  <si>
    <t>Asignación de Recursos para Emergencias.</t>
  </si>
  <si>
    <t>Comunicación con Servicios Externos.</t>
  </si>
  <si>
    <t>Registro de Emergencias.</t>
  </si>
  <si>
    <t>Informe de Estado de Emergencias.</t>
  </si>
  <si>
    <t>Alertas de Emergencias.</t>
  </si>
  <si>
    <t>Gestión de Recursos en Emergencias.</t>
  </si>
  <si>
    <t>Comunicación con Conductores de Vehículos de Transporte.</t>
  </si>
  <si>
    <t>Comunicación con Clientes Finales.</t>
  </si>
  <si>
    <t>Elaboración de los pedidos</t>
  </si>
  <si>
    <t>Recepción de los pedido</t>
  </si>
  <si>
    <t>Instalación de hardware - Hospitales</t>
  </si>
  <si>
    <t>I4</t>
  </si>
  <si>
    <t>Subtotal (5)</t>
  </si>
  <si>
    <t>Subtotal (4)</t>
  </si>
  <si>
    <t>Hospitales</t>
  </si>
  <si>
    <t>Hospital de Jarrio</t>
  </si>
  <si>
    <t>Instalación del switch y router</t>
  </si>
  <si>
    <t>Configuración de puntos de red</t>
  </si>
  <si>
    <t>Instalación de portátiles</t>
  </si>
  <si>
    <t>Instalación de monitor de 45''</t>
  </si>
  <si>
    <t>Instalación de telefonos IPVOID</t>
  </si>
  <si>
    <t>Hospital Carmen y Severo Ochoa</t>
  </si>
  <si>
    <t>Hospital San Agustín</t>
  </si>
  <si>
    <t>HUCA - Hospital Universitario Central de Asturias</t>
  </si>
  <si>
    <t>Instalación del servidor central</t>
  </si>
  <si>
    <t>Instalación de SAI de respaldo</t>
  </si>
  <si>
    <t>08</t>
  </si>
  <si>
    <t>Instalación de RACK de discos duros</t>
  </si>
  <si>
    <t>Hospital Universitario de Cabueñes</t>
  </si>
  <si>
    <t>Hospital de Oriente de Asturias</t>
  </si>
  <si>
    <t>Hospital Álvarez Buylla</t>
  </si>
  <si>
    <t>Hospital Valle del Nalón</t>
  </si>
  <si>
    <t>Instalación de hardware - Vehiculos de emergencia</t>
  </si>
  <si>
    <t>Vehiculos de emergencia</t>
  </si>
  <si>
    <t>Zona 1 - vehículos de Jarrio</t>
  </si>
  <si>
    <t>Zona 2 - vehículos de Cangas del Narcea</t>
  </si>
  <si>
    <t>Zona 3 - vehículos de Aviles</t>
  </si>
  <si>
    <t>Zona 4 - vehículos de Oviedo</t>
  </si>
  <si>
    <t>Zona 5 - vehículos de Gijón</t>
  </si>
  <si>
    <t>Zona 6 - vehículos de Arriondas</t>
  </si>
  <si>
    <t>Zona 7 - vehículos de Mieres</t>
  </si>
  <si>
    <t>Zona 8 - vehículos de Langreo</t>
  </si>
  <si>
    <t>Construcción - Integración con sistemas centrales</t>
  </si>
  <si>
    <t>Conectividad bidireccional</t>
  </si>
  <si>
    <t>Seguridad y Autenticación</t>
  </si>
  <si>
    <t>Manejo de las APIS</t>
  </si>
  <si>
    <t>Integración del HIS</t>
  </si>
  <si>
    <t>Sincronización de datos</t>
  </si>
  <si>
    <t>Construcción - Aplicaciones de usuario app de avisos y mensajería</t>
  </si>
  <si>
    <t>Archivo de mensajes</t>
  </si>
  <si>
    <t>Adicion de mensajes</t>
  </si>
  <si>
    <t>Listado de mensajes (dentro de una conversación)</t>
  </si>
  <si>
    <t>Creación de una conversación</t>
  </si>
  <si>
    <t>Notificaciones push para las alertas</t>
  </si>
  <si>
    <t>09</t>
  </si>
  <si>
    <t>Notificaciones push para los mensajes</t>
  </si>
  <si>
    <t>Documentación - Manuales de usuario</t>
  </si>
  <si>
    <t>Pruebas y depuración/QA</t>
  </si>
  <si>
    <t>Pruebas y depuración</t>
  </si>
  <si>
    <t>Pruebas y depuración - Integración con sistemas centrales</t>
  </si>
  <si>
    <t>Pruebas y depuración - Sistema de Mensajería</t>
  </si>
  <si>
    <t>Pruebas y depuración - Gestión de usuarios</t>
  </si>
  <si>
    <t>Pruebas y depuración - Sistema de geoposicionamiento</t>
  </si>
  <si>
    <t>Pruebas y depuración - Aplicaciones de usuario app de avisos y mensajería</t>
  </si>
  <si>
    <t>Pruebas y depuración - Dashboard de seguimiento</t>
  </si>
  <si>
    <t>Pruebas y depuración - Aplicaciones de usuario para la gestión de emergencias</t>
  </si>
  <si>
    <t>Portatil</t>
  </si>
  <si>
    <t>unidades</t>
  </si>
  <si>
    <t>Cableado</t>
  </si>
  <si>
    <t>metros</t>
  </si>
  <si>
    <t>Monitor 45''</t>
  </si>
  <si>
    <t>Telefono IPVOID</t>
  </si>
  <si>
    <t>Servidor Central</t>
  </si>
  <si>
    <t>SAI</t>
  </si>
  <si>
    <t>Rack de Discos</t>
  </si>
  <si>
    <t>Dispositivos de Geolocalización</t>
  </si>
  <si>
    <t>Switch de comunicaciones</t>
  </si>
  <si>
    <t>Router</t>
  </si>
  <si>
    <t>Puntos de red</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</si>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</sst>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8" formatCode="#,##0.00\ &quot;€&quot;;[Red]\-#,##0.00\ &quot;€&quot;"/>
    <numFmt numFmtId="164" formatCode="#,##0.00\ &quot;€&quot;"/>
    <numFmt numFmtId="165" formatCode="0.000000"/>
    <numFmt numFmtId="166" formatCode="_-* #,##0.00\ [$€-C0A]_-;\-* #,##0.00\ [$€-C0A]_-;_-* &quot;-&quot;??\ [$€-C0A]_-;_-@_-"/>
    <numFmt numFmtId="167" formatCode="_-[$€-2]\ * #,##0.00_-;\-[$€-2]\ * #,##0.00_-;_-[$€-2]\ * &quot;-&quot;??_-;_-@_-"/>
    <numFmt numFmtId="168" formatCode="0.0000%"/>
    <numFmt numFmtId="169" formatCode="#,##0.0000\ &quot;€&quot;"/>
  </numFmts>
  <fonts count="14" x14ac:knownFonts="1">
    <font>
      <sz val="12"/>
      <color theme="1"/>
      <name val="Calibri"/>
      <family val="2"/>
      <scheme val="minor"/>
    </font>
    <font>
      <b/>
      <sz val="12"/>
      <color theme="1"/>
      <name val="Calibri"/>
      <family val="2"/>
      <scheme val="minor"/>
    </font>
    <font>
      <sz val="20"/>
      <color theme="1"/>
      <name val="Calibri"/>
      <family val="2"/>
      <scheme val="minor"/>
    </font>
    <font>
      <sz val="12"/>
      <color theme="9" tint="-0.249977111117893"/>
      <name val="Calibri"/>
      <family val="2"/>
      <scheme val="minor"/>
    </font>
    <font>
      <sz val="12"/>
      <color theme="1"/>
      <name val="Calibri"/>
      <family val="2"/>
      <scheme val="minor"/>
    </font>
    <font>
      <sz val="11"/>
      <color rgb="FF000000"/>
      <name val="Calibri"/>
      <family val="2"/>
      <scheme val="minor"/>
    </font>
    <font>
      <b/>
      <sz val="16"/>
      <color theme="1"/>
      <name val="Calibri"/>
      <family val="2"/>
      <scheme val="minor"/>
    </font>
    <font>
      <b/>
      <sz val="18"/>
      <color theme="1"/>
      <name val="Calibri"/>
      <family val="2"/>
      <scheme val="minor"/>
    </font>
    <font>
      <b/>
      <sz val="20"/>
      <color theme="1"/>
      <name val="Calibri"/>
      <family val="2"/>
      <scheme val="minor"/>
    </font>
    <font>
      <b/>
      <sz val="14"/>
      <color theme="1"/>
      <name val="Calibri"/>
      <family val="2"/>
      <scheme val="minor"/>
    </font>
    <font>
      <sz val="12"/>
      <color rgb="FF000000"/>
      <name val="Calibri"/>
      <family val="2"/>
      <scheme val="minor"/>
    </font>
    <font>
      <sz val="8"/>
      <name val="Calibri"/>
      <family val="2"/>
      <scheme val="minor"/>
    </font>
    <font>
      <b/>
      <sz val="12"/>
      <color theme="0"/>
      <name val="Calibri"/>
      <family val="2"/>
      <scheme val="minor"/>
    </font>
    <font>
      <b/>
      <sz val="28"/>
      <color theme="1"/>
      <name val="Calibri"/>
      <family val="2"/>
      <scheme val="minor"/>
    </font>
  </fonts>
  <fills count="11">
    <fill>
      <patternFill patternType="none"/>
    </fill>
    <fill>
      <patternFill patternType="gray125"/>
    </fill>
    <fill>
      <patternFill patternType="solid">
        <fgColor rgb="FFFFFFFF"/>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2"/>
        <bgColor indexed="64"/>
      </patternFill>
    </fill>
    <fill>
      <patternFill patternType="solid">
        <fgColor theme="0" tint="-4.9989318521683403E-2"/>
        <bgColor indexed="64"/>
      </patternFill>
    </fill>
    <fill>
      <patternFill patternType="solid">
        <fgColor theme="6"/>
        <bgColor theme="6"/>
      </patternFill>
    </fill>
    <fill>
      <patternFill patternType="solid">
        <fgColor theme="6" tint="0.59999389629810485"/>
        <bgColor theme="6" tint="0.59999389629810485"/>
      </patternFill>
    </fill>
    <fill>
      <patternFill patternType="solid">
        <fgColor theme="6" tint="0.79998168889431442"/>
        <bgColor theme="6" tint="0.79998168889431442"/>
      </patternFill>
    </fill>
    <fill>
      <patternFill patternType="solid">
        <fgColor rgb="FFFFFF00"/>
        <bgColor indexed="64"/>
      </patternFill>
    </fill>
  </fills>
  <borders count="45">
    <border>
      <left/>
      <right/>
      <top/>
      <bottom/>
      <diagonal/>
    </border>
    <border>
      <left style="thin">
        <color rgb="FFB1BBCC"/>
      </left>
      <right style="thin">
        <color rgb="FFB1BBCC"/>
      </right>
      <top style="thin">
        <color rgb="FFB1BBCC"/>
      </top>
      <bottom style="thin">
        <color rgb="FFB1BBCC"/>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thin">
        <color rgb="FF000000"/>
      </bottom>
      <diagonal/>
    </border>
    <border>
      <left style="thin">
        <color indexed="64"/>
      </left>
      <right style="thin">
        <color indexed="64"/>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diagonal/>
    </border>
    <border>
      <left/>
      <right style="thin">
        <color theme="0"/>
      </right>
      <top/>
      <bottom style="thick">
        <color theme="0"/>
      </bottom>
      <diagonal/>
    </border>
    <border>
      <left style="thin">
        <color theme="0"/>
      </left>
      <right style="thin">
        <color theme="0"/>
      </right>
      <top/>
      <bottom style="thick">
        <color theme="0"/>
      </bottom>
      <diagonal/>
    </border>
    <border>
      <left style="thin">
        <color theme="0"/>
      </left>
      <right/>
      <top/>
      <bottom style="thick">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6" tint="0.39997558519241921"/>
      </left>
      <right/>
      <top style="thin">
        <color theme="6" tint="0.39997558519241921"/>
      </top>
      <bottom style="thin">
        <color theme="6" tint="0.39997558519241921"/>
      </bottom>
      <diagonal/>
    </border>
    <border>
      <left/>
      <right/>
      <top style="thin">
        <color theme="6" tint="0.39997558519241921"/>
      </top>
      <bottom style="thin">
        <color theme="6" tint="0.39997558519241921"/>
      </bottom>
      <diagonal/>
    </border>
    <border>
      <left/>
      <right style="thin">
        <color theme="6" tint="0.39997558519241921"/>
      </right>
      <top style="thin">
        <color theme="6" tint="0.39997558519241921"/>
      </top>
      <bottom style="thin">
        <color theme="6" tint="0.39997558519241921"/>
      </bottom>
      <diagonal/>
    </border>
    <border>
      <left style="thin">
        <color theme="6" tint="0.39997558519241921"/>
      </left>
      <right/>
      <top/>
      <bottom style="thin">
        <color theme="6" tint="0.39997558519241921"/>
      </bottom>
      <diagonal/>
    </border>
    <border>
      <left/>
      <right/>
      <top/>
      <bottom style="thin">
        <color theme="6" tint="0.39997558519241921"/>
      </bottom>
      <diagonal/>
    </border>
    <border>
      <left/>
      <right style="thin">
        <color theme="6" tint="0.39997558519241921"/>
      </right>
      <top/>
      <bottom style="thin">
        <color theme="6" tint="0.39997558519241921"/>
      </bottom>
      <diagonal/>
    </border>
    <border>
      <left style="thin">
        <color theme="6" tint="0.39997558519241921"/>
      </left>
      <right style="thin">
        <color theme="0"/>
      </right>
      <top style="thin">
        <color theme="6" tint="0.39997558519241921"/>
      </top>
      <bottom style="thin">
        <color theme="6" tint="0.39997558519241921"/>
      </bottom>
      <diagonal/>
    </border>
    <border>
      <left style="thin">
        <color theme="6" tint="0.39997558519241921"/>
      </left>
      <right style="thin">
        <color theme="0"/>
      </right>
      <top/>
      <bottom style="thin">
        <color theme="6" tint="0.39997558519241921"/>
      </bottom>
      <diagonal/>
    </border>
    <border>
      <left style="thin">
        <color theme="0"/>
      </left>
      <right style="thin">
        <color theme="6" tint="0.39997558519241921"/>
      </right>
      <top style="thin">
        <color theme="6" tint="0.39997558519241921"/>
      </top>
      <bottom style="thin">
        <color theme="6" tint="0.39997558519241921"/>
      </bottom>
      <diagonal/>
    </border>
    <border>
      <left style="thin">
        <color theme="0"/>
      </left>
      <right style="thin">
        <color theme="6" tint="0.39997558519241921"/>
      </right>
      <top/>
      <bottom style="thin">
        <color theme="6" tint="0.3999755851924192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top/>
      <bottom/>
      <diagonal/>
    </border>
    <border>
      <left/>
      <right style="thin">
        <color indexed="64"/>
      </right>
      <top/>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s>
  <cellStyleXfs count="2">
    <xf numFmtId="0" fontId="0" fillId="0" borderId="0"/>
    <xf numFmtId="9" fontId="4" fillId="0" borderId="0" applyFont="0" applyFill="0" applyBorder="0" applyAlignment="0" applyProtection="0"/>
  </cellStyleXfs>
  <cellXfs count="218">
    <xf numFmtId="0" fontId="0" fillId="0" borderId="0" xfId="0"/>
    <xf numFmtId="0" fontId="1" fillId="0" borderId="0" xfId="0" applyFont="1" applyAlignment="1">
      <alignment horizontal="center"/>
    </xf>
    <xf numFmtId="164" fontId="0" fillId="0" borderId="0" xfId="0" applyNumberFormat="1"/>
    <xf numFmtId="0" fontId="0" fillId="0" borderId="0" xfId="0" applyAlignment="1">
      <alignment horizontal="right"/>
    </xf>
    <xf numFmtId="165" fontId="0" fillId="0" borderId="0" xfId="0" applyNumberFormat="1"/>
    <xf numFmtId="0" fontId="2" fillId="0" borderId="0" xfId="0" applyFont="1"/>
    <xf numFmtId="0" fontId="1" fillId="0" borderId="0" xfId="0" applyFont="1"/>
    <xf numFmtId="0" fontId="1" fillId="0" borderId="0" xfId="0" applyFont="1" applyAlignment="1">
      <alignment horizontal="right"/>
    </xf>
    <xf numFmtId="164" fontId="3" fillId="0" borderId="0" xfId="0" applyNumberFormat="1" applyFont="1"/>
    <xf numFmtId="0" fontId="0" fillId="0" borderId="0" xfId="0" applyAlignment="1">
      <alignment horizontal="center"/>
    </xf>
    <xf numFmtId="0" fontId="0" fillId="0" borderId="0" xfId="0" applyAlignment="1">
      <alignment vertical="center"/>
    </xf>
    <xf numFmtId="0" fontId="5" fillId="2" borderId="1" xfId="0" applyFont="1" applyFill="1" applyBorder="1" applyAlignment="1">
      <alignment vertical="center" wrapText="1"/>
    </xf>
    <xf numFmtId="166" fontId="0" fillId="0" borderId="0" xfId="0" applyNumberFormat="1"/>
    <xf numFmtId="0" fontId="0" fillId="0" borderId="0" xfId="0" applyAlignment="1">
      <alignment wrapText="1"/>
    </xf>
    <xf numFmtId="49" fontId="0" fillId="0" borderId="0" xfId="0" applyNumberFormat="1" applyAlignment="1">
      <alignment horizontal="right"/>
    </xf>
    <xf numFmtId="49" fontId="0" fillId="0" borderId="0" xfId="0" applyNumberFormat="1" applyAlignment="1">
      <alignment horizontal="center" vertical="center"/>
    </xf>
    <xf numFmtId="0" fontId="0" fillId="0" borderId="2" xfId="0" applyBorder="1"/>
    <xf numFmtId="49" fontId="0" fillId="0" borderId="2" xfId="0" applyNumberFormat="1" applyBorder="1" applyAlignment="1">
      <alignment horizontal="center" vertical="center"/>
    </xf>
    <xf numFmtId="0" fontId="0" fillId="0" borderId="2" xfId="0" applyBorder="1" applyAlignment="1">
      <alignment wrapText="1"/>
    </xf>
    <xf numFmtId="164" fontId="0" fillId="0" borderId="2" xfId="0" applyNumberFormat="1" applyBorder="1"/>
    <xf numFmtId="0" fontId="0" fillId="0" borderId="2" xfId="0" applyBorder="1" applyAlignment="1">
      <alignment horizontal="center" vertical="center"/>
    </xf>
    <xf numFmtId="0" fontId="0" fillId="0" borderId="2" xfId="0" applyBorder="1" applyAlignment="1">
      <alignment horizontal="center"/>
    </xf>
    <xf numFmtId="164" fontId="0" fillId="0" borderId="2" xfId="0" applyNumberFormat="1" applyBorder="1" applyAlignment="1">
      <alignment horizontal="center"/>
    </xf>
    <xf numFmtId="0" fontId="0" fillId="0" borderId="2" xfId="0" applyBorder="1" applyAlignment="1">
      <alignment horizontal="left" wrapText="1" indent="1"/>
    </xf>
    <xf numFmtId="0" fontId="0" fillId="0" borderId="2" xfId="0" applyBorder="1" applyAlignment="1">
      <alignment horizontal="left" wrapText="1" indent="2"/>
    </xf>
    <xf numFmtId="0" fontId="0" fillId="0" borderId="0" xfId="0" applyAlignment="1">
      <alignment horizontal="left" indent="1"/>
    </xf>
    <xf numFmtId="164" fontId="0" fillId="0" borderId="6" xfId="0" applyNumberFormat="1" applyBorder="1" applyAlignment="1">
      <alignment horizontal="center"/>
    </xf>
    <xf numFmtId="0" fontId="0" fillId="0" borderId="0" xfId="0" applyAlignment="1">
      <alignment horizontal="left" wrapText="1" indent="1"/>
    </xf>
    <xf numFmtId="164" fontId="0" fillId="0" borderId="0" xfId="0" applyNumberFormat="1" applyAlignment="1">
      <alignment horizontal="center"/>
    </xf>
    <xf numFmtId="0" fontId="0" fillId="0" borderId="0" xfId="0" applyAlignment="1">
      <alignment horizontal="left" wrapText="1" indent="2"/>
    </xf>
    <xf numFmtId="0" fontId="0" fillId="0" borderId="2" xfId="0" applyBorder="1" applyAlignment="1">
      <alignment horizontal="left" wrapText="1" indent="4"/>
    </xf>
    <xf numFmtId="164" fontId="0" fillId="0" borderId="3" xfId="0" applyNumberFormat="1" applyBorder="1" applyAlignment="1">
      <alignment horizontal="center"/>
    </xf>
    <xf numFmtId="164" fontId="0" fillId="0" borderId="3" xfId="0" applyNumberFormat="1" applyBorder="1"/>
    <xf numFmtId="49" fontId="1" fillId="4" borderId="2" xfId="0" applyNumberFormat="1" applyFont="1" applyFill="1" applyBorder="1"/>
    <xf numFmtId="0" fontId="1" fillId="4" borderId="2" xfId="0" applyFont="1" applyFill="1" applyBorder="1"/>
    <xf numFmtId="49" fontId="0" fillId="5" borderId="2" xfId="0" applyNumberFormat="1" applyFill="1" applyBorder="1" applyAlignment="1">
      <alignment horizontal="center" vertical="center"/>
    </xf>
    <xf numFmtId="0" fontId="1" fillId="5" borderId="2" xfId="0" applyFont="1" applyFill="1" applyBorder="1" applyAlignment="1">
      <alignment horizontal="left" wrapText="1"/>
    </xf>
    <xf numFmtId="0" fontId="0" fillId="5" borderId="2" xfId="0" applyFill="1" applyBorder="1" applyAlignment="1">
      <alignment horizontal="center"/>
    </xf>
    <xf numFmtId="164" fontId="1" fillId="5" borderId="2" xfId="0" applyNumberFormat="1" applyFont="1" applyFill="1" applyBorder="1" applyAlignment="1">
      <alignment horizontal="center"/>
    </xf>
    <xf numFmtId="164" fontId="9" fillId="5" borderId="2" xfId="0" applyNumberFormat="1" applyFont="1" applyFill="1" applyBorder="1"/>
    <xf numFmtId="0" fontId="1" fillId="3" borderId="2" xfId="0" applyFont="1" applyFill="1" applyBorder="1" applyAlignment="1">
      <alignment horizontal="center" vertical="center"/>
    </xf>
    <xf numFmtId="0" fontId="9" fillId="3" borderId="2" xfId="0" applyFont="1" applyFill="1" applyBorder="1" applyAlignment="1">
      <alignment horizontal="center" vertical="center"/>
    </xf>
    <xf numFmtId="49" fontId="1" fillId="4" borderId="2" xfId="0" applyNumberFormat="1" applyFont="1" applyFill="1" applyBorder="1" applyAlignment="1">
      <alignment horizontal="center" vertical="center"/>
    </xf>
    <xf numFmtId="164" fontId="0" fillId="5" borderId="2" xfId="0" applyNumberFormat="1" applyFill="1" applyBorder="1" applyAlignment="1">
      <alignment horizontal="center"/>
    </xf>
    <xf numFmtId="49" fontId="0" fillId="6" borderId="2" xfId="0" applyNumberFormat="1" applyFill="1" applyBorder="1" applyAlignment="1">
      <alignment horizontal="center" vertical="center"/>
    </xf>
    <xf numFmtId="0" fontId="1" fillId="6" borderId="2" xfId="0" applyFont="1" applyFill="1" applyBorder="1" applyAlignment="1">
      <alignment horizontal="left" indent="1"/>
    </xf>
    <xf numFmtId="0" fontId="0" fillId="6" borderId="2" xfId="0" applyFill="1" applyBorder="1" applyAlignment="1">
      <alignment horizontal="center"/>
    </xf>
    <xf numFmtId="164" fontId="0" fillId="6" borderId="2" xfId="0" applyNumberFormat="1" applyFill="1" applyBorder="1" applyAlignment="1">
      <alignment horizontal="center"/>
    </xf>
    <xf numFmtId="164" fontId="1" fillId="6" borderId="2" xfId="0" applyNumberFormat="1" applyFont="1" applyFill="1" applyBorder="1" applyAlignment="1">
      <alignment horizontal="center"/>
    </xf>
    <xf numFmtId="164" fontId="0" fillId="6" borderId="3" xfId="0" applyNumberFormat="1" applyFill="1" applyBorder="1" applyAlignment="1">
      <alignment horizontal="center"/>
    </xf>
    <xf numFmtId="164" fontId="1" fillId="6" borderId="3" xfId="0" applyNumberFormat="1" applyFont="1" applyFill="1" applyBorder="1" applyAlignment="1">
      <alignment horizontal="center"/>
    </xf>
    <xf numFmtId="0" fontId="0" fillId="0" borderId="2" xfId="0" applyBorder="1" applyAlignment="1">
      <alignment vertical="center"/>
    </xf>
    <xf numFmtId="0" fontId="0" fillId="0" borderId="2" xfId="0" applyBorder="1" applyAlignment="1">
      <alignment horizontal="left"/>
    </xf>
    <xf numFmtId="166" fontId="0" fillId="0" borderId="2" xfId="0" applyNumberFormat="1" applyBorder="1" applyAlignment="1">
      <alignment horizontal="left"/>
    </xf>
    <xf numFmtId="166" fontId="0" fillId="0" borderId="2" xfId="0" applyNumberFormat="1" applyBorder="1"/>
    <xf numFmtId="9" fontId="0" fillId="0" borderId="2" xfId="1" applyFont="1" applyBorder="1"/>
    <xf numFmtId="10" fontId="0" fillId="0" borderId="2" xfId="0" applyNumberFormat="1" applyBorder="1"/>
    <xf numFmtId="0" fontId="0" fillId="5" borderId="2" xfId="0" applyFill="1" applyBorder="1"/>
    <xf numFmtId="166" fontId="0" fillId="5" borderId="2" xfId="0" applyNumberFormat="1" applyFill="1" applyBorder="1"/>
    <xf numFmtId="0" fontId="1" fillId="5" borderId="2" xfId="0" applyFont="1" applyFill="1" applyBorder="1"/>
    <xf numFmtId="166" fontId="1" fillId="5" borderId="2" xfId="0" applyNumberFormat="1" applyFont="1" applyFill="1" applyBorder="1"/>
    <xf numFmtId="0" fontId="0" fillId="0" borderId="2" xfId="0" applyBorder="1" applyAlignment="1">
      <alignment vertical="top"/>
    </xf>
    <xf numFmtId="0" fontId="0" fillId="0" borderId="2" xfId="0" applyBorder="1" applyAlignment="1">
      <alignment vertical="top" wrapText="1"/>
    </xf>
    <xf numFmtId="166" fontId="0" fillId="0" borderId="2" xfId="0" applyNumberFormat="1" applyBorder="1" applyAlignment="1">
      <alignment vertical="top"/>
    </xf>
    <xf numFmtId="0" fontId="1" fillId="5" borderId="2" xfId="0" applyFont="1" applyFill="1" applyBorder="1" applyAlignment="1">
      <alignment vertical="top" wrapText="1"/>
    </xf>
    <xf numFmtId="166" fontId="1" fillId="5" borderId="2" xfId="0" applyNumberFormat="1" applyFont="1" applyFill="1" applyBorder="1" applyAlignment="1">
      <alignment vertical="top"/>
    </xf>
    <xf numFmtId="0" fontId="0" fillId="0" borderId="2" xfId="0" applyBorder="1" applyAlignment="1">
      <alignment vertical="center" wrapText="1"/>
    </xf>
    <xf numFmtId="166" fontId="0" fillId="0" borderId="2" xfId="0" applyNumberFormat="1" applyBorder="1" applyAlignment="1">
      <alignment vertical="center"/>
    </xf>
    <xf numFmtId="0" fontId="0" fillId="0" borderId="2" xfId="0" applyBorder="1" applyAlignment="1">
      <alignment horizontal="right" vertical="center"/>
    </xf>
    <xf numFmtId="166" fontId="0" fillId="0" borderId="2" xfId="0" applyNumberFormat="1" applyBorder="1" applyAlignment="1">
      <alignment horizontal="right" vertical="center"/>
    </xf>
    <xf numFmtId="0" fontId="0" fillId="5" borderId="2" xfId="0" applyFill="1" applyBorder="1" applyAlignment="1">
      <alignment wrapText="1"/>
    </xf>
    <xf numFmtId="164" fontId="0" fillId="0" borderId="2" xfId="0" applyNumberFormat="1" applyBorder="1" applyAlignment="1">
      <alignment vertical="top"/>
    </xf>
    <xf numFmtId="164" fontId="0" fillId="0" borderId="2" xfId="0" applyNumberFormat="1" applyBorder="1" applyAlignment="1">
      <alignment horizontal="center" vertical="center"/>
    </xf>
    <xf numFmtId="10" fontId="0" fillId="0" borderId="2" xfId="0" applyNumberFormat="1" applyBorder="1" applyAlignment="1">
      <alignment horizontal="center" vertical="center"/>
    </xf>
    <xf numFmtId="164" fontId="0" fillId="4" borderId="2" xfId="0" applyNumberFormat="1" applyFill="1" applyBorder="1" applyAlignment="1">
      <alignment vertical="top"/>
    </xf>
    <xf numFmtId="0" fontId="1" fillId="3" borderId="2" xfId="0" applyFont="1" applyFill="1" applyBorder="1"/>
    <xf numFmtId="0" fontId="1" fillId="3" borderId="2" xfId="0" applyFont="1" applyFill="1" applyBorder="1" applyAlignment="1">
      <alignment vertical="top"/>
    </xf>
    <xf numFmtId="0" fontId="1" fillId="3" borderId="2" xfId="0" applyFont="1" applyFill="1" applyBorder="1" applyAlignment="1">
      <alignment vertical="center"/>
    </xf>
    <xf numFmtId="0" fontId="1" fillId="4" borderId="2" xfId="0" applyFont="1" applyFill="1" applyBorder="1" applyAlignment="1">
      <alignment horizontal="center"/>
    </xf>
    <xf numFmtId="0" fontId="1" fillId="4" borderId="2" xfId="0" applyFont="1" applyFill="1" applyBorder="1" applyAlignment="1">
      <alignment horizontal="center" vertical="center"/>
    </xf>
    <xf numFmtId="166" fontId="1" fillId="4" borderId="2" xfId="0" applyNumberFormat="1" applyFont="1" applyFill="1" applyBorder="1"/>
    <xf numFmtId="0" fontId="1" fillId="4" borderId="2" xfId="0" applyFont="1" applyFill="1" applyBorder="1" applyAlignment="1">
      <alignment vertical="center"/>
    </xf>
    <xf numFmtId="0" fontId="1" fillId="4" borderId="2" xfId="0" applyFont="1" applyFill="1" applyBorder="1" applyAlignment="1">
      <alignment horizontal="center" vertical="center" wrapText="1"/>
    </xf>
    <xf numFmtId="0" fontId="1" fillId="4" borderId="2" xfId="0" applyFont="1" applyFill="1" applyBorder="1" applyAlignment="1">
      <alignment vertical="top"/>
    </xf>
    <xf numFmtId="0" fontId="1" fillId="4" borderId="2" xfId="0" applyFont="1" applyFill="1" applyBorder="1" applyAlignment="1">
      <alignment vertical="center" wrapText="1"/>
    </xf>
    <xf numFmtId="166" fontId="1" fillId="4" borderId="2" xfId="0" applyNumberFormat="1" applyFont="1" applyFill="1" applyBorder="1" applyAlignment="1">
      <alignment vertical="center"/>
    </xf>
    <xf numFmtId="167" fontId="0" fillId="0" borderId="0" xfId="0" applyNumberFormat="1"/>
    <xf numFmtId="0" fontId="10" fillId="2" borderId="1" xfId="0" applyFont="1" applyFill="1" applyBorder="1" applyAlignment="1">
      <alignment vertical="center" wrapText="1"/>
    </xf>
    <xf numFmtId="49" fontId="0" fillId="5" borderId="6" xfId="0" applyNumberFormat="1" applyFill="1" applyBorder="1" applyAlignment="1">
      <alignment horizontal="center" vertical="center"/>
    </xf>
    <xf numFmtId="0" fontId="1" fillId="5" borderId="6" xfId="0" applyFont="1" applyFill="1" applyBorder="1" applyAlignment="1">
      <alignment horizontal="left" wrapText="1"/>
    </xf>
    <xf numFmtId="0" fontId="0" fillId="5" borderId="6" xfId="0" applyFill="1" applyBorder="1" applyAlignment="1">
      <alignment horizontal="center"/>
    </xf>
    <xf numFmtId="164" fontId="1" fillId="5" borderId="6" xfId="0" applyNumberFormat="1" applyFont="1" applyFill="1" applyBorder="1" applyAlignment="1">
      <alignment horizontal="center"/>
    </xf>
    <xf numFmtId="49" fontId="0" fillId="5" borderId="11" xfId="0" applyNumberFormat="1" applyFill="1" applyBorder="1" applyAlignment="1">
      <alignment horizontal="center" vertical="center"/>
    </xf>
    <xf numFmtId="0" fontId="0" fillId="0" borderId="13" xfId="0" applyBorder="1"/>
    <xf numFmtId="49" fontId="1" fillId="4" borderId="5" xfId="0" applyNumberFormat="1" applyFont="1" applyFill="1" applyBorder="1"/>
    <xf numFmtId="49" fontId="0" fillId="5" borderId="9" xfId="0" applyNumberFormat="1" applyFill="1" applyBorder="1" applyAlignment="1">
      <alignment horizontal="center" vertical="center"/>
    </xf>
    <xf numFmtId="49" fontId="1" fillId="4" borderId="15" xfId="0" applyNumberFormat="1" applyFont="1" applyFill="1" applyBorder="1"/>
    <xf numFmtId="49" fontId="0" fillId="5" borderId="16" xfId="0" applyNumberFormat="1" applyFill="1" applyBorder="1" applyAlignment="1">
      <alignment horizontal="center" vertical="center"/>
    </xf>
    <xf numFmtId="0" fontId="10" fillId="2" borderId="1" xfId="0" applyFont="1" applyFill="1" applyBorder="1" applyAlignment="1">
      <alignment vertical="center"/>
    </xf>
    <xf numFmtId="8" fontId="0" fillId="0" borderId="0" xfId="0" applyNumberFormat="1"/>
    <xf numFmtId="164" fontId="1" fillId="5" borderId="2" xfId="0" applyNumberFormat="1" applyFont="1" applyFill="1" applyBorder="1"/>
    <xf numFmtId="49" fontId="0" fillId="0" borderId="2" xfId="0" applyNumberFormat="1" applyBorder="1" applyAlignment="1">
      <alignment horizontal="left" vertical="center"/>
    </xf>
    <xf numFmtId="49" fontId="0" fillId="0" borderId="0" xfId="0" quotePrefix="1" applyNumberFormat="1" applyAlignment="1">
      <alignment horizontal="right"/>
    </xf>
    <xf numFmtId="164" fontId="0" fillId="0" borderId="0" xfId="0" applyNumberFormat="1" applyAlignment="1">
      <alignment horizontal="right" vertical="top"/>
    </xf>
    <xf numFmtId="0" fontId="12" fillId="7" borderId="17" xfId="0" applyFont="1" applyFill="1" applyBorder="1"/>
    <xf numFmtId="0" fontId="12" fillId="7" borderId="18" xfId="0" applyFont="1" applyFill="1" applyBorder="1"/>
    <xf numFmtId="0" fontId="12" fillId="7" borderId="19" xfId="0" applyFont="1" applyFill="1" applyBorder="1"/>
    <xf numFmtId="0" fontId="0" fillId="0" borderId="25" xfId="0" applyBorder="1"/>
    <xf numFmtId="164" fontId="0" fillId="0" borderId="26" xfId="0" applyNumberFormat="1" applyBorder="1"/>
    <xf numFmtId="49" fontId="0" fillId="0" borderId="2" xfId="0" applyNumberFormat="1" applyBorder="1" applyAlignment="1">
      <alignment horizontal="left" vertical="center" indent="2"/>
    </xf>
    <xf numFmtId="1" fontId="0" fillId="0" borderId="2" xfId="0" applyNumberFormat="1" applyBorder="1" applyAlignment="1">
      <alignment horizontal="center"/>
    </xf>
    <xf numFmtId="167" fontId="0" fillId="8" borderId="21" xfId="0" applyNumberFormat="1" applyFill="1" applyBorder="1"/>
    <xf numFmtId="164" fontId="0" fillId="8" borderId="22" xfId="0" applyNumberFormat="1" applyFill="1" applyBorder="1"/>
    <xf numFmtId="167" fontId="0" fillId="9" borderId="21" xfId="0" applyNumberFormat="1" applyFill="1" applyBorder="1"/>
    <xf numFmtId="164" fontId="0" fillId="9" borderId="22" xfId="0" applyNumberFormat="1" applyFill="1" applyBorder="1"/>
    <xf numFmtId="167" fontId="0" fillId="0" borderId="0" xfId="0" applyNumberFormat="1" applyAlignment="1">
      <alignment horizontal="left" indent="1"/>
    </xf>
    <xf numFmtId="167" fontId="0" fillId="0" borderId="0" xfId="0" applyNumberFormat="1" applyAlignment="1">
      <alignment horizontal="left" indent="2"/>
    </xf>
    <xf numFmtId="49" fontId="0" fillId="8" borderId="20" xfId="0" applyNumberFormat="1" applyFill="1" applyBorder="1" applyAlignment="1">
      <alignment horizontal="right"/>
    </xf>
    <xf numFmtId="164" fontId="0" fillId="8" borderId="21" xfId="0" applyNumberFormat="1" applyFill="1" applyBorder="1" applyAlignment="1">
      <alignment horizontal="right" vertical="top"/>
    </xf>
    <xf numFmtId="49" fontId="0" fillId="9" borderId="20" xfId="0" applyNumberFormat="1" applyFill="1" applyBorder="1" applyAlignment="1">
      <alignment horizontal="right"/>
    </xf>
    <xf numFmtId="164" fontId="0" fillId="9" borderId="21" xfId="0" applyNumberFormat="1" applyFill="1" applyBorder="1" applyAlignment="1">
      <alignment horizontal="right" vertical="top"/>
    </xf>
    <xf numFmtId="49" fontId="0" fillId="8" borderId="20" xfId="0" quotePrefix="1" applyNumberFormat="1" applyFill="1" applyBorder="1" applyAlignment="1">
      <alignment horizontal="right"/>
    </xf>
    <xf numFmtId="164" fontId="0" fillId="8" borderId="22" xfId="0" applyNumberFormat="1" applyFill="1" applyBorder="1" applyAlignment="1">
      <alignment horizontal="center" vertical="top"/>
    </xf>
    <xf numFmtId="164" fontId="0" fillId="9" borderId="22" xfId="0" applyNumberFormat="1" applyFill="1" applyBorder="1" applyAlignment="1">
      <alignment horizontal="center" vertical="top"/>
    </xf>
    <xf numFmtId="164" fontId="0" fillId="0" borderId="26" xfId="0" applyNumberFormat="1" applyBorder="1" applyAlignment="1">
      <alignment horizontal="center" vertical="top"/>
    </xf>
    <xf numFmtId="164" fontId="0" fillId="0" borderId="0" xfId="0" applyNumberFormat="1" applyAlignment="1">
      <alignment horizontal="center" vertical="top"/>
    </xf>
    <xf numFmtId="167" fontId="0" fillId="9" borderId="21" xfId="0" applyNumberFormat="1" applyFill="1" applyBorder="1" applyAlignment="1">
      <alignment horizontal="left" indent="1"/>
    </xf>
    <xf numFmtId="167" fontId="0" fillId="8" borderId="21" xfId="0" applyNumberFormat="1" applyFill="1" applyBorder="1" applyAlignment="1">
      <alignment horizontal="left" indent="1"/>
    </xf>
    <xf numFmtId="167" fontId="0" fillId="8" borderId="21" xfId="0" applyNumberFormat="1" applyFill="1" applyBorder="1" applyAlignment="1">
      <alignment horizontal="left" indent="2"/>
    </xf>
    <xf numFmtId="167" fontId="0" fillId="9" borderId="23" xfId="0" applyNumberFormat="1" applyFill="1" applyBorder="1" applyAlignment="1">
      <alignment horizontal="left" indent="2"/>
    </xf>
    <xf numFmtId="164" fontId="0" fillId="9" borderId="23" xfId="0" applyNumberFormat="1" applyFill="1" applyBorder="1" applyAlignment="1">
      <alignment horizontal="right" vertical="top"/>
    </xf>
    <xf numFmtId="164" fontId="0" fillId="9" borderId="24" xfId="0" applyNumberFormat="1" applyFill="1" applyBorder="1"/>
    <xf numFmtId="164" fontId="0" fillId="9" borderId="22" xfId="0" applyNumberFormat="1" applyFill="1" applyBorder="1" applyAlignment="1">
      <alignment horizontal="right" vertical="top"/>
    </xf>
    <xf numFmtId="168" fontId="0" fillId="0" borderId="0" xfId="1" applyNumberFormat="1" applyFont="1"/>
    <xf numFmtId="169" fontId="0" fillId="0" borderId="0" xfId="0" applyNumberFormat="1"/>
    <xf numFmtId="169" fontId="0" fillId="0" borderId="0" xfId="0" applyNumberFormat="1" applyAlignment="1">
      <alignment horizontal="left" indent="1"/>
    </xf>
    <xf numFmtId="0" fontId="12" fillId="7" borderId="30" xfId="0" applyFont="1" applyFill="1" applyBorder="1"/>
    <xf numFmtId="0" fontId="12" fillId="7" borderId="31" xfId="0" applyFont="1" applyFill="1" applyBorder="1" applyAlignment="1">
      <alignment horizontal="center"/>
    </xf>
    <xf numFmtId="0" fontId="12" fillId="7" borderId="32" xfId="0" applyFont="1" applyFill="1" applyBorder="1" applyAlignment="1">
      <alignment horizontal="center"/>
    </xf>
    <xf numFmtId="0" fontId="0" fillId="9" borderId="27" xfId="0" applyFill="1" applyBorder="1"/>
    <xf numFmtId="0" fontId="0" fillId="0" borderId="27" xfId="0" applyBorder="1"/>
    <xf numFmtId="164" fontId="0" fillId="9" borderId="29" xfId="0" applyNumberFormat="1" applyFill="1" applyBorder="1"/>
    <xf numFmtId="0" fontId="0" fillId="0" borderId="28" xfId="0" applyBorder="1"/>
    <xf numFmtId="164" fontId="0" fillId="9" borderId="0" xfId="0" applyNumberFormat="1" applyFill="1"/>
    <xf numFmtId="167" fontId="1" fillId="8" borderId="21" xfId="0" applyNumberFormat="1" applyFont="1" applyFill="1" applyBorder="1"/>
    <xf numFmtId="164" fontId="1" fillId="8" borderId="22" xfId="0" applyNumberFormat="1" applyFont="1" applyFill="1" applyBorder="1"/>
    <xf numFmtId="169" fontId="1" fillId="0" borderId="0" xfId="0" applyNumberFormat="1" applyFont="1"/>
    <xf numFmtId="167" fontId="1" fillId="9" borderId="21" xfId="0" applyNumberFormat="1" applyFont="1" applyFill="1" applyBorder="1"/>
    <xf numFmtId="168" fontId="1" fillId="0" borderId="0" xfId="1" applyNumberFormat="1" applyFont="1"/>
    <xf numFmtId="164" fontId="1" fillId="8" borderId="21" xfId="0" applyNumberFormat="1" applyFont="1" applyFill="1" applyBorder="1" applyAlignment="1">
      <alignment horizontal="right" vertical="top"/>
    </xf>
    <xf numFmtId="164" fontId="1" fillId="9" borderId="21" xfId="0" applyNumberFormat="1" applyFont="1" applyFill="1" applyBorder="1" applyAlignment="1">
      <alignment horizontal="right" vertical="top"/>
    </xf>
    <xf numFmtId="164" fontId="1" fillId="9" borderId="22" xfId="0" applyNumberFormat="1" applyFont="1" applyFill="1" applyBorder="1"/>
    <xf numFmtId="0" fontId="0" fillId="10" borderId="27" xfId="0" applyFill="1" applyBorder="1"/>
    <xf numFmtId="164" fontId="0" fillId="10" borderId="29" xfId="0" applyNumberFormat="1" applyFill="1" applyBorder="1"/>
    <xf numFmtId="0" fontId="0" fillId="10" borderId="0" xfId="0" applyFill="1"/>
    <xf numFmtId="164" fontId="0" fillId="10" borderId="0" xfId="0" applyNumberFormat="1" applyFill="1"/>
    <xf numFmtId="0" fontId="12" fillId="7" borderId="33" xfId="0" applyFont="1" applyFill="1" applyBorder="1"/>
    <xf numFmtId="167" fontId="0" fillId="9" borderId="21" xfId="0" applyNumberFormat="1" applyFill="1" applyBorder="1" applyAlignment="1">
      <alignment horizontal="left" indent="2"/>
    </xf>
    <xf numFmtId="0" fontId="12" fillId="7" borderId="35" xfId="0" applyFont="1" applyFill="1" applyBorder="1" applyAlignment="1">
      <alignment horizontal="center"/>
    </xf>
    <xf numFmtId="164" fontId="0" fillId="8" borderId="21" xfId="0" applyNumberFormat="1" applyFill="1" applyBorder="1"/>
    <xf numFmtId="164" fontId="0" fillId="9" borderId="21" xfId="0" applyNumberFormat="1" applyFill="1" applyBorder="1"/>
    <xf numFmtId="0" fontId="12" fillId="7" borderId="34" xfId="0" applyFont="1" applyFill="1" applyBorder="1"/>
    <xf numFmtId="0" fontId="12" fillId="7" borderId="36" xfId="0" applyFont="1" applyFill="1" applyBorder="1" applyAlignment="1">
      <alignment horizontal="center"/>
    </xf>
    <xf numFmtId="167" fontId="1" fillId="9" borderId="23" xfId="0" applyNumberFormat="1" applyFont="1" applyFill="1" applyBorder="1"/>
    <xf numFmtId="164" fontId="1" fillId="8" borderId="24" xfId="0" applyNumberFormat="1" applyFont="1" applyFill="1" applyBorder="1"/>
    <xf numFmtId="0" fontId="1" fillId="0" borderId="0" xfId="0" applyFont="1" applyAlignment="1">
      <alignment horizontal="left"/>
    </xf>
    <xf numFmtId="164" fontId="1" fillId="0" borderId="0" xfId="0" applyNumberFormat="1" applyFont="1"/>
    <xf numFmtId="164" fontId="0" fillId="9" borderId="21" xfId="0" applyNumberFormat="1" applyFill="1" applyBorder="1" applyAlignment="1">
      <alignment horizontal="center"/>
    </xf>
    <xf numFmtId="164" fontId="0" fillId="9" borderId="23" xfId="0" applyNumberFormat="1" applyFill="1" applyBorder="1" applyAlignment="1">
      <alignment horizontal="center"/>
    </xf>
    <xf numFmtId="49" fontId="0" fillId="0" borderId="37" xfId="0" applyNumberFormat="1" applyBorder="1" applyAlignment="1">
      <alignment horizontal="right"/>
    </xf>
    <xf numFmtId="0" fontId="0" fillId="0" borderId="37" xfId="0" applyBorder="1"/>
    <xf numFmtId="164" fontId="0" fillId="0" borderId="37" xfId="0" applyNumberFormat="1" applyBorder="1"/>
    <xf numFmtId="0" fontId="0" fillId="0" borderId="37" xfId="0" applyBorder="1" applyAlignment="1">
      <alignment horizontal="left" wrapText="1" indent="1"/>
    </xf>
    <xf numFmtId="0" fontId="0" fillId="0" borderId="37" xfId="0" applyBorder="1" applyAlignment="1">
      <alignment horizontal="left" indent="1"/>
    </xf>
    <xf numFmtId="164" fontId="1" fillId="5" borderId="6" xfId="0" applyNumberFormat="1" applyFont="1" applyFill="1" applyBorder="1" applyAlignment="1">
      <alignment horizontal="left" wrapText="1"/>
    </xf>
    <xf numFmtId="0" fontId="0" fillId="0" borderId="10" xfId="0" applyBorder="1" applyAlignment="1">
      <alignment horizontal="left" indent="1"/>
    </xf>
    <xf numFmtId="0" fontId="0" fillId="0" borderId="38" xfId="0" applyBorder="1"/>
    <xf numFmtId="49" fontId="0" fillId="0" borderId="38" xfId="0" applyNumberFormat="1" applyBorder="1" applyAlignment="1">
      <alignment horizontal="right"/>
    </xf>
    <xf numFmtId="0" fontId="0" fillId="0" borderId="38" xfId="0" applyBorder="1" applyAlignment="1">
      <alignment horizontal="left" indent="1"/>
    </xf>
    <xf numFmtId="164" fontId="0" fillId="0" borderId="38" xfId="0" applyNumberFormat="1" applyBorder="1"/>
    <xf numFmtId="0" fontId="1" fillId="5" borderId="7" xfId="0" applyFont="1" applyFill="1" applyBorder="1" applyAlignment="1">
      <alignment horizontal="left" wrapText="1"/>
    </xf>
    <xf numFmtId="164" fontId="1" fillId="5" borderId="9" xfId="0" applyNumberFormat="1" applyFont="1" applyFill="1" applyBorder="1" applyAlignment="1">
      <alignment horizontal="center"/>
    </xf>
    <xf numFmtId="0" fontId="1" fillId="4" borderId="6" xfId="0" applyFont="1" applyFill="1" applyBorder="1"/>
    <xf numFmtId="0" fontId="0" fillId="0" borderId="39" xfId="0" applyBorder="1"/>
    <xf numFmtId="164" fontId="0" fillId="0" borderId="39" xfId="0" applyNumberFormat="1" applyBorder="1"/>
    <xf numFmtId="0" fontId="0" fillId="5" borderId="12" xfId="0" applyFill="1" applyBorder="1" applyAlignment="1">
      <alignment horizontal="center"/>
    </xf>
    <xf numFmtId="0" fontId="0" fillId="5" borderId="13" xfId="0" applyFill="1" applyBorder="1" applyAlignment="1">
      <alignment horizontal="center"/>
    </xf>
    <xf numFmtId="0" fontId="0" fillId="5" borderId="14" xfId="0" applyFill="1" applyBorder="1" applyAlignment="1">
      <alignment horizontal="center"/>
    </xf>
    <xf numFmtId="0" fontId="1" fillId="5" borderId="40" xfId="0" applyFont="1" applyFill="1" applyBorder="1" applyAlignment="1">
      <alignment horizontal="left" wrapText="1"/>
    </xf>
    <xf numFmtId="164" fontId="1" fillId="5" borderId="41" xfId="0" applyNumberFormat="1" applyFont="1" applyFill="1" applyBorder="1" applyAlignment="1">
      <alignment horizontal="center"/>
    </xf>
    <xf numFmtId="164" fontId="0" fillId="6" borderId="42" xfId="0" applyNumberFormat="1" applyFill="1" applyBorder="1" applyAlignment="1">
      <alignment horizontal="center"/>
    </xf>
    <xf numFmtId="164" fontId="0" fillId="0" borderId="43" xfId="0" applyNumberFormat="1" applyBorder="1"/>
    <xf numFmtId="164" fontId="0" fillId="0" borderId="43" xfId="0" applyNumberFormat="1" applyBorder="1" applyAlignment="1">
      <alignment horizontal="center"/>
    </xf>
    <xf numFmtId="164" fontId="0" fillId="6" borderId="43" xfId="0" applyNumberFormat="1" applyFill="1" applyBorder="1" applyAlignment="1">
      <alignment horizontal="center"/>
    </xf>
    <xf numFmtId="164" fontId="0" fillId="0" borderId="44" xfId="0" applyNumberFormat="1" applyBorder="1" applyAlignment="1">
      <alignment horizontal="center"/>
    </xf>
    <xf numFmtId="0" fontId="13" fillId="0" borderId="0" xfId="0" applyFont="1" applyAlignment="1">
      <alignment horizontal="center"/>
    </xf>
    <xf numFmtId="0" fontId="0" fillId="3" borderId="3" xfId="0" applyFill="1" applyBorder="1" applyAlignment="1">
      <alignment horizontal="center"/>
    </xf>
    <xf numFmtId="0" fontId="0" fillId="3" borderId="4" xfId="0" applyFill="1" applyBorder="1" applyAlignment="1">
      <alignment horizontal="center"/>
    </xf>
    <xf numFmtId="0" fontId="0" fillId="3" borderId="5" xfId="0" applyFill="1" applyBorder="1" applyAlignment="1">
      <alignment horizontal="center"/>
    </xf>
    <xf numFmtId="0" fontId="7" fillId="3" borderId="2" xfId="0" applyFont="1" applyFill="1" applyBorder="1" applyAlignment="1">
      <alignment horizontal="left"/>
    </xf>
    <xf numFmtId="0" fontId="6" fillId="3" borderId="3" xfId="0" applyFont="1" applyFill="1" applyBorder="1" applyAlignment="1">
      <alignment horizontal="left"/>
    </xf>
    <xf numFmtId="0" fontId="6" fillId="3" borderId="4" xfId="0" applyFont="1" applyFill="1" applyBorder="1" applyAlignment="1">
      <alignment horizontal="left"/>
    </xf>
    <xf numFmtId="0" fontId="6" fillId="3" borderId="5" xfId="0" applyFont="1" applyFill="1" applyBorder="1" applyAlignment="1">
      <alignment horizontal="left"/>
    </xf>
    <xf numFmtId="0" fontId="6" fillId="3" borderId="2" xfId="0" applyFont="1" applyFill="1" applyBorder="1" applyAlignment="1">
      <alignment horizontal="left"/>
    </xf>
    <xf numFmtId="0" fontId="8" fillId="3" borderId="2" xfId="0" applyFont="1" applyFill="1" applyBorder="1" applyAlignment="1">
      <alignment horizontal="left"/>
    </xf>
    <xf numFmtId="0" fontId="0" fillId="3" borderId="2" xfId="0" applyFill="1" applyBorder="1" applyAlignment="1">
      <alignment horizontal="center" vertical="top" wrapText="1"/>
    </xf>
    <xf numFmtId="0" fontId="0" fillId="3" borderId="3" xfId="0" applyFill="1" applyBorder="1" applyAlignment="1">
      <alignment horizontal="center" wrapText="1"/>
    </xf>
    <xf numFmtId="0" fontId="0" fillId="3" borderId="4" xfId="0" applyFill="1" applyBorder="1" applyAlignment="1">
      <alignment horizontal="center" wrapText="1"/>
    </xf>
    <xf numFmtId="0" fontId="0" fillId="3" borderId="5" xfId="0" applyFill="1" applyBorder="1" applyAlignment="1">
      <alignment horizontal="center" wrapText="1"/>
    </xf>
    <xf numFmtId="0" fontId="0" fillId="0" borderId="3" xfId="0" applyBorder="1" applyAlignment="1">
      <alignment horizontal="center" vertical="center"/>
    </xf>
    <xf numFmtId="0" fontId="0" fillId="0" borderId="5" xfId="0" applyBorder="1" applyAlignment="1">
      <alignment horizontal="center" vertical="center"/>
    </xf>
    <xf numFmtId="0" fontId="8" fillId="3" borderId="3" xfId="0" applyFont="1" applyFill="1" applyBorder="1" applyAlignment="1">
      <alignment horizontal="left" vertical="center"/>
    </xf>
    <xf numFmtId="0" fontId="8" fillId="3" borderId="4" xfId="0" applyFont="1" applyFill="1" applyBorder="1" applyAlignment="1">
      <alignment horizontal="left" vertical="center"/>
    </xf>
    <xf numFmtId="0" fontId="8" fillId="3" borderId="5" xfId="0" applyFont="1" applyFill="1" applyBorder="1" applyAlignment="1">
      <alignment horizontal="left" vertical="center"/>
    </xf>
    <xf numFmtId="0" fontId="8" fillId="3" borderId="7" xfId="0" applyFont="1" applyFill="1" applyBorder="1" applyAlignment="1">
      <alignment horizontal="left" vertical="center"/>
    </xf>
    <xf numFmtId="0" fontId="8" fillId="3" borderId="8" xfId="0" applyFont="1" applyFill="1" applyBorder="1" applyAlignment="1">
      <alignment horizontal="left" vertical="center"/>
    </xf>
    <xf numFmtId="0" fontId="8" fillId="3" borderId="9" xfId="0" applyFont="1" applyFill="1" applyBorder="1" applyAlignment="1">
      <alignment horizontal="left" vertical="center"/>
    </xf>
    <xf numFmtId="0" fontId="8" fillId="3" borderId="2" xfId="0" applyFont="1" applyFill="1" applyBorder="1" applyAlignment="1">
      <alignment horizontal="left" vertical="center"/>
    </xf>
  </cellXfs>
  <cellStyles count="2">
    <cellStyle name="Normal" xfId="0" builtinId="0"/>
    <cellStyle name="Porcentaje" xfId="1" builtinId="5"/>
  </cellStyles>
  <dxfs count="25">
    <dxf>
      <numFmt numFmtId="164" formatCode="#,##0.00\ &quot;€&quot;"/>
    </dxf>
    <dxf>
      <numFmt numFmtId="164" formatCode="#,##0.00\ &quot;€&quot;"/>
      <alignment horizontal="right" vertical="top" textRotation="0" wrapText="0" indent="0" justifyLastLine="0" shrinkToFit="0" readingOrder="0"/>
    </dxf>
    <dxf>
      <numFmt numFmtId="167" formatCode="_-[$€-2]\ * #,##0.00_-;\-[$€-2]\ * #,##0.00_-;_-[$€-2]\ * &quot;-&quot;??_-;_-@_-"/>
    </dxf>
    <dxf>
      <numFmt numFmtId="30" formatCode="@"/>
      <alignment horizontal="right" vertical="bottom" textRotation="0" wrapText="0" indent="0" justifyLastLine="0" shrinkToFit="0" readingOrder="0"/>
    </dxf>
    <dxf>
      <numFmt numFmtId="30" formatCode="@"/>
      <alignment horizontal="right" vertical="bottom" textRotation="0" wrapText="0" indent="0" justifyLastLine="0" shrinkToFit="0" readingOrder="0"/>
    </dxf>
    <dxf>
      <numFmt numFmtId="30" formatCode="@"/>
      <alignment horizontal="right" vertical="bottom" textRotation="0" wrapText="0" indent="0" justifyLastLine="0" shrinkToFit="0" readingOrder="0"/>
    </dxf>
    <dxf>
      <numFmt numFmtId="169" formatCode="#,##0.0000\ &quot;€&quot;"/>
    </dxf>
    <dxf>
      <numFmt numFmtId="169" formatCode="#,##0.0000\ &quot;€&quot;"/>
    </dxf>
    <dxf>
      <numFmt numFmtId="169" formatCode="#,##0.0000\ &quot;€&quot;"/>
    </dxf>
    <dxf>
      <font>
        <b val="0"/>
        <i val="0"/>
        <strike val="0"/>
        <condense val="0"/>
        <extend val="0"/>
        <outline val="0"/>
        <shadow val="0"/>
        <u val="none"/>
        <vertAlign val="baseline"/>
        <sz val="12"/>
        <color theme="1"/>
        <name val="Calibri"/>
        <family val="2"/>
        <scheme val="minor"/>
      </font>
      <numFmt numFmtId="168" formatCode="0.0000%"/>
    </dxf>
    <dxf>
      <font>
        <b val="0"/>
        <i val="0"/>
        <strike val="0"/>
        <condense val="0"/>
        <extend val="0"/>
        <outline val="0"/>
        <shadow val="0"/>
        <u val="none"/>
        <vertAlign val="baseline"/>
        <sz val="12"/>
        <color theme="1"/>
        <name val="Calibri"/>
        <family val="2"/>
        <scheme val="minor"/>
      </font>
      <numFmt numFmtId="164" formatCode="#,##0.00\ &quot;€&quot;"/>
      <fill>
        <patternFill patternType="solid">
          <fgColor theme="6" tint="0.79998168889431442"/>
          <bgColor theme="6" tint="0.79998168889431442"/>
        </patternFill>
      </fill>
      <alignment horizontal="right" vertical="top" textRotation="0" wrapText="0" indent="0" justifyLastLine="0" shrinkToFit="0" readingOrder="0"/>
      <border diagonalUp="0" diagonalDown="0">
        <left style="thin">
          <color theme="0"/>
        </left>
        <right style="thin">
          <color theme="0"/>
        </right>
        <top style="thin">
          <color theme="0"/>
        </top>
        <bottom/>
        <vertical/>
        <horizontal/>
      </border>
    </dxf>
    <dxf>
      <border outline="0">
        <top style="thin">
          <color theme="6" tint="0.39997558519241921"/>
        </top>
      </border>
    </dxf>
    <dxf>
      <border outline="0">
        <bottom style="thin">
          <color theme="6" tint="0.39997558519241921"/>
        </bottom>
      </border>
    </dxf>
    <dxf>
      <font>
        <b/>
        <i val="0"/>
        <strike val="0"/>
        <condense val="0"/>
        <extend val="0"/>
        <outline val="0"/>
        <shadow val="0"/>
        <u val="none"/>
        <vertAlign val="baseline"/>
        <sz val="12"/>
        <color theme="0"/>
        <name val="Calibri"/>
        <family val="2"/>
        <scheme val="minor"/>
      </font>
      <fill>
        <patternFill patternType="solid">
          <fgColor theme="6"/>
          <bgColor theme="6"/>
        </patternFill>
      </fill>
      <alignment horizontal="center" vertical="bottom" textRotation="0" wrapText="0" indent="0" justifyLastLine="0" shrinkToFit="0" readingOrder="0"/>
    </dxf>
    <dxf>
      <numFmt numFmtId="164" formatCode="#,##0.00\ &quot;€&quot;"/>
    </dxf>
    <dxf>
      <numFmt numFmtId="164" formatCode="#,##0.00\ &quot;€&quot;"/>
    </dxf>
    <dxf>
      <numFmt numFmtId="165" formatCode="0.000000"/>
    </dxf>
    <dxf>
      <numFmt numFmtId="164" formatCode="#,##0.00\ &quot;€&quot;"/>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numFmt numFmtId="164" formatCode="#,##0.00\ &quot;€&quot;"/>
      <fill>
        <patternFill patternType="solid">
          <fgColor theme="6" tint="0.59999389629810485"/>
          <bgColor theme="6" tint="0.59999389629810485"/>
        </patternFill>
      </fill>
      <border diagonalUp="0" diagonalDown="0">
        <left style="thin">
          <color theme="0"/>
        </left>
        <right/>
        <top style="thin">
          <color theme="0"/>
        </top>
        <bottom style="thin">
          <color theme="0"/>
        </bottom>
        <vertical/>
        <horizontal/>
      </border>
    </dxf>
    <dxf>
      <numFmt numFmtId="164" formatCode="#,##0.00\ &quot;€&quot;"/>
      <fill>
        <patternFill patternType="solid">
          <fgColor theme="6" tint="0.79998168889431442"/>
          <bgColor theme="6" tint="0.79998168889431442"/>
        </patternFill>
      </fill>
      <border diagonalUp="0" diagonalDown="0">
        <left style="thin">
          <color theme="0"/>
        </left>
        <right style="thin">
          <color theme="0"/>
        </right>
        <top style="thin">
          <color theme="0"/>
        </top>
        <bottom style="thin">
          <color theme="0"/>
        </bottom>
        <vertical/>
        <horizontal/>
      </border>
    </dxf>
    <dxf>
      <border outline="0">
        <bottom style="thin">
          <color theme="0"/>
        </bottom>
      </border>
    </dxf>
    <dxf>
      <numFmt numFmtId="164" formatCode="#,##0.00\ &quot;€&quot;"/>
      <fill>
        <patternFill patternType="solid">
          <fgColor theme="6" tint="0.79998168889431442"/>
          <bgColor theme="6" tint="0.79998168889431442"/>
        </patternFill>
      </fill>
      <border diagonalUp="0" diagonalDown="0">
        <left/>
        <right style="thin">
          <color theme="6" tint="0.39997558519241921"/>
        </right>
        <top style="thin">
          <color theme="6" tint="0.39997558519241921"/>
        </top>
        <bottom style="thin">
          <color theme="6" tint="0.39997558519241921"/>
        </bottom>
        <vertical/>
        <horizontal/>
      </border>
    </dxf>
    <dxf>
      <border outline="0">
        <top style="thin">
          <color theme="6" tint="0.39997558519241921"/>
        </top>
      </border>
    </dxf>
    <dxf>
      <border outline="0">
        <bottom style="thin">
          <color theme="6" tint="0.3999755851924192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eetMetadata" Target="metadata.xml"/><Relationship Id="rId30"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253999</xdr:colOff>
      <xdr:row>0</xdr:row>
      <xdr:rowOff>98779</xdr:rowOff>
    </xdr:from>
    <xdr:to>
      <xdr:col>6</xdr:col>
      <xdr:colOff>512761</xdr:colOff>
      <xdr:row>3</xdr:row>
      <xdr:rowOff>122564</xdr:rowOff>
    </xdr:to>
    <xdr:pic>
      <xdr:nvPicPr>
        <xdr:cNvPr id="2" name="Picture 1">
          <a:extLst>
            <a:ext uri="{FF2B5EF4-FFF2-40B4-BE49-F238E27FC236}">
              <a16:creationId xmlns:a16="http://schemas.microsoft.com/office/drawing/2014/main" id="{573DFE2F-6867-117E-58AD-1645B67B6CE4}"/>
            </a:ext>
          </a:extLst>
        </xdr:cNvPr>
        <xdr:cNvPicPr>
          <a:picLocks noChangeAspect="1"/>
        </xdr:cNvPicPr>
      </xdr:nvPicPr>
      <xdr:blipFill>
        <a:blip xmlns:r="http://schemas.openxmlformats.org/officeDocument/2006/relationships" r:embed="rId1"/>
        <a:stretch>
          <a:fillRect/>
        </a:stretch>
      </xdr:blipFill>
      <xdr:spPr>
        <a:xfrm>
          <a:off x="5319888" y="98779"/>
          <a:ext cx="1093611" cy="637618"/>
        </a:xfrm>
        <a:prstGeom prst="rect">
          <a:avLst/>
        </a:prstGeom>
      </xdr:spPr>
    </xdr:pic>
    <xdr:clientData/>
  </xdr:twoCellAnchor>
  <xdr:twoCellAnchor editAs="oneCell">
    <xdr:from>
      <xdr:col>1</xdr:col>
      <xdr:colOff>28223</xdr:colOff>
      <xdr:row>1</xdr:row>
      <xdr:rowOff>21166</xdr:rowOff>
    </xdr:from>
    <xdr:to>
      <xdr:col>1</xdr:col>
      <xdr:colOff>1353704</xdr:colOff>
      <xdr:row>3</xdr:row>
      <xdr:rowOff>141111</xdr:rowOff>
    </xdr:to>
    <xdr:pic>
      <xdr:nvPicPr>
        <xdr:cNvPr id="3" name="Picture 2">
          <a:extLst>
            <a:ext uri="{FF2B5EF4-FFF2-40B4-BE49-F238E27FC236}">
              <a16:creationId xmlns:a16="http://schemas.microsoft.com/office/drawing/2014/main" id="{4459AA87-B852-A9DB-B202-6627F16FC56F}"/>
            </a:ext>
          </a:extLst>
        </xdr:cNvPr>
        <xdr:cNvPicPr>
          <a:picLocks noChangeAspect="1"/>
        </xdr:cNvPicPr>
      </xdr:nvPicPr>
      <xdr:blipFill>
        <a:blip xmlns:r="http://schemas.openxmlformats.org/officeDocument/2006/relationships" r:embed="rId2"/>
        <a:stretch>
          <a:fillRect/>
        </a:stretch>
      </xdr:blipFill>
      <xdr:spPr>
        <a:xfrm>
          <a:off x="867834" y="225777"/>
          <a:ext cx="1320719" cy="529167"/>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AA04192-87E6-438B-979F-C735D00E899C}" name="Tabla4" displayName="Tabla4" ref="B2:C9" totalsRowShown="0" headerRowBorderDxfId="24" tableBorderDxfId="23">
  <autoFilter ref="B2:C9" xr:uid="{DAA04192-87E6-438B-979F-C735D00E899C}"/>
  <tableColumns count="2">
    <tableColumn id="1" xr3:uid="{3165DFDB-C4BB-43DC-813A-C26CB55D771E}" name="Partida"/>
    <tableColumn id="2" xr3:uid="{F67B50A7-571A-4621-BAAC-A205BB9867A3}" name="Total" dataDxfId="22">
      <calculatedColumnFormula>'Ponderación de costes cliente'!F22</calculatedColumnFormula>
    </tableColumn>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BCEFB6E-A929-4D73-9816-3961C6B787FD}" name="Tabla6" displayName="Tabla6" ref="K4:M14" totalsRowShown="0" tableBorderDxfId="21">
  <autoFilter ref="K4:M14" xr:uid="{FBCEFB6E-A929-4D73-9816-3961C6B787FD}"/>
  <tableColumns count="3">
    <tableColumn id="1" xr3:uid="{DF581CD5-2F72-492E-B22F-6BC3D721ECA7}" name="Partida"/>
    <tableColumn id="2" xr3:uid="{44968C48-5A88-449B-9B26-779D7F4E7684}" name="Subtotal" dataDxfId="20"/>
    <tableColumn id="3" xr3:uid="{263074AE-7142-47F6-A7C8-A0403F91DED7}" name="Total" dataDxfId="19"/>
  </tableColumns>
  <tableStyleInfo name="TableStyleMedium1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F440BBF-C386-4D92-8BB1-2F96BC620DCC}" name="Tabla2" displayName="Tabla2" ref="B21:F30" totalsRowShown="0" headerRowDxfId="18">
  <autoFilter ref="B21:F30" xr:uid="{CF440BBF-C386-4D92-8BB1-2F96BC620DCC}"/>
  <tableColumns count="5">
    <tableColumn id="1" xr3:uid="{5D34CF56-8FD8-4F6C-8CA4-C342FFED0A26}" name="Partida"/>
    <tableColumn id="2" xr3:uid="{9795372F-D782-4419-A224-0BE46F95D553}" name="Coste" dataDxfId="17"/>
    <tableColumn id="3" xr3:uid="{86E7B616-04EB-4561-9CA3-333E4BAD3847}" name="Porcentaje" dataDxfId="16"/>
    <tableColumn id="4" xr3:uid="{32CAD1C3-E299-4159-A587-0348345297E1}" name="Ponderación " dataDxfId="15"/>
    <tableColumn id="5" xr3:uid="{1DAF9774-C117-4552-8979-CD6EC83974B8}" name="Total" dataDxfId="14"/>
  </tableColumns>
  <tableStyleInfo name="TableStyleMedium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EDCE429-C2C6-4922-AC3B-30CB0A9AE1DD}" name="Tabla3" displayName="Tabla3" ref="I21:O42" totalsRowShown="0" headerRowDxfId="13" headerRowBorderDxfId="12" tableBorderDxfId="11">
  <autoFilter ref="I21:O42" xr:uid="{FEDCE429-C2C6-4922-AC3B-30CB0A9AE1DD}"/>
  <tableColumns count="7">
    <tableColumn id="1" xr3:uid="{525F9D2B-9F09-4543-B824-8FBFF434435D}" name="Partida"/>
    <tableColumn id="2" xr3:uid="{362A7143-F2AC-42B8-B040-098721023A97}" name="Subcoste" dataDxfId="10"/>
    <tableColumn id="3" xr3:uid="{8485709A-78B3-4CD8-B83C-B8D35C164BA8}" name="Coste"/>
    <tableColumn id="4" xr3:uid="{23D44E75-29F6-42C5-9F6D-88D7098B912A}" name="Porcentaje" dataDxfId="9" dataCellStyle="Porcentaje">
      <calculatedColumnFormula>$E$16</calculatedColumnFormula>
    </tableColumn>
    <tableColumn id="5" xr3:uid="{51DA511C-321A-4D22-865D-50173F3BFA81}" name="Ponderación " dataDxfId="8"/>
    <tableColumn id="6" xr3:uid="{A7830DDD-3534-4918-80AA-FC6F48B9FCEE}" name="Subtotal" dataDxfId="7">
      <calculatedColumnFormula>K22+M22</calculatedColumnFormula>
    </tableColumn>
    <tableColumn id="7" xr3:uid="{5EDCA7E6-CE3E-4D07-B8BD-0A7E74CB6BAB}" name="Total2" dataDxfId="6">
      <calculatedColumnFormula>K22+M22</calculatedColumnFormula>
    </tableColumn>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1ED8138-1BB4-48CC-B163-19994DD6B0D5}" name="Tabla1" displayName="Tabla1" ref="A2:F22" totalsRowShown="0">
  <autoFilter ref="A2:F22" xr:uid="{B1ED8138-1BB4-48CC-B163-19994DD6B0D5}"/>
  <tableColumns count="6">
    <tableColumn id="1" xr3:uid="{0763DBF1-A1C6-4DB3-A1D4-77848CBA078D}" name="Partida" dataDxfId="5"/>
    <tableColumn id="2" xr3:uid="{113017CA-B68C-4454-8874-F6522F8BFC74}" name="Item" dataDxfId="4"/>
    <tableColumn id="3" xr3:uid="{E9406297-0494-4C35-BCDD-9AA9C49F68D2}" name="Item vis" dataDxfId="3"/>
    <tableColumn id="4" xr3:uid="{2EB4B254-2F2E-4C84-B51F-4B8B5E4D044B}" name="Partida2" dataDxfId="2"/>
    <tableColumn id="5" xr3:uid="{787FD0BD-7A1F-4833-BD9A-431C6A4E7EA0}" name="Importe" dataDxfId="1"/>
    <tableColumn id="6" xr3:uid="{39A67041-C098-4CE9-ACC5-7C890095A3A6}" name="Total" dataDxfId="0"/>
  </tableColumns>
  <tableStyleInfo name="TableStyleMedium11" showFirstColumn="0" showLastColumn="0" showRowStripes="1" showColumnStripes="0"/>
</table>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E1FB7-7D20-4F23-98AA-42DB079A5246}">
  <sheetPr>
    <tabColor theme="7"/>
  </sheetPr>
  <dimension ref="B1:N31"/>
  <sheetViews>
    <sheetView topLeftCell="F1" workbookViewId="0">
      <selection activeCell="M23" sqref="M23"/>
    </sheetView>
  </sheetViews>
  <sheetFormatPr baseColWidth="10" defaultColWidth="11" defaultRowHeight="15.75" x14ac:dyDescent="0.25"/>
  <cols>
    <col min="2" max="2" width="31.875" bestFit="1" customWidth="1"/>
    <col min="3" max="3" width="11.25" customWidth="1"/>
    <col min="6" max="6" width="50.875" bestFit="1" customWidth="1"/>
    <col min="7" max="7" width="10.625" customWidth="1"/>
    <col min="8" max="8" width="11.375" customWidth="1"/>
    <col min="11" max="11" width="31.875" customWidth="1"/>
    <col min="13" max="13" width="13" customWidth="1"/>
  </cols>
  <sheetData>
    <row r="1" spans="2:14" ht="15.75" customHeight="1" x14ac:dyDescent="0.25">
      <c r="K1" s="195" t="s">
        <v>0</v>
      </c>
      <c r="L1" s="195"/>
      <c r="M1" s="195"/>
      <c r="N1" s="195"/>
    </row>
    <row r="2" spans="2:14" ht="15.75" customHeight="1" x14ac:dyDescent="0.25">
      <c r="B2" s="161" t="s">
        <v>1</v>
      </c>
      <c r="C2" s="162" t="s">
        <v>2</v>
      </c>
      <c r="F2" s="156" t="s">
        <v>1</v>
      </c>
      <c r="G2" s="158" t="s">
        <v>3</v>
      </c>
      <c r="H2" s="158" t="s">
        <v>2</v>
      </c>
      <c r="K2" s="195"/>
      <c r="L2" s="195"/>
      <c r="M2" s="195"/>
      <c r="N2" s="195"/>
    </row>
    <row r="3" spans="2:14" x14ac:dyDescent="0.25">
      <c r="B3" s="139" t="s">
        <v>4</v>
      </c>
      <c r="C3" s="141">
        <f>'Ponderación de costes cliente'!F22</f>
        <v>9408.1510028966513</v>
      </c>
      <c r="F3" s="144" t="s">
        <v>4</v>
      </c>
      <c r="G3" s="159"/>
      <c r="H3" s="145">
        <f>'Ponderación de costes cliente'!O22</f>
        <v>9408.1510028966513</v>
      </c>
    </row>
    <row r="4" spans="2:14" x14ac:dyDescent="0.25">
      <c r="B4" s="140" t="s">
        <v>5</v>
      </c>
      <c r="C4" s="141">
        <f>'Ponderación de costes cliente'!F23</f>
        <v>6506.3505149831799</v>
      </c>
      <c r="F4" s="126" t="s">
        <v>6</v>
      </c>
      <c r="G4" s="160">
        <f>'Ponderación de costes cliente'!N23</f>
        <v>358.83658239208012</v>
      </c>
      <c r="H4" s="145"/>
      <c r="K4" t="s">
        <v>1</v>
      </c>
      <c r="L4" t="s">
        <v>3</v>
      </c>
      <c r="M4" t="s">
        <v>2</v>
      </c>
    </row>
    <row r="5" spans="2:14" x14ac:dyDescent="0.25">
      <c r="B5" s="139" t="s">
        <v>7</v>
      </c>
      <c r="C5" s="141">
        <f>'Ponderación de costes cliente'!F24</f>
        <v>6860.7251719925398</v>
      </c>
      <c r="F5" s="127" t="s">
        <v>8</v>
      </c>
      <c r="G5" s="160">
        <f>'Ponderación de costes cliente'!N24</f>
        <v>1553.6486171453432</v>
      </c>
      <c r="H5" s="145"/>
      <c r="K5" s="165" t="s">
        <v>9</v>
      </c>
      <c r="L5" s="9" t="s">
        <v>10</v>
      </c>
      <c r="M5" s="166">
        <f>G4+G5</f>
        <v>1912.4851995374233</v>
      </c>
    </row>
    <row r="6" spans="2:14" x14ac:dyDescent="0.25">
      <c r="B6" s="140" t="s">
        <v>11</v>
      </c>
      <c r="C6" s="141">
        <f>'Ponderación de costes cliente'!F25</f>
        <v>38828.420049427979</v>
      </c>
      <c r="F6" s="126" t="s">
        <v>12</v>
      </c>
      <c r="G6" s="160">
        <f>'Ponderación de costes cliente'!N25</f>
        <v>7495.6658033592275</v>
      </c>
      <c r="H6" s="145"/>
      <c r="K6" s="144" t="s">
        <v>13</v>
      </c>
      <c r="L6" s="167" t="s">
        <v>10</v>
      </c>
      <c r="M6" s="145">
        <f>SUM(L7:L13)</f>
        <v>68355.874399555672</v>
      </c>
    </row>
    <row r="7" spans="2:14" x14ac:dyDescent="0.25">
      <c r="B7" s="139" t="s">
        <v>14</v>
      </c>
      <c r="C7" s="141">
        <f>'Ponderación de costes cliente'!F26</f>
        <v>3905.6597747652327</v>
      </c>
      <c r="F7" s="144" t="s">
        <v>5</v>
      </c>
      <c r="G7" s="160"/>
      <c r="H7" s="145">
        <f>'Ponderación de costes cliente'!O26</f>
        <v>6506.3505149831799</v>
      </c>
      <c r="K7" s="126" t="s">
        <v>15</v>
      </c>
      <c r="L7" s="160">
        <f>'Ponderación de costes cliente'!$N$29 + $G$31</f>
        <v>8755.6647957110727</v>
      </c>
      <c r="M7" s="145"/>
    </row>
    <row r="8" spans="2:14" x14ac:dyDescent="0.25">
      <c r="B8" s="140" t="s">
        <v>16</v>
      </c>
      <c r="C8" s="141">
        <f>'Ponderación de costes cliente'!F27</f>
        <v>4759.0530850275127</v>
      </c>
      <c r="F8" s="147" t="s">
        <v>7</v>
      </c>
      <c r="G8" s="160"/>
      <c r="H8" s="145">
        <f>'Ponderación de costes cliente'!O27</f>
        <v>6860.7251719925398</v>
      </c>
      <c r="K8" s="127" t="s">
        <v>17</v>
      </c>
      <c r="L8" s="160">
        <f>'Ponderación de costes cliente'!$N$30 + $G$31</f>
        <v>10729.02020466986</v>
      </c>
      <c r="M8" s="145"/>
    </row>
    <row r="9" spans="2:14" x14ac:dyDescent="0.25">
      <c r="B9" t="s">
        <v>18</v>
      </c>
      <c r="C9" s="143">
        <f>'Ponderación de costes cliente'!F28</f>
        <v>65160</v>
      </c>
      <c r="F9" s="144" t="s">
        <v>19</v>
      </c>
      <c r="G9" s="160"/>
      <c r="H9" s="145">
        <f>'Ponderación de costes cliente'!O28</f>
        <v>38828.420049427972</v>
      </c>
      <c r="K9" s="126" t="s">
        <v>20</v>
      </c>
      <c r="L9" s="160">
        <f>'Ponderación de costes cliente'!$N$31 + $G$31</f>
        <v>11777.094284903636</v>
      </c>
      <c r="M9" s="145"/>
    </row>
    <row r="10" spans="2:14" x14ac:dyDescent="0.25">
      <c r="F10" s="126" t="s">
        <v>15</v>
      </c>
      <c r="G10" s="160">
        <f>'Ponderación de costes cliente'!$N$29</f>
        <v>4537.4570314071161</v>
      </c>
      <c r="H10" s="145"/>
      <c r="K10" s="127" t="s">
        <v>21</v>
      </c>
      <c r="L10" s="160">
        <f>'Ponderación de costes cliente'!$N$32 + $G$31</f>
        <v>9442.6397726180403</v>
      </c>
      <c r="M10" s="145"/>
    </row>
    <row r="11" spans="2:14" x14ac:dyDescent="0.25">
      <c r="B11" s="154" t="s">
        <v>2</v>
      </c>
      <c r="C11" s="155">
        <f>'Ponderación de costes cliente'!F30</f>
        <v>135428.35959909309</v>
      </c>
      <c r="F11" s="127" t="s">
        <v>17</v>
      </c>
      <c r="G11" s="160">
        <f>'Ponderación de costes cliente'!$N$30</f>
        <v>6510.8124403659031</v>
      </c>
      <c r="H11" s="145"/>
      <c r="K11" s="126" t="s">
        <v>22</v>
      </c>
      <c r="L11" s="160">
        <f>'Ponderación de costes cliente'!$N$33 + $G$31</f>
        <v>9246.3303651319111</v>
      </c>
      <c r="M11" s="145"/>
    </row>
    <row r="12" spans="2:14" x14ac:dyDescent="0.25">
      <c r="F12" s="126" t="s">
        <v>20</v>
      </c>
      <c r="G12" s="160">
        <f>'Ponderación de costes cliente'!$N$31</f>
        <v>7558.8865205996808</v>
      </c>
      <c r="H12" s="145"/>
      <c r="K12" s="127" t="s">
        <v>23</v>
      </c>
      <c r="L12" s="160">
        <f>'Ponderación de costes cliente'!$N$34 + $G$31</f>
        <v>8507.2244370518019</v>
      </c>
      <c r="M12" s="145"/>
    </row>
    <row r="13" spans="2:14" x14ac:dyDescent="0.25">
      <c r="F13" s="127" t="s">
        <v>21</v>
      </c>
      <c r="G13" s="160">
        <f>'Ponderación de costes cliente'!$N$32</f>
        <v>5224.4320083140838</v>
      </c>
      <c r="H13" s="145"/>
      <c r="K13" s="126" t="s">
        <v>24</v>
      </c>
      <c r="L13" s="160">
        <f>'Ponderación de costes cliente'!$N$35 + $G$31</f>
        <v>9897.9005394693522</v>
      </c>
      <c r="M13" s="145"/>
    </row>
    <row r="14" spans="2:14" x14ac:dyDescent="0.25">
      <c r="F14" s="126" t="s">
        <v>22</v>
      </c>
      <c r="G14" s="160">
        <f>'Ponderación de costes cliente'!$N$33</f>
        <v>5028.1226008279536</v>
      </c>
      <c r="H14" s="145"/>
      <c r="K14" s="163" t="s">
        <v>25</v>
      </c>
      <c r="L14" s="168" t="s">
        <v>10</v>
      </c>
      <c r="M14" s="164">
        <f>'Ponderación de costes cliente'!O42</f>
        <v>65160</v>
      </c>
    </row>
    <row r="15" spans="2:14" x14ac:dyDescent="0.25">
      <c r="F15" s="127" t="s">
        <v>23</v>
      </c>
      <c r="G15" s="160">
        <f>'Ponderación de costes cliente'!$N$34</f>
        <v>4289.0166727478445</v>
      </c>
      <c r="H15" s="145"/>
    </row>
    <row r="16" spans="2:14" x14ac:dyDescent="0.25">
      <c r="F16" s="126" t="s">
        <v>24</v>
      </c>
      <c r="G16" s="160">
        <f>'Ponderación de costes cliente'!$N$35</f>
        <v>5679.6927751653957</v>
      </c>
      <c r="H16" s="145"/>
      <c r="L16" s="154" t="s">
        <v>2</v>
      </c>
      <c r="M16" s="155">
        <f>SUM(M5:M14)</f>
        <v>135428.35959909309</v>
      </c>
    </row>
    <row r="17" spans="6:8" x14ac:dyDescent="0.25">
      <c r="F17" s="144" t="s">
        <v>14</v>
      </c>
      <c r="G17" s="160"/>
      <c r="H17" s="145">
        <f>'Ponderación de costes cliente'!O36</f>
        <v>3905.6597747652327</v>
      </c>
    </row>
    <row r="18" spans="6:8" x14ac:dyDescent="0.25">
      <c r="F18" s="147" t="s">
        <v>16</v>
      </c>
      <c r="G18" s="160"/>
      <c r="H18" s="145">
        <f>'Ponderación de costes cliente'!O37</f>
        <v>4759.0530850275136</v>
      </c>
    </row>
    <row r="19" spans="6:8" x14ac:dyDescent="0.25">
      <c r="F19" s="127" t="s">
        <v>26</v>
      </c>
      <c r="G19" s="160">
        <f>'Ponderación de costes cliente'!N38</f>
        <v>132.93444371585232</v>
      </c>
      <c r="H19" s="145"/>
    </row>
    <row r="20" spans="6:8" x14ac:dyDescent="0.25">
      <c r="F20" s="126" t="s">
        <v>27</v>
      </c>
      <c r="G20" s="160"/>
      <c r="H20" s="145"/>
    </row>
    <row r="21" spans="6:8" x14ac:dyDescent="0.25">
      <c r="F21" s="128" t="s">
        <v>28</v>
      </c>
      <c r="G21" s="160">
        <f>'Ponderación de costes cliente'!N40</f>
        <v>3562.6430915848423</v>
      </c>
      <c r="H21" s="145"/>
    </row>
    <row r="22" spans="6:8" x14ac:dyDescent="0.25">
      <c r="F22" s="157" t="s">
        <v>29</v>
      </c>
      <c r="G22" s="160">
        <f>'Ponderación de costes cliente'!N41</f>
        <v>1063.4755497268184</v>
      </c>
      <c r="H22" s="145"/>
    </row>
    <row r="23" spans="6:8" x14ac:dyDescent="0.25">
      <c r="F23" s="147" t="s">
        <v>18</v>
      </c>
      <c r="G23" s="160"/>
      <c r="H23" s="145">
        <f>'Ponderación de costes cliente'!O42</f>
        <v>65160</v>
      </c>
    </row>
    <row r="25" spans="6:8" x14ac:dyDescent="0.25">
      <c r="G25" s="154" t="s">
        <v>2</v>
      </c>
      <c r="H25" s="155">
        <f>SUM(H3:H23)</f>
        <v>135428.35959909309</v>
      </c>
    </row>
    <row r="29" spans="6:8" x14ac:dyDescent="0.25">
      <c r="F29" t="s">
        <v>30</v>
      </c>
      <c r="G29" s="2">
        <f>G6+H7+H8+H17+H18</f>
        <v>29527.454350127697</v>
      </c>
    </row>
    <row r="30" spans="6:8" x14ac:dyDescent="0.25">
      <c r="F30" t="s">
        <v>31</v>
      </c>
      <c r="G30">
        <f>COUNT(G10:G16)</f>
        <v>7</v>
      </c>
    </row>
    <row r="31" spans="6:8" x14ac:dyDescent="0.25">
      <c r="F31" t="s">
        <v>32</v>
      </c>
      <c r="G31" s="2">
        <f>G29/G30</f>
        <v>4218.2077643039565</v>
      </c>
    </row>
  </sheetData>
  <mergeCells count="1">
    <mergeCell ref="K1:N2"/>
  </mergeCells>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581E4-4A87-3C49-8D27-C7DD922EF477}">
  <sheetPr>
    <tabColor theme="7"/>
  </sheetPr>
  <dimension ref="B5:O44"/>
  <sheetViews>
    <sheetView tabSelected="1" topLeftCell="A11" zoomScaleNormal="100" workbookViewId="0">
      <selection activeCell="F37" sqref="F37"/>
    </sheetView>
  </sheetViews>
  <sheetFormatPr baseColWidth="10" defaultColWidth="11" defaultRowHeight="15.75" x14ac:dyDescent="0.25"/>
  <cols>
    <col min="2" max="2" width="31.5" customWidth="1"/>
    <col min="3" max="3" width="12.875" customWidth="1"/>
    <col min="4" max="4" width="11.875" customWidth="1"/>
    <col min="5" max="5" width="14" customWidth="1"/>
    <col min="6" max="6" width="14.625" customWidth="1"/>
    <col min="9" max="9" width="49.75" bestFit="1" customWidth="1"/>
    <col min="12" max="12" width="12.5" customWidth="1"/>
    <col min="13" max="13" width="16.25" bestFit="1" customWidth="1"/>
    <col min="14" max="14" width="13.5" customWidth="1"/>
    <col min="15" max="15" width="14.25" customWidth="1"/>
  </cols>
  <sheetData>
    <row r="5" spans="2:10" ht="26.25" x14ac:dyDescent="0.4">
      <c r="B5" s="5" t="s">
        <v>33</v>
      </c>
    </row>
    <row r="6" spans="2:10" x14ac:dyDescent="0.25">
      <c r="G6" s="2"/>
      <c r="J6" s="2"/>
    </row>
    <row r="8" spans="2:10" x14ac:dyDescent="0.25">
      <c r="B8" s="6" t="s">
        <v>34</v>
      </c>
      <c r="C8" s="8">
        <f>'Resumen de partidas - sin benef'!J19</f>
        <v>125169.00851335828</v>
      </c>
      <c r="E8" s="6" t="s">
        <v>35</v>
      </c>
      <c r="F8" s="2">
        <f>C10</f>
        <v>835.5</v>
      </c>
    </row>
    <row r="9" spans="2:10" x14ac:dyDescent="0.25">
      <c r="B9" s="6" t="s">
        <v>16</v>
      </c>
      <c r="C9" s="8">
        <f>'Partida - Hardware '!H4</f>
        <v>65160</v>
      </c>
      <c r="E9" s="6" t="s">
        <v>36</v>
      </c>
      <c r="F9" s="2">
        <f>C8*25%</f>
        <v>31292.252128339569</v>
      </c>
    </row>
    <row r="10" spans="2:10" x14ac:dyDescent="0.25">
      <c r="B10" s="6" t="s">
        <v>35</v>
      </c>
      <c r="C10" s="8">
        <f>'Partida - Otros costes'!J4</f>
        <v>835.5</v>
      </c>
      <c r="F10" s="2"/>
    </row>
    <row r="11" spans="2:10" x14ac:dyDescent="0.25">
      <c r="B11" s="7" t="s">
        <v>37</v>
      </c>
      <c r="C11" s="2">
        <f>C8-C9-C10</f>
        <v>59173.508513358276</v>
      </c>
      <c r="F11" s="2">
        <f>F8+F9</f>
        <v>32127.752128339569</v>
      </c>
    </row>
    <row r="13" spans="2:10" ht="26.25" x14ac:dyDescent="0.4">
      <c r="B13" s="5" t="s">
        <v>38</v>
      </c>
    </row>
    <row r="15" spans="2:10" x14ac:dyDescent="0.25">
      <c r="B15" s="6" t="s">
        <v>2</v>
      </c>
      <c r="C15" s="2">
        <f>C11</f>
        <v>59173.508513358276</v>
      </c>
      <c r="D15">
        <v>100</v>
      </c>
    </row>
    <row r="16" spans="2:10" x14ac:dyDescent="0.25">
      <c r="B16" s="6" t="s">
        <v>39</v>
      </c>
      <c r="C16" s="2">
        <f>F11</f>
        <v>32127.752128339569</v>
      </c>
      <c r="D16" s="3" t="s">
        <v>40</v>
      </c>
      <c r="E16" s="4">
        <f>((C16*D15)/C15)/100</f>
        <v>0.54294147728432907</v>
      </c>
    </row>
    <row r="19" spans="2:15" ht="26.25" x14ac:dyDescent="0.4">
      <c r="B19" s="5" t="s">
        <v>41</v>
      </c>
      <c r="I19" s="5" t="s">
        <v>42</v>
      </c>
    </row>
    <row r="21" spans="2:15" x14ac:dyDescent="0.25">
      <c r="B21" s="6" t="s">
        <v>1</v>
      </c>
      <c r="C21" s="1" t="s">
        <v>43</v>
      </c>
      <c r="D21" s="1" t="s">
        <v>44</v>
      </c>
      <c r="E21" s="1" t="s">
        <v>45</v>
      </c>
      <c r="F21" s="1" t="s">
        <v>2</v>
      </c>
      <c r="I21" s="136" t="s">
        <v>1</v>
      </c>
      <c r="J21" s="137" t="s">
        <v>46</v>
      </c>
      <c r="K21" s="137" t="s">
        <v>43</v>
      </c>
      <c r="L21" s="137" t="s">
        <v>44</v>
      </c>
      <c r="M21" s="137" t="s">
        <v>45</v>
      </c>
      <c r="N21" s="138" t="s">
        <v>3</v>
      </c>
      <c r="O21" s="138" t="s">
        <v>47</v>
      </c>
    </row>
    <row r="22" spans="2:15" x14ac:dyDescent="0.25">
      <c r="B22" t="s">
        <v>4</v>
      </c>
      <c r="C22" s="2">
        <f>'Partida - Documentación y GP'!J35</f>
        <v>6097.5423510265409</v>
      </c>
      <c r="D22" s="4">
        <f t="shared" ref="D22:D27" si="0">$E$16</f>
        <v>0.54294147728432907</v>
      </c>
      <c r="E22" s="2">
        <f t="shared" ref="E22:E28" si="1">C22*D22</f>
        <v>3310.6086518701113</v>
      </c>
      <c r="F22" s="2">
        <f t="shared" ref="F22:F28" si="2">C22+E22</f>
        <v>9408.1510028966513</v>
      </c>
      <c r="I22" s="144" t="s">
        <v>4</v>
      </c>
      <c r="J22" s="118"/>
      <c r="K22" s="145">
        <f>SUM(J23:J25)</f>
        <v>6097.54235102654</v>
      </c>
      <c r="L22" s="133"/>
      <c r="M22" s="134"/>
      <c r="N22" s="134"/>
      <c r="O22" s="146">
        <f>N23+N24+N25</f>
        <v>9408.1510028966513</v>
      </c>
    </row>
    <row r="23" spans="2:15" x14ac:dyDescent="0.25">
      <c r="B23" t="s">
        <v>5</v>
      </c>
      <c r="C23" s="2">
        <f>'Partida - Análisis de requisito'!J4</f>
        <v>4216.84853947588</v>
      </c>
      <c r="D23" s="4">
        <f t="shared" si="0"/>
        <v>0.54294147728432907</v>
      </c>
      <c r="E23" s="2">
        <f t="shared" si="1"/>
        <v>2289.5019755072999</v>
      </c>
      <c r="F23" s="2">
        <f t="shared" si="2"/>
        <v>6506.3505149831799</v>
      </c>
      <c r="I23" s="126" t="s">
        <v>6</v>
      </c>
      <c r="J23" s="120">
        <f>'Partida - Manuales de Usuario'!J4</f>
        <v>232.56655399766319</v>
      </c>
      <c r="K23" s="114"/>
      <c r="L23" s="133">
        <f>$E$16</f>
        <v>0.54294147728432907</v>
      </c>
      <c r="M23" s="135">
        <f>L23*J23</f>
        <v>126.27002839441694</v>
      </c>
      <c r="N23" s="134">
        <f>J23+M23</f>
        <v>358.83658239208012</v>
      </c>
      <c r="O23" s="134"/>
    </row>
    <row r="24" spans="2:15" x14ac:dyDescent="0.25">
      <c r="B24" t="s">
        <v>7</v>
      </c>
      <c r="C24" s="2">
        <f>'Partida - Diseño y Arquitectura'!J4</f>
        <v>4446.5232628704971</v>
      </c>
      <c r="D24" s="4">
        <f t="shared" si="0"/>
        <v>0.54294147728432907</v>
      </c>
      <c r="E24" s="2">
        <f t="shared" si="1"/>
        <v>2414.2019091220427</v>
      </c>
      <c r="F24" s="2">
        <f t="shared" si="2"/>
        <v>6860.7251719925398</v>
      </c>
      <c r="I24" s="127" t="s">
        <v>8</v>
      </c>
      <c r="J24" s="118">
        <f>'Partida - Documentación y GP'!J4</f>
        <v>1006.9394335550946</v>
      </c>
      <c r="K24" s="112"/>
      <c r="L24" s="133">
        <f>$E$16</f>
        <v>0.54294147728432907</v>
      </c>
      <c r="M24" s="135">
        <f>L24*J24</f>
        <v>546.70918359024859</v>
      </c>
      <c r="N24" s="134">
        <f>J24+M24</f>
        <v>1553.6486171453432</v>
      </c>
      <c r="O24" s="134"/>
    </row>
    <row r="25" spans="2:15" x14ac:dyDescent="0.25">
      <c r="B25" t="s">
        <v>11</v>
      </c>
      <c r="C25" s="2">
        <f>K28</f>
        <v>25165.192990837448</v>
      </c>
      <c r="D25" s="4">
        <f t="shared" si="0"/>
        <v>0.54294147728432907</v>
      </c>
      <c r="E25" s="2">
        <f t="shared" si="1"/>
        <v>13663.227058590528</v>
      </c>
      <c r="F25" s="2">
        <f t="shared" si="2"/>
        <v>38828.420049427979</v>
      </c>
      <c r="I25" s="126" t="s">
        <v>12</v>
      </c>
      <c r="J25" s="120">
        <f>'Partida - Documentación y GP'!J17</f>
        <v>4858.0363634737823</v>
      </c>
      <c r="K25" s="114"/>
      <c r="L25" s="133">
        <f>$E$16</f>
        <v>0.54294147728432907</v>
      </c>
      <c r="M25" s="135">
        <f>L25*J25</f>
        <v>2637.6294398854452</v>
      </c>
      <c r="N25" s="134">
        <f>J25+M25</f>
        <v>7495.6658033592275</v>
      </c>
      <c r="O25" s="134"/>
    </row>
    <row r="26" spans="2:15" x14ac:dyDescent="0.25">
      <c r="B26" t="s">
        <v>14</v>
      </c>
      <c r="C26" s="2">
        <f>K36</f>
        <v>2531.3077859825453</v>
      </c>
      <c r="D26" s="4">
        <f t="shared" si="0"/>
        <v>0.54294147728432907</v>
      </c>
      <c r="E26" s="2">
        <f t="shared" si="1"/>
        <v>1374.3519887826874</v>
      </c>
      <c r="F26" s="2">
        <f t="shared" si="2"/>
        <v>3905.6597747652327</v>
      </c>
      <c r="I26" s="144" t="s">
        <v>5</v>
      </c>
      <c r="J26" s="149"/>
      <c r="K26" s="145">
        <f>'Partida - Análisis de requisito'!J4</f>
        <v>4216.84853947588</v>
      </c>
      <c r="L26" s="148">
        <f>$E$16</f>
        <v>0.54294147728432907</v>
      </c>
      <c r="M26" s="146">
        <f>L26*K26</f>
        <v>2289.5019755072999</v>
      </c>
      <c r="N26" s="146"/>
      <c r="O26" s="146">
        <f>K26+M26</f>
        <v>6506.3505149831799</v>
      </c>
    </row>
    <row r="27" spans="2:15" x14ac:dyDescent="0.25">
      <c r="B27" t="s">
        <v>16</v>
      </c>
      <c r="C27" s="2">
        <f>K37</f>
        <v>3084.4028468297684</v>
      </c>
      <c r="D27" s="4">
        <f t="shared" si="0"/>
        <v>0.54294147728432907</v>
      </c>
      <c r="E27" s="2">
        <f t="shared" si="1"/>
        <v>1674.6502381977446</v>
      </c>
      <c r="F27" s="2">
        <f t="shared" si="2"/>
        <v>4759.0530850275127</v>
      </c>
      <c r="I27" s="147" t="s">
        <v>7</v>
      </c>
      <c r="J27" s="150"/>
      <c r="K27" s="151">
        <f>'Partida - Diseño y Arquitectura'!J4</f>
        <v>4446.5232628704971</v>
      </c>
      <c r="L27" s="148">
        <f>$E$16</f>
        <v>0.54294147728432907</v>
      </c>
      <c r="M27" s="146">
        <f>L27*K27</f>
        <v>2414.2019091220427</v>
      </c>
      <c r="N27" s="146"/>
      <c r="O27" s="146">
        <f>K27+M27</f>
        <v>6860.7251719925398</v>
      </c>
    </row>
    <row r="28" spans="2:15" x14ac:dyDescent="0.25">
      <c r="B28" t="s">
        <v>18</v>
      </c>
      <c r="C28" s="2">
        <f>C9</f>
        <v>65160</v>
      </c>
      <c r="D28" s="4">
        <v>0</v>
      </c>
      <c r="E28" s="2">
        <f t="shared" si="1"/>
        <v>0</v>
      </c>
      <c r="F28" s="2">
        <f t="shared" si="2"/>
        <v>65160</v>
      </c>
      <c r="I28" s="144" t="s">
        <v>19</v>
      </c>
      <c r="J28" s="118"/>
      <c r="K28" s="145">
        <f>SUM(J29:J35)</f>
        <v>25165.192990837448</v>
      </c>
      <c r="L28" s="148"/>
      <c r="M28" s="146"/>
      <c r="N28" s="146"/>
      <c r="O28" s="146">
        <f>SUM(N29:N35)</f>
        <v>38828.420049427972</v>
      </c>
    </row>
    <row r="29" spans="2:15" x14ac:dyDescent="0.25">
      <c r="C29" s="2"/>
      <c r="D29" s="4"/>
      <c r="E29" s="2"/>
      <c r="F29" s="2"/>
      <c r="I29" s="126" t="s">
        <v>15</v>
      </c>
      <c r="J29" s="120">
        <f>'Partida -  Int. Sist. Centrales'!J4</f>
        <v>2940.7836254381577</v>
      </c>
      <c r="K29" s="114"/>
      <c r="L29" s="133">
        <f t="shared" ref="L29:L36" si="3">$E$16</f>
        <v>0.54294147728432907</v>
      </c>
      <c r="M29" s="135">
        <f t="shared" ref="M29:M35" si="4">L29*J29</f>
        <v>1596.6734059689584</v>
      </c>
      <c r="N29" s="134">
        <f t="shared" ref="N29:N35" si="5">J29+M29</f>
        <v>4537.4570314071161</v>
      </c>
      <c r="O29" s="134"/>
    </row>
    <row r="30" spans="2:15" x14ac:dyDescent="0.25">
      <c r="E30" s="154" t="s">
        <v>48</v>
      </c>
      <c r="F30" s="155">
        <f>SUM(F22:F28)</f>
        <v>135428.35959909309</v>
      </c>
      <c r="I30" s="127" t="s">
        <v>17</v>
      </c>
      <c r="J30" s="118">
        <f>'Partida - Sistema mensajería'!J4</f>
        <v>4219.7403700789282</v>
      </c>
      <c r="K30" s="112"/>
      <c r="L30" s="133">
        <f t="shared" si="3"/>
        <v>0.54294147728432907</v>
      </c>
      <c r="M30" s="135">
        <f t="shared" si="4"/>
        <v>2291.0720702869748</v>
      </c>
      <c r="N30" s="134">
        <f t="shared" si="5"/>
        <v>6510.8124403659031</v>
      </c>
      <c r="O30" s="134"/>
    </row>
    <row r="31" spans="2:15" x14ac:dyDescent="0.25">
      <c r="I31" s="126" t="s">
        <v>20</v>
      </c>
      <c r="J31" s="120">
        <f>'Partida - Gestión de usuarios'!J4</f>
        <v>4899.0105145813959</v>
      </c>
      <c r="K31" s="114"/>
      <c r="L31" s="133">
        <f t="shared" si="3"/>
        <v>0.54294147728432907</v>
      </c>
      <c r="M31" s="135">
        <f t="shared" si="4"/>
        <v>2659.8760060182844</v>
      </c>
      <c r="N31" s="134">
        <f t="shared" si="5"/>
        <v>7558.8865205996808</v>
      </c>
      <c r="O31" s="134"/>
    </row>
    <row r="32" spans="2:15" x14ac:dyDescent="0.25">
      <c r="I32" s="127" t="s">
        <v>21</v>
      </c>
      <c r="J32" s="118">
        <f>'Partida - Sistema de geo'!J4</f>
        <v>3386.0208473424423</v>
      </c>
      <c r="K32" s="112"/>
      <c r="L32" s="133">
        <f t="shared" si="3"/>
        <v>0.54294147728432907</v>
      </c>
      <c r="M32" s="135">
        <f t="shared" si="4"/>
        <v>1838.4111609716413</v>
      </c>
      <c r="N32" s="134">
        <f t="shared" si="5"/>
        <v>5224.4320083140838</v>
      </c>
      <c r="O32" s="134"/>
    </row>
    <row r="33" spans="9:15" x14ac:dyDescent="0.25">
      <c r="I33" s="126" t="s">
        <v>22</v>
      </c>
      <c r="J33" s="120">
        <f>'Partida - App Mensj y Alerts'!J4</f>
        <v>3258.7902229952078</v>
      </c>
      <c r="K33" s="114"/>
      <c r="L33" s="133">
        <f t="shared" si="3"/>
        <v>0.54294147728432907</v>
      </c>
      <c r="M33" s="135">
        <f t="shared" si="4"/>
        <v>1769.3323778327463</v>
      </c>
      <c r="N33" s="134">
        <f t="shared" si="5"/>
        <v>5028.1226008279536</v>
      </c>
      <c r="O33" s="134"/>
    </row>
    <row r="34" spans="9:15" x14ac:dyDescent="0.25">
      <c r="I34" s="127" t="s">
        <v>23</v>
      </c>
      <c r="J34" s="118">
        <f>'Partida - Dashboard de seguimie'!J4</f>
        <v>2779.7662684502948</v>
      </c>
      <c r="K34" s="112"/>
      <c r="L34" s="133">
        <f t="shared" si="3"/>
        <v>0.54294147728432907</v>
      </c>
      <c r="M34" s="135">
        <f t="shared" si="4"/>
        <v>1509.2504042975499</v>
      </c>
      <c r="N34" s="134">
        <f t="shared" si="5"/>
        <v>4289.0166727478445</v>
      </c>
      <c r="O34" s="134"/>
    </row>
    <row r="35" spans="9:15" x14ac:dyDescent="0.25">
      <c r="I35" s="126" t="s">
        <v>24</v>
      </c>
      <c r="J35" s="120">
        <f>'Partida - App usr. gest. emerg.'!J4</f>
        <v>3681.0811419510223</v>
      </c>
      <c r="K35" s="114"/>
      <c r="L35" s="133">
        <f t="shared" si="3"/>
        <v>0.54294147728432907</v>
      </c>
      <c r="M35" s="135">
        <f t="shared" si="4"/>
        <v>1998.6116332143731</v>
      </c>
      <c r="N35" s="134">
        <f t="shared" si="5"/>
        <v>5679.6927751653957</v>
      </c>
      <c r="O35" s="134"/>
    </row>
    <row r="36" spans="9:15" x14ac:dyDescent="0.25">
      <c r="I36" s="144" t="s">
        <v>14</v>
      </c>
      <c r="J36" s="118"/>
      <c r="K36" s="145">
        <f>'Partida - Pruebas y depuracion'!J4</f>
        <v>2531.3077859825453</v>
      </c>
      <c r="L36" s="148">
        <f t="shared" si="3"/>
        <v>0.54294147728432907</v>
      </c>
      <c r="M36" s="146">
        <f>L36*K36</f>
        <v>1374.3519887826874</v>
      </c>
      <c r="N36" s="134"/>
      <c r="O36" s="146">
        <f>K36+M36</f>
        <v>3905.6597747652327</v>
      </c>
    </row>
    <row r="37" spans="9:15" x14ac:dyDescent="0.25">
      <c r="I37" s="147" t="s">
        <v>16</v>
      </c>
      <c r="J37" s="120"/>
      <c r="K37" s="151">
        <f>SUM(J38:J41)</f>
        <v>3084.4028468297684</v>
      </c>
      <c r="L37" s="148"/>
      <c r="M37" s="146"/>
      <c r="N37" s="134"/>
      <c r="O37" s="146">
        <f>SUM(N38:N41)</f>
        <v>4759.0530850275136</v>
      </c>
    </row>
    <row r="38" spans="9:15" x14ac:dyDescent="0.25">
      <c r="I38" s="127" t="s">
        <v>26</v>
      </c>
      <c r="J38" s="118">
        <f>'Partida - Adquisición de hardwa'!J4</f>
        <v>86.156504101390183</v>
      </c>
      <c r="K38" s="112"/>
      <c r="L38" s="133">
        <f>$E$16</f>
        <v>0.54294147728432907</v>
      </c>
      <c r="M38" s="134">
        <f>L38*J38</f>
        <v>46.777939614462142</v>
      </c>
      <c r="N38" s="134">
        <f>J38+M38</f>
        <v>132.93444371585232</v>
      </c>
      <c r="O38" s="134"/>
    </row>
    <row r="39" spans="9:15" x14ac:dyDescent="0.25">
      <c r="I39" s="126" t="s">
        <v>27</v>
      </c>
      <c r="J39" s="120"/>
      <c r="K39" s="114"/>
      <c r="L39" s="133"/>
      <c r="M39" s="134"/>
      <c r="N39" s="134"/>
      <c r="O39" s="134"/>
    </row>
    <row r="40" spans="9:15" x14ac:dyDescent="0.25">
      <c r="I40" s="128" t="s">
        <v>28</v>
      </c>
      <c r="J40" s="118">
        <f>'Partida - Instalación hospitale'!L4</f>
        <v>2308.9943099172569</v>
      </c>
      <c r="K40" s="112"/>
      <c r="L40" s="133">
        <f>$E$16</f>
        <v>0.54294147728432907</v>
      </c>
      <c r="M40" s="134">
        <f>L40*J40</f>
        <v>1253.6487816675854</v>
      </c>
      <c r="N40" s="134">
        <f>J40+M40</f>
        <v>3562.6430915848423</v>
      </c>
      <c r="O40" s="134"/>
    </row>
    <row r="41" spans="9:15" x14ac:dyDescent="0.25">
      <c r="I41" s="129" t="s">
        <v>29</v>
      </c>
      <c r="J41" s="130">
        <f>'Partida - Instalación vehiculos'!J4</f>
        <v>689.25203281112135</v>
      </c>
      <c r="K41" s="131"/>
      <c r="L41" s="133">
        <f>$E$16</f>
        <v>0.54294147728432907</v>
      </c>
      <c r="M41" s="134">
        <f>L41*J41</f>
        <v>374.22351691569708</v>
      </c>
      <c r="N41" s="134">
        <f>J41+M41</f>
        <v>1063.4755497268184</v>
      </c>
      <c r="O41" s="134"/>
    </row>
    <row r="42" spans="9:15" x14ac:dyDescent="0.25">
      <c r="I42" s="147" t="s">
        <v>18</v>
      </c>
      <c r="J42" s="130"/>
      <c r="K42" s="132">
        <f>'Partida - Hardware '!H4</f>
        <v>65160</v>
      </c>
      <c r="L42" s="133"/>
      <c r="M42" s="134"/>
      <c r="N42" s="134"/>
      <c r="O42" s="146">
        <f>K42+M42</f>
        <v>65160</v>
      </c>
    </row>
    <row r="44" spans="9:15" x14ac:dyDescent="0.25">
      <c r="J44" s="142"/>
      <c r="K44" s="142"/>
      <c r="N44" s="152" t="s">
        <v>48</v>
      </c>
      <c r="O44" s="153">
        <f>SUM(Tabla3[Total2])</f>
        <v>135428.35959909309</v>
      </c>
    </row>
  </sheetData>
  <pageMargins left="0.7" right="0.7" top="0.75" bottom="0.75" header="0.3" footer="0.3"/>
  <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44691-9BDE-409E-9D4D-F3B836BCB384}">
  <sheetPr>
    <tabColor theme="4" tint="0.39997558519241921"/>
  </sheetPr>
  <dimension ref="A1:F68"/>
  <sheetViews>
    <sheetView topLeftCell="A46" workbookViewId="0">
      <selection activeCell="A52" sqref="A52:F66"/>
    </sheetView>
  </sheetViews>
  <sheetFormatPr baseColWidth="10" defaultColWidth="11" defaultRowHeight="15.75" x14ac:dyDescent="0.25"/>
  <cols>
    <col min="1" max="1" width="34.625" bestFit="1" customWidth="1"/>
    <col min="2" max="2" width="15.375" bestFit="1" customWidth="1"/>
    <col min="3" max="3" width="18.25" customWidth="1"/>
    <col min="4" max="4" width="15.75" customWidth="1"/>
    <col min="5" max="5" width="16.5" bestFit="1" customWidth="1"/>
    <col min="6" max="6" width="15.625" bestFit="1" customWidth="1"/>
    <col min="9" max="9" width="30.25" customWidth="1"/>
  </cols>
  <sheetData>
    <row r="1" spans="1:5" ht="23.25" x14ac:dyDescent="0.35">
      <c r="A1" s="199" t="s">
        <v>49</v>
      </c>
      <c r="B1" s="199"/>
      <c r="C1" s="199"/>
      <c r="D1" s="199"/>
      <c r="E1" s="199"/>
    </row>
    <row r="2" spans="1:5" x14ac:dyDescent="0.25">
      <c r="A2" s="79" t="s">
        <v>50</v>
      </c>
      <c r="B2" s="81" t="s">
        <v>51</v>
      </c>
      <c r="C2" s="81" t="s">
        <v>52</v>
      </c>
      <c r="D2" s="81" t="s">
        <v>53</v>
      </c>
      <c r="E2" s="79" t="s">
        <v>2</v>
      </c>
    </row>
    <row r="3" spans="1:5" x14ac:dyDescent="0.25">
      <c r="A3" s="52" t="s">
        <v>54</v>
      </c>
      <c r="B3" s="52">
        <v>1</v>
      </c>
      <c r="C3" s="53">
        <v>43200</v>
      </c>
      <c r="D3" s="54">
        <f>C3*1.3</f>
        <v>56160</v>
      </c>
      <c r="E3" s="54">
        <f>D3*B3</f>
        <v>56160</v>
      </c>
    </row>
    <row r="4" spans="1:5" x14ac:dyDescent="0.25">
      <c r="A4" s="52" t="s">
        <v>55</v>
      </c>
      <c r="B4" s="52">
        <v>2</v>
      </c>
      <c r="C4" s="54">
        <v>29000</v>
      </c>
      <c r="D4" s="54">
        <f t="shared" ref="D4:D13" si="0">C4*1.3</f>
        <v>37700</v>
      </c>
      <c r="E4" s="54">
        <f t="shared" ref="E4:E13" si="1">D4*B4</f>
        <v>75400</v>
      </c>
    </row>
    <row r="5" spans="1:5" x14ac:dyDescent="0.25">
      <c r="A5" s="16" t="s">
        <v>56</v>
      </c>
      <c r="B5" s="52">
        <v>1</v>
      </c>
      <c r="C5" s="54">
        <v>42000</v>
      </c>
      <c r="D5" s="54">
        <f>C5*1.3</f>
        <v>54600</v>
      </c>
      <c r="E5" s="54">
        <f>D5*B5</f>
        <v>54600</v>
      </c>
    </row>
    <row r="6" spans="1:5" x14ac:dyDescent="0.25">
      <c r="A6" s="16" t="s">
        <v>57</v>
      </c>
      <c r="B6" s="52">
        <v>1</v>
      </c>
      <c r="C6" s="53">
        <v>29232</v>
      </c>
      <c r="D6" s="54">
        <f>C6*1.3</f>
        <v>38001.599999999999</v>
      </c>
      <c r="E6" s="54">
        <f>D6*B6</f>
        <v>38001.599999999999</v>
      </c>
    </row>
    <row r="7" spans="1:5" x14ac:dyDescent="0.25">
      <c r="A7" s="16" t="s">
        <v>58</v>
      </c>
      <c r="B7" s="52">
        <v>1</v>
      </c>
      <c r="C7" s="54">
        <v>32000</v>
      </c>
      <c r="D7" s="54">
        <f t="shared" si="0"/>
        <v>41600</v>
      </c>
      <c r="E7" s="54">
        <f t="shared" si="1"/>
        <v>41600</v>
      </c>
    </row>
    <row r="8" spans="1:5" x14ac:dyDescent="0.25">
      <c r="A8" s="16" t="s">
        <v>59</v>
      </c>
      <c r="B8" s="52">
        <v>1</v>
      </c>
      <c r="C8" s="54">
        <v>38000</v>
      </c>
      <c r="D8" s="54">
        <f t="shared" si="0"/>
        <v>49400</v>
      </c>
      <c r="E8" s="54">
        <f t="shared" si="1"/>
        <v>49400</v>
      </c>
    </row>
    <row r="9" spans="1:5" x14ac:dyDescent="0.25">
      <c r="A9" s="16" t="s">
        <v>60</v>
      </c>
      <c r="B9" s="52">
        <v>1</v>
      </c>
      <c r="C9" s="54">
        <v>32000</v>
      </c>
      <c r="D9" s="54">
        <f t="shared" si="0"/>
        <v>41600</v>
      </c>
      <c r="E9" s="54">
        <f t="shared" si="1"/>
        <v>41600</v>
      </c>
    </row>
    <row r="10" spans="1:5" x14ac:dyDescent="0.25">
      <c r="A10" s="16" t="s">
        <v>61</v>
      </c>
      <c r="B10" s="52">
        <v>2</v>
      </c>
      <c r="C10" s="54">
        <v>30000</v>
      </c>
      <c r="D10" s="54">
        <f t="shared" si="0"/>
        <v>39000</v>
      </c>
      <c r="E10" s="54">
        <f t="shared" si="1"/>
        <v>78000</v>
      </c>
    </row>
    <row r="11" spans="1:5" x14ac:dyDescent="0.25">
      <c r="A11" s="16" t="s">
        <v>62</v>
      </c>
      <c r="B11" s="52">
        <v>2</v>
      </c>
      <c r="C11" s="54">
        <v>25200</v>
      </c>
      <c r="D11" s="54">
        <f t="shared" si="0"/>
        <v>32760</v>
      </c>
      <c r="E11" s="54">
        <f t="shared" si="1"/>
        <v>65520</v>
      </c>
    </row>
    <row r="12" spans="1:5" x14ac:dyDescent="0.25">
      <c r="A12" s="16" t="s">
        <v>63</v>
      </c>
      <c r="B12" s="52">
        <v>1</v>
      </c>
      <c r="C12" s="54">
        <v>26025</v>
      </c>
      <c r="D12" s="54">
        <f t="shared" si="0"/>
        <v>33832.5</v>
      </c>
      <c r="E12" s="54">
        <f t="shared" si="1"/>
        <v>33832.5</v>
      </c>
    </row>
    <row r="13" spans="1:5" x14ac:dyDescent="0.25">
      <c r="A13" s="16" t="s">
        <v>64</v>
      </c>
      <c r="B13" s="52">
        <v>1</v>
      </c>
      <c r="C13" s="54">
        <v>27103</v>
      </c>
      <c r="D13" s="54">
        <f t="shared" si="0"/>
        <v>35233.9</v>
      </c>
      <c r="E13" s="54">
        <f t="shared" si="1"/>
        <v>35233.9</v>
      </c>
    </row>
    <row r="14" spans="1:5" x14ac:dyDescent="0.25">
      <c r="A14" s="196"/>
      <c r="B14" s="197"/>
      <c r="C14" s="197"/>
      <c r="D14" s="197"/>
      <c r="E14" s="198"/>
    </row>
    <row r="15" spans="1:5" x14ac:dyDescent="0.25">
      <c r="A15" s="59" t="s">
        <v>48</v>
      </c>
      <c r="B15" s="59">
        <f>SUM(B3:B13)</f>
        <v>14</v>
      </c>
      <c r="C15" s="59"/>
      <c r="D15" s="59"/>
      <c r="E15" s="60">
        <f>SUM(E3:E13)</f>
        <v>569348</v>
      </c>
    </row>
    <row r="18" spans="1:6" ht="21" x14ac:dyDescent="0.35">
      <c r="A18" s="200" t="s">
        <v>65</v>
      </c>
      <c r="B18" s="201"/>
      <c r="C18" s="201"/>
      <c r="D18" s="201"/>
      <c r="E18" s="201"/>
      <c r="F18" s="202"/>
    </row>
    <row r="19" spans="1:6" x14ac:dyDescent="0.25">
      <c r="A19" s="79" t="s">
        <v>50</v>
      </c>
      <c r="B19" s="34" t="s">
        <v>2</v>
      </c>
      <c r="C19" s="34" t="s">
        <v>66</v>
      </c>
      <c r="D19" s="34" t="s">
        <v>67</v>
      </c>
      <c r="E19" s="34" t="s">
        <v>68</v>
      </c>
      <c r="F19" s="80" t="s">
        <v>69</v>
      </c>
    </row>
    <row r="20" spans="1:6" x14ac:dyDescent="0.25">
      <c r="A20" s="52" t="s">
        <v>54</v>
      </c>
      <c r="B20" s="54">
        <f t="shared" ref="B20:B30" si="2">E3</f>
        <v>56160</v>
      </c>
      <c r="C20" s="55">
        <v>0</v>
      </c>
      <c r="D20" s="54">
        <f>B20*C20</f>
        <v>0</v>
      </c>
      <c r="E20" s="56">
        <f>100%-C20</f>
        <v>1</v>
      </c>
      <c r="F20" s="54">
        <f t="shared" ref="F20:F30" si="3">B20*E20</f>
        <v>56160</v>
      </c>
    </row>
    <row r="21" spans="1:6" x14ac:dyDescent="0.25">
      <c r="A21" s="52" t="s">
        <v>55</v>
      </c>
      <c r="B21" s="54">
        <f t="shared" si="2"/>
        <v>75400</v>
      </c>
      <c r="C21" s="55">
        <v>0</v>
      </c>
      <c r="D21" s="54">
        <f t="shared" ref="D21:D30" si="4">B21*C21</f>
        <v>0</v>
      </c>
      <c r="E21" s="56">
        <f t="shared" ref="E21:E30" si="5">100%-C21</f>
        <v>1</v>
      </c>
      <c r="F21" s="54">
        <f t="shared" si="3"/>
        <v>75400</v>
      </c>
    </row>
    <row r="22" spans="1:6" x14ac:dyDescent="0.25">
      <c r="A22" s="16" t="s">
        <v>56</v>
      </c>
      <c r="B22" s="54">
        <f t="shared" si="2"/>
        <v>54600</v>
      </c>
      <c r="C22" s="55">
        <v>0.85</v>
      </c>
      <c r="D22" s="54">
        <f>B22*C22</f>
        <v>46410</v>
      </c>
      <c r="E22" s="56">
        <f>100%-C22</f>
        <v>0.15000000000000002</v>
      </c>
      <c r="F22" s="54">
        <f t="shared" si="3"/>
        <v>8190.0000000000009</v>
      </c>
    </row>
    <row r="23" spans="1:6" x14ac:dyDescent="0.25">
      <c r="A23" s="52" t="s">
        <v>57</v>
      </c>
      <c r="B23" s="54">
        <f t="shared" si="2"/>
        <v>38001.599999999999</v>
      </c>
      <c r="C23" s="55">
        <v>0.7</v>
      </c>
      <c r="D23" s="54">
        <f>B23*C23</f>
        <v>26601.119999999999</v>
      </c>
      <c r="E23" s="56">
        <f>100%-C23</f>
        <v>0.30000000000000004</v>
      </c>
      <c r="F23" s="54">
        <f t="shared" si="3"/>
        <v>11400.480000000001</v>
      </c>
    </row>
    <row r="24" spans="1:6" x14ac:dyDescent="0.25">
      <c r="A24" s="16" t="s">
        <v>58</v>
      </c>
      <c r="B24" s="54">
        <f t="shared" si="2"/>
        <v>41600</v>
      </c>
      <c r="C24" s="55">
        <v>0.4</v>
      </c>
      <c r="D24" s="54">
        <f t="shared" si="4"/>
        <v>16640</v>
      </c>
      <c r="E24" s="56">
        <f t="shared" si="5"/>
        <v>0.6</v>
      </c>
      <c r="F24" s="54">
        <f t="shared" si="3"/>
        <v>24960</v>
      </c>
    </row>
    <row r="25" spans="1:6" x14ac:dyDescent="0.25">
      <c r="A25" s="16" t="s">
        <v>59</v>
      </c>
      <c r="B25" s="54">
        <f t="shared" si="2"/>
        <v>49400</v>
      </c>
      <c r="C25" s="55">
        <v>0.75</v>
      </c>
      <c r="D25" s="54">
        <f t="shared" si="4"/>
        <v>37050</v>
      </c>
      <c r="E25" s="56">
        <f t="shared" si="5"/>
        <v>0.25</v>
      </c>
      <c r="F25" s="54">
        <f t="shared" si="3"/>
        <v>12350</v>
      </c>
    </row>
    <row r="26" spans="1:6" x14ac:dyDescent="0.25">
      <c r="A26" s="16" t="s">
        <v>60</v>
      </c>
      <c r="B26" s="54">
        <f t="shared" si="2"/>
        <v>41600</v>
      </c>
      <c r="C26" s="55">
        <v>0.75</v>
      </c>
      <c r="D26" s="54">
        <f t="shared" si="4"/>
        <v>31200</v>
      </c>
      <c r="E26" s="56">
        <f t="shared" si="5"/>
        <v>0.25</v>
      </c>
      <c r="F26" s="54">
        <f t="shared" si="3"/>
        <v>10400</v>
      </c>
    </row>
    <row r="27" spans="1:6" x14ac:dyDescent="0.25">
      <c r="A27" s="16" t="s">
        <v>61</v>
      </c>
      <c r="B27" s="54">
        <f t="shared" si="2"/>
        <v>78000</v>
      </c>
      <c r="C27" s="55">
        <v>0.8</v>
      </c>
      <c r="D27" s="54">
        <f t="shared" si="4"/>
        <v>62400</v>
      </c>
      <c r="E27" s="56">
        <f t="shared" si="5"/>
        <v>0.19999999999999996</v>
      </c>
      <c r="F27" s="54">
        <f t="shared" si="3"/>
        <v>15599.999999999996</v>
      </c>
    </row>
    <row r="28" spans="1:6" x14ac:dyDescent="0.25">
      <c r="A28" s="16" t="s">
        <v>62</v>
      </c>
      <c r="B28" s="54">
        <f t="shared" si="2"/>
        <v>65520</v>
      </c>
      <c r="C28" s="55">
        <v>0.85</v>
      </c>
      <c r="D28" s="54">
        <f t="shared" si="4"/>
        <v>55692</v>
      </c>
      <c r="E28" s="56">
        <f t="shared" si="5"/>
        <v>0.15000000000000002</v>
      </c>
      <c r="F28" s="54">
        <f t="shared" si="3"/>
        <v>9828.0000000000018</v>
      </c>
    </row>
    <row r="29" spans="1:6" x14ac:dyDescent="0.25">
      <c r="A29" s="16" t="s">
        <v>63</v>
      </c>
      <c r="B29" s="54">
        <f t="shared" si="2"/>
        <v>33832.5</v>
      </c>
      <c r="C29" s="55">
        <v>0.8</v>
      </c>
      <c r="D29" s="54">
        <f t="shared" si="4"/>
        <v>27066</v>
      </c>
      <c r="E29" s="56">
        <f t="shared" si="5"/>
        <v>0.19999999999999996</v>
      </c>
      <c r="F29" s="54">
        <f t="shared" si="3"/>
        <v>6766.4999999999982</v>
      </c>
    </row>
    <row r="30" spans="1:6" x14ac:dyDescent="0.25">
      <c r="A30" s="16" t="s">
        <v>64</v>
      </c>
      <c r="B30" s="54">
        <f t="shared" si="2"/>
        <v>35233.9</v>
      </c>
      <c r="C30" s="55">
        <v>0.7</v>
      </c>
      <c r="D30" s="54">
        <f t="shared" si="4"/>
        <v>24663.73</v>
      </c>
      <c r="E30" s="56">
        <f t="shared" si="5"/>
        <v>0.30000000000000004</v>
      </c>
      <c r="F30" s="54">
        <f t="shared" si="3"/>
        <v>10570.170000000002</v>
      </c>
    </row>
    <row r="31" spans="1:6" x14ac:dyDescent="0.25">
      <c r="A31" s="196"/>
      <c r="B31" s="197"/>
      <c r="C31" s="197"/>
      <c r="D31" s="197"/>
      <c r="E31" s="197"/>
      <c r="F31" s="198"/>
    </row>
    <row r="32" spans="1:6" x14ac:dyDescent="0.25">
      <c r="A32" s="59" t="s">
        <v>48</v>
      </c>
      <c r="B32" s="60">
        <f>SUM(B20:B31)</f>
        <v>569348</v>
      </c>
      <c r="C32" s="59"/>
      <c r="D32" s="60">
        <f>SUM(D20:D31)</f>
        <v>327722.84999999998</v>
      </c>
      <c r="E32" s="59"/>
      <c r="F32" s="60">
        <f>SUM(F19:F30)</f>
        <v>241625.15000000002</v>
      </c>
    </row>
    <row r="35" spans="1:6" ht="21" x14ac:dyDescent="0.35">
      <c r="A35" s="203" t="s">
        <v>70</v>
      </c>
      <c r="B35" s="203"/>
      <c r="C35" s="203"/>
      <c r="D35" s="203"/>
      <c r="E35" s="203"/>
    </row>
    <row r="36" spans="1:6" ht="63" x14ac:dyDescent="0.25">
      <c r="A36" s="79" t="s">
        <v>50</v>
      </c>
      <c r="B36" s="79" t="s">
        <v>71</v>
      </c>
      <c r="C36" s="79" t="s">
        <v>72</v>
      </c>
      <c r="D36" s="82" t="s">
        <v>73</v>
      </c>
      <c r="E36" s="82" t="s">
        <v>74</v>
      </c>
      <c r="F36" s="10"/>
    </row>
    <row r="37" spans="1:6" x14ac:dyDescent="0.25">
      <c r="A37" s="52" t="s">
        <v>54</v>
      </c>
      <c r="B37" s="55">
        <f t="shared" ref="B37:B47" si="6">C20</f>
        <v>0</v>
      </c>
      <c r="C37" s="16">
        <v>1997</v>
      </c>
      <c r="D37" s="16">
        <f>B37*C37</f>
        <v>0</v>
      </c>
      <c r="E37" s="16">
        <f t="shared" ref="E37:E47" si="7">B3*D37</f>
        <v>0</v>
      </c>
    </row>
    <row r="38" spans="1:6" x14ac:dyDescent="0.25">
      <c r="A38" s="52" t="s">
        <v>55</v>
      </c>
      <c r="B38" s="55">
        <f t="shared" si="6"/>
        <v>0</v>
      </c>
      <c r="C38" s="16">
        <v>1997</v>
      </c>
      <c r="D38" s="16">
        <f t="shared" ref="D38:D47" si="8">B38*C38</f>
        <v>0</v>
      </c>
      <c r="E38" s="16">
        <f t="shared" si="7"/>
        <v>0</v>
      </c>
    </row>
    <row r="39" spans="1:6" x14ac:dyDescent="0.25">
      <c r="A39" s="16" t="s">
        <v>56</v>
      </c>
      <c r="B39" s="55">
        <f t="shared" si="6"/>
        <v>0.85</v>
      </c>
      <c r="C39" s="16">
        <v>1997</v>
      </c>
      <c r="D39" s="16">
        <f>B39*C39</f>
        <v>1697.45</v>
      </c>
      <c r="E39" s="16">
        <f t="shared" si="7"/>
        <v>1697.45</v>
      </c>
    </row>
    <row r="40" spans="1:6" x14ac:dyDescent="0.25">
      <c r="A40" s="52" t="s">
        <v>57</v>
      </c>
      <c r="B40" s="55">
        <f t="shared" si="6"/>
        <v>0.7</v>
      </c>
      <c r="C40" s="16">
        <v>1997</v>
      </c>
      <c r="D40" s="16">
        <f t="shared" si="8"/>
        <v>1397.8999999999999</v>
      </c>
      <c r="E40" s="16">
        <f t="shared" si="7"/>
        <v>1397.8999999999999</v>
      </c>
    </row>
    <row r="41" spans="1:6" x14ac:dyDescent="0.25">
      <c r="A41" s="16" t="s">
        <v>58</v>
      </c>
      <c r="B41" s="55">
        <f t="shared" si="6"/>
        <v>0.4</v>
      </c>
      <c r="C41" s="16">
        <v>1997</v>
      </c>
      <c r="D41" s="16">
        <f t="shared" si="8"/>
        <v>798.80000000000007</v>
      </c>
      <c r="E41" s="16">
        <f t="shared" si="7"/>
        <v>798.80000000000007</v>
      </c>
    </row>
    <row r="42" spans="1:6" x14ac:dyDescent="0.25">
      <c r="A42" s="16" t="s">
        <v>59</v>
      </c>
      <c r="B42" s="55">
        <f t="shared" si="6"/>
        <v>0.75</v>
      </c>
      <c r="C42" s="16">
        <v>1997</v>
      </c>
      <c r="D42" s="16">
        <f t="shared" si="8"/>
        <v>1497.75</v>
      </c>
      <c r="E42" s="16">
        <f t="shared" si="7"/>
        <v>1497.75</v>
      </c>
    </row>
    <row r="43" spans="1:6" x14ac:dyDescent="0.25">
      <c r="A43" s="16" t="s">
        <v>60</v>
      </c>
      <c r="B43" s="55">
        <f t="shared" si="6"/>
        <v>0.75</v>
      </c>
      <c r="C43" s="16">
        <v>1997</v>
      </c>
      <c r="D43" s="16">
        <f t="shared" si="8"/>
        <v>1497.75</v>
      </c>
      <c r="E43" s="16">
        <f t="shared" si="7"/>
        <v>1497.75</v>
      </c>
    </row>
    <row r="44" spans="1:6" x14ac:dyDescent="0.25">
      <c r="A44" s="16" t="s">
        <v>61</v>
      </c>
      <c r="B44" s="55">
        <f t="shared" si="6"/>
        <v>0.8</v>
      </c>
      <c r="C44" s="16">
        <v>1997</v>
      </c>
      <c r="D44" s="16">
        <f t="shared" si="8"/>
        <v>1597.6000000000001</v>
      </c>
      <c r="E44" s="16">
        <f t="shared" si="7"/>
        <v>3195.2000000000003</v>
      </c>
    </row>
    <row r="45" spans="1:6" x14ac:dyDescent="0.25">
      <c r="A45" s="16" t="s">
        <v>62</v>
      </c>
      <c r="B45" s="55">
        <f t="shared" si="6"/>
        <v>0.85</v>
      </c>
      <c r="C45" s="16">
        <v>1997</v>
      </c>
      <c r="D45" s="16">
        <f t="shared" si="8"/>
        <v>1697.45</v>
      </c>
      <c r="E45" s="16">
        <f t="shared" si="7"/>
        <v>3394.9</v>
      </c>
    </row>
    <row r="46" spans="1:6" x14ac:dyDescent="0.25">
      <c r="A46" s="16" t="s">
        <v>63</v>
      </c>
      <c r="B46" s="55">
        <f t="shared" si="6"/>
        <v>0.8</v>
      </c>
      <c r="C46" s="16">
        <v>1997</v>
      </c>
      <c r="D46" s="16">
        <f t="shared" si="8"/>
        <v>1597.6000000000001</v>
      </c>
      <c r="E46" s="16">
        <f t="shared" si="7"/>
        <v>1597.6000000000001</v>
      </c>
    </row>
    <row r="47" spans="1:6" x14ac:dyDescent="0.25">
      <c r="A47" s="16" t="s">
        <v>64</v>
      </c>
      <c r="B47" s="55">
        <f t="shared" si="6"/>
        <v>0.7</v>
      </c>
      <c r="C47" s="16">
        <v>1997</v>
      </c>
      <c r="D47" s="16">
        <f t="shared" si="8"/>
        <v>1397.8999999999999</v>
      </c>
      <c r="E47" s="16">
        <f t="shared" si="7"/>
        <v>1397.8999999999999</v>
      </c>
    </row>
    <row r="48" spans="1:6" x14ac:dyDescent="0.25">
      <c r="A48" s="196"/>
      <c r="B48" s="197"/>
      <c r="C48" s="197"/>
      <c r="D48" s="197"/>
      <c r="E48" s="198"/>
    </row>
    <row r="49" spans="1:6" x14ac:dyDescent="0.25">
      <c r="A49" s="59" t="s">
        <v>48</v>
      </c>
      <c r="B49" s="59"/>
      <c r="C49" s="59"/>
      <c r="D49" s="59"/>
      <c r="E49" s="59">
        <f>SUM(E37:E48)</f>
        <v>16475.25</v>
      </c>
    </row>
    <row r="52" spans="1:6" ht="21" x14ac:dyDescent="0.35">
      <c r="A52" s="200" t="s">
        <v>75</v>
      </c>
      <c r="B52" s="201"/>
      <c r="C52" s="201"/>
      <c r="D52" s="201"/>
      <c r="E52" s="201"/>
      <c r="F52" s="202"/>
    </row>
    <row r="53" spans="1:6" ht="31.5" x14ac:dyDescent="0.25">
      <c r="A53" s="79" t="s">
        <v>50</v>
      </c>
      <c r="B53" s="82" t="s">
        <v>76</v>
      </c>
      <c r="C53" s="82" t="s">
        <v>77</v>
      </c>
      <c r="D53" s="79" t="s">
        <v>78</v>
      </c>
      <c r="E53" s="82"/>
      <c r="F53" s="82" t="s">
        <v>79</v>
      </c>
    </row>
    <row r="54" spans="1:6" x14ac:dyDescent="0.25">
      <c r="A54" s="52" t="s">
        <v>54</v>
      </c>
      <c r="B54" s="54">
        <f>(D3+('Definición de empresa-resumen'!$C$6)/$B$15)/C37</f>
        <v>44.941369792784414</v>
      </c>
      <c r="C54" s="16">
        <f t="shared" ref="C54:C64" si="9">E37</f>
        <v>0</v>
      </c>
      <c r="D54" s="19">
        <f>F54*C54*B3</f>
        <v>0</v>
      </c>
      <c r="E54" s="16"/>
      <c r="F54" s="54">
        <f>B54*1.25</f>
        <v>56.176712240980521</v>
      </c>
    </row>
    <row r="55" spans="1:6" x14ac:dyDescent="0.25">
      <c r="A55" s="52" t="s">
        <v>55</v>
      </c>
      <c r="B55" s="54">
        <f>(D4+('Definición de empresa-resumen'!$C$6)/$B$15)/C38</f>
        <v>35.697503994086368</v>
      </c>
      <c r="C55" s="16">
        <f t="shared" si="9"/>
        <v>0</v>
      </c>
      <c r="D55" s="19">
        <f t="shared" ref="D55:D64" si="10">F55*C55*B4</f>
        <v>0</v>
      </c>
      <c r="E55" s="16"/>
      <c r="F55" s="54">
        <f t="shared" ref="F55:F64" si="11">B55*1.25</f>
        <v>44.621879992607958</v>
      </c>
    </row>
    <row r="56" spans="1:6" x14ac:dyDescent="0.25">
      <c r="A56" s="16" t="s">
        <v>56</v>
      </c>
      <c r="B56" s="54">
        <f>(D5+('Definición de empresa-resumen'!$C$6)/$B$15)/C39</f>
        <v>44.160198035147964</v>
      </c>
      <c r="C56" s="16">
        <f t="shared" si="9"/>
        <v>1697.45</v>
      </c>
      <c r="D56" s="19">
        <f t="shared" si="10"/>
        <v>93699.660193452393</v>
      </c>
      <c r="E56" s="16"/>
      <c r="F56" s="54">
        <f t="shared" si="11"/>
        <v>55.200247543934957</v>
      </c>
    </row>
    <row r="57" spans="1:6" x14ac:dyDescent="0.25">
      <c r="A57" s="52" t="s">
        <v>57</v>
      </c>
      <c r="B57" s="54">
        <f>(D6+('Definición de empresa-resumen'!$C$6)/$B$15)/C40</f>
        <v>35.848530533896088</v>
      </c>
      <c r="C57" s="16">
        <f t="shared" si="9"/>
        <v>1397.8999999999999</v>
      </c>
      <c r="D57" s="19">
        <f t="shared" si="10"/>
        <v>62640.826041666667</v>
      </c>
      <c r="E57" s="16"/>
      <c r="F57" s="54">
        <f t="shared" si="11"/>
        <v>44.810663167370109</v>
      </c>
    </row>
    <row r="58" spans="1:6" x14ac:dyDescent="0.25">
      <c r="A58" s="16" t="s">
        <v>58</v>
      </c>
      <c r="B58" s="54">
        <f>(D7+('Definición de empresa-resumen'!$C$6)/$B$15)/C41</f>
        <v>37.650433388177504</v>
      </c>
      <c r="C58" s="16">
        <f t="shared" si="9"/>
        <v>798.80000000000007</v>
      </c>
      <c r="D58" s="19">
        <f t="shared" si="10"/>
        <v>37593.95773809524</v>
      </c>
      <c r="E58" s="16"/>
      <c r="F58" s="54">
        <f t="shared" si="11"/>
        <v>47.06304173522188</v>
      </c>
    </row>
    <row r="59" spans="1:6" x14ac:dyDescent="0.25">
      <c r="A59" s="16" t="s">
        <v>59</v>
      </c>
      <c r="B59" s="54">
        <f>(D8+('Definición de empresa-resumen'!$C$6)/$B$15)/C42</f>
        <v>41.556292176359783</v>
      </c>
      <c r="C59" s="16">
        <f t="shared" si="9"/>
        <v>1497.75</v>
      </c>
      <c r="D59" s="19">
        <f t="shared" si="10"/>
        <v>77801.17075892858</v>
      </c>
      <c r="E59" s="16"/>
      <c r="F59" s="54">
        <f t="shared" si="11"/>
        <v>51.94536522044973</v>
      </c>
    </row>
    <row r="60" spans="1:6" x14ac:dyDescent="0.25">
      <c r="A60" s="16" t="s">
        <v>60</v>
      </c>
      <c r="B60" s="54">
        <f>(D9+('Definición de empresa-resumen'!$C$6)/$B$15)/C43</f>
        <v>37.650433388177504</v>
      </c>
      <c r="C60" s="16">
        <f t="shared" si="9"/>
        <v>1497.75</v>
      </c>
      <c r="D60" s="19">
        <f t="shared" si="10"/>
        <v>70488.670758928565</v>
      </c>
      <c r="E60" s="16"/>
      <c r="F60" s="54">
        <f t="shared" si="11"/>
        <v>47.06304173522188</v>
      </c>
    </row>
    <row r="61" spans="1:6" x14ac:dyDescent="0.25">
      <c r="A61" s="16" t="s">
        <v>61</v>
      </c>
      <c r="B61" s="54">
        <f>(D10+('Definición de empresa-resumen'!$C$6)/$B$15)/C44</f>
        <v>36.348480458783413</v>
      </c>
      <c r="C61" s="16">
        <f t="shared" si="9"/>
        <v>3195.2000000000003</v>
      </c>
      <c r="D61" s="19">
        <f t="shared" si="10"/>
        <v>290351.66190476192</v>
      </c>
      <c r="E61" s="16"/>
      <c r="F61" s="54">
        <f t="shared" si="11"/>
        <v>45.435600573479263</v>
      </c>
    </row>
    <row r="62" spans="1:6" x14ac:dyDescent="0.25">
      <c r="A62" s="16" t="s">
        <v>62</v>
      </c>
      <c r="B62" s="54">
        <f>(D11+('Definición de empresa-resumen'!$C$6)/$B$15)/C45</f>
        <v>33.223793428237599</v>
      </c>
      <c r="C62" s="16">
        <f t="shared" si="9"/>
        <v>3394.9</v>
      </c>
      <c r="D62" s="19">
        <f t="shared" si="10"/>
        <v>281978.64077380957</v>
      </c>
      <c r="E62" s="16"/>
      <c r="F62" s="54">
        <f t="shared" si="11"/>
        <v>41.529741785296999</v>
      </c>
    </row>
    <row r="63" spans="1:6" x14ac:dyDescent="0.25">
      <c r="A63" s="16" t="s">
        <v>63</v>
      </c>
      <c r="B63" s="54">
        <f>(D12+('Definición de empresa-resumen'!$C$6)/$B$15)/C46</f>
        <v>33.760849011612656</v>
      </c>
      <c r="C63" s="16">
        <f t="shared" si="9"/>
        <v>1597.6000000000001</v>
      </c>
      <c r="D63" s="19">
        <f t="shared" si="10"/>
        <v>67420.415476190479</v>
      </c>
      <c r="E63" s="16"/>
      <c r="F63" s="54">
        <f t="shared" si="11"/>
        <v>42.201061264515822</v>
      </c>
    </row>
    <row r="64" spans="1:6" x14ac:dyDescent="0.25">
      <c r="A64" s="16" t="s">
        <v>64</v>
      </c>
      <c r="B64" s="54">
        <f>(D13+('Definición de empresa-resumen'!$C$6)/$B$15)/C47</f>
        <v>34.462601640556073</v>
      </c>
      <c r="C64" s="16">
        <f t="shared" si="9"/>
        <v>1397.8999999999999</v>
      </c>
      <c r="D64" s="19">
        <f t="shared" si="10"/>
        <v>60219.088541666664</v>
      </c>
      <c r="E64" s="16"/>
      <c r="F64" s="54">
        <f t="shared" si="11"/>
        <v>43.078252050695092</v>
      </c>
    </row>
    <row r="65" spans="1:6" x14ac:dyDescent="0.25">
      <c r="A65" s="196"/>
      <c r="B65" s="197"/>
      <c r="C65" s="197"/>
      <c r="D65" s="197"/>
      <c r="E65" s="197"/>
      <c r="F65" s="198"/>
    </row>
    <row r="66" spans="1:6" x14ac:dyDescent="0.25">
      <c r="A66" s="59" t="s">
        <v>48</v>
      </c>
      <c r="B66" s="59"/>
      <c r="C66" s="59"/>
      <c r="D66" s="100">
        <f>SUM(D54:D64)</f>
        <v>1042194.0921875001</v>
      </c>
      <c r="E66" s="100"/>
      <c r="F66" s="59"/>
    </row>
    <row r="68" spans="1:6" x14ac:dyDescent="0.25">
      <c r="D68" s="99">
        <v>1141347.46</v>
      </c>
    </row>
  </sheetData>
  <mergeCells count="8">
    <mergeCell ref="A65:F65"/>
    <mergeCell ref="A31:F31"/>
    <mergeCell ref="A1:E1"/>
    <mergeCell ref="A18:F18"/>
    <mergeCell ref="A35:E35"/>
    <mergeCell ref="A52:F52"/>
    <mergeCell ref="A14:E14"/>
    <mergeCell ref="A48:E4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0D8C8-1ADD-411F-B87C-691B681DC4BA}">
  <sheetPr>
    <tabColor theme="4" tint="0.39997558519241921"/>
  </sheetPr>
  <dimension ref="A1:H66"/>
  <sheetViews>
    <sheetView topLeftCell="A6" workbookViewId="0">
      <selection activeCell="F28" sqref="F28"/>
    </sheetView>
  </sheetViews>
  <sheetFormatPr baseColWidth="10" defaultColWidth="11" defaultRowHeight="15.75" x14ac:dyDescent="0.25"/>
  <cols>
    <col min="1" max="1" width="42.25" customWidth="1"/>
    <col min="2" max="2" width="18" customWidth="1"/>
    <col min="3" max="3" width="25.125" customWidth="1"/>
    <col min="4" max="4" width="14.75" customWidth="1"/>
    <col min="5" max="5" width="11.625" bestFit="1" customWidth="1"/>
    <col min="6" max="6" width="17.75" bestFit="1" customWidth="1"/>
    <col min="8" max="8" width="18.5" bestFit="1" customWidth="1"/>
  </cols>
  <sheetData>
    <row r="1" spans="1:8" ht="26.25" x14ac:dyDescent="0.4">
      <c r="A1" s="204" t="s">
        <v>80</v>
      </c>
      <c r="B1" s="204"/>
      <c r="C1" s="204"/>
    </row>
    <row r="2" spans="1:8" x14ac:dyDescent="0.25">
      <c r="A2" s="83" t="s">
        <v>81</v>
      </c>
      <c r="B2" s="83" t="s">
        <v>82</v>
      </c>
      <c r="C2" s="83" t="s">
        <v>83</v>
      </c>
    </row>
    <row r="3" spans="1:8" x14ac:dyDescent="0.25">
      <c r="A3" s="62" t="s">
        <v>84</v>
      </c>
      <c r="B3" s="63">
        <v>350</v>
      </c>
      <c r="C3" s="63">
        <f>B3*12</f>
        <v>4200</v>
      </c>
      <c r="H3" s="75" t="s">
        <v>85</v>
      </c>
    </row>
    <row r="4" spans="1:8" x14ac:dyDescent="0.25">
      <c r="A4" s="62" t="s">
        <v>86</v>
      </c>
      <c r="B4" s="63">
        <v>200</v>
      </c>
      <c r="C4" s="63">
        <f t="shared" ref="C4:C16" si="0">B4*12</f>
        <v>2400</v>
      </c>
      <c r="H4" s="16" t="s">
        <v>87</v>
      </c>
    </row>
    <row r="5" spans="1:8" x14ac:dyDescent="0.25">
      <c r="A5" s="62" t="s">
        <v>88</v>
      </c>
      <c r="B5" s="63">
        <v>1312.5</v>
      </c>
      <c r="C5" s="63">
        <f t="shared" si="0"/>
        <v>15750</v>
      </c>
      <c r="H5" s="16" t="s">
        <v>89</v>
      </c>
    </row>
    <row r="6" spans="1:8" x14ac:dyDescent="0.25">
      <c r="A6" s="62" t="s">
        <v>90</v>
      </c>
      <c r="B6" s="63">
        <v>80</v>
      </c>
      <c r="C6" s="63">
        <f t="shared" si="0"/>
        <v>960</v>
      </c>
      <c r="H6" s="16" t="s">
        <v>91</v>
      </c>
    </row>
    <row r="7" spans="1:8" ht="63" x14ac:dyDescent="0.25">
      <c r="A7" s="62" t="s">
        <v>92</v>
      </c>
      <c r="B7" s="63">
        <v>150</v>
      </c>
      <c r="C7" s="63">
        <f t="shared" si="0"/>
        <v>1800</v>
      </c>
    </row>
    <row r="8" spans="1:8" x14ac:dyDescent="0.25">
      <c r="A8" s="62" t="s">
        <v>93</v>
      </c>
      <c r="B8" s="63">
        <v>70</v>
      </c>
      <c r="C8" s="63">
        <f t="shared" si="0"/>
        <v>840</v>
      </c>
    </row>
    <row r="9" spans="1:8" x14ac:dyDescent="0.25">
      <c r="A9" s="62" t="s">
        <v>94</v>
      </c>
      <c r="B9" s="63">
        <v>2000</v>
      </c>
      <c r="C9" s="63">
        <f t="shared" si="0"/>
        <v>24000</v>
      </c>
    </row>
    <row r="10" spans="1:8" ht="31.5" x14ac:dyDescent="0.25">
      <c r="A10" s="62" t="s">
        <v>95</v>
      </c>
      <c r="B10" s="63">
        <v>300</v>
      </c>
      <c r="C10" s="63">
        <f t="shared" si="0"/>
        <v>3600</v>
      </c>
    </row>
    <row r="11" spans="1:8" x14ac:dyDescent="0.25">
      <c r="A11" s="62" t="s">
        <v>96</v>
      </c>
      <c r="B11" s="63">
        <v>200</v>
      </c>
      <c r="C11" s="63">
        <f t="shared" si="0"/>
        <v>2400</v>
      </c>
    </row>
    <row r="12" spans="1:8" x14ac:dyDescent="0.25">
      <c r="A12" s="62" t="s">
        <v>97</v>
      </c>
      <c r="B12" s="63">
        <v>600</v>
      </c>
      <c r="C12" s="63">
        <f t="shared" si="0"/>
        <v>7200</v>
      </c>
    </row>
    <row r="13" spans="1:8" x14ac:dyDescent="0.25">
      <c r="A13" s="62" t="s">
        <v>98</v>
      </c>
      <c r="B13" s="63">
        <v>80</v>
      </c>
      <c r="C13" s="63">
        <f t="shared" si="0"/>
        <v>960</v>
      </c>
    </row>
    <row r="14" spans="1:8" x14ac:dyDescent="0.25">
      <c r="A14" s="62" t="s">
        <v>99</v>
      </c>
      <c r="B14" s="63">
        <v>300</v>
      </c>
      <c r="C14" s="63">
        <f t="shared" si="0"/>
        <v>3600</v>
      </c>
    </row>
    <row r="15" spans="1:8" x14ac:dyDescent="0.25">
      <c r="A15" s="62" t="s">
        <v>100</v>
      </c>
      <c r="B15" s="63">
        <v>10000</v>
      </c>
      <c r="C15" s="63">
        <f t="shared" si="0"/>
        <v>120000</v>
      </c>
    </row>
    <row r="16" spans="1:8" x14ac:dyDescent="0.25">
      <c r="A16" s="62" t="s">
        <v>101</v>
      </c>
      <c r="B16" s="63">
        <v>120</v>
      </c>
      <c r="C16" s="63">
        <f t="shared" si="0"/>
        <v>1440</v>
      </c>
    </row>
    <row r="17" spans="1:7" x14ac:dyDescent="0.25">
      <c r="A17" s="205"/>
      <c r="B17" s="205"/>
      <c r="C17" s="205"/>
    </row>
    <row r="18" spans="1:7" x14ac:dyDescent="0.25">
      <c r="A18" s="64" t="s">
        <v>48</v>
      </c>
      <c r="B18" s="65">
        <f>SUM(B3:B17)</f>
        <v>15762.5</v>
      </c>
      <c r="C18" s="65">
        <f>SUM(C3:C17)</f>
        <v>189150</v>
      </c>
    </row>
    <row r="19" spans="1:7" x14ac:dyDescent="0.25">
      <c r="A19" s="13"/>
      <c r="B19" s="12"/>
      <c r="C19" s="12"/>
    </row>
    <row r="20" spans="1:7" x14ac:dyDescent="0.25">
      <c r="A20" s="13"/>
      <c r="B20" s="12"/>
      <c r="C20" s="12"/>
    </row>
    <row r="21" spans="1:7" ht="26.25" x14ac:dyDescent="0.4">
      <c r="A21" s="204" t="s">
        <v>102</v>
      </c>
      <c r="B21" s="204"/>
      <c r="C21" s="204"/>
      <c r="D21" s="204"/>
      <c r="E21" s="204"/>
      <c r="F21" s="204"/>
      <c r="G21" s="204"/>
    </row>
    <row r="22" spans="1:7" x14ac:dyDescent="0.25">
      <c r="A22" s="84" t="s">
        <v>103</v>
      </c>
      <c r="B22" s="85" t="s">
        <v>104</v>
      </c>
      <c r="C22" s="85" t="s">
        <v>105</v>
      </c>
      <c r="D22" s="81" t="s">
        <v>106</v>
      </c>
      <c r="E22" s="81" t="s">
        <v>83</v>
      </c>
      <c r="F22" s="81" t="s">
        <v>107</v>
      </c>
      <c r="G22" s="81" t="s">
        <v>108</v>
      </c>
    </row>
    <row r="23" spans="1:7" x14ac:dyDescent="0.25">
      <c r="A23" s="66" t="s">
        <v>109</v>
      </c>
      <c r="B23" s="68">
        <v>1</v>
      </c>
      <c r="C23" s="69">
        <v>120000</v>
      </c>
      <c r="D23" s="67">
        <f>B23*C23</f>
        <v>120000</v>
      </c>
      <c r="E23" s="67">
        <f>D23/G23</f>
        <v>15000</v>
      </c>
      <c r="F23" s="51" t="s">
        <v>87</v>
      </c>
      <c r="G23" s="51">
        <v>8</v>
      </c>
    </row>
    <row r="24" spans="1:7" x14ac:dyDescent="0.25">
      <c r="A24" s="66" t="s">
        <v>110</v>
      </c>
      <c r="B24" s="68">
        <v>2</v>
      </c>
      <c r="C24" s="69">
        <v>1000</v>
      </c>
      <c r="D24" s="67">
        <f t="shared" ref="D24:D31" si="1">B24*C24</f>
        <v>2000</v>
      </c>
      <c r="E24" s="67">
        <f t="shared" ref="E24:E28" si="2">D24/G24</f>
        <v>500</v>
      </c>
      <c r="F24" s="51" t="s">
        <v>87</v>
      </c>
      <c r="G24" s="51">
        <v>4</v>
      </c>
    </row>
    <row r="25" spans="1:7" x14ac:dyDescent="0.25">
      <c r="A25" s="66" t="s">
        <v>111</v>
      </c>
      <c r="B25" s="68">
        <v>10</v>
      </c>
      <c r="C25" s="69">
        <v>1200</v>
      </c>
      <c r="D25" s="67">
        <f t="shared" si="1"/>
        <v>12000</v>
      </c>
      <c r="E25" s="67">
        <f t="shared" si="2"/>
        <v>3000</v>
      </c>
      <c r="F25" s="51" t="s">
        <v>87</v>
      </c>
      <c r="G25" s="51">
        <v>4</v>
      </c>
    </row>
    <row r="26" spans="1:7" x14ac:dyDescent="0.25">
      <c r="A26" s="66" t="s">
        <v>112</v>
      </c>
      <c r="B26" s="68">
        <v>7</v>
      </c>
      <c r="C26" s="69">
        <v>1100</v>
      </c>
      <c r="D26" s="67">
        <f t="shared" si="1"/>
        <v>7700</v>
      </c>
      <c r="E26" s="67">
        <f t="shared" si="2"/>
        <v>1925</v>
      </c>
      <c r="F26" s="51" t="s">
        <v>87</v>
      </c>
      <c r="G26" s="51">
        <v>4</v>
      </c>
    </row>
    <row r="27" spans="1:7" x14ac:dyDescent="0.25">
      <c r="A27" s="66" t="s">
        <v>113</v>
      </c>
      <c r="B27" s="68">
        <v>1</v>
      </c>
      <c r="C27" s="69">
        <v>500</v>
      </c>
      <c r="D27" s="67">
        <f t="shared" si="1"/>
        <v>500</v>
      </c>
      <c r="E27" s="67">
        <f t="shared" si="2"/>
        <v>166.66666666666666</v>
      </c>
      <c r="F27" s="51" t="s">
        <v>87</v>
      </c>
      <c r="G27" s="51">
        <v>3</v>
      </c>
    </row>
    <row r="28" spans="1:7" x14ac:dyDescent="0.25">
      <c r="A28" s="66" t="s">
        <v>114</v>
      </c>
      <c r="B28" s="68">
        <v>1</v>
      </c>
      <c r="C28" s="69">
        <v>900</v>
      </c>
      <c r="D28" s="67">
        <f t="shared" si="1"/>
        <v>900</v>
      </c>
      <c r="E28" s="67">
        <f t="shared" si="2"/>
        <v>300</v>
      </c>
      <c r="F28" s="51" t="s">
        <v>87</v>
      </c>
      <c r="G28" s="51">
        <v>3</v>
      </c>
    </row>
    <row r="29" spans="1:7" x14ac:dyDescent="0.25">
      <c r="A29" s="66" t="s">
        <v>115</v>
      </c>
      <c r="B29" s="68">
        <v>7</v>
      </c>
      <c r="C29" s="69">
        <v>200</v>
      </c>
      <c r="D29" s="67">
        <f t="shared" si="1"/>
        <v>1400</v>
      </c>
      <c r="E29" s="67">
        <f>D29*12</f>
        <v>16800</v>
      </c>
      <c r="F29" s="209" t="s">
        <v>91</v>
      </c>
      <c r="G29" s="210"/>
    </row>
    <row r="30" spans="1:7" x14ac:dyDescent="0.25">
      <c r="A30" s="66" t="s">
        <v>116</v>
      </c>
      <c r="B30" s="68">
        <v>17</v>
      </c>
      <c r="C30" s="69">
        <f>7</f>
        <v>7</v>
      </c>
      <c r="D30" s="67">
        <f t="shared" si="1"/>
        <v>119</v>
      </c>
      <c r="E30" s="67">
        <f t="shared" ref="E30:E31" si="3">D30*12</f>
        <v>1428</v>
      </c>
      <c r="F30" s="209" t="s">
        <v>91</v>
      </c>
      <c r="G30" s="210"/>
    </row>
    <row r="31" spans="1:7" x14ac:dyDescent="0.25">
      <c r="A31" s="66" t="s">
        <v>117</v>
      </c>
      <c r="B31" s="68">
        <v>7</v>
      </c>
      <c r="C31" s="69">
        <v>4</v>
      </c>
      <c r="D31" s="67">
        <f t="shared" si="1"/>
        <v>28</v>
      </c>
      <c r="E31" s="67">
        <f t="shared" si="3"/>
        <v>336</v>
      </c>
      <c r="F31" s="209" t="s">
        <v>91</v>
      </c>
      <c r="G31" s="210"/>
    </row>
    <row r="32" spans="1:7" x14ac:dyDescent="0.25">
      <c r="A32" s="206"/>
      <c r="B32" s="207"/>
      <c r="C32" s="207"/>
      <c r="D32" s="207"/>
      <c r="E32" s="207"/>
      <c r="F32" s="207"/>
      <c r="G32" s="208"/>
    </row>
    <row r="33" spans="1:7" x14ac:dyDescent="0.25">
      <c r="A33" s="70" t="s">
        <v>48</v>
      </c>
      <c r="B33" s="58"/>
      <c r="C33" s="58"/>
      <c r="D33" s="57"/>
      <c r="E33" s="58">
        <f>SUM(E23:E32)</f>
        <v>39455.666666666672</v>
      </c>
      <c r="F33" s="57"/>
      <c r="G33" s="57"/>
    </row>
    <row r="34" spans="1:7" x14ac:dyDescent="0.25">
      <c r="A34" s="13"/>
      <c r="B34" s="12"/>
      <c r="C34" s="12"/>
    </row>
    <row r="35" spans="1:7" x14ac:dyDescent="0.25">
      <c r="A35" s="13"/>
      <c r="B35" s="12"/>
      <c r="C35" s="12"/>
    </row>
    <row r="36" spans="1:7" x14ac:dyDescent="0.25">
      <c r="B36" s="12"/>
      <c r="C36" s="12"/>
    </row>
    <row r="37" spans="1:7" x14ac:dyDescent="0.25">
      <c r="B37" s="12"/>
      <c r="C37" s="12"/>
    </row>
    <row r="38" spans="1:7" x14ac:dyDescent="0.25">
      <c r="B38" s="12"/>
      <c r="C38" s="12"/>
    </row>
    <row r="39" spans="1:7" x14ac:dyDescent="0.25">
      <c r="B39" s="12"/>
      <c r="C39" s="12"/>
    </row>
    <row r="40" spans="1:7" x14ac:dyDescent="0.25">
      <c r="B40" s="12"/>
      <c r="C40" s="12"/>
    </row>
    <row r="41" spans="1:7" x14ac:dyDescent="0.25">
      <c r="B41" s="12"/>
      <c r="C41" s="12"/>
    </row>
    <row r="42" spans="1:7" x14ac:dyDescent="0.25">
      <c r="B42" s="12"/>
      <c r="C42" s="12"/>
    </row>
    <row r="43" spans="1:7" x14ac:dyDescent="0.25">
      <c r="B43" s="12"/>
      <c r="C43" s="12"/>
    </row>
    <row r="44" spans="1:7" x14ac:dyDescent="0.25">
      <c r="B44" s="12"/>
      <c r="C44" s="12"/>
    </row>
    <row r="45" spans="1:7" x14ac:dyDescent="0.25">
      <c r="B45" s="12"/>
      <c r="C45" s="12"/>
    </row>
    <row r="46" spans="1:7" x14ac:dyDescent="0.25">
      <c r="B46" s="12"/>
      <c r="C46" s="12"/>
    </row>
    <row r="47" spans="1:7" x14ac:dyDescent="0.25">
      <c r="B47" s="12"/>
      <c r="C47" s="12"/>
    </row>
    <row r="48" spans="1:7" x14ac:dyDescent="0.25">
      <c r="B48" s="12"/>
      <c r="C48" s="12"/>
    </row>
    <row r="49" spans="2:3" x14ac:dyDescent="0.25">
      <c r="B49" s="12"/>
      <c r="C49" s="12"/>
    </row>
    <row r="50" spans="2:3" x14ac:dyDescent="0.25">
      <c r="B50" s="12"/>
      <c r="C50" s="12"/>
    </row>
    <row r="51" spans="2:3" x14ac:dyDescent="0.25">
      <c r="B51" s="12"/>
      <c r="C51" s="12"/>
    </row>
    <row r="52" spans="2:3" x14ac:dyDescent="0.25">
      <c r="B52" s="12"/>
      <c r="C52" s="12"/>
    </row>
    <row r="53" spans="2:3" x14ac:dyDescent="0.25">
      <c r="B53" s="12"/>
      <c r="C53" s="12"/>
    </row>
    <row r="54" spans="2:3" x14ac:dyDescent="0.25">
      <c r="B54" s="12"/>
      <c r="C54" s="12"/>
    </row>
    <row r="55" spans="2:3" x14ac:dyDescent="0.25">
      <c r="B55" s="12"/>
      <c r="C55" s="12"/>
    </row>
    <row r="56" spans="2:3" x14ac:dyDescent="0.25">
      <c r="B56" s="12"/>
      <c r="C56" s="12"/>
    </row>
    <row r="57" spans="2:3" x14ac:dyDescent="0.25">
      <c r="B57" s="12"/>
      <c r="C57" s="12"/>
    </row>
    <row r="58" spans="2:3" x14ac:dyDescent="0.25">
      <c r="B58" s="12"/>
      <c r="C58" s="12"/>
    </row>
    <row r="59" spans="2:3" x14ac:dyDescent="0.25">
      <c r="B59" s="12"/>
      <c r="C59" s="12"/>
    </row>
    <row r="60" spans="2:3" x14ac:dyDescent="0.25">
      <c r="B60" s="12"/>
      <c r="C60" s="12"/>
    </row>
    <row r="61" spans="2:3" x14ac:dyDescent="0.25">
      <c r="B61" s="12"/>
      <c r="C61" s="12"/>
    </row>
    <row r="62" spans="2:3" x14ac:dyDescent="0.25">
      <c r="B62" s="12"/>
      <c r="C62" s="12"/>
    </row>
    <row r="63" spans="2:3" x14ac:dyDescent="0.25">
      <c r="B63" s="12"/>
      <c r="C63" s="12"/>
    </row>
    <row r="64" spans="2:3" x14ac:dyDescent="0.25">
      <c r="B64" s="12"/>
      <c r="C64" s="12"/>
    </row>
    <row r="65" spans="2:3" x14ac:dyDescent="0.25">
      <c r="B65" s="12"/>
      <c r="C65" s="12"/>
    </row>
    <row r="66" spans="2:3" x14ac:dyDescent="0.25">
      <c r="B66" s="12"/>
      <c r="C66" s="12"/>
    </row>
  </sheetData>
  <mergeCells count="7">
    <mergeCell ref="A1:C1"/>
    <mergeCell ref="A17:C17"/>
    <mergeCell ref="A21:G21"/>
    <mergeCell ref="A32:G32"/>
    <mergeCell ref="F29:G29"/>
    <mergeCell ref="F30:G30"/>
    <mergeCell ref="F31:G31"/>
  </mergeCells>
  <dataValidations count="1">
    <dataValidation type="list" allowBlank="1" showInputMessage="1" showErrorMessage="1" sqref="F23:F31" xr:uid="{DA42C0C6-4D37-4297-9F54-B2650C006C2D}">
      <formula1>$H$4:$H$7</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D84D9-006D-4222-A806-4FC14A050EB9}">
  <sheetPr>
    <tabColor theme="4" tint="-0.499984740745262"/>
  </sheetPr>
  <dimension ref="A2:H9"/>
  <sheetViews>
    <sheetView workbookViewId="0">
      <selection activeCell="F2" sqref="F2:H9"/>
    </sheetView>
  </sheetViews>
  <sheetFormatPr baseColWidth="10" defaultColWidth="11" defaultRowHeight="15.75" x14ac:dyDescent="0.25"/>
  <cols>
    <col min="1" max="1" width="24" customWidth="1"/>
    <col min="2" max="2" width="15.375" customWidth="1"/>
    <col min="3" max="3" width="15.75" customWidth="1"/>
    <col min="4" max="4" width="14.625" customWidth="1"/>
    <col min="6" max="6" width="2.875" bestFit="1" customWidth="1"/>
    <col min="7" max="7" width="68.25" customWidth="1"/>
    <col min="8" max="8" width="14" customWidth="1"/>
    <col min="11" max="11" width="14.875" customWidth="1"/>
    <col min="12" max="12" width="17.125" customWidth="1"/>
    <col min="13" max="13" width="15.5" customWidth="1"/>
  </cols>
  <sheetData>
    <row r="2" spans="1:8" x14ac:dyDescent="0.25">
      <c r="A2" s="75"/>
      <c r="B2" s="75" t="s">
        <v>118</v>
      </c>
      <c r="C2" s="75" t="s">
        <v>119</v>
      </c>
      <c r="D2" s="75" t="s">
        <v>2</v>
      </c>
      <c r="F2" s="40" t="s">
        <v>120</v>
      </c>
      <c r="G2" s="40" t="s">
        <v>121</v>
      </c>
      <c r="H2" s="40" t="s">
        <v>122</v>
      </c>
    </row>
    <row r="3" spans="1:8" x14ac:dyDescent="0.25">
      <c r="A3" s="76" t="s">
        <v>50</v>
      </c>
      <c r="B3" s="71">
        <f>'Definición de empresa-personal'!D32</f>
        <v>327722.84999999998</v>
      </c>
      <c r="C3" s="71">
        <f>'Definición de empresa-personal'!F32</f>
        <v>241625.15000000002</v>
      </c>
      <c r="D3" s="71">
        <f>SUM(B3:C3)</f>
        <v>569348</v>
      </c>
      <c r="F3" s="78">
        <v>1</v>
      </c>
      <c r="G3" s="18" t="s">
        <v>123</v>
      </c>
      <c r="H3" s="72">
        <f>B6</f>
        <v>327722.84999999998</v>
      </c>
    </row>
    <row r="4" spans="1:8" x14ac:dyDescent="0.25">
      <c r="A4" s="76" t="s">
        <v>80</v>
      </c>
      <c r="B4" s="71"/>
      <c r="C4" s="71">
        <f>'Definición de empresa-servicios'!C18</f>
        <v>189150</v>
      </c>
      <c r="D4" s="71">
        <f t="shared" ref="D4:D5" si="0">SUM(B4:C4)</f>
        <v>189150</v>
      </c>
      <c r="F4" s="78">
        <v>2</v>
      </c>
      <c r="G4" s="18" t="s">
        <v>124</v>
      </c>
      <c r="H4" s="72">
        <f>C6</f>
        <v>470230.81666666671</v>
      </c>
    </row>
    <row r="5" spans="1:8" x14ac:dyDescent="0.25">
      <c r="A5" s="76" t="s">
        <v>125</v>
      </c>
      <c r="B5" s="71"/>
      <c r="C5" s="71">
        <f>'Definición de empresa-servicios'!E33</f>
        <v>39455.666666666672</v>
      </c>
      <c r="D5" s="71">
        <f t="shared" si="0"/>
        <v>39455.666666666672</v>
      </c>
      <c r="F5" s="78">
        <v>3</v>
      </c>
      <c r="G5" s="18" t="s">
        <v>126</v>
      </c>
      <c r="H5" s="72">
        <f>SUM(H3:H4)</f>
        <v>797953.66666666674</v>
      </c>
    </row>
    <row r="6" spans="1:8" x14ac:dyDescent="0.25">
      <c r="A6" s="76" t="s">
        <v>2</v>
      </c>
      <c r="B6" s="74">
        <f>SUM(B3:B5)</f>
        <v>327722.84999999998</v>
      </c>
      <c r="C6" s="74">
        <f>SUM(C3:C5)</f>
        <v>470230.81666666671</v>
      </c>
      <c r="D6" s="74">
        <f>SUM(D3:D5)</f>
        <v>797953.66666666663</v>
      </c>
      <c r="F6" s="78">
        <v>4</v>
      </c>
      <c r="G6" s="18" t="s">
        <v>127</v>
      </c>
      <c r="H6" s="72">
        <f>D7</f>
        <v>199488.41666666666</v>
      </c>
    </row>
    <row r="7" spans="1:8" x14ac:dyDescent="0.25">
      <c r="A7" s="76" t="s">
        <v>128</v>
      </c>
      <c r="B7" s="61"/>
      <c r="C7" s="61"/>
      <c r="D7" s="71">
        <f>D6*0.25</f>
        <v>199488.41666666666</v>
      </c>
      <c r="F7" s="78">
        <v>5</v>
      </c>
      <c r="G7" s="18" t="s">
        <v>129</v>
      </c>
      <c r="H7" s="72">
        <f>SUM(H5:H6)</f>
        <v>997442.08333333337</v>
      </c>
    </row>
    <row r="8" spans="1:8" ht="31.5" x14ac:dyDescent="0.25">
      <c r="A8" s="77" t="s">
        <v>130</v>
      </c>
      <c r="B8" s="51"/>
      <c r="C8" s="51"/>
      <c r="D8" s="72">
        <f>SUM(D6:D7)</f>
        <v>997442.08333333326</v>
      </c>
      <c r="F8" s="78">
        <v>6</v>
      </c>
      <c r="G8" s="18" t="s">
        <v>131</v>
      </c>
      <c r="H8" s="72">
        <f>'Definición de empresa-personal'!D66</f>
        <v>1042194.0921875001</v>
      </c>
    </row>
    <row r="9" spans="1:8" x14ac:dyDescent="0.25">
      <c r="F9" s="78">
        <v>7</v>
      </c>
      <c r="G9" s="18" t="s">
        <v>132</v>
      </c>
      <c r="H9" s="73">
        <f>(H8-H7)/H8</f>
        <v>4.2940186659698926E-2</v>
      </c>
    </row>
  </sheetData>
  <pageMargins left="0.7" right="0.7" top="0.75" bottom="0.75" header="0.3" footer="0.3"/>
  <ignoredErrors>
    <ignoredError sqref="H6"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DFDCDC-9E9C-4C71-B6E8-6DBB07F07412}">
  <sheetPr>
    <tabColor theme="9" tint="-0.249977111117893"/>
  </sheetPr>
  <dimension ref="A2:J24"/>
  <sheetViews>
    <sheetView workbookViewId="0">
      <selection activeCell="E3" sqref="E3:F22"/>
    </sheetView>
  </sheetViews>
  <sheetFormatPr baseColWidth="10" defaultColWidth="11" defaultRowHeight="15.75" x14ac:dyDescent="0.25"/>
  <cols>
    <col min="3" max="3" width="12" customWidth="1"/>
    <col min="4" max="4" width="48.125" customWidth="1"/>
    <col min="5" max="5" width="13.75" customWidth="1"/>
    <col min="6" max="6" width="12.25" customWidth="1"/>
    <col min="9" max="9" width="33.125" bestFit="1" customWidth="1"/>
    <col min="10" max="10" width="16.875" customWidth="1"/>
  </cols>
  <sheetData>
    <row r="2" spans="1:10" x14ac:dyDescent="0.25">
      <c r="A2" t="s">
        <v>1</v>
      </c>
      <c r="B2" t="s">
        <v>133</v>
      </c>
      <c r="C2" t="s">
        <v>134</v>
      </c>
      <c r="D2" t="s">
        <v>135</v>
      </c>
      <c r="E2" t="s">
        <v>122</v>
      </c>
      <c r="F2" t="s">
        <v>2</v>
      </c>
    </row>
    <row r="3" spans="1:10" x14ac:dyDescent="0.25">
      <c r="A3" s="14" t="s">
        <v>136</v>
      </c>
      <c r="B3" s="14"/>
      <c r="C3" s="14"/>
      <c r="D3" s="86" t="s">
        <v>4</v>
      </c>
      <c r="E3" s="103"/>
      <c r="F3" s="2">
        <f>SUM(E4:E6)</f>
        <v>6097.54235102654</v>
      </c>
    </row>
    <row r="4" spans="1:10" x14ac:dyDescent="0.25">
      <c r="A4" s="14"/>
      <c r="B4" s="14" t="s">
        <v>136</v>
      </c>
      <c r="C4" s="14"/>
      <c r="D4" s="115" t="s">
        <v>6</v>
      </c>
      <c r="E4" s="103">
        <f>'Partida - Manuales de Usuario'!J4</f>
        <v>232.56655399766319</v>
      </c>
      <c r="F4" s="2"/>
    </row>
    <row r="5" spans="1:10" x14ac:dyDescent="0.25">
      <c r="A5" s="14"/>
      <c r="B5" s="14" t="s">
        <v>137</v>
      </c>
      <c r="C5" s="14"/>
      <c r="D5" s="115" t="s">
        <v>8</v>
      </c>
      <c r="E5" s="103">
        <f>'Partida - Documentación y GP'!J4</f>
        <v>1006.9394335550946</v>
      </c>
      <c r="F5" s="2"/>
    </row>
    <row r="6" spans="1:10" x14ac:dyDescent="0.25">
      <c r="A6" s="14"/>
      <c r="B6" s="14" t="s">
        <v>138</v>
      </c>
      <c r="C6" s="14"/>
      <c r="D6" s="115" t="s">
        <v>12</v>
      </c>
      <c r="E6" s="103">
        <f>'Partida - Documentación y GP'!J17</f>
        <v>4858.0363634737823</v>
      </c>
      <c r="F6" s="2"/>
    </row>
    <row r="7" spans="1:10" x14ac:dyDescent="0.25">
      <c r="A7" s="14" t="s">
        <v>137</v>
      </c>
      <c r="B7" s="14"/>
      <c r="C7" s="14"/>
      <c r="D7" s="86" t="s">
        <v>5</v>
      </c>
      <c r="E7" s="103"/>
      <c r="F7" s="2">
        <f>'Partida - Análisis de requisito'!J4</f>
        <v>4216.84853947588</v>
      </c>
    </row>
    <row r="8" spans="1:10" x14ac:dyDescent="0.25">
      <c r="A8" s="14" t="s">
        <v>138</v>
      </c>
      <c r="B8" s="14"/>
      <c r="C8" s="14"/>
      <c r="D8" s="86" t="s">
        <v>7</v>
      </c>
      <c r="E8" s="103"/>
      <c r="F8" s="2">
        <f>'Partida - Diseño y Arquitectura'!J4</f>
        <v>4446.5232628704971</v>
      </c>
    </row>
    <row r="9" spans="1:10" ht="16.5" thickBot="1" x14ac:dyDescent="0.3">
      <c r="A9" s="102" t="s">
        <v>139</v>
      </c>
      <c r="B9" s="14"/>
      <c r="C9" s="14"/>
      <c r="D9" s="86" t="s">
        <v>11</v>
      </c>
      <c r="E9" s="103"/>
      <c r="F9" s="2">
        <f>SUM(E10:E16)</f>
        <v>25165.192990837448</v>
      </c>
      <c r="H9" s="104" t="s">
        <v>1</v>
      </c>
      <c r="I9" s="105" t="s">
        <v>135</v>
      </c>
      <c r="J9" s="106" t="s">
        <v>2</v>
      </c>
    </row>
    <row r="10" spans="1:10" ht="16.5" thickTop="1" x14ac:dyDescent="0.25">
      <c r="A10" s="14"/>
      <c r="B10" s="14" t="s">
        <v>136</v>
      </c>
      <c r="C10" s="14"/>
      <c r="D10" s="115" t="s">
        <v>15</v>
      </c>
      <c r="E10" s="103">
        <f>'Partida -  Int. Sist. Centrales'!J4</f>
        <v>2940.7836254381577</v>
      </c>
      <c r="F10" s="2"/>
      <c r="H10" s="117" t="s">
        <v>136</v>
      </c>
      <c r="I10" s="111" t="s">
        <v>4</v>
      </c>
      <c r="J10" s="122">
        <v>6397.4425064066691</v>
      </c>
    </row>
    <row r="11" spans="1:10" x14ac:dyDescent="0.25">
      <c r="A11" s="14"/>
      <c r="B11" s="14" t="s">
        <v>137</v>
      </c>
      <c r="C11" s="14"/>
      <c r="D11" s="115" t="s">
        <v>17</v>
      </c>
      <c r="E11" s="103">
        <f>'Partida - Sistema mensajería'!J4</f>
        <v>4219.7403700789282</v>
      </c>
      <c r="F11" s="2"/>
      <c r="H11" s="117" t="s">
        <v>137</v>
      </c>
      <c r="I11" s="111" t="s">
        <v>5</v>
      </c>
      <c r="J11" s="122">
        <v>4260.3087454711485</v>
      </c>
    </row>
    <row r="12" spans="1:10" x14ac:dyDescent="0.25">
      <c r="A12" s="14"/>
      <c r="B12" s="14" t="s">
        <v>138</v>
      </c>
      <c r="C12" s="14"/>
      <c r="D12" s="115" t="s">
        <v>20</v>
      </c>
      <c r="E12" s="103">
        <f>'Partida - Gestión de usuarios'!J4</f>
        <v>4899.0105145813959</v>
      </c>
      <c r="F12" s="2"/>
      <c r="H12" s="119" t="s">
        <v>138</v>
      </c>
      <c r="I12" s="113" t="s">
        <v>7</v>
      </c>
      <c r="J12" s="123">
        <v>4488.0432810981183</v>
      </c>
    </row>
    <row r="13" spans="1:10" x14ac:dyDescent="0.25">
      <c r="A13" s="14"/>
      <c r="B13" s="14" t="s">
        <v>139</v>
      </c>
      <c r="C13" s="14"/>
      <c r="D13" s="115" t="s">
        <v>21</v>
      </c>
      <c r="E13" s="103">
        <f>'Partida - Sistema de geo'!J4</f>
        <v>3386.0208473424423</v>
      </c>
      <c r="F13" s="2"/>
      <c r="H13" s="121" t="s">
        <v>139</v>
      </c>
      <c r="I13" s="111" t="s">
        <v>11</v>
      </c>
      <c r="J13" s="122">
        <v>38348.299222407142</v>
      </c>
    </row>
    <row r="14" spans="1:10" x14ac:dyDescent="0.25">
      <c r="A14" s="14"/>
      <c r="B14" s="14" t="s">
        <v>140</v>
      </c>
      <c r="C14" s="14"/>
      <c r="D14" s="115" t="s">
        <v>22</v>
      </c>
      <c r="E14" s="103">
        <f>'Partida - App Mensj y Alerts'!J4</f>
        <v>3258.7902229952078</v>
      </c>
      <c r="F14" s="2"/>
      <c r="H14" s="117" t="s">
        <v>140</v>
      </c>
      <c r="I14" s="111" t="s">
        <v>14</v>
      </c>
      <c r="J14" s="122">
        <v>2560.2825501045691</v>
      </c>
    </row>
    <row r="15" spans="1:10" x14ac:dyDescent="0.25">
      <c r="A15" s="14"/>
      <c r="B15" s="14" t="s">
        <v>141</v>
      </c>
      <c r="C15" s="14"/>
      <c r="D15" s="115" t="s">
        <v>23</v>
      </c>
      <c r="E15" s="103">
        <f>'Partida - Dashboard de seguimie'!J4</f>
        <v>2779.7662684502948</v>
      </c>
      <c r="F15" s="2"/>
      <c r="H15" s="119" t="s">
        <v>141</v>
      </c>
      <c r="I15" s="113" t="s">
        <v>16</v>
      </c>
      <c r="J15" s="123">
        <v>3119.1322078706298</v>
      </c>
    </row>
    <row r="16" spans="1:10" x14ac:dyDescent="0.25">
      <c r="A16" s="14"/>
      <c r="B16" s="14" t="s">
        <v>142</v>
      </c>
      <c r="C16" s="14"/>
      <c r="D16" s="115" t="s">
        <v>24</v>
      </c>
      <c r="E16" s="103">
        <f>'Partida - App usr. gest. emerg.'!J4</f>
        <v>3681.0811419510223</v>
      </c>
      <c r="F16" s="2"/>
      <c r="H16" s="119" t="s">
        <v>142</v>
      </c>
      <c r="I16" s="113" t="s">
        <v>143</v>
      </c>
      <c r="J16" s="123">
        <f>'Partida - Otros costes'!J4</f>
        <v>835.5</v>
      </c>
    </row>
    <row r="17" spans="1:10" x14ac:dyDescent="0.25">
      <c r="A17" s="14" t="s">
        <v>140</v>
      </c>
      <c r="B17" s="14"/>
      <c r="C17" s="14"/>
      <c r="D17" s="86" t="s">
        <v>14</v>
      </c>
      <c r="E17" s="103"/>
      <c r="F17" s="2">
        <f>'Partida - Pruebas y depuracion'!J4</f>
        <v>2531.3077859825453</v>
      </c>
      <c r="H17" s="119" t="s">
        <v>144</v>
      </c>
      <c r="I17" s="113" t="s">
        <v>18</v>
      </c>
      <c r="J17" s="123">
        <f>'Partida - Hardware '!H4</f>
        <v>65160</v>
      </c>
    </row>
    <row r="18" spans="1:10" ht="16.5" thickBot="1" x14ac:dyDescent="0.3">
      <c r="A18" s="14" t="s">
        <v>141</v>
      </c>
      <c r="B18" s="14"/>
      <c r="C18" s="14"/>
      <c r="D18" s="86" t="s">
        <v>16</v>
      </c>
      <c r="E18" s="103"/>
      <c r="F18" s="2">
        <f>SUM(E19:E22)</f>
        <v>3084.4028468297684</v>
      </c>
      <c r="J18" s="125"/>
    </row>
    <row r="19" spans="1:10" ht="16.5" thickBot="1" x14ac:dyDescent="0.3">
      <c r="A19" s="14"/>
      <c r="B19" s="14" t="s">
        <v>136</v>
      </c>
      <c r="C19" s="14"/>
      <c r="D19" s="115" t="s">
        <v>26</v>
      </c>
      <c r="E19" s="103">
        <f>'Partida - Adquisición de hardwa'!J4</f>
        <v>86.156504101390183</v>
      </c>
      <c r="F19" s="2"/>
      <c r="I19" s="107" t="s">
        <v>48</v>
      </c>
      <c r="J19" s="124">
        <f>SUM(J10:J18)</f>
        <v>125169.00851335828</v>
      </c>
    </row>
    <row r="20" spans="1:10" x14ac:dyDescent="0.25">
      <c r="A20" s="14"/>
      <c r="B20" s="14" t="s">
        <v>137</v>
      </c>
      <c r="C20" s="14"/>
      <c r="D20" s="115" t="s">
        <v>27</v>
      </c>
      <c r="E20" s="103"/>
      <c r="F20" s="2"/>
    </row>
    <row r="21" spans="1:10" x14ac:dyDescent="0.25">
      <c r="A21" s="14"/>
      <c r="B21" s="14"/>
      <c r="C21" s="14" t="s">
        <v>136</v>
      </c>
      <c r="D21" s="116" t="s">
        <v>28</v>
      </c>
      <c r="E21" s="103">
        <f>'Partida - Instalación hospitale'!L4</f>
        <v>2308.9943099172569</v>
      </c>
      <c r="F21" s="2"/>
    </row>
    <row r="22" spans="1:10" x14ac:dyDescent="0.25">
      <c r="A22" s="14"/>
      <c r="B22" s="14"/>
      <c r="C22" s="14" t="s">
        <v>137</v>
      </c>
      <c r="D22" s="116" t="s">
        <v>29</v>
      </c>
      <c r="E22" s="103">
        <f>'Partida - Instalación vehiculos'!J4</f>
        <v>689.25203281112135</v>
      </c>
      <c r="F22" s="2"/>
    </row>
    <row r="23" spans="1:10" ht="16.5" thickBot="1" x14ac:dyDescent="0.3"/>
    <row r="24" spans="1:10" ht="16.5" thickBot="1" x14ac:dyDescent="0.3">
      <c r="E24" s="107" t="s">
        <v>48</v>
      </c>
      <c r="F24" s="108">
        <f>SUM(Tabla1[Total])</f>
        <v>45541.817777022676</v>
      </c>
    </row>
  </sheetData>
  <phoneticPr fontId="11"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A6F50-49C0-4D07-B5DD-81839E9DC888}">
  <sheetPr>
    <tabColor theme="3"/>
  </sheetPr>
  <dimension ref="A2:J48"/>
  <sheetViews>
    <sheetView workbookViewId="0">
      <selection activeCell="I16" sqref="I16"/>
    </sheetView>
  </sheetViews>
  <sheetFormatPr baseColWidth="10" defaultColWidth="11" defaultRowHeight="15.75" x14ac:dyDescent="0.25"/>
  <cols>
    <col min="1" max="3" width="11" customWidth="1"/>
    <col min="4" max="4" width="37.875" customWidth="1"/>
    <col min="5" max="5" width="8.5" customWidth="1"/>
    <col min="6" max="11" width="11" customWidth="1"/>
    <col min="12" max="12" width="12.375" customWidth="1"/>
    <col min="13" max="13" width="14.625" customWidth="1"/>
  </cols>
  <sheetData>
    <row r="2" spans="1:10" ht="25.7" customHeight="1" x14ac:dyDescent="0.25">
      <c r="A2" s="211" t="s">
        <v>143</v>
      </c>
      <c r="B2" s="212"/>
      <c r="C2" s="212"/>
      <c r="D2" s="212"/>
      <c r="E2" s="212"/>
      <c r="F2" s="212"/>
      <c r="G2" s="212"/>
      <c r="H2" s="212"/>
      <c r="I2" s="212"/>
      <c r="J2" s="213"/>
    </row>
    <row r="3" spans="1:10" x14ac:dyDescent="0.25">
      <c r="A3" s="33" t="s">
        <v>145</v>
      </c>
      <c r="B3" s="33" t="s">
        <v>146</v>
      </c>
      <c r="C3" s="33" t="s">
        <v>147</v>
      </c>
      <c r="D3" s="34" t="s">
        <v>148</v>
      </c>
      <c r="E3" s="34" t="s">
        <v>149</v>
      </c>
      <c r="F3" s="34" t="s">
        <v>104</v>
      </c>
      <c r="G3" s="34" t="s">
        <v>105</v>
      </c>
      <c r="H3" s="34" t="s">
        <v>150</v>
      </c>
      <c r="I3" s="34" t="s">
        <v>151</v>
      </c>
      <c r="J3" s="34" t="s">
        <v>2</v>
      </c>
    </row>
    <row r="4" spans="1:10" x14ac:dyDescent="0.25">
      <c r="A4" s="35" t="s">
        <v>152</v>
      </c>
      <c r="B4" s="35"/>
      <c r="C4" s="35"/>
      <c r="D4" s="36" t="s">
        <v>153</v>
      </c>
      <c r="E4" s="37"/>
      <c r="F4" s="37"/>
      <c r="G4" s="37"/>
      <c r="H4" s="37"/>
      <c r="I4" s="37"/>
      <c r="J4" s="38">
        <f>SUM(I5:I14)</f>
        <v>835.5</v>
      </c>
    </row>
    <row r="5" spans="1:10" x14ac:dyDescent="0.25">
      <c r="A5" s="17"/>
      <c r="B5" s="17" t="s">
        <v>136</v>
      </c>
      <c r="C5" s="17"/>
      <c r="D5" s="23" t="s">
        <v>154</v>
      </c>
      <c r="E5" s="21"/>
      <c r="F5" s="22"/>
      <c r="G5" s="22"/>
      <c r="H5" s="22"/>
      <c r="I5" s="22">
        <f>SUM(H6:H12)</f>
        <v>565.5</v>
      </c>
      <c r="J5" s="21"/>
    </row>
    <row r="6" spans="1:10" x14ac:dyDescent="0.25">
      <c r="A6" s="17"/>
      <c r="B6" s="17"/>
      <c r="C6" s="17" t="s">
        <v>136</v>
      </c>
      <c r="D6" s="109" t="s">
        <v>155</v>
      </c>
      <c r="E6" s="110">
        <f>112*6</f>
        <v>672</v>
      </c>
      <c r="F6" s="21" t="s">
        <v>156</v>
      </c>
      <c r="G6" s="22">
        <v>0.25</v>
      </c>
      <c r="H6" s="22">
        <f t="shared" ref="H6:H12" si="0">G6*E6</f>
        <v>168</v>
      </c>
      <c r="I6" s="21"/>
      <c r="J6" s="21"/>
    </row>
    <row r="7" spans="1:10" x14ac:dyDescent="0.25">
      <c r="A7" s="17"/>
      <c r="B7" s="17"/>
      <c r="C7" s="17" t="s">
        <v>137</v>
      </c>
      <c r="D7" s="109" t="s">
        <v>157</v>
      </c>
      <c r="E7" s="110">
        <f>91*6</f>
        <v>546</v>
      </c>
      <c r="F7" s="21" t="s">
        <v>156</v>
      </c>
      <c r="G7" s="22">
        <v>0.25</v>
      </c>
      <c r="H7" s="22">
        <f t="shared" si="0"/>
        <v>136.5</v>
      </c>
      <c r="I7" s="22"/>
      <c r="J7" s="21"/>
    </row>
    <row r="8" spans="1:10" x14ac:dyDescent="0.25">
      <c r="A8" s="17"/>
      <c r="B8" s="17"/>
      <c r="C8" s="17" t="s">
        <v>138</v>
      </c>
      <c r="D8" s="109" t="s">
        <v>158</v>
      </c>
      <c r="E8" s="110">
        <f>35*6</f>
        <v>210</v>
      </c>
      <c r="F8" s="21" t="s">
        <v>156</v>
      </c>
      <c r="G8" s="22">
        <v>0.25</v>
      </c>
      <c r="H8" s="22">
        <f t="shared" si="0"/>
        <v>52.5</v>
      </c>
      <c r="I8" s="22"/>
      <c r="J8" s="21"/>
    </row>
    <row r="9" spans="1:10" x14ac:dyDescent="0.25">
      <c r="A9" s="17"/>
      <c r="B9" s="17"/>
      <c r="C9" s="17" t="s">
        <v>139</v>
      </c>
      <c r="D9" s="109" t="s">
        <v>159</v>
      </c>
      <c r="E9" s="110">
        <f>33*6</f>
        <v>198</v>
      </c>
      <c r="F9" s="21" t="s">
        <v>156</v>
      </c>
      <c r="G9" s="22">
        <v>0.25</v>
      </c>
      <c r="H9" s="22">
        <f t="shared" si="0"/>
        <v>49.5</v>
      </c>
      <c r="I9" s="22"/>
      <c r="J9" s="21"/>
    </row>
    <row r="10" spans="1:10" x14ac:dyDescent="0.25">
      <c r="A10" s="17"/>
      <c r="B10" s="17"/>
      <c r="C10" s="17" t="s">
        <v>140</v>
      </c>
      <c r="D10" s="109" t="s">
        <v>160</v>
      </c>
      <c r="E10" s="110">
        <f>64*6</f>
        <v>384</v>
      </c>
      <c r="F10" s="21" t="s">
        <v>156</v>
      </c>
      <c r="G10" s="22">
        <v>0.25</v>
      </c>
      <c r="H10" s="22">
        <f t="shared" si="0"/>
        <v>96</v>
      </c>
      <c r="I10" s="22"/>
      <c r="J10" s="21"/>
    </row>
    <row r="11" spans="1:10" x14ac:dyDescent="0.25">
      <c r="A11" s="17"/>
      <c r="B11" s="17"/>
      <c r="C11" s="17" t="s">
        <v>141</v>
      </c>
      <c r="D11" s="109" t="s">
        <v>161</v>
      </c>
      <c r="E11" s="110">
        <f>22*6</f>
        <v>132</v>
      </c>
      <c r="F11" s="21" t="s">
        <v>156</v>
      </c>
      <c r="G11" s="22">
        <v>0.25</v>
      </c>
      <c r="H11" s="22">
        <f t="shared" si="0"/>
        <v>33</v>
      </c>
      <c r="I11" s="22"/>
      <c r="J11" s="21"/>
    </row>
    <row r="12" spans="1:10" x14ac:dyDescent="0.25">
      <c r="A12" s="17"/>
      <c r="B12" s="17"/>
      <c r="C12" s="17" t="s">
        <v>142</v>
      </c>
      <c r="D12" s="109" t="s">
        <v>162</v>
      </c>
      <c r="E12" s="110">
        <f>20*6</f>
        <v>120</v>
      </c>
      <c r="F12" s="21" t="s">
        <v>156</v>
      </c>
      <c r="G12" s="22">
        <v>0.25</v>
      </c>
      <c r="H12" s="22">
        <f t="shared" si="0"/>
        <v>30</v>
      </c>
      <c r="I12" s="22"/>
      <c r="J12" s="21"/>
    </row>
    <row r="13" spans="1:10" x14ac:dyDescent="0.25">
      <c r="A13" s="17"/>
      <c r="B13" s="17" t="s">
        <v>137</v>
      </c>
      <c r="C13" s="17"/>
      <c r="D13" s="23" t="s">
        <v>163</v>
      </c>
      <c r="E13" s="21">
        <v>30</v>
      </c>
      <c r="F13" s="21" t="s">
        <v>164</v>
      </c>
      <c r="G13" s="22">
        <v>9</v>
      </c>
      <c r="H13" s="22"/>
      <c r="I13" s="22">
        <f>E13*G13</f>
        <v>270</v>
      </c>
      <c r="J13" s="21"/>
    </row>
    <row r="48" ht="15.2" customHeight="1" x14ac:dyDescent="0.25"/>
  </sheetData>
  <mergeCells count="1">
    <mergeCell ref="A2:J2"/>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32D8B9A5-2592-4363-B60A-2D054FF88023}">
          <x14:formula1>
            <xm:f>'Definición de empresa-personal'!$A$56:$A$64</xm:f>
          </x14:formula1>
          <xm:sqref>E18</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1086D-A570-4E5F-97D9-BC2AE3F46977}">
  <sheetPr>
    <tabColor rgb="FFFF0000"/>
  </sheetPr>
  <dimension ref="A2:J49"/>
  <sheetViews>
    <sheetView topLeftCell="A21" workbookViewId="0">
      <selection activeCell="J35" sqref="J35"/>
    </sheetView>
  </sheetViews>
  <sheetFormatPr baseColWidth="10" defaultColWidth="11" defaultRowHeight="15.75" x14ac:dyDescent="0.25"/>
  <cols>
    <col min="4" max="4" width="58.5" customWidth="1"/>
    <col min="10" max="10" width="12.375" customWidth="1"/>
  </cols>
  <sheetData>
    <row r="2" spans="1:10" ht="25.7" customHeight="1" x14ac:dyDescent="0.25">
      <c r="A2" s="211" t="s">
        <v>165</v>
      </c>
      <c r="B2" s="212"/>
      <c r="C2" s="212"/>
      <c r="D2" s="212"/>
      <c r="E2" s="212"/>
      <c r="F2" s="212"/>
      <c r="G2" s="212"/>
      <c r="H2" s="212"/>
      <c r="I2" s="212"/>
      <c r="J2" s="213"/>
    </row>
    <row r="3" spans="1:10" x14ac:dyDescent="0.25">
      <c r="A3" s="33" t="s">
        <v>145</v>
      </c>
      <c r="B3" s="33" t="s">
        <v>146</v>
      </c>
      <c r="C3" s="33" t="s">
        <v>147</v>
      </c>
      <c r="D3" s="34" t="s">
        <v>148</v>
      </c>
      <c r="E3" s="34" t="s">
        <v>149</v>
      </c>
      <c r="F3" s="34" t="s">
        <v>104</v>
      </c>
      <c r="G3" s="34" t="s">
        <v>105</v>
      </c>
      <c r="H3" s="34" t="s">
        <v>151</v>
      </c>
      <c r="I3" s="34" t="s">
        <v>150</v>
      </c>
      <c r="J3" s="34" t="s">
        <v>2</v>
      </c>
    </row>
    <row r="4" spans="1:10" x14ac:dyDescent="0.25">
      <c r="A4" s="35" t="s">
        <v>152</v>
      </c>
      <c r="B4" s="35"/>
      <c r="C4" s="35"/>
      <c r="D4" s="36" t="s">
        <v>166</v>
      </c>
      <c r="E4" s="37"/>
      <c r="F4" s="37"/>
      <c r="G4" s="37"/>
      <c r="H4" s="37"/>
      <c r="I4" s="37"/>
      <c r="J4" s="38">
        <f>SUM(I5:I16)</f>
        <v>1006.9394335550946</v>
      </c>
    </row>
    <row r="5" spans="1:10" x14ac:dyDescent="0.25">
      <c r="A5" s="17"/>
      <c r="B5" s="17" t="s">
        <v>136</v>
      </c>
      <c r="C5" s="17"/>
      <c r="D5" s="23" t="s">
        <v>167</v>
      </c>
      <c r="E5" s="21"/>
      <c r="F5" s="21"/>
      <c r="G5" s="22" t="str">
        <f>IFERROR(VLOOKUP(D5,'Definición de empresa-personal'!$A$54:$H$64,2,FALSE),"")</f>
        <v/>
      </c>
      <c r="H5" s="21"/>
      <c r="I5" s="22">
        <f>SUM(H6)</f>
        <v>265.79034742590079</v>
      </c>
      <c r="J5" s="21"/>
    </row>
    <row r="6" spans="1:10" x14ac:dyDescent="0.25">
      <c r="A6" s="17"/>
      <c r="B6" s="17"/>
      <c r="C6" s="17" t="s">
        <v>152</v>
      </c>
      <c r="D6" s="24" t="s">
        <v>62</v>
      </c>
      <c r="E6" s="21">
        <v>8</v>
      </c>
      <c r="F6" s="21" t="s">
        <v>168</v>
      </c>
      <c r="G6" s="22">
        <f>IFERROR(VLOOKUP(D6,'Definición de empresa-personal'!$A$54:$H$64,2,FALSE),"")</f>
        <v>33.223793428237599</v>
      </c>
      <c r="H6" s="22">
        <f>E6*G6</f>
        <v>265.79034742590079</v>
      </c>
      <c r="I6" s="22"/>
      <c r="J6" s="21"/>
    </row>
    <row r="7" spans="1:10" x14ac:dyDescent="0.25">
      <c r="A7" s="17"/>
      <c r="B7" s="17" t="s">
        <v>137</v>
      </c>
      <c r="C7" s="17"/>
      <c r="D7" s="23" t="s">
        <v>169</v>
      </c>
      <c r="E7" s="21"/>
      <c r="F7" s="21"/>
      <c r="G7" s="22" t="str">
        <f>IFERROR(VLOOKUP(D7,'Definición de empresa-personal'!$A$54:$H$64,2,FALSE),"")</f>
        <v/>
      </c>
      <c r="H7" s="22"/>
      <c r="I7" s="22">
        <f>SUM(H8)</f>
        <v>286.78824427116871</v>
      </c>
      <c r="J7" s="21"/>
    </row>
    <row r="8" spans="1:10" x14ac:dyDescent="0.25">
      <c r="A8" s="17"/>
      <c r="B8" s="17"/>
      <c r="C8" s="17" t="s">
        <v>152</v>
      </c>
      <c r="D8" s="24" t="s">
        <v>57</v>
      </c>
      <c r="E8" s="21">
        <v>8</v>
      </c>
      <c r="F8" s="21" t="s">
        <v>168</v>
      </c>
      <c r="G8" s="22">
        <f>IFERROR(VLOOKUP(D8,'Definición de empresa-personal'!$A$54:$H$64,2,FALSE),"")</f>
        <v>35.848530533896088</v>
      </c>
      <c r="H8" s="22">
        <f>E8*G8</f>
        <v>286.78824427116871</v>
      </c>
      <c r="I8" s="22"/>
      <c r="J8" s="21"/>
    </row>
    <row r="9" spans="1:10" x14ac:dyDescent="0.25">
      <c r="A9" s="17"/>
      <c r="B9" s="17" t="s">
        <v>138</v>
      </c>
      <c r="C9" s="17"/>
      <c r="D9" s="23" t="s">
        <v>170</v>
      </c>
      <c r="E9" s="21"/>
      <c r="F9" s="21"/>
      <c r="G9" s="22" t="str">
        <f>IFERROR(VLOOKUP(D9,'Definición de empresa-personal'!$A$54:$H$64,2,FALSE),"")</f>
        <v/>
      </c>
      <c r="H9" s="22"/>
      <c r="I9" s="22">
        <f>SUM(H10)</f>
        <v>71.697061067792177</v>
      </c>
      <c r="J9" s="21"/>
    </row>
    <row r="10" spans="1:10" x14ac:dyDescent="0.25">
      <c r="A10" s="17"/>
      <c r="B10" s="17"/>
      <c r="C10" s="17" t="s">
        <v>152</v>
      </c>
      <c r="D10" s="24" t="s">
        <v>57</v>
      </c>
      <c r="E10" s="21">
        <v>2</v>
      </c>
      <c r="F10" s="21" t="s">
        <v>168</v>
      </c>
      <c r="G10" s="22">
        <f>IFERROR(VLOOKUP(D10,'Definición de empresa-personal'!$A$54:$H$64,2,FALSE),"")</f>
        <v>35.848530533896088</v>
      </c>
      <c r="H10" s="22">
        <f>E10*G10</f>
        <v>71.697061067792177</v>
      </c>
      <c r="I10" s="22"/>
      <c r="J10" s="21"/>
    </row>
    <row r="11" spans="1:10" x14ac:dyDescent="0.25">
      <c r="A11" s="17"/>
      <c r="B11" s="17" t="s">
        <v>139</v>
      </c>
      <c r="C11" s="17"/>
      <c r="D11" s="23" t="s">
        <v>171</v>
      </c>
      <c r="E11" s="21"/>
      <c r="F11" s="21"/>
      <c r="G11" s="22" t="str">
        <f>IFERROR(VLOOKUP(D11,'Definición de empresa-personal'!$A$54:$H$64,2,FALSE),"")</f>
        <v/>
      </c>
      <c r="H11" s="22"/>
      <c r="I11" s="22">
        <f>SUM(H12)</f>
        <v>83.112584352719566</v>
      </c>
      <c r="J11" s="21"/>
    </row>
    <row r="12" spans="1:10" x14ac:dyDescent="0.25">
      <c r="A12" s="17"/>
      <c r="B12" s="17"/>
      <c r="C12" s="17" t="s">
        <v>152</v>
      </c>
      <c r="D12" s="24" t="s">
        <v>59</v>
      </c>
      <c r="E12" s="21">
        <v>2</v>
      </c>
      <c r="F12" s="21" t="s">
        <v>168</v>
      </c>
      <c r="G12" s="22">
        <f>IFERROR(VLOOKUP(D12,'Definición de empresa-personal'!$A$54:$H$64,2,FALSE),"")</f>
        <v>41.556292176359783</v>
      </c>
      <c r="H12" s="22">
        <f>E12*G12</f>
        <v>83.112584352719566</v>
      </c>
      <c r="I12" s="22"/>
      <c r="J12" s="21"/>
    </row>
    <row r="13" spans="1:10" x14ac:dyDescent="0.25">
      <c r="A13" s="17"/>
      <c r="B13" s="17" t="s">
        <v>140</v>
      </c>
      <c r="C13" s="17"/>
      <c r="D13" s="23" t="s">
        <v>172</v>
      </c>
      <c r="E13" s="21"/>
      <c r="F13" s="21"/>
      <c r="G13" s="22" t="str">
        <f>IFERROR(VLOOKUP(D13,'Definición de empresa-personal'!$A$54:$H$64,2,FALSE),"")</f>
        <v/>
      </c>
      <c r="H13" s="22"/>
      <c r="I13" s="22">
        <f>SUM(H14)</f>
        <v>33.760849011612656</v>
      </c>
      <c r="J13" s="21"/>
    </row>
    <row r="14" spans="1:10" x14ac:dyDescent="0.25">
      <c r="A14" s="17"/>
      <c r="B14" s="17"/>
      <c r="C14" s="17" t="s">
        <v>152</v>
      </c>
      <c r="D14" s="24" t="s">
        <v>63</v>
      </c>
      <c r="E14" s="21">
        <v>1</v>
      </c>
      <c r="F14" s="21" t="s">
        <v>168</v>
      </c>
      <c r="G14" s="22">
        <f>IFERROR(VLOOKUP(D14,'Definición de empresa-personal'!$A$54:$H$64,2,FALSE),"")</f>
        <v>33.760849011612656</v>
      </c>
      <c r="H14" s="22">
        <f>E14*G14</f>
        <v>33.760849011612656</v>
      </c>
      <c r="I14" s="22"/>
      <c r="J14" s="21"/>
    </row>
    <row r="15" spans="1:10" x14ac:dyDescent="0.25">
      <c r="A15" s="17"/>
      <c r="B15" s="17" t="s">
        <v>141</v>
      </c>
      <c r="C15" s="17"/>
      <c r="D15" s="23" t="s">
        <v>173</v>
      </c>
      <c r="E15" s="21"/>
      <c r="F15" s="21"/>
      <c r="G15" s="22" t="str">
        <f>IFERROR(VLOOKUP(D15,'Definición de empresa-personal'!$A$54:$H$64,2,FALSE),"")</f>
        <v/>
      </c>
      <c r="H15" s="22"/>
      <c r="I15" s="22">
        <f>SUM(H16)</f>
        <v>265.79034742590079</v>
      </c>
      <c r="J15" s="21"/>
    </row>
    <row r="16" spans="1:10" x14ac:dyDescent="0.25">
      <c r="A16" s="17"/>
      <c r="B16" s="17"/>
      <c r="C16" s="17" t="s">
        <v>152</v>
      </c>
      <c r="D16" s="24" t="s">
        <v>62</v>
      </c>
      <c r="E16" s="21">
        <v>8</v>
      </c>
      <c r="F16" s="21" t="s">
        <v>168</v>
      </c>
      <c r="G16" s="22">
        <f>IFERROR(VLOOKUP(D16,'Definición de empresa-personal'!$A$54:$H$64,2,FALSE),"")</f>
        <v>33.223793428237599</v>
      </c>
      <c r="H16" s="22">
        <f>E16*G16</f>
        <v>265.79034742590079</v>
      </c>
      <c r="I16" s="22"/>
      <c r="J16" s="21"/>
    </row>
    <row r="17" spans="1:10" x14ac:dyDescent="0.25">
      <c r="A17" s="35" t="s">
        <v>174</v>
      </c>
      <c r="B17" s="35"/>
      <c r="C17" s="35"/>
      <c r="D17" s="36" t="s">
        <v>12</v>
      </c>
      <c r="E17" s="37"/>
      <c r="F17" s="37"/>
      <c r="G17" s="37"/>
      <c r="H17" s="37"/>
      <c r="I17" s="37"/>
      <c r="J17" s="38">
        <f>SUM(I18:I27)</f>
        <v>4858.0363634737823</v>
      </c>
    </row>
    <row r="18" spans="1:10" x14ac:dyDescent="0.25">
      <c r="A18" s="17"/>
      <c r="B18" s="17" t="s">
        <v>136</v>
      </c>
      <c r="C18" s="17"/>
      <c r="D18" s="23" t="s">
        <v>175</v>
      </c>
      <c r="E18" s="21"/>
      <c r="F18" s="21"/>
      <c r="G18" s="22" t="str">
        <f>IFERROR(VLOOKUP(D18,'Definición de empresa-personal'!$A$54:$H$64,2,FALSE),"")</f>
        <v/>
      </c>
      <c r="H18" s="21"/>
      <c r="I18" s="22">
        <f>SUM(H19)</f>
        <v>4725.1411897608323</v>
      </c>
      <c r="J18" s="21"/>
    </row>
    <row r="19" spans="1:10" x14ac:dyDescent="0.25">
      <c r="A19" s="17"/>
      <c r="B19" s="17"/>
      <c r="C19" s="17" t="s">
        <v>152</v>
      </c>
      <c r="D19" s="24" t="s">
        <v>56</v>
      </c>
      <c r="E19" s="21">
        <v>107</v>
      </c>
      <c r="F19" s="21" t="s">
        <v>168</v>
      </c>
      <c r="G19" s="22">
        <f>IFERROR(VLOOKUP(D19,'Definición de empresa-personal'!$A$54:$H$64,2,FALSE),"")</f>
        <v>44.160198035147964</v>
      </c>
      <c r="H19" s="22">
        <f>E19*G19</f>
        <v>4725.1411897608323</v>
      </c>
      <c r="I19" s="22"/>
      <c r="J19" s="21"/>
    </row>
    <row r="20" spans="1:10" x14ac:dyDescent="0.25">
      <c r="A20" s="88" t="s">
        <v>176</v>
      </c>
      <c r="B20" s="88"/>
      <c r="C20" s="88"/>
      <c r="D20" s="89" t="s">
        <v>177</v>
      </c>
      <c r="E20" s="90"/>
      <c r="F20" s="90"/>
      <c r="G20" s="90"/>
      <c r="H20" s="90"/>
      <c r="I20" s="90"/>
      <c r="J20" s="91">
        <f>SUM(I21:I40)</f>
        <v>232.56655399766319</v>
      </c>
    </row>
    <row r="21" spans="1:10" x14ac:dyDescent="0.25">
      <c r="A21" s="169"/>
      <c r="B21" s="169" t="s">
        <v>152</v>
      </c>
      <c r="C21" s="169"/>
      <c r="D21" s="170" t="s">
        <v>178</v>
      </c>
      <c r="E21" s="170"/>
      <c r="F21" s="170"/>
      <c r="G21" s="171"/>
      <c r="H21" s="170"/>
      <c r="I21" s="171">
        <f>H22</f>
        <v>33.223793428237599</v>
      </c>
      <c r="J21" s="170"/>
    </row>
    <row r="22" spans="1:10" x14ac:dyDescent="0.25">
      <c r="A22" s="169"/>
      <c r="B22" s="169"/>
      <c r="C22" s="169">
        <v>1</v>
      </c>
      <c r="D22" s="172" t="s">
        <v>62</v>
      </c>
      <c r="E22" s="170">
        <v>1</v>
      </c>
      <c r="F22" s="170" t="s">
        <v>168</v>
      </c>
      <c r="G22" s="171">
        <f>IFERROR(VLOOKUP(D22,'Definición de empresa-personal'!$A$54:$H$64,2,FALSE),"")</f>
        <v>33.223793428237599</v>
      </c>
      <c r="H22" s="171">
        <f>E22*G22</f>
        <v>33.223793428237599</v>
      </c>
      <c r="I22" s="170"/>
      <c r="J22" s="170"/>
    </row>
    <row r="23" spans="1:10" x14ac:dyDescent="0.25">
      <c r="A23" s="170"/>
      <c r="B23" s="169" t="s">
        <v>174</v>
      </c>
      <c r="C23" s="169"/>
      <c r="D23" s="170" t="s">
        <v>179</v>
      </c>
      <c r="E23" s="170"/>
      <c r="F23" s="170"/>
      <c r="G23" s="170"/>
      <c r="H23" s="171"/>
      <c r="I23" s="171">
        <f>H24</f>
        <v>33.223793428237599</v>
      </c>
      <c r="J23" s="170"/>
    </row>
    <row r="24" spans="1:10" x14ac:dyDescent="0.25">
      <c r="A24" s="170"/>
      <c r="B24" s="169"/>
      <c r="C24" s="169">
        <v>1</v>
      </c>
      <c r="D24" s="173" t="s">
        <v>62</v>
      </c>
      <c r="E24" s="170">
        <v>1</v>
      </c>
      <c r="F24" s="170" t="s">
        <v>168</v>
      </c>
      <c r="G24" s="170">
        <f>IFERROR(VLOOKUP(D22,'Definición de empresa-personal'!$A$54:$H$64,2,FALSE),"")</f>
        <v>33.223793428237599</v>
      </c>
      <c r="H24" s="171">
        <f>E24*G24</f>
        <v>33.223793428237599</v>
      </c>
      <c r="I24" s="170"/>
      <c r="J24" s="170"/>
    </row>
    <row r="25" spans="1:10" x14ac:dyDescent="0.25">
      <c r="A25" s="170"/>
      <c r="B25" s="169" t="s">
        <v>176</v>
      </c>
      <c r="C25" s="169"/>
      <c r="D25" s="170" t="s">
        <v>180</v>
      </c>
      <c r="E25" s="170"/>
      <c r="F25" s="170"/>
      <c r="G25" s="170"/>
      <c r="H25" s="171"/>
      <c r="I25" s="171">
        <f>H26</f>
        <v>33.223793428237599</v>
      </c>
      <c r="J25" s="170"/>
    </row>
    <row r="26" spans="1:10" x14ac:dyDescent="0.25">
      <c r="A26" s="170"/>
      <c r="B26" s="169"/>
      <c r="C26" s="169">
        <v>1</v>
      </c>
      <c r="D26" s="173" t="s">
        <v>62</v>
      </c>
      <c r="E26" s="170">
        <v>1</v>
      </c>
      <c r="F26" s="170" t="s">
        <v>168</v>
      </c>
      <c r="G26" s="170">
        <f>IFERROR(VLOOKUP(D22,'Definición de empresa-personal'!$A$54:$H$64,2,FALSE),"")</f>
        <v>33.223793428237599</v>
      </c>
      <c r="H26" s="171">
        <f>E26*G26</f>
        <v>33.223793428237599</v>
      </c>
      <c r="I26" s="170"/>
      <c r="J26" s="170"/>
    </row>
    <row r="27" spans="1:10" x14ac:dyDescent="0.25">
      <c r="A27" s="170"/>
      <c r="B27" s="169" t="s">
        <v>181</v>
      </c>
      <c r="C27" s="169"/>
      <c r="D27" s="170" t="s">
        <v>182</v>
      </c>
      <c r="E27" s="170"/>
      <c r="F27" s="170"/>
      <c r="G27" s="170"/>
      <c r="H27" s="171"/>
      <c r="I27" s="171">
        <f>H28</f>
        <v>33.223793428237599</v>
      </c>
      <c r="J27" s="170"/>
    </row>
    <row r="28" spans="1:10" x14ac:dyDescent="0.25">
      <c r="A28" s="170"/>
      <c r="B28" s="169"/>
      <c r="C28" s="169">
        <v>1</v>
      </c>
      <c r="D28" s="172" t="s">
        <v>62</v>
      </c>
      <c r="E28" s="170">
        <v>1</v>
      </c>
      <c r="F28" s="170" t="s">
        <v>168</v>
      </c>
      <c r="G28" s="170">
        <f>IFERROR(VLOOKUP(D22,'Definición de empresa-personal'!$A$54:$H$64,2,FALSE),"")</f>
        <v>33.223793428237599</v>
      </c>
      <c r="H28" s="171">
        <f>E28*G28</f>
        <v>33.223793428237599</v>
      </c>
      <c r="I28" s="170"/>
      <c r="J28" s="170"/>
    </row>
    <row r="29" spans="1:10" x14ac:dyDescent="0.25">
      <c r="A29" s="170"/>
      <c r="B29" s="169" t="s">
        <v>183</v>
      </c>
      <c r="C29" s="169"/>
      <c r="D29" s="170" t="s">
        <v>184</v>
      </c>
      <c r="E29" s="170"/>
      <c r="F29" s="170"/>
      <c r="G29" s="170"/>
      <c r="H29" s="171"/>
      <c r="I29" s="171">
        <f>H30</f>
        <v>33.223793428237599</v>
      </c>
      <c r="J29" s="170"/>
    </row>
    <row r="30" spans="1:10" x14ac:dyDescent="0.25">
      <c r="A30" s="170"/>
      <c r="B30" s="169"/>
      <c r="C30" s="169">
        <v>1</v>
      </c>
      <c r="D30" s="173" t="s">
        <v>62</v>
      </c>
      <c r="E30" s="170">
        <v>1</v>
      </c>
      <c r="F30" s="170" t="s">
        <v>168</v>
      </c>
      <c r="G30" s="170">
        <f>IFERROR(VLOOKUP(D22,'Definición de empresa-personal'!$A$54:$H$64,2,FALSE),"")</f>
        <v>33.223793428237599</v>
      </c>
      <c r="H30" s="171">
        <f>E30*G30</f>
        <v>33.223793428237599</v>
      </c>
      <c r="I30" s="170"/>
      <c r="J30" s="170"/>
    </row>
    <row r="31" spans="1:10" x14ac:dyDescent="0.25">
      <c r="A31" s="170"/>
      <c r="B31" s="169" t="s">
        <v>185</v>
      </c>
      <c r="C31" s="169"/>
      <c r="D31" s="170" t="s">
        <v>186</v>
      </c>
      <c r="E31" s="170"/>
      <c r="F31" s="170"/>
      <c r="G31" s="170"/>
      <c r="H31" s="171"/>
      <c r="I31" s="171">
        <f>H32</f>
        <v>33.223793428237599</v>
      </c>
      <c r="J31" s="170"/>
    </row>
    <row r="32" spans="1:10" x14ac:dyDescent="0.25">
      <c r="A32" s="170"/>
      <c r="B32" s="169"/>
      <c r="C32" s="169">
        <v>1</v>
      </c>
      <c r="D32" s="173" t="s">
        <v>187</v>
      </c>
      <c r="E32" s="170">
        <v>1</v>
      </c>
      <c r="F32" s="170" t="s">
        <v>168</v>
      </c>
      <c r="G32" s="170">
        <f>IFERROR(VLOOKUP(D22,'Definición de empresa-personal'!$A$54:$H$64,2,FALSE),"")</f>
        <v>33.223793428237599</v>
      </c>
      <c r="H32" s="171">
        <f>E32*G32</f>
        <v>33.223793428237599</v>
      </c>
      <c r="I32" s="170"/>
      <c r="J32" s="170"/>
    </row>
    <row r="33" spans="1:10" x14ac:dyDescent="0.25">
      <c r="A33" s="170"/>
      <c r="B33" s="169" t="s">
        <v>188</v>
      </c>
      <c r="C33" s="169"/>
      <c r="D33" s="170" t="s">
        <v>189</v>
      </c>
      <c r="E33" s="170"/>
      <c r="F33" s="170"/>
      <c r="G33" s="170"/>
      <c r="H33" s="171"/>
      <c r="I33" s="171">
        <f>H34</f>
        <v>33.223793428237599</v>
      </c>
      <c r="J33" s="170"/>
    </row>
    <row r="34" spans="1:10" x14ac:dyDescent="0.25">
      <c r="A34" s="170"/>
      <c r="B34" s="169"/>
      <c r="C34" s="169">
        <v>1</v>
      </c>
      <c r="D34" s="173" t="s">
        <v>62</v>
      </c>
      <c r="E34" s="170">
        <v>1</v>
      </c>
      <c r="F34" s="170" t="s">
        <v>168</v>
      </c>
      <c r="G34" s="170">
        <f>IFERROR(VLOOKUP(D22,'Definición de empresa-personal'!$A$54:$H$64,2,FALSE),"")</f>
        <v>33.223793428237599</v>
      </c>
      <c r="H34" s="171">
        <f>E34*G34</f>
        <v>33.223793428237599</v>
      </c>
      <c r="I34" s="170"/>
      <c r="J34" s="170"/>
    </row>
    <row r="35" spans="1:10" ht="18.75" x14ac:dyDescent="0.3">
      <c r="I35" s="41" t="s">
        <v>48</v>
      </c>
      <c r="J35" s="39">
        <f>SUM(J4:J20)</f>
        <v>6097.5423510265409</v>
      </c>
    </row>
    <row r="49" ht="15.2" customHeight="1" x14ac:dyDescent="0.25"/>
  </sheetData>
  <mergeCells count="1">
    <mergeCell ref="A2:J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AC91E33C-73E5-4A3D-943A-EF4DE3033502}">
          <x14:formula1>
            <xm:f>'Definición de empresa-personal'!$A$56:$A$64</xm:f>
          </x14:formula1>
          <xm:sqref>D6 D19 D16 D14 D12 D10 D8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38BC5-5E2D-4927-A1EB-C257AEA810A6}">
  <sheetPr>
    <tabColor rgb="FF7030A0"/>
  </sheetPr>
  <dimension ref="A2:J22"/>
  <sheetViews>
    <sheetView workbookViewId="0">
      <selection activeCell="A2" sqref="A2:J18"/>
    </sheetView>
  </sheetViews>
  <sheetFormatPr baseColWidth="10" defaultColWidth="11" defaultRowHeight="15.75" x14ac:dyDescent="0.25"/>
  <cols>
    <col min="4" max="4" width="58.5" customWidth="1"/>
  </cols>
  <sheetData>
    <row r="2" spans="1:10" ht="25.7" customHeight="1" x14ac:dyDescent="0.25">
      <c r="A2" s="211" t="s">
        <v>5</v>
      </c>
      <c r="B2" s="212"/>
      <c r="C2" s="212"/>
      <c r="D2" s="212"/>
      <c r="E2" s="212"/>
      <c r="F2" s="212"/>
      <c r="G2" s="212"/>
      <c r="H2" s="212"/>
      <c r="I2" s="212"/>
      <c r="J2" s="213"/>
    </row>
    <row r="3" spans="1:10" x14ac:dyDescent="0.25">
      <c r="A3" s="33" t="s">
        <v>145</v>
      </c>
      <c r="B3" s="33" t="s">
        <v>146</v>
      </c>
      <c r="C3" s="33" t="s">
        <v>147</v>
      </c>
      <c r="D3" s="34" t="s">
        <v>148</v>
      </c>
      <c r="E3" s="34" t="s">
        <v>149</v>
      </c>
      <c r="F3" s="34" t="s">
        <v>104</v>
      </c>
      <c r="G3" s="34" t="s">
        <v>105</v>
      </c>
      <c r="H3" s="34" t="s">
        <v>151</v>
      </c>
      <c r="I3" s="34" t="s">
        <v>150</v>
      </c>
      <c r="J3" s="34" t="s">
        <v>2</v>
      </c>
    </row>
    <row r="4" spans="1:10" x14ac:dyDescent="0.25">
      <c r="A4" s="35" t="s">
        <v>152</v>
      </c>
      <c r="B4" s="35"/>
      <c r="C4" s="35"/>
      <c r="D4" s="36" t="s">
        <v>5</v>
      </c>
      <c r="E4" s="37"/>
      <c r="F4" s="37"/>
      <c r="G4" s="37"/>
      <c r="H4" s="37"/>
      <c r="I4" s="37"/>
      <c r="J4" s="38">
        <f>SUM(I5:I18)</f>
        <v>4216.84853947588</v>
      </c>
    </row>
    <row r="5" spans="1:10" x14ac:dyDescent="0.25">
      <c r="A5" s="17"/>
      <c r="B5" s="17" t="s">
        <v>136</v>
      </c>
      <c r="C5" s="17"/>
      <c r="D5" s="23" t="s">
        <v>190</v>
      </c>
      <c r="E5" s="21"/>
      <c r="F5" s="21"/>
      <c r="G5" s="22" t="str">
        <f>IFERROR(VLOOKUP(D5,'Definición de empresa-personal'!$A$54:$H$64,2,FALSE),"")</f>
        <v/>
      </c>
      <c r="H5" s="21"/>
      <c r="I5" s="22">
        <f>SUM(H6)</f>
        <v>602.40693421084006</v>
      </c>
      <c r="J5" s="21"/>
    </row>
    <row r="6" spans="1:10" x14ac:dyDescent="0.25">
      <c r="A6" s="17"/>
      <c r="B6" s="17"/>
      <c r="C6" s="17" t="s">
        <v>152</v>
      </c>
      <c r="D6" s="24" t="s">
        <v>60</v>
      </c>
      <c r="E6" s="21">
        <v>16</v>
      </c>
      <c r="F6" s="21" t="s">
        <v>168</v>
      </c>
      <c r="G6" s="22">
        <f>IFERROR(VLOOKUP(D6,'Definición de empresa-personal'!$A$54:$H$64,2,FALSE),"")</f>
        <v>37.650433388177504</v>
      </c>
      <c r="H6" s="22">
        <f>E6*G6</f>
        <v>602.40693421084006</v>
      </c>
      <c r="I6" s="22"/>
      <c r="J6" s="21"/>
    </row>
    <row r="7" spans="1:10" x14ac:dyDescent="0.25">
      <c r="A7" s="17"/>
      <c r="B7" s="17" t="s">
        <v>137</v>
      </c>
      <c r="C7" s="17"/>
      <c r="D7" s="23" t="s">
        <v>191</v>
      </c>
      <c r="E7" s="21"/>
      <c r="F7" s="21"/>
      <c r="G7" s="22" t="str">
        <f>IFERROR(VLOOKUP(D7,'Definición de empresa-personal'!$A$54:$H$64,2,FALSE),"")</f>
        <v/>
      </c>
      <c r="H7" s="22"/>
      <c r="I7" s="22">
        <f>SUM(H8)</f>
        <v>564.75650082266259</v>
      </c>
      <c r="J7" s="21"/>
    </row>
    <row r="8" spans="1:10" x14ac:dyDescent="0.25">
      <c r="A8" s="17"/>
      <c r="B8" s="17"/>
      <c r="C8" s="17" t="s">
        <v>152</v>
      </c>
      <c r="D8" s="24" t="s">
        <v>60</v>
      </c>
      <c r="E8" s="21">
        <v>15</v>
      </c>
      <c r="F8" s="21" t="s">
        <v>168</v>
      </c>
      <c r="G8" s="22">
        <f>IFERROR(VLOOKUP(D8,'Definición de empresa-personal'!$A$54:$H$64,2,FALSE),"")</f>
        <v>37.650433388177504</v>
      </c>
      <c r="H8" s="22">
        <f>E8*G8</f>
        <v>564.75650082266259</v>
      </c>
      <c r="I8" s="22"/>
      <c r="J8" s="21"/>
    </row>
    <row r="9" spans="1:10" x14ac:dyDescent="0.25">
      <c r="A9" s="17"/>
      <c r="B9" s="17" t="s">
        <v>138</v>
      </c>
      <c r="C9" s="17"/>
      <c r="D9" s="23" t="s">
        <v>192</v>
      </c>
      <c r="E9" s="21"/>
      <c r="F9" s="21"/>
      <c r="G9" s="22" t="str">
        <f>IFERROR(VLOOKUP(D9,'Definición de empresa-personal'!$A$54:$H$64,2,FALSE),"")</f>
        <v/>
      </c>
      <c r="H9" s="22"/>
      <c r="I9" s="22">
        <f>SUM(H10)</f>
        <v>602.40693421084006</v>
      </c>
      <c r="J9" s="21"/>
    </row>
    <row r="10" spans="1:10" x14ac:dyDescent="0.25">
      <c r="A10" s="17"/>
      <c r="B10" s="17"/>
      <c r="C10" s="17" t="s">
        <v>152</v>
      </c>
      <c r="D10" s="24" t="s">
        <v>60</v>
      </c>
      <c r="E10" s="21">
        <v>16</v>
      </c>
      <c r="F10" s="21" t="s">
        <v>168</v>
      </c>
      <c r="G10" s="22">
        <f>IFERROR(VLOOKUP(D10,'Definición de empresa-personal'!$A$54:$H$64,2,FALSE),"")</f>
        <v>37.650433388177504</v>
      </c>
      <c r="H10" s="22">
        <f>E10*G10</f>
        <v>602.40693421084006</v>
      </c>
      <c r="I10" s="22"/>
      <c r="J10" s="21"/>
    </row>
    <row r="11" spans="1:10" x14ac:dyDescent="0.25">
      <c r="A11" s="17"/>
      <c r="B11" s="17" t="s">
        <v>139</v>
      </c>
      <c r="C11" s="17"/>
      <c r="D11" s="23" t="s">
        <v>193</v>
      </c>
      <c r="E11" s="21"/>
      <c r="F11" s="21"/>
      <c r="G11" s="22" t="str">
        <f>IFERROR(VLOOKUP(D11,'Definición de empresa-personal'!$A$54:$H$64,2,FALSE),"")</f>
        <v/>
      </c>
      <c r="H11" s="22"/>
      <c r="I11" s="22">
        <f>SUM(H12)</f>
        <v>527.10606743448511</v>
      </c>
      <c r="J11" s="21"/>
    </row>
    <row r="12" spans="1:10" x14ac:dyDescent="0.25">
      <c r="A12" s="17"/>
      <c r="B12" s="17"/>
      <c r="C12" s="17" t="s">
        <v>152</v>
      </c>
      <c r="D12" s="24" t="s">
        <v>60</v>
      </c>
      <c r="E12" s="21">
        <v>14</v>
      </c>
      <c r="F12" s="21" t="s">
        <v>168</v>
      </c>
      <c r="G12" s="22">
        <f>IFERROR(VLOOKUP(D12,'Definición de empresa-personal'!$A$54:$H$64,2,FALSE),"")</f>
        <v>37.650433388177504</v>
      </c>
      <c r="H12" s="22">
        <f>E12*G12</f>
        <v>527.10606743448511</v>
      </c>
      <c r="I12" s="22"/>
      <c r="J12" s="21"/>
    </row>
    <row r="13" spans="1:10" x14ac:dyDescent="0.25">
      <c r="A13" s="17"/>
      <c r="B13" s="17" t="s">
        <v>140</v>
      </c>
      <c r="C13" s="17"/>
      <c r="D13" s="23" t="s">
        <v>194</v>
      </c>
      <c r="E13" s="21"/>
      <c r="F13" s="21"/>
      <c r="G13" s="22" t="str">
        <f>IFERROR(VLOOKUP(D13,'Definición de empresa-personal'!$A$54:$H$64,2,FALSE),"")</f>
        <v/>
      </c>
      <c r="H13" s="22"/>
      <c r="I13" s="22">
        <f>SUM(H14)</f>
        <v>602.40693421084006</v>
      </c>
      <c r="J13" s="21"/>
    </row>
    <row r="14" spans="1:10" x14ac:dyDescent="0.25">
      <c r="A14" s="17"/>
      <c r="B14" s="17"/>
      <c r="C14" s="17" t="s">
        <v>152</v>
      </c>
      <c r="D14" s="24" t="s">
        <v>60</v>
      </c>
      <c r="E14" s="21">
        <v>16</v>
      </c>
      <c r="F14" s="21" t="s">
        <v>168</v>
      </c>
      <c r="G14" s="22">
        <f>IFERROR(VLOOKUP(D14,'Definición de empresa-personal'!$A$54:$H$64,2,FALSE),"")</f>
        <v>37.650433388177504</v>
      </c>
      <c r="H14" s="22">
        <f>E14*G14</f>
        <v>602.40693421084006</v>
      </c>
      <c r="I14" s="22"/>
      <c r="J14" s="21"/>
    </row>
    <row r="15" spans="1:10" x14ac:dyDescent="0.25">
      <c r="A15" s="17"/>
      <c r="B15" s="17" t="s">
        <v>141</v>
      </c>
      <c r="C15" s="17"/>
      <c r="D15" s="23" t="s">
        <v>195</v>
      </c>
      <c r="E15" s="21"/>
      <c r="F15" s="21"/>
      <c r="G15" s="22" t="str">
        <f>IFERROR(VLOOKUP(D15,'Definición de empresa-personal'!$A$54:$H$64,2,FALSE),"")</f>
        <v/>
      </c>
      <c r="H15" s="22"/>
      <c r="I15" s="22">
        <f>SUM(H16)</f>
        <v>640.05736759901754</v>
      </c>
      <c r="J15" s="21"/>
    </row>
    <row r="16" spans="1:10" x14ac:dyDescent="0.25">
      <c r="A16" s="17"/>
      <c r="B16" s="17"/>
      <c r="C16" s="17" t="s">
        <v>152</v>
      </c>
      <c r="D16" s="24" t="s">
        <v>60</v>
      </c>
      <c r="E16" s="21">
        <v>17</v>
      </c>
      <c r="F16" s="21" t="s">
        <v>168</v>
      </c>
      <c r="G16" s="22">
        <f>IFERROR(VLOOKUP(D16,'Definición de empresa-personal'!$A$54:$H$64,2,FALSE),"")</f>
        <v>37.650433388177504</v>
      </c>
      <c r="H16" s="22">
        <f>E16*G16</f>
        <v>640.05736759901754</v>
      </c>
      <c r="I16" s="22"/>
      <c r="J16" s="21"/>
    </row>
    <row r="17" spans="1:10" x14ac:dyDescent="0.25">
      <c r="A17" s="17"/>
      <c r="B17" s="17" t="s">
        <v>142</v>
      </c>
      <c r="C17" s="17"/>
      <c r="D17" s="23" t="s">
        <v>196</v>
      </c>
      <c r="E17" s="21"/>
      <c r="F17" s="21"/>
      <c r="G17" s="22" t="str">
        <f>IFERROR(VLOOKUP(D17,'Definición de empresa-personal'!$A$54:$H$64,2,FALSE),"")</f>
        <v/>
      </c>
      <c r="H17" s="22"/>
      <c r="I17" s="22">
        <f>SUM(H18)</f>
        <v>677.70780098719501</v>
      </c>
      <c r="J17" s="21"/>
    </row>
    <row r="18" spans="1:10" x14ac:dyDescent="0.25">
      <c r="A18" s="17"/>
      <c r="B18" s="17"/>
      <c r="C18" s="17" t="s">
        <v>152</v>
      </c>
      <c r="D18" s="24" t="s">
        <v>60</v>
      </c>
      <c r="E18" s="21">
        <v>18</v>
      </c>
      <c r="F18" s="21" t="s">
        <v>168</v>
      </c>
      <c r="G18" s="22">
        <f>IFERROR(VLOOKUP(D18,'Definición de empresa-personal'!$A$54:$H$64,2,FALSE),"")</f>
        <v>37.650433388177504</v>
      </c>
      <c r="H18" s="22">
        <f>E18*G18</f>
        <v>677.70780098719501</v>
      </c>
      <c r="I18" s="22"/>
      <c r="J18" s="21"/>
    </row>
    <row r="22" spans="1:10" x14ac:dyDescent="0.25">
      <c r="D22" s="25"/>
    </row>
  </sheetData>
  <mergeCells count="1">
    <mergeCell ref="A2:J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1026D35-AC03-49C5-B5FB-FDFB267CA043}">
          <x14:formula1>
            <xm:f>'Definición de empresa-personal'!$A$56:$A$64</xm:f>
          </x14:formula1>
          <xm:sqref>D6 D18 D16 D14 D12 D10 D8</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A69D9-B0B6-436C-9143-AA6080CED5FA}">
  <sheetPr>
    <tabColor theme="9" tint="-0.249977111117893"/>
  </sheetPr>
  <dimension ref="A2:J18"/>
  <sheetViews>
    <sheetView workbookViewId="0">
      <selection activeCell="A2" sqref="A2:J18"/>
    </sheetView>
  </sheetViews>
  <sheetFormatPr baseColWidth="10" defaultColWidth="11" defaultRowHeight="15.75" x14ac:dyDescent="0.25"/>
  <cols>
    <col min="4" max="4" width="58.5" customWidth="1"/>
  </cols>
  <sheetData>
    <row r="2" spans="1:10" ht="25.7" customHeight="1" x14ac:dyDescent="0.25">
      <c r="A2" s="211" t="s">
        <v>197</v>
      </c>
      <c r="B2" s="212"/>
      <c r="C2" s="212"/>
      <c r="D2" s="212"/>
      <c r="E2" s="212"/>
      <c r="F2" s="212"/>
      <c r="G2" s="212"/>
      <c r="H2" s="212"/>
      <c r="I2" s="212"/>
      <c r="J2" s="213"/>
    </row>
    <row r="3" spans="1:10" x14ac:dyDescent="0.25">
      <c r="A3" s="33" t="s">
        <v>145</v>
      </c>
      <c r="B3" s="33" t="s">
        <v>146</v>
      </c>
      <c r="C3" s="33" t="s">
        <v>147</v>
      </c>
      <c r="D3" s="34" t="s">
        <v>148</v>
      </c>
      <c r="E3" s="34" t="s">
        <v>149</v>
      </c>
      <c r="F3" s="34" t="s">
        <v>104</v>
      </c>
      <c r="G3" s="34" t="s">
        <v>105</v>
      </c>
      <c r="H3" s="34" t="s">
        <v>151</v>
      </c>
      <c r="I3" s="34" t="s">
        <v>150</v>
      </c>
      <c r="J3" s="34" t="s">
        <v>2</v>
      </c>
    </row>
    <row r="4" spans="1:10" x14ac:dyDescent="0.25">
      <c r="A4" s="35" t="s">
        <v>152</v>
      </c>
      <c r="B4" s="35"/>
      <c r="C4" s="35"/>
      <c r="D4" s="36" t="s">
        <v>7</v>
      </c>
      <c r="E4" s="37"/>
      <c r="F4" s="37"/>
      <c r="G4" s="37"/>
      <c r="H4" s="37"/>
      <c r="I4" s="37"/>
      <c r="J4" s="38">
        <f>SUM(I5:I18)</f>
        <v>4446.5232628704971</v>
      </c>
    </row>
    <row r="5" spans="1:10" x14ac:dyDescent="0.25">
      <c r="A5" s="17"/>
      <c r="B5" s="17" t="s">
        <v>136</v>
      </c>
      <c r="C5" s="17"/>
      <c r="D5" s="23" t="s">
        <v>198</v>
      </c>
      <c r="E5" s="21"/>
      <c r="F5" s="21"/>
      <c r="G5" s="22" t="str">
        <f>IFERROR(VLOOKUP(D5,'Definición de empresa-personal'!$A$54:$H$64,2,FALSE),"")</f>
        <v/>
      </c>
      <c r="H5" s="21"/>
      <c r="I5" s="22">
        <f>SUM(H6)</f>
        <v>623.34438264539676</v>
      </c>
      <c r="J5" s="21"/>
    </row>
    <row r="6" spans="1:10" x14ac:dyDescent="0.25">
      <c r="A6" s="17"/>
      <c r="B6" s="17"/>
      <c r="C6" s="17" t="s">
        <v>152</v>
      </c>
      <c r="D6" s="24" t="s">
        <v>59</v>
      </c>
      <c r="E6" s="21">
        <v>15</v>
      </c>
      <c r="F6" s="21" t="s">
        <v>168</v>
      </c>
      <c r="G6" s="22">
        <f>IFERROR(VLOOKUP(D6,'Definición de empresa-personal'!$A$54:$H$64,2,FALSE),"")</f>
        <v>41.556292176359783</v>
      </c>
      <c r="H6" s="22">
        <f>E6*G6</f>
        <v>623.34438264539676</v>
      </c>
      <c r="I6" s="22"/>
      <c r="J6" s="21"/>
    </row>
    <row r="7" spans="1:10" x14ac:dyDescent="0.25">
      <c r="A7" s="17"/>
      <c r="B7" s="17" t="s">
        <v>137</v>
      </c>
      <c r="C7" s="17"/>
      <c r="D7" s="23" t="s">
        <v>199</v>
      </c>
      <c r="E7" s="21"/>
      <c r="F7" s="21"/>
      <c r="G7" s="22" t="str">
        <f>IFERROR(VLOOKUP(#REF!,'Definición de empresa-personal'!$A$54:$H$64,2,FALSE),"")</f>
        <v/>
      </c>
      <c r="H7" s="22"/>
      <c r="I7" s="22">
        <f>SUM(H8)</f>
        <v>706.45696699811629</v>
      </c>
      <c r="J7" s="21"/>
    </row>
    <row r="8" spans="1:10" x14ac:dyDescent="0.25">
      <c r="A8" s="17"/>
      <c r="B8" s="17"/>
      <c r="C8" s="17" t="s">
        <v>152</v>
      </c>
      <c r="D8" s="24" t="s">
        <v>59</v>
      </c>
      <c r="E8" s="21">
        <v>17</v>
      </c>
      <c r="F8" s="21" t="s">
        <v>168</v>
      </c>
      <c r="G8" s="22">
        <f>IFERROR(VLOOKUP(D8,'Definición de empresa-personal'!$A$54:$H$64,2,FALSE),"")</f>
        <v>41.556292176359783</v>
      </c>
      <c r="H8" s="22">
        <f>E8*G8</f>
        <v>706.45696699811629</v>
      </c>
      <c r="I8" s="22"/>
      <c r="J8" s="21"/>
    </row>
    <row r="9" spans="1:10" x14ac:dyDescent="0.25">
      <c r="A9" s="17"/>
      <c r="B9" s="17" t="s">
        <v>138</v>
      </c>
      <c r="C9" s="17"/>
      <c r="D9" s="23" t="s">
        <v>200</v>
      </c>
      <c r="E9" s="21"/>
      <c r="F9" s="21"/>
      <c r="G9" s="22" t="str">
        <f>IFERROR(VLOOKUP(#REF!,'Definición de empresa-personal'!$A$54:$H$64,2,FALSE),"")</f>
        <v/>
      </c>
      <c r="H9" s="22"/>
      <c r="I9" s="22">
        <f>SUM(H10)</f>
        <v>581.788090469037</v>
      </c>
      <c r="J9" s="21"/>
    </row>
    <row r="10" spans="1:10" x14ac:dyDescent="0.25">
      <c r="A10" s="17"/>
      <c r="B10" s="17"/>
      <c r="C10" s="17" t="s">
        <v>152</v>
      </c>
      <c r="D10" s="24" t="s">
        <v>59</v>
      </c>
      <c r="E10" s="21">
        <v>14</v>
      </c>
      <c r="F10" s="21" t="s">
        <v>168</v>
      </c>
      <c r="G10" s="22">
        <f>IFERROR(VLOOKUP(D10,'Definición de empresa-personal'!$A$54:$H$64,2,FALSE),"")</f>
        <v>41.556292176359783</v>
      </c>
      <c r="H10" s="22">
        <f>E10*G10</f>
        <v>581.788090469037</v>
      </c>
      <c r="I10" s="22"/>
      <c r="J10" s="21"/>
    </row>
    <row r="11" spans="1:10" x14ac:dyDescent="0.25">
      <c r="A11" s="17"/>
      <c r="B11" s="17" t="s">
        <v>139</v>
      </c>
      <c r="C11" s="17"/>
      <c r="D11" s="23" t="s">
        <v>201</v>
      </c>
      <c r="E11" s="21"/>
      <c r="F11" s="21"/>
      <c r="G11" s="22" t="str">
        <f>IFERROR(VLOOKUP(#REF!,'Definición de empresa-personal'!$A$54:$H$64,2,FALSE),"")</f>
        <v/>
      </c>
      <c r="H11" s="22"/>
      <c r="I11" s="22">
        <f>SUM(H12)</f>
        <v>581.788090469037</v>
      </c>
      <c r="J11" s="21"/>
    </row>
    <row r="12" spans="1:10" x14ac:dyDescent="0.25">
      <c r="A12" s="17"/>
      <c r="B12" s="17"/>
      <c r="C12" s="17" t="s">
        <v>152</v>
      </c>
      <c r="D12" s="24" t="s">
        <v>59</v>
      </c>
      <c r="E12" s="21">
        <v>14</v>
      </c>
      <c r="F12" s="21" t="s">
        <v>168</v>
      </c>
      <c r="G12" s="22">
        <f>IFERROR(VLOOKUP(D12,'Definición de empresa-personal'!$A$54:$H$64,2,FALSE),"")</f>
        <v>41.556292176359783</v>
      </c>
      <c r="H12" s="22">
        <f>E12*G12</f>
        <v>581.788090469037</v>
      </c>
      <c r="I12" s="22"/>
      <c r="J12" s="21"/>
    </row>
    <row r="13" spans="1:10" ht="31.5" x14ac:dyDescent="0.25">
      <c r="A13" s="17"/>
      <c r="B13" s="17" t="s">
        <v>140</v>
      </c>
      <c r="C13" s="17"/>
      <c r="D13" s="23" t="s">
        <v>202</v>
      </c>
      <c r="E13" s="21"/>
      <c r="F13" s="21"/>
      <c r="G13" s="22" t="str">
        <f>IFERROR(VLOOKUP(#REF!,'Definición de empresa-personal'!$A$54:$H$64,2,FALSE),"")</f>
        <v/>
      </c>
      <c r="H13" s="22"/>
      <c r="I13" s="22">
        <f>SUM(H14)</f>
        <v>664.90067482175652</v>
      </c>
      <c r="J13" s="21"/>
    </row>
    <row r="14" spans="1:10" x14ac:dyDescent="0.25">
      <c r="A14" s="17"/>
      <c r="B14" s="17"/>
      <c r="C14" s="17" t="s">
        <v>152</v>
      </c>
      <c r="D14" s="24" t="s">
        <v>59</v>
      </c>
      <c r="E14" s="21">
        <v>16</v>
      </c>
      <c r="F14" s="21" t="s">
        <v>168</v>
      </c>
      <c r="G14" s="22">
        <f>IFERROR(VLOOKUP(D14,'Definición de empresa-personal'!$A$54:$H$64,2,FALSE),"")</f>
        <v>41.556292176359783</v>
      </c>
      <c r="H14" s="22">
        <f>E14*G14</f>
        <v>664.90067482175652</v>
      </c>
      <c r="I14" s="22"/>
      <c r="J14" s="21"/>
    </row>
    <row r="15" spans="1:10" x14ac:dyDescent="0.25">
      <c r="A15" s="17"/>
      <c r="B15" s="17" t="s">
        <v>141</v>
      </c>
      <c r="C15" s="17"/>
      <c r="D15" s="23" t="s">
        <v>203</v>
      </c>
      <c r="E15" s="21"/>
      <c r="F15" s="21"/>
      <c r="G15" s="22" t="str">
        <f>IFERROR(VLOOKUP(#REF!,'Definición de empresa-personal'!$A$54:$H$64,2,FALSE),"")</f>
        <v/>
      </c>
      <c r="H15" s="22"/>
      <c r="I15" s="22">
        <f>SUM(H16)</f>
        <v>664.90067482175652</v>
      </c>
      <c r="J15" s="21"/>
    </row>
    <row r="16" spans="1:10" x14ac:dyDescent="0.25">
      <c r="A16" s="17"/>
      <c r="B16" s="17"/>
      <c r="C16" s="17" t="s">
        <v>152</v>
      </c>
      <c r="D16" s="24" t="s">
        <v>59</v>
      </c>
      <c r="E16" s="21">
        <v>16</v>
      </c>
      <c r="F16" s="21" t="s">
        <v>168</v>
      </c>
      <c r="G16" s="22">
        <f>IFERROR(VLOOKUP(D16,'Definición de empresa-personal'!$A$54:$H$64,2,FALSE),"")</f>
        <v>41.556292176359783</v>
      </c>
      <c r="H16" s="22">
        <f>E16*G16</f>
        <v>664.90067482175652</v>
      </c>
      <c r="I16" s="22"/>
      <c r="J16" s="21"/>
    </row>
    <row r="17" spans="1:10" ht="31.5" x14ac:dyDescent="0.25">
      <c r="A17" s="17"/>
      <c r="B17" s="17" t="s">
        <v>142</v>
      </c>
      <c r="C17" s="17"/>
      <c r="D17" s="23" t="s">
        <v>204</v>
      </c>
      <c r="E17" s="21"/>
      <c r="F17" s="21"/>
      <c r="G17" s="22"/>
      <c r="H17" s="22"/>
      <c r="I17" s="22">
        <f>SUM(H18)</f>
        <v>623.34438264539676</v>
      </c>
      <c r="J17" s="21"/>
    </row>
    <row r="18" spans="1:10" x14ac:dyDescent="0.25">
      <c r="A18" s="17"/>
      <c r="B18" s="17"/>
      <c r="C18" s="17" t="s">
        <v>152</v>
      </c>
      <c r="D18" s="24" t="s">
        <v>59</v>
      </c>
      <c r="E18" s="21">
        <v>15</v>
      </c>
      <c r="F18" s="21" t="s">
        <v>168</v>
      </c>
      <c r="G18" s="22">
        <f>IFERROR(VLOOKUP(D18,'Definición de empresa-personal'!$A$54:$H$64,2,FALSE),"")</f>
        <v>41.556292176359783</v>
      </c>
      <c r="H18" s="22">
        <f>E18*G18</f>
        <v>623.34438264539676</v>
      </c>
      <c r="I18" s="22"/>
      <c r="J18" s="21"/>
    </row>
  </sheetData>
  <mergeCells count="1">
    <mergeCell ref="A2:J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DC79793-41AE-4ED8-886A-3841F87F8243}">
          <x14:formula1>
            <xm:f>'Definición de empresa-personal'!$A$56:$A$64</xm:f>
          </x14:formula1>
          <xm:sqref>D6 D16 D14 D12 D10 D18 D8</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9D668-8886-40DD-A6E0-847209A3FD81}">
  <sheetPr>
    <tabColor rgb="FF7030A0"/>
  </sheetPr>
  <dimension ref="A2:J26"/>
  <sheetViews>
    <sheetView workbookViewId="0">
      <selection activeCell="L22" sqref="L22"/>
    </sheetView>
  </sheetViews>
  <sheetFormatPr baseColWidth="10" defaultColWidth="11" defaultRowHeight="15.75" x14ac:dyDescent="0.25"/>
  <cols>
    <col min="4" max="4" width="58.5" customWidth="1"/>
  </cols>
  <sheetData>
    <row r="2" spans="1:10" ht="25.7" customHeight="1" x14ac:dyDescent="0.25">
      <c r="A2" s="211" t="s">
        <v>17</v>
      </c>
      <c r="B2" s="212"/>
      <c r="C2" s="212"/>
      <c r="D2" s="212"/>
      <c r="E2" s="212"/>
      <c r="F2" s="212"/>
      <c r="G2" s="212"/>
      <c r="H2" s="212"/>
      <c r="I2" s="212"/>
      <c r="J2" s="213"/>
    </row>
    <row r="3" spans="1:10" x14ac:dyDescent="0.25">
      <c r="A3" s="33" t="s">
        <v>145</v>
      </c>
      <c r="B3" s="33" t="s">
        <v>146</v>
      </c>
      <c r="C3" s="33" t="s">
        <v>147</v>
      </c>
      <c r="D3" s="34" t="s">
        <v>148</v>
      </c>
      <c r="E3" s="34" t="s">
        <v>149</v>
      </c>
      <c r="F3" s="34" t="s">
        <v>104</v>
      </c>
      <c r="G3" s="34" t="s">
        <v>105</v>
      </c>
      <c r="H3" s="34" t="s">
        <v>151</v>
      </c>
      <c r="I3" s="34" t="s">
        <v>150</v>
      </c>
      <c r="J3" s="34" t="s">
        <v>2</v>
      </c>
    </row>
    <row r="4" spans="1:10" x14ac:dyDescent="0.25">
      <c r="A4" s="35" t="s">
        <v>152</v>
      </c>
      <c r="B4" s="35"/>
      <c r="C4" s="35"/>
      <c r="D4" s="36" t="s">
        <v>17</v>
      </c>
      <c r="E4" s="37"/>
      <c r="F4" s="37"/>
      <c r="G4" s="37"/>
      <c r="H4" s="37"/>
      <c r="I4" s="37"/>
      <c r="J4" s="38">
        <f>SUM(I5:I26)</f>
        <v>4219.7403700789282</v>
      </c>
    </row>
    <row r="5" spans="1:10" x14ac:dyDescent="0.25">
      <c r="A5" s="17"/>
      <c r="B5" s="17" t="s">
        <v>136</v>
      </c>
      <c r="C5" s="17"/>
      <c r="D5" s="23" t="s">
        <v>205</v>
      </c>
      <c r="E5" s="21"/>
      <c r="F5" s="21"/>
      <c r="G5" s="22" t="str">
        <f>IFERROR(VLOOKUP(D5,'Definición de empresa-personal'!$A$54:$H$64,2,FALSE),"")</f>
        <v/>
      </c>
      <c r="H5" s="21"/>
      <c r="I5" s="22">
        <f>SUM(H6)</f>
        <v>399.83328504661756</v>
      </c>
      <c r="J5" s="21"/>
    </row>
    <row r="6" spans="1:10" x14ac:dyDescent="0.25">
      <c r="A6" s="17"/>
      <c r="B6" s="17"/>
      <c r="C6" s="17" t="s">
        <v>152</v>
      </c>
      <c r="D6" s="24" t="s">
        <v>61</v>
      </c>
      <c r="E6" s="21">
        <v>11</v>
      </c>
      <c r="F6" s="21" t="s">
        <v>168</v>
      </c>
      <c r="G6" s="22">
        <f>IFERROR(VLOOKUP(D6,'Definición de empresa-personal'!$A$54:$H$64,2,FALSE),"")</f>
        <v>36.348480458783413</v>
      </c>
      <c r="H6" s="22">
        <f>E6*G6</f>
        <v>399.83328504661756</v>
      </c>
      <c r="I6" s="22"/>
      <c r="J6" s="21"/>
    </row>
    <row r="7" spans="1:10" x14ac:dyDescent="0.25">
      <c r="A7" s="17"/>
      <c r="B7" s="17" t="s">
        <v>137</v>
      </c>
      <c r="C7" s="17"/>
      <c r="D7" s="23" t="s">
        <v>206</v>
      </c>
      <c r="E7" s="21"/>
      <c r="F7" s="21"/>
      <c r="G7" s="22" t="str">
        <f>IFERROR(VLOOKUP(D7,'Definición de empresa-personal'!$A$54:$H$64,2,FALSE),"")</f>
        <v/>
      </c>
      <c r="H7" s="22"/>
      <c r="I7" s="22">
        <f>SUM(H8)</f>
        <v>399.83328504661756</v>
      </c>
      <c r="J7" s="21"/>
    </row>
    <row r="8" spans="1:10" x14ac:dyDescent="0.25">
      <c r="A8" s="17"/>
      <c r="B8" s="17"/>
      <c r="C8" s="17" t="s">
        <v>152</v>
      </c>
      <c r="D8" s="24" t="s">
        <v>61</v>
      </c>
      <c r="E8" s="21">
        <v>11</v>
      </c>
      <c r="F8" s="21" t="s">
        <v>168</v>
      </c>
      <c r="G8" s="22">
        <f>IFERROR(VLOOKUP(D8,'Definición de empresa-personal'!$A$54:$H$64,2,FALSE),"")</f>
        <v>36.348480458783413</v>
      </c>
      <c r="H8" s="22">
        <f>E8*G8</f>
        <v>399.83328504661756</v>
      </c>
      <c r="I8" s="22"/>
      <c r="J8" s="21"/>
    </row>
    <row r="9" spans="1:10" x14ac:dyDescent="0.25">
      <c r="A9" s="17"/>
      <c r="B9" s="17" t="s">
        <v>138</v>
      </c>
      <c r="C9" s="17"/>
      <c r="D9" s="23" t="s">
        <v>207</v>
      </c>
      <c r="E9" s="21"/>
      <c r="F9" s="21"/>
      <c r="G9" s="22" t="str">
        <f>IFERROR(VLOOKUP(D9,'Definición de empresa-personal'!$A$54:$H$64,2,FALSE),"")</f>
        <v/>
      </c>
      <c r="H9" s="22"/>
      <c r="I9" s="22">
        <f>SUM(H10)</f>
        <v>363.48480458783411</v>
      </c>
      <c r="J9" s="21"/>
    </row>
    <row r="10" spans="1:10" x14ac:dyDescent="0.25">
      <c r="A10" s="17"/>
      <c r="B10" s="17"/>
      <c r="C10" s="17" t="s">
        <v>152</v>
      </c>
      <c r="D10" s="24" t="s">
        <v>61</v>
      </c>
      <c r="E10" s="21">
        <v>10</v>
      </c>
      <c r="F10" s="21" t="s">
        <v>168</v>
      </c>
      <c r="G10" s="22">
        <f>IFERROR(VLOOKUP(D10,'Definición de empresa-personal'!$A$54:$H$64,2,FALSE),"")</f>
        <v>36.348480458783413</v>
      </c>
      <c r="H10" s="22">
        <f>E10*G10</f>
        <v>363.48480458783411</v>
      </c>
      <c r="I10" s="22"/>
      <c r="J10" s="21"/>
    </row>
    <row r="11" spans="1:10" x14ac:dyDescent="0.25">
      <c r="A11" s="17"/>
      <c r="B11" s="17" t="s">
        <v>139</v>
      </c>
      <c r="C11" s="17"/>
      <c r="D11" s="23" t="s">
        <v>208</v>
      </c>
      <c r="E11" s="21"/>
      <c r="F11" s="21"/>
      <c r="G11" s="22" t="str">
        <f>IFERROR(VLOOKUP(D11,'Definición de empresa-personal'!$A$54:$H$64,2,FALSE),"")</f>
        <v/>
      </c>
      <c r="H11" s="22"/>
      <c r="I11" s="22">
        <f>SUM(H12)</f>
        <v>398.68552113885119</v>
      </c>
      <c r="J11" s="21"/>
    </row>
    <row r="12" spans="1:10" x14ac:dyDescent="0.25">
      <c r="A12" s="17"/>
      <c r="B12" s="17"/>
      <c r="C12" s="17" t="s">
        <v>152</v>
      </c>
      <c r="D12" s="24" t="s">
        <v>62</v>
      </c>
      <c r="E12" s="21">
        <v>12</v>
      </c>
      <c r="F12" s="21" t="s">
        <v>168</v>
      </c>
      <c r="G12" s="22">
        <f>IFERROR(VLOOKUP(D12,'Definición de empresa-personal'!$A$54:$H$64,2,FALSE),"")</f>
        <v>33.223793428237599</v>
      </c>
      <c r="H12" s="22">
        <f>E12*G12</f>
        <v>398.68552113885119</v>
      </c>
      <c r="I12" s="22"/>
      <c r="J12" s="21"/>
    </row>
    <row r="13" spans="1:10" x14ac:dyDescent="0.25">
      <c r="A13" s="17"/>
      <c r="B13" s="17" t="s">
        <v>140</v>
      </c>
      <c r="C13" s="17"/>
      <c r="D13" s="23" t="s">
        <v>209</v>
      </c>
      <c r="E13" s="21"/>
      <c r="F13" s="21"/>
      <c r="G13" s="22" t="str">
        <f>IFERROR(VLOOKUP(D13,'Definición de empresa-personal'!$A$54:$H$64,2,FALSE),"")</f>
        <v/>
      </c>
      <c r="H13" s="22"/>
      <c r="I13" s="22">
        <f>SUM(H14)</f>
        <v>398.68552113885119</v>
      </c>
      <c r="J13" s="21"/>
    </row>
    <row r="14" spans="1:10" x14ac:dyDescent="0.25">
      <c r="A14" s="17"/>
      <c r="B14" s="17"/>
      <c r="C14" s="17" t="s">
        <v>152</v>
      </c>
      <c r="D14" s="24" t="s">
        <v>62</v>
      </c>
      <c r="E14" s="21">
        <v>12</v>
      </c>
      <c r="F14" s="21" t="s">
        <v>168</v>
      </c>
      <c r="G14" s="22">
        <f>IFERROR(VLOOKUP(D14,'Definición de empresa-personal'!$A$54:$H$64,2,FALSE),"")</f>
        <v>33.223793428237599</v>
      </c>
      <c r="H14" s="22">
        <f>E14*G14</f>
        <v>398.68552113885119</v>
      </c>
      <c r="I14" s="22"/>
      <c r="J14" s="21"/>
    </row>
    <row r="15" spans="1:10" x14ac:dyDescent="0.25">
      <c r="A15" s="17"/>
      <c r="B15" s="17" t="s">
        <v>141</v>
      </c>
      <c r="C15" s="17"/>
      <c r="D15" s="23" t="s">
        <v>210</v>
      </c>
      <c r="E15" s="21"/>
      <c r="F15" s="21"/>
      <c r="G15" s="22" t="str">
        <f>IFERROR(VLOOKUP(D15,'Definición de empresa-personal'!$A$54:$H$64,2,FALSE),"")</f>
        <v/>
      </c>
      <c r="H15" s="22"/>
      <c r="I15" s="22">
        <f>SUM(H16)</f>
        <v>431.90931456708881</v>
      </c>
      <c r="J15" s="21"/>
    </row>
    <row r="16" spans="1:10" x14ac:dyDescent="0.25">
      <c r="A16" s="17"/>
      <c r="B16" s="17"/>
      <c r="C16" s="17" t="s">
        <v>152</v>
      </c>
      <c r="D16" s="24" t="s">
        <v>62</v>
      </c>
      <c r="E16" s="21">
        <v>13</v>
      </c>
      <c r="F16" s="21" t="s">
        <v>168</v>
      </c>
      <c r="G16" s="22">
        <f>IFERROR(VLOOKUP(D16,'Definición de empresa-personal'!$A$54:$H$64,2,FALSE),"")</f>
        <v>33.223793428237599</v>
      </c>
      <c r="H16" s="22">
        <f>E16*G16</f>
        <v>431.90931456708881</v>
      </c>
      <c r="I16" s="22"/>
      <c r="J16" s="21"/>
    </row>
    <row r="17" spans="1:10" x14ac:dyDescent="0.25">
      <c r="A17" s="17"/>
      <c r="B17" s="17" t="s">
        <v>142</v>
      </c>
      <c r="C17" s="17"/>
      <c r="D17" s="23" t="s">
        <v>211</v>
      </c>
      <c r="E17" s="21"/>
      <c r="F17" s="21"/>
      <c r="G17" s="22" t="str">
        <f>IFERROR(VLOOKUP(D17,'Definición de empresa-personal'!$A$54:$H$64,2,FALSE),"")</f>
        <v/>
      </c>
      <c r="H17" s="22"/>
      <c r="I17" s="22">
        <f>SUM(H18)</f>
        <v>332.23793428237599</v>
      </c>
      <c r="J17" s="21"/>
    </row>
    <row r="18" spans="1:10" x14ac:dyDescent="0.25">
      <c r="A18" s="17"/>
      <c r="B18" s="17"/>
      <c r="C18" s="17" t="s">
        <v>152</v>
      </c>
      <c r="D18" s="24" t="s">
        <v>62</v>
      </c>
      <c r="E18" s="21">
        <v>10</v>
      </c>
      <c r="F18" s="21" t="s">
        <v>168</v>
      </c>
      <c r="G18" s="22">
        <f>IFERROR(VLOOKUP(D18,'Definición de empresa-personal'!$A$54:$H$64,2,FALSE),"")</f>
        <v>33.223793428237599</v>
      </c>
      <c r="H18" s="22">
        <f>E18*G18</f>
        <v>332.23793428237599</v>
      </c>
      <c r="I18" s="22"/>
      <c r="J18" s="21"/>
    </row>
    <row r="19" spans="1:10" x14ac:dyDescent="0.25">
      <c r="A19" s="17"/>
      <c r="B19" s="17" t="s">
        <v>144</v>
      </c>
      <c r="C19" s="17"/>
      <c r="D19" s="23" t="s">
        <v>212</v>
      </c>
      <c r="E19" s="21"/>
      <c r="F19" s="21"/>
      <c r="G19" s="22" t="str">
        <f>IFERROR(VLOOKUP(D19,'Definición de empresa-personal'!$A$54:$H$64,2,FALSE),"")</f>
        <v/>
      </c>
      <c r="H19" s="22"/>
      <c r="I19" s="22">
        <f>SUM(H20)</f>
        <v>398.68552113885119</v>
      </c>
      <c r="J19" s="21"/>
    </row>
    <row r="20" spans="1:10" x14ac:dyDescent="0.25">
      <c r="A20" s="17"/>
      <c r="B20" s="17"/>
      <c r="C20" s="17" t="s">
        <v>152</v>
      </c>
      <c r="D20" s="24" t="s">
        <v>62</v>
      </c>
      <c r="E20" s="21">
        <v>12</v>
      </c>
      <c r="F20" s="21" t="s">
        <v>168</v>
      </c>
      <c r="G20" s="22">
        <f>IFERROR(VLOOKUP(D20,'Definición de empresa-personal'!$A$54:$H$64,2,FALSE),"")</f>
        <v>33.223793428237599</v>
      </c>
      <c r="H20" s="22">
        <f>E20*G20</f>
        <v>398.68552113885119</v>
      </c>
      <c r="I20" s="22"/>
      <c r="J20" s="21"/>
    </row>
    <row r="21" spans="1:10" x14ac:dyDescent="0.25">
      <c r="A21" s="17"/>
      <c r="B21" s="17" t="s">
        <v>213</v>
      </c>
      <c r="C21" s="17"/>
      <c r="D21" s="23" t="s">
        <v>214</v>
      </c>
      <c r="E21" s="21"/>
      <c r="F21" s="21"/>
      <c r="G21" s="22" t="str">
        <f>IFERROR(VLOOKUP(D21,'Definición de empresa-personal'!$A$54:$H$64,2,FALSE),"")</f>
        <v/>
      </c>
      <c r="H21" s="22"/>
      <c r="I21" s="22">
        <f>SUM(H22)</f>
        <v>332.23793428237599</v>
      </c>
      <c r="J21" s="21"/>
    </row>
    <row r="22" spans="1:10" x14ac:dyDescent="0.25">
      <c r="A22" s="17"/>
      <c r="B22" s="17"/>
      <c r="C22" s="17" t="s">
        <v>152</v>
      </c>
      <c r="D22" s="24" t="s">
        <v>62</v>
      </c>
      <c r="E22" s="21">
        <v>10</v>
      </c>
      <c r="F22" s="21" t="s">
        <v>168</v>
      </c>
      <c r="G22" s="22">
        <f>IFERROR(VLOOKUP(D22,'Definición de empresa-personal'!$A$54:$H$64,2,FALSE),"")</f>
        <v>33.223793428237599</v>
      </c>
      <c r="H22" s="22">
        <f>E22*G22</f>
        <v>332.23793428237599</v>
      </c>
      <c r="I22" s="22"/>
      <c r="J22" s="21"/>
    </row>
    <row r="23" spans="1:10" x14ac:dyDescent="0.25">
      <c r="A23" s="17"/>
      <c r="B23" s="17" t="s">
        <v>215</v>
      </c>
      <c r="C23" s="17"/>
      <c r="D23" s="23" t="s">
        <v>216</v>
      </c>
      <c r="E23" s="21"/>
      <c r="F23" s="21"/>
      <c r="G23" s="22" t="str">
        <f>IFERROR(VLOOKUP(D23,'Definición de empresa-personal'!$A$54:$H$64,2,FALSE),"")</f>
        <v/>
      </c>
      <c r="H23" s="22"/>
      <c r="I23" s="22">
        <f>SUM(H24)</f>
        <v>332.23793428237599</v>
      </c>
      <c r="J23" s="21"/>
    </row>
    <row r="24" spans="1:10" x14ac:dyDescent="0.25">
      <c r="A24" s="17"/>
      <c r="B24" s="17"/>
      <c r="C24" s="17" t="s">
        <v>152</v>
      </c>
      <c r="D24" s="24" t="s">
        <v>62</v>
      </c>
      <c r="E24" s="21">
        <v>10</v>
      </c>
      <c r="F24" s="21" t="s">
        <v>168</v>
      </c>
      <c r="G24" s="22">
        <f>IFERROR(VLOOKUP(D24,'Definición de empresa-personal'!$A$54:$H$64,2,FALSE),"")</f>
        <v>33.223793428237599</v>
      </c>
      <c r="H24" s="22">
        <f>E24*G24</f>
        <v>332.23793428237599</v>
      </c>
      <c r="I24" s="22"/>
      <c r="J24" s="21"/>
    </row>
    <row r="25" spans="1:10" x14ac:dyDescent="0.25">
      <c r="A25" s="17"/>
      <c r="B25" s="17" t="s">
        <v>217</v>
      </c>
      <c r="C25" s="17"/>
      <c r="D25" s="23" t="s">
        <v>218</v>
      </c>
      <c r="E25" s="21"/>
      <c r="F25" s="21"/>
      <c r="G25" s="22" t="str">
        <f>IFERROR(VLOOKUP(D25,'Definición de empresa-personal'!$A$54:$H$64,2,FALSE),"")</f>
        <v/>
      </c>
      <c r="H25" s="22"/>
      <c r="I25" s="22">
        <f>SUM(H26)</f>
        <v>431.90931456708881</v>
      </c>
      <c r="J25" s="21"/>
    </row>
    <row r="26" spans="1:10" x14ac:dyDescent="0.25">
      <c r="A26" s="17"/>
      <c r="B26" s="17"/>
      <c r="C26" s="17" t="s">
        <v>152</v>
      </c>
      <c r="D26" s="24" t="s">
        <v>62</v>
      </c>
      <c r="E26" s="21">
        <v>13</v>
      </c>
      <c r="F26" s="21" t="s">
        <v>168</v>
      </c>
      <c r="G26" s="22">
        <f>IFERROR(VLOOKUP(D26,'Definición de empresa-personal'!$A$54:$H$64,2,FALSE),"")</f>
        <v>33.223793428237599</v>
      </c>
      <c r="H26" s="22">
        <f>E26*G26</f>
        <v>431.90931456708881</v>
      </c>
      <c r="I26" s="22"/>
      <c r="J26" s="21"/>
    </row>
  </sheetData>
  <mergeCells count="1">
    <mergeCell ref="A2:J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99CBB64-459F-4FAD-A392-38F31B99DE25}">
          <x14:formula1>
            <xm:f>'Definición de empresa-personal'!$A$56:$A$64</xm:f>
          </x14:formula1>
          <xm:sqref>D6 D26 D24 D22 D20 D18 D16 D14 D12 D10 D8</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2C076-6E7B-4E1D-9BA0-7D00A762D620}">
  <sheetPr>
    <tabColor theme="9" tint="-0.249977111117893"/>
  </sheetPr>
  <dimension ref="A2:M34"/>
  <sheetViews>
    <sheetView topLeftCell="A16" zoomScale="97" zoomScaleNormal="85" workbookViewId="0">
      <selection activeCell="A2" sqref="A2:J34"/>
    </sheetView>
  </sheetViews>
  <sheetFormatPr baseColWidth="10" defaultColWidth="11" defaultRowHeight="15.75" x14ac:dyDescent="0.25"/>
  <cols>
    <col min="4" max="4" width="58.5" customWidth="1"/>
  </cols>
  <sheetData>
    <row r="2" spans="1:13" ht="25.7" customHeight="1" x14ac:dyDescent="0.25">
      <c r="A2" s="211" t="s">
        <v>20</v>
      </c>
      <c r="B2" s="212"/>
      <c r="C2" s="212"/>
      <c r="D2" s="212"/>
      <c r="E2" s="212"/>
      <c r="F2" s="212"/>
      <c r="G2" s="212"/>
      <c r="H2" s="212"/>
      <c r="I2" s="212"/>
      <c r="J2" s="213"/>
    </row>
    <row r="3" spans="1:13" x14ac:dyDescent="0.25">
      <c r="A3" s="33" t="s">
        <v>145</v>
      </c>
      <c r="B3" s="33" t="s">
        <v>146</v>
      </c>
      <c r="C3" s="33" t="s">
        <v>147</v>
      </c>
      <c r="D3" s="34" t="s">
        <v>148</v>
      </c>
      <c r="E3" s="34" t="s">
        <v>149</v>
      </c>
      <c r="F3" s="34" t="s">
        <v>104</v>
      </c>
      <c r="G3" s="34" t="s">
        <v>105</v>
      </c>
      <c r="H3" s="34" t="s">
        <v>151</v>
      </c>
      <c r="I3" s="34" t="s">
        <v>150</v>
      </c>
      <c r="J3" s="34" t="s">
        <v>2</v>
      </c>
    </row>
    <row r="4" spans="1:13" x14ac:dyDescent="0.25">
      <c r="A4" s="35" t="s">
        <v>152</v>
      </c>
      <c r="B4" s="35"/>
      <c r="C4" s="35"/>
      <c r="D4" s="36" t="s">
        <v>20</v>
      </c>
      <c r="E4" s="37"/>
      <c r="F4" s="37"/>
      <c r="G4" s="37"/>
      <c r="H4" s="37"/>
      <c r="I4" s="37"/>
      <c r="J4" s="38">
        <f>SUM(I5:I34)</f>
        <v>4899.0105145813959</v>
      </c>
    </row>
    <row r="5" spans="1:13" x14ac:dyDescent="0.25">
      <c r="A5" s="17"/>
      <c r="B5" s="17" t="s">
        <v>136</v>
      </c>
      <c r="C5" s="17"/>
      <c r="D5" s="87" t="s">
        <v>219</v>
      </c>
      <c r="E5" s="21"/>
      <c r="F5" s="21"/>
      <c r="G5" s="22" t="str">
        <f>IFERROR(VLOOKUP(#REF!,'Definición de empresa-personal'!$A$54:$H$64,2,FALSE),"")</f>
        <v/>
      </c>
      <c r="H5" s="21"/>
      <c r="I5" s="22">
        <f>SUM(H6)</f>
        <v>232.56655399766319</v>
      </c>
      <c r="J5" s="21"/>
    </row>
    <row r="6" spans="1:13" x14ac:dyDescent="0.25">
      <c r="A6" s="17"/>
      <c r="B6" s="17"/>
      <c r="C6" s="17" t="s">
        <v>152</v>
      </c>
      <c r="D6" s="24" t="s">
        <v>62</v>
      </c>
      <c r="E6" s="21">
        <v>7</v>
      </c>
      <c r="F6" s="21" t="s">
        <v>168</v>
      </c>
      <c r="G6" s="22">
        <f>IFERROR(VLOOKUP(D6,'Definición de empresa-personal'!$A$54:$H$64,2,FALSE),"")</f>
        <v>33.223793428237599</v>
      </c>
      <c r="H6" s="22">
        <f>E6*G6</f>
        <v>232.56655399766319</v>
      </c>
      <c r="I6" s="22"/>
      <c r="J6" s="21"/>
    </row>
    <row r="7" spans="1:13" x14ac:dyDescent="0.25">
      <c r="A7" s="17"/>
      <c r="B7" s="17" t="s">
        <v>137</v>
      </c>
      <c r="C7" s="17"/>
      <c r="D7" s="87" t="s">
        <v>220</v>
      </c>
      <c r="E7" s="21"/>
      <c r="F7" s="21"/>
      <c r="G7" s="22" t="str">
        <f>IFERROR(VLOOKUP(#REF!,'Definición de empresa-personal'!$A$54:$H$64,2,FALSE),"")</f>
        <v/>
      </c>
      <c r="H7" s="22"/>
      <c r="I7" s="22">
        <f>SUM(H8)</f>
        <v>232.56655399766319</v>
      </c>
      <c r="J7" s="21"/>
    </row>
    <row r="8" spans="1:13" x14ac:dyDescent="0.25">
      <c r="A8" s="17"/>
      <c r="B8" s="17"/>
      <c r="C8" s="17" t="s">
        <v>152</v>
      </c>
      <c r="D8" s="24" t="s">
        <v>62</v>
      </c>
      <c r="E8" s="21">
        <v>7</v>
      </c>
      <c r="F8" s="21" t="s">
        <v>168</v>
      </c>
      <c r="G8" s="22">
        <f>IFERROR(VLOOKUP(D8,'Definición de empresa-personal'!$A$54:$H$64,2,FALSE),"")</f>
        <v>33.223793428237599</v>
      </c>
      <c r="H8" s="22">
        <f>E8*G8</f>
        <v>232.56655399766319</v>
      </c>
      <c r="I8" s="22"/>
      <c r="J8" s="21"/>
    </row>
    <row r="9" spans="1:13" x14ac:dyDescent="0.25">
      <c r="A9" s="17"/>
      <c r="B9" s="17" t="s">
        <v>138</v>
      </c>
      <c r="C9" s="17"/>
      <c r="D9" s="87" t="s">
        <v>221</v>
      </c>
      <c r="E9" s="21"/>
      <c r="F9" s="21"/>
      <c r="G9" s="22" t="str">
        <f>IFERROR(VLOOKUP(#REF!,'Definición de empresa-personal'!$A$54:$H$64,2,FALSE),"")</f>
        <v/>
      </c>
      <c r="H9" s="22"/>
      <c r="I9" s="22">
        <f>SUM(H10)</f>
        <v>254.43936321148391</v>
      </c>
      <c r="J9" s="21"/>
    </row>
    <row r="10" spans="1:13" x14ac:dyDescent="0.25">
      <c r="A10" s="17"/>
      <c r="B10" s="17"/>
      <c r="C10" s="17" t="s">
        <v>152</v>
      </c>
      <c r="D10" s="24" t="s">
        <v>61</v>
      </c>
      <c r="E10" s="21">
        <v>7</v>
      </c>
      <c r="F10" s="21" t="s">
        <v>168</v>
      </c>
      <c r="G10" s="22">
        <f>IFERROR(VLOOKUP(D10,'Definición de empresa-personal'!$A$54:$H$64,2,FALSE),"")</f>
        <v>36.348480458783413</v>
      </c>
      <c r="H10" s="22">
        <f>E10*G10</f>
        <v>254.43936321148391</v>
      </c>
      <c r="I10" s="22"/>
      <c r="J10" s="21"/>
    </row>
    <row r="11" spans="1:13" x14ac:dyDescent="0.25">
      <c r="A11" s="17"/>
      <c r="B11" s="17" t="s">
        <v>139</v>
      </c>
      <c r="C11" s="17"/>
      <c r="D11" s="87" t="s">
        <v>222</v>
      </c>
      <c r="E11" s="21"/>
      <c r="F11" s="21"/>
      <c r="G11" s="22" t="str">
        <f>IFERROR(VLOOKUP(#REF!,'Definición de empresa-personal'!$A$54:$H$64,2,FALSE),"")</f>
        <v/>
      </c>
      <c r="H11" s="22"/>
      <c r="I11" s="22">
        <f>SUM(H12)</f>
        <v>299.01414085413842</v>
      </c>
      <c r="J11" s="21"/>
    </row>
    <row r="12" spans="1:13" x14ac:dyDescent="0.25">
      <c r="A12" s="17"/>
      <c r="B12" s="17"/>
      <c r="C12" s="17" t="s">
        <v>152</v>
      </c>
      <c r="D12" s="24" t="s">
        <v>62</v>
      </c>
      <c r="E12" s="21">
        <v>9</v>
      </c>
      <c r="F12" s="21" t="s">
        <v>168</v>
      </c>
      <c r="G12" s="22">
        <f>IFERROR(VLOOKUP(D12,'Definición de empresa-personal'!$A$54:$H$64,2,FALSE),"")</f>
        <v>33.223793428237599</v>
      </c>
      <c r="H12" s="22">
        <f>E12*G12</f>
        <v>299.01414085413842</v>
      </c>
      <c r="I12" s="22"/>
      <c r="J12" s="21"/>
      <c r="M12" s="11"/>
    </row>
    <row r="13" spans="1:13" x14ac:dyDescent="0.25">
      <c r="A13" s="17"/>
      <c r="B13" s="17" t="s">
        <v>140</v>
      </c>
      <c r="C13" s="17"/>
      <c r="D13" s="87" t="s">
        <v>223</v>
      </c>
      <c r="E13" s="21"/>
      <c r="F13" s="21"/>
      <c r="G13" s="22" t="str">
        <f>IFERROR(VLOOKUP(#REF!,'Definición de empresa-personal'!$A$54:$H$64,2,FALSE),"")</f>
        <v/>
      </c>
      <c r="H13" s="22"/>
      <c r="I13" s="22">
        <f>SUM(H14)</f>
        <v>332.23793428237599</v>
      </c>
      <c r="J13" s="21"/>
    </row>
    <row r="14" spans="1:13" x14ac:dyDescent="0.25">
      <c r="A14" s="17"/>
      <c r="B14" s="17"/>
      <c r="C14" s="17" t="s">
        <v>152</v>
      </c>
      <c r="D14" s="24" t="s">
        <v>62</v>
      </c>
      <c r="E14" s="21">
        <v>10</v>
      </c>
      <c r="F14" s="21" t="s">
        <v>168</v>
      </c>
      <c r="G14" s="22">
        <f>IFERROR(VLOOKUP(D14,'Definición de empresa-personal'!$A$54:$H$64,2,FALSE),"")</f>
        <v>33.223793428237599</v>
      </c>
      <c r="H14" s="22">
        <f>E14*G14</f>
        <v>332.23793428237599</v>
      </c>
      <c r="I14" s="22"/>
      <c r="J14" s="21"/>
    </row>
    <row r="15" spans="1:13" x14ac:dyDescent="0.25">
      <c r="A15" s="17"/>
      <c r="B15" s="17" t="s">
        <v>141</v>
      </c>
      <c r="C15" s="17"/>
      <c r="D15" s="87" t="s">
        <v>224</v>
      </c>
      <c r="E15" s="21"/>
      <c r="F15" s="21"/>
      <c r="G15" s="22" t="str">
        <f>IFERROR(VLOOKUP(#REF!,'Definición de empresa-personal'!$A$54:$H$64,2,FALSE),"")</f>
        <v/>
      </c>
      <c r="H15" s="22"/>
      <c r="I15" s="22">
        <f>SUM(H16)</f>
        <v>363.48480458783411</v>
      </c>
      <c r="J15" s="21"/>
    </row>
    <row r="16" spans="1:13" x14ac:dyDescent="0.25">
      <c r="A16" s="17"/>
      <c r="B16" s="17"/>
      <c r="C16" s="17" t="s">
        <v>152</v>
      </c>
      <c r="D16" s="24" t="s">
        <v>61</v>
      </c>
      <c r="E16" s="21">
        <v>10</v>
      </c>
      <c r="F16" s="21" t="s">
        <v>168</v>
      </c>
      <c r="G16" s="22">
        <f>IFERROR(VLOOKUP(D16,'Definición de empresa-personal'!$A$54:$H$64,2,FALSE),"")</f>
        <v>36.348480458783413</v>
      </c>
      <c r="H16" s="22">
        <f>E16*G16</f>
        <v>363.48480458783411</v>
      </c>
      <c r="I16" s="22"/>
      <c r="J16" s="21"/>
    </row>
    <row r="17" spans="1:10" x14ac:dyDescent="0.25">
      <c r="A17" s="17"/>
      <c r="B17" s="17" t="s">
        <v>142</v>
      </c>
      <c r="C17" s="17"/>
      <c r="D17" s="87" t="s">
        <v>225</v>
      </c>
      <c r="E17" s="21"/>
      <c r="F17" s="21"/>
      <c r="G17" s="22" t="str">
        <f>IFERROR(VLOOKUP(D17,'Definición de empresa-personal'!$A$54:$H$64,2,FALSE),"")</f>
        <v/>
      </c>
      <c r="H17" s="22"/>
      <c r="I17" s="22">
        <f>SUM(H18)</f>
        <v>232.56655399766319</v>
      </c>
      <c r="J17" s="21"/>
    </row>
    <row r="18" spans="1:10" x14ac:dyDescent="0.25">
      <c r="A18" s="17"/>
      <c r="B18" s="17"/>
      <c r="C18" s="17" t="s">
        <v>152</v>
      </c>
      <c r="D18" s="24" t="s">
        <v>62</v>
      </c>
      <c r="E18" s="21">
        <v>7</v>
      </c>
      <c r="F18" s="21" t="s">
        <v>168</v>
      </c>
      <c r="G18" s="22">
        <f>IFERROR(VLOOKUP(D18,'Definición de empresa-personal'!$A$54:$H$64,2,FALSE),"")</f>
        <v>33.223793428237599</v>
      </c>
      <c r="H18" s="22">
        <f>E18*G18</f>
        <v>232.56655399766319</v>
      </c>
      <c r="I18" s="22"/>
      <c r="J18" s="21"/>
    </row>
    <row r="19" spans="1:10" x14ac:dyDescent="0.25">
      <c r="A19" s="17"/>
      <c r="B19" s="17" t="s">
        <v>144</v>
      </c>
      <c r="C19" s="17"/>
      <c r="D19" s="87" t="s">
        <v>226</v>
      </c>
      <c r="E19" s="21"/>
      <c r="F19" s="21"/>
      <c r="G19" s="22" t="str">
        <f>IFERROR(VLOOKUP(#REF!,'Definición de empresa-personal'!$A$54:$H$64,2,FALSE),"")</f>
        <v/>
      </c>
      <c r="H19" s="22"/>
      <c r="I19" s="22">
        <f>SUM(H20)</f>
        <v>327.13632412905071</v>
      </c>
      <c r="J19" s="21"/>
    </row>
    <row r="20" spans="1:10" x14ac:dyDescent="0.25">
      <c r="A20" s="17"/>
      <c r="B20" s="17"/>
      <c r="C20" s="17" t="s">
        <v>152</v>
      </c>
      <c r="D20" s="24" t="s">
        <v>61</v>
      </c>
      <c r="E20" s="21">
        <v>9</v>
      </c>
      <c r="F20" s="21" t="s">
        <v>168</v>
      </c>
      <c r="G20" s="22">
        <f>IFERROR(VLOOKUP(D20,'Definición de empresa-personal'!$A$54:$H$64,2,FALSE),"")</f>
        <v>36.348480458783413</v>
      </c>
      <c r="H20" s="22">
        <f>E20*G20</f>
        <v>327.13632412905071</v>
      </c>
      <c r="I20" s="22"/>
      <c r="J20" s="21"/>
    </row>
    <row r="21" spans="1:10" x14ac:dyDescent="0.25">
      <c r="A21" s="17"/>
      <c r="B21" s="17" t="s">
        <v>213</v>
      </c>
      <c r="C21" s="17"/>
      <c r="D21" s="87" t="s">
        <v>227</v>
      </c>
      <c r="E21" s="21"/>
      <c r="F21" s="21"/>
      <c r="G21" s="22" t="str">
        <f>IFERROR(VLOOKUP(#REF!,'Definición de empresa-personal'!$A$54:$H$64,2,FALSE),"")</f>
        <v/>
      </c>
      <c r="H21" s="22"/>
      <c r="I21" s="22">
        <f>SUM(H22)</f>
        <v>332.23793428237599</v>
      </c>
      <c r="J21" s="21"/>
    </row>
    <row r="22" spans="1:10" x14ac:dyDescent="0.25">
      <c r="A22" s="17"/>
      <c r="B22" s="17"/>
      <c r="C22" s="17" t="s">
        <v>152</v>
      </c>
      <c r="D22" s="24" t="s">
        <v>62</v>
      </c>
      <c r="E22" s="21">
        <v>10</v>
      </c>
      <c r="F22" s="21" t="s">
        <v>168</v>
      </c>
      <c r="G22" s="22">
        <f>IFERROR(VLOOKUP(D22,'Definición de empresa-personal'!$A$54:$H$64,2,FALSE),"")</f>
        <v>33.223793428237599</v>
      </c>
      <c r="H22" s="22">
        <f>E22*G22</f>
        <v>332.23793428237599</v>
      </c>
      <c r="I22" s="22"/>
      <c r="J22" s="21"/>
    </row>
    <row r="23" spans="1:10" x14ac:dyDescent="0.25">
      <c r="A23" s="17"/>
      <c r="B23" s="17" t="s">
        <v>215</v>
      </c>
      <c r="C23" s="17"/>
      <c r="D23" s="87" t="s">
        <v>228</v>
      </c>
      <c r="E23" s="21"/>
      <c r="F23" s="21"/>
      <c r="G23" s="22" t="str">
        <f>IFERROR(VLOOKUP(#REF!,'Definición de empresa-personal'!$A$54:$H$64,2,FALSE),"")</f>
        <v/>
      </c>
      <c r="H23" s="22"/>
      <c r="I23" s="22">
        <f>SUM(H24)</f>
        <v>327.13632412905071</v>
      </c>
      <c r="J23" s="21"/>
    </row>
    <row r="24" spans="1:10" x14ac:dyDescent="0.25">
      <c r="A24" s="17"/>
      <c r="B24" s="17"/>
      <c r="C24" s="17" t="s">
        <v>152</v>
      </c>
      <c r="D24" s="24" t="s">
        <v>61</v>
      </c>
      <c r="E24" s="21">
        <v>9</v>
      </c>
      <c r="F24" s="21" t="s">
        <v>168</v>
      </c>
      <c r="G24" s="22">
        <f>IFERROR(VLOOKUP(D24,'Definición de empresa-personal'!$A$54:$H$64,2,FALSE),"")</f>
        <v>36.348480458783413</v>
      </c>
      <c r="H24" s="22">
        <f>E24*G24</f>
        <v>327.13632412905071</v>
      </c>
      <c r="I24" s="22"/>
      <c r="J24" s="21"/>
    </row>
    <row r="25" spans="1:10" x14ac:dyDescent="0.25">
      <c r="A25" s="17"/>
      <c r="B25" s="17" t="s">
        <v>217</v>
      </c>
      <c r="C25" s="17"/>
      <c r="D25" s="87" t="s">
        <v>229</v>
      </c>
      <c r="E25" s="21"/>
      <c r="F25" s="21"/>
      <c r="G25" s="22" t="str">
        <f>IFERROR(VLOOKUP(#REF!,'Definición de empresa-personal'!$A$54:$H$64,2,FALSE),"")</f>
        <v/>
      </c>
      <c r="H25" s="22"/>
      <c r="I25" s="22">
        <f>SUM(H26)</f>
        <v>431.90931456708881</v>
      </c>
      <c r="J25" s="21"/>
    </row>
    <row r="26" spans="1:10" x14ac:dyDescent="0.25">
      <c r="A26" s="17"/>
      <c r="B26" s="17"/>
      <c r="C26" s="17" t="s">
        <v>152</v>
      </c>
      <c r="D26" s="24" t="s">
        <v>62</v>
      </c>
      <c r="E26" s="17" t="s">
        <v>230</v>
      </c>
      <c r="F26" s="17" t="s">
        <v>168</v>
      </c>
      <c r="G26" s="17">
        <f>IFERROR(VLOOKUP(D26,'Definición de empresa-personal'!$A$54:$H$64,2,FALSE),"")</f>
        <v>33.223793428237599</v>
      </c>
      <c r="H26" s="22">
        <f>E26*G26</f>
        <v>431.90931456708881</v>
      </c>
      <c r="I26" s="17"/>
      <c r="J26" s="17"/>
    </row>
    <row r="27" spans="1:10" x14ac:dyDescent="0.25">
      <c r="A27" s="17"/>
      <c r="B27" s="17" t="s">
        <v>231</v>
      </c>
      <c r="C27" s="17"/>
      <c r="D27" s="87" t="s">
        <v>232</v>
      </c>
      <c r="E27" s="17"/>
      <c r="F27" s="17"/>
      <c r="G27" s="17" t="str">
        <f>IFERROR(VLOOKUP(#REF!,'Definición de empresa-personal'!$A$54:$H$64,2,FALSE),"")</f>
        <v/>
      </c>
      <c r="H27" s="22"/>
      <c r="I27" s="22">
        <f>SUM(H28)</f>
        <v>232.56655399766319</v>
      </c>
      <c r="J27" s="17"/>
    </row>
    <row r="28" spans="1:10" x14ac:dyDescent="0.25">
      <c r="A28" s="17"/>
      <c r="B28" s="17"/>
      <c r="C28" s="17" t="s">
        <v>152</v>
      </c>
      <c r="D28" s="24" t="s">
        <v>62</v>
      </c>
      <c r="E28" s="17" t="s">
        <v>233</v>
      </c>
      <c r="F28" s="17" t="s">
        <v>168</v>
      </c>
      <c r="G28" s="17">
        <f>IFERROR(VLOOKUP(D28,'Definición de empresa-personal'!$A$54:$H$64,2,FALSE),"")</f>
        <v>33.223793428237599</v>
      </c>
      <c r="H28" s="22">
        <f>E28*G28</f>
        <v>232.56655399766319</v>
      </c>
      <c r="I28" s="22"/>
      <c r="J28" s="17"/>
    </row>
    <row r="29" spans="1:10" x14ac:dyDescent="0.25">
      <c r="A29" s="17"/>
      <c r="B29" s="17" t="s">
        <v>234</v>
      </c>
      <c r="C29" s="17"/>
      <c r="D29" s="87" t="s">
        <v>235</v>
      </c>
      <c r="E29" s="17"/>
      <c r="F29" s="17"/>
      <c r="G29" s="17" t="str">
        <f>IFERROR(VLOOKUP(#REF!,'Definición de empresa-personal'!$A$54:$H$64,2,FALSE),"")</f>
        <v/>
      </c>
      <c r="H29" s="22"/>
      <c r="I29" s="22">
        <f>SUM(H30)</f>
        <v>327.13632412905071</v>
      </c>
      <c r="J29" s="17"/>
    </row>
    <row r="30" spans="1:10" x14ac:dyDescent="0.25">
      <c r="A30" s="17"/>
      <c r="B30" s="17"/>
      <c r="C30" s="17" t="s">
        <v>152</v>
      </c>
      <c r="D30" s="24" t="s">
        <v>61</v>
      </c>
      <c r="E30" s="17" t="s">
        <v>236</v>
      </c>
      <c r="F30" s="17" t="s">
        <v>168</v>
      </c>
      <c r="G30" s="17">
        <f>IFERROR(VLOOKUP(D30,'Definición de empresa-personal'!$A$54:$H$64,2,FALSE),"")</f>
        <v>36.348480458783413</v>
      </c>
      <c r="H30" s="22">
        <f>E30*G30</f>
        <v>327.13632412905071</v>
      </c>
      <c r="I30" s="22"/>
      <c r="J30" s="17"/>
    </row>
    <row r="31" spans="1:10" x14ac:dyDescent="0.25">
      <c r="A31" s="17"/>
      <c r="B31" s="17" t="s">
        <v>237</v>
      </c>
      <c r="C31" s="17"/>
      <c r="D31" s="87" t="s">
        <v>238</v>
      </c>
      <c r="E31" s="17"/>
      <c r="F31" s="17"/>
      <c r="G31" s="17" t="str">
        <f>IFERROR(VLOOKUP(#REF!,'Definición de empresa-personal'!$A$54:$H$64,2,FALSE),"")</f>
        <v/>
      </c>
      <c r="H31" s="22"/>
      <c r="I31" s="22">
        <f>SUM(H32)</f>
        <v>465.13310799532638</v>
      </c>
      <c r="J31" s="17"/>
    </row>
    <row r="32" spans="1:10" x14ac:dyDescent="0.25">
      <c r="A32" s="17"/>
      <c r="B32" s="17"/>
      <c r="C32" s="17" t="s">
        <v>152</v>
      </c>
      <c r="D32" s="24" t="s">
        <v>62</v>
      </c>
      <c r="E32" s="17" t="s">
        <v>239</v>
      </c>
      <c r="F32" s="17" t="s">
        <v>168</v>
      </c>
      <c r="G32" s="17">
        <f>IFERROR(VLOOKUP(D32,'Definición de empresa-personal'!$A$54:$H$64,2,FALSE),"")</f>
        <v>33.223793428237599</v>
      </c>
      <c r="H32" s="22">
        <f>E32*G32</f>
        <v>465.13310799532638</v>
      </c>
      <c r="I32" s="22"/>
      <c r="J32" s="17"/>
    </row>
    <row r="33" spans="1:10" x14ac:dyDescent="0.25">
      <c r="A33" s="17"/>
      <c r="B33" s="17" t="s">
        <v>240</v>
      </c>
      <c r="C33" s="17"/>
      <c r="D33" s="87" t="s">
        <v>241</v>
      </c>
      <c r="E33" s="17"/>
      <c r="F33" s="17"/>
      <c r="G33" s="17" t="str">
        <f>IFERROR(VLOOKUP(#REF!,'Definición de empresa-personal'!$A$54:$H$64,2,FALSE),"")</f>
        <v/>
      </c>
      <c r="H33" s="22"/>
      <c r="I33" s="22">
        <f>SUM(H34)</f>
        <v>508.87872642296782</v>
      </c>
      <c r="J33" s="17"/>
    </row>
    <row r="34" spans="1:10" x14ac:dyDescent="0.25">
      <c r="A34" s="17"/>
      <c r="B34" s="17"/>
      <c r="C34" s="17" t="s">
        <v>152</v>
      </c>
      <c r="D34" s="24" t="s">
        <v>61</v>
      </c>
      <c r="E34" s="17" t="s">
        <v>239</v>
      </c>
      <c r="F34" s="17" t="s">
        <v>168</v>
      </c>
      <c r="G34" s="17">
        <f>IFERROR(VLOOKUP(D34,'Definición de empresa-personal'!$A$54:$H$64,2,FALSE),"")</f>
        <v>36.348480458783413</v>
      </c>
      <c r="H34" s="22">
        <f>E34*G34</f>
        <v>508.87872642296782</v>
      </c>
      <c r="I34" s="22"/>
      <c r="J34" s="17"/>
    </row>
  </sheetData>
  <mergeCells count="1">
    <mergeCell ref="A2:J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11675ED7-D788-43CE-B15D-E90E8A4458F8}">
          <x14:formula1>
            <xm:f>'Definición de empresa-personal'!$A$56:$A$64</xm:f>
          </x14:formula1>
          <xm:sqref>D6 D26 D24 D22 D20 D18 D16 D14 D12 D10 D8 D28 D36 D34 D32 D30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8C391-3A14-4A7A-B3B6-801325DB9F28}">
  <sheetPr>
    <tabColor rgb="FFFF0000"/>
  </sheetPr>
  <dimension ref="A2:J24"/>
  <sheetViews>
    <sheetView workbookViewId="0">
      <selection activeCell="A2" sqref="A2:J24"/>
    </sheetView>
  </sheetViews>
  <sheetFormatPr baseColWidth="10" defaultColWidth="11" defaultRowHeight="15.75" x14ac:dyDescent="0.25"/>
  <cols>
    <col min="4" max="4" width="58.5" customWidth="1"/>
  </cols>
  <sheetData>
    <row r="2" spans="1:10" ht="25.7" customHeight="1" x14ac:dyDescent="0.25">
      <c r="A2" s="211" t="s">
        <v>21</v>
      </c>
      <c r="B2" s="212"/>
      <c r="C2" s="212"/>
      <c r="D2" s="212"/>
      <c r="E2" s="212"/>
      <c r="F2" s="212"/>
      <c r="G2" s="212"/>
      <c r="H2" s="212"/>
      <c r="I2" s="212"/>
      <c r="J2" s="213"/>
    </row>
    <row r="3" spans="1:10" x14ac:dyDescent="0.25">
      <c r="A3" s="33" t="s">
        <v>145</v>
      </c>
      <c r="B3" s="33" t="s">
        <v>146</v>
      </c>
      <c r="C3" s="33" t="s">
        <v>147</v>
      </c>
      <c r="D3" s="34" t="s">
        <v>148</v>
      </c>
      <c r="E3" s="34" t="s">
        <v>149</v>
      </c>
      <c r="F3" s="34" t="s">
        <v>104</v>
      </c>
      <c r="G3" s="34" t="s">
        <v>105</v>
      </c>
      <c r="H3" s="34" t="s">
        <v>151</v>
      </c>
      <c r="I3" s="34" t="s">
        <v>150</v>
      </c>
      <c r="J3" s="34" t="s">
        <v>2</v>
      </c>
    </row>
    <row r="4" spans="1:10" x14ac:dyDescent="0.25">
      <c r="A4" s="35" t="s">
        <v>152</v>
      </c>
      <c r="B4" s="35"/>
      <c r="C4" s="35"/>
      <c r="D4" s="36" t="s">
        <v>21</v>
      </c>
      <c r="E4" s="37"/>
      <c r="F4" s="37"/>
      <c r="G4" s="37"/>
      <c r="H4" s="37"/>
      <c r="I4" s="37"/>
      <c r="J4" s="38">
        <f>SUM(I5:I24)</f>
        <v>3386.0208473424423</v>
      </c>
    </row>
    <row r="5" spans="1:10" x14ac:dyDescent="0.25">
      <c r="A5" s="17"/>
      <c r="B5" s="17" t="s">
        <v>136</v>
      </c>
      <c r="C5" s="17"/>
      <c r="D5" s="23" t="s">
        <v>242</v>
      </c>
      <c r="E5" s="21"/>
      <c r="F5" s="21"/>
      <c r="G5" s="22" t="str">
        <f>IFERROR(VLOOKUP(#REF!,'Definición de empresa-personal'!$A$54:$H$64,2,FALSE),"")</f>
        <v/>
      </c>
      <c r="H5" s="21"/>
      <c r="I5" s="22">
        <f>SUM(H6)</f>
        <v>265.79034742590079</v>
      </c>
      <c r="J5" s="21"/>
    </row>
    <row r="6" spans="1:10" x14ac:dyDescent="0.25">
      <c r="A6" s="17"/>
      <c r="B6" s="17"/>
      <c r="C6" s="17" t="s">
        <v>152</v>
      </c>
      <c r="D6" s="24" t="s">
        <v>62</v>
      </c>
      <c r="E6" s="21">
        <v>8</v>
      </c>
      <c r="F6" s="21" t="s">
        <v>168</v>
      </c>
      <c r="G6" s="22">
        <f>IFERROR(VLOOKUP(D6,'Definición de empresa-personal'!$A$54:$H$64,2,FALSE),"")</f>
        <v>33.223793428237599</v>
      </c>
      <c r="H6" s="22">
        <f>E6*G6</f>
        <v>265.79034742590079</v>
      </c>
      <c r="I6" s="22"/>
      <c r="J6" s="21"/>
    </row>
    <row r="7" spans="1:10" ht="31.5" x14ac:dyDescent="0.25">
      <c r="A7" s="17"/>
      <c r="B7" s="17" t="s">
        <v>137</v>
      </c>
      <c r="C7" s="17"/>
      <c r="D7" s="24" t="s">
        <v>243</v>
      </c>
      <c r="E7" s="21"/>
      <c r="F7" s="21"/>
      <c r="G7" s="22" t="str">
        <f>IFERROR(VLOOKUP(#REF!,'Definición de empresa-personal'!$A$54:$H$64,2,FALSE),"")</f>
        <v/>
      </c>
      <c r="H7" s="22"/>
      <c r="I7" s="22">
        <f>SUM(H8)</f>
        <v>581.57568734053461</v>
      </c>
      <c r="J7" s="21"/>
    </row>
    <row r="8" spans="1:10" x14ac:dyDescent="0.25">
      <c r="A8" s="17"/>
      <c r="B8" s="17"/>
      <c r="C8" s="17" t="s">
        <v>152</v>
      </c>
      <c r="D8" s="24" t="s">
        <v>61</v>
      </c>
      <c r="E8" s="21">
        <v>16</v>
      </c>
      <c r="F8" s="21" t="s">
        <v>168</v>
      </c>
      <c r="G8" s="22">
        <f>IFERROR(VLOOKUP(D8,'Definición de empresa-personal'!$A$54:$H$64,2,FALSE),"")</f>
        <v>36.348480458783413</v>
      </c>
      <c r="H8" s="22">
        <f>E8*G8</f>
        <v>581.57568734053461</v>
      </c>
      <c r="I8" s="22"/>
      <c r="J8" s="21"/>
    </row>
    <row r="9" spans="1:10" x14ac:dyDescent="0.25">
      <c r="A9" s="17"/>
      <c r="B9" s="17" t="s">
        <v>138</v>
      </c>
      <c r="C9" s="17"/>
      <c r="D9" s="23" t="s">
        <v>244</v>
      </c>
      <c r="E9" s="21"/>
      <c r="F9" s="21"/>
      <c r="G9" s="22" t="str">
        <f>IFERROR(VLOOKUP(#REF!,'Definición de empresa-personal'!$A$54:$H$64,2,FALSE),"")</f>
        <v/>
      </c>
      <c r="H9" s="22"/>
      <c r="I9" s="22">
        <f>SUM(H10)</f>
        <v>332.23793428237599</v>
      </c>
      <c r="J9" s="21"/>
    </row>
    <row r="10" spans="1:10" x14ac:dyDescent="0.25">
      <c r="A10" s="17"/>
      <c r="B10" s="17"/>
      <c r="C10" s="17" t="s">
        <v>152</v>
      </c>
      <c r="D10" s="24" t="s">
        <v>62</v>
      </c>
      <c r="E10" s="21">
        <v>10</v>
      </c>
      <c r="F10" s="21" t="s">
        <v>168</v>
      </c>
      <c r="G10" s="22">
        <f>IFERROR(VLOOKUP(D10,'Definición de empresa-personal'!$A$54:$H$64,2,FALSE),"")</f>
        <v>33.223793428237599</v>
      </c>
      <c r="H10" s="22">
        <f>E10*G10</f>
        <v>332.23793428237599</v>
      </c>
      <c r="I10" s="22"/>
      <c r="J10" s="21"/>
    </row>
    <row r="11" spans="1:10" x14ac:dyDescent="0.25">
      <c r="A11" s="17"/>
      <c r="B11" s="17" t="s">
        <v>139</v>
      </c>
      <c r="C11" s="17"/>
      <c r="D11" s="23" t="s">
        <v>245</v>
      </c>
      <c r="E11" s="21"/>
      <c r="F11" s="21"/>
      <c r="G11" s="22" t="str">
        <f>IFERROR(VLOOKUP(#REF!,'Definición de empresa-personal'!$A$54:$H$64,2,FALSE),"")</f>
        <v/>
      </c>
      <c r="H11" s="22"/>
      <c r="I11" s="22">
        <f>SUM(H12)</f>
        <v>265.79034742590079</v>
      </c>
      <c r="J11" s="21"/>
    </row>
    <row r="12" spans="1:10" x14ac:dyDescent="0.25">
      <c r="A12" s="17"/>
      <c r="B12" s="17"/>
      <c r="C12" s="17" t="s">
        <v>152</v>
      </c>
      <c r="D12" s="24" t="s">
        <v>62</v>
      </c>
      <c r="E12" s="21">
        <v>8</v>
      </c>
      <c r="F12" s="21" t="s">
        <v>168</v>
      </c>
      <c r="G12" s="22">
        <f>IFERROR(VLOOKUP(D12,'Definición de empresa-personal'!$A$54:$H$64,2,FALSE),"")</f>
        <v>33.223793428237599</v>
      </c>
      <c r="H12" s="22">
        <f>E12*G12</f>
        <v>265.79034742590079</v>
      </c>
      <c r="I12" s="22"/>
      <c r="J12" s="21"/>
    </row>
    <row r="13" spans="1:10" x14ac:dyDescent="0.25">
      <c r="A13" s="17"/>
      <c r="B13" s="17" t="s">
        <v>140</v>
      </c>
      <c r="C13" s="17"/>
      <c r="D13" s="23" t="s">
        <v>246</v>
      </c>
      <c r="E13" s="21"/>
      <c r="F13" s="21"/>
      <c r="G13" s="22" t="str">
        <f>IFERROR(VLOOKUP(#REF!,'Definición de empresa-personal'!$A$54:$H$64,2,FALSE),"")</f>
        <v/>
      </c>
      <c r="H13" s="22"/>
      <c r="I13" s="22">
        <f>SUM(H14)</f>
        <v>232.56655399766319</v>
      </c>
      <c r="J13" s="21"/>
    </row>
    <row r="14" spans="1:10" x14ac:dyDescent="0.25">
      <c r="A14" s="17"/>
      <c r="B14" s="17"/>
      <c r="C14" s="17" t="s">
        <v>152</v>
      </c>
      <c r="D14" s="24" t="s">
        <v>62</v>
      </c>
      <c r="E14" s="21">
        <v>7</v>
      </c>
      <c r="F14" s="21" t="s">
        <v>168</v>
      </c>
      <c r="G14" s="22">
        <f>IFERROR(VLOOKUP(D14,'Definición de empresa-personal'!$A$54:$H$64,2,FALSE),"")</f>
        <v>33.223793428237599</v>
      </c>
      <c r="H14" s="22">
        <f>E14*G14</f>
        <v>232.56655399766319</v>
      </c>
      <c r="I14" s="22"/>
      <c r="J14" s="21"/>
    </row>
    <row r="15" spans="1:10" x14ac:dyDescent="0.25">
      <c r="A15" s="17"/>
      <c r="B15" s="17" t="s">
        <v>141</v>
      </c>
      <c r="C15" s="17"/>
      <c r="D15" s="23" t="s">
        <v>247</v>
      </c>
      <c r="E15" s="21"/>
      <c r="F15" s="21"/>
      <c r="G15" s="22" t="str">
        <f>IFERROR(VLOOKUP(#REF!,'Definición de empresa-personal'!$A$54:$H$64,2,FALSE),"")</f>
        <v/>
      </c>
      <c r="H15" s="22"/>
      <c r="I15" s="22">
        <f>SUM(H16)</f>
        <v>299.01414085413842</v>
      </c>
      <c r="J15" s="21"/>
    </row>
    <row r="16" spans="1:10" x14ac:dyDescent="0.25">
      <c r="A16" s="17"/>
      <c r="B16" s="17"/>
      <c r="C16" s="17" t="s">
        <v>152</v>
      </c>
      <c r="D16" s="24" t="s">
        <v>62</v>
      </c>
      <c r="E16" s="21">
        <v>9</v>
      </c>
      <c r="F16" s="21" t="s">
        <v>168</v>
      </c>
      <c r="G16" s="22">
        <f>IFERROR(VLOOKUP(D16,'Definición de empresa-personal'!$A$54:$H$64,2,FALSE),"")</f>
        <v>33.223793428237599</v>
      </c>
      <c r="H16" s="22">
        <f>E16*G16</f>
        <v>299.01414085413842</v>
      </c>
      <c r="I16" s="22"/>
      <c r="J16" s="21"/>
    </row>
    <row r="17" spans="1:10" x14ac:dyDescent="0.25">
      <c r="A17" s="17"/>
      <c r="B17" s="17" t="s">
        <v>142</v>
      </c>
      <c r="C17" s="17"/>
      <c r="D17" s="23" t="s">
        <v>248</v>
      </c>
      <c r="E17" s="21"/>
      <c r="F17" s="21"/>
      <c r="G17" s="22" t="str">
        <f>IFERROR(VLOOKUP(#REF!,'Definición de empresa-personal'!$A$54:$H$64,2,FALSE),"")</f>
        <v/>
      </c>
      <c r="H17" s="22"/>
      <c r="I17" s="22">
        <f>SUM(H18)</f>
        <v>365.46172771061356</v>
      </c>
      <c r="J17" s="21"/>
    </row>
    <row r="18" spans="1:10" x14ac:dyDescent="0.25">
      <c r="A18" s="17"/>
      <c r="B18" s="17"/>
      <c r="C18" s="17" t="s">
        <v>152</v>
      </c>
      <c r="D18" s="24" t="s">
        <v>62</v>
      </c>
      <c r="E18" s="21">
        <v>11</v>
      </c>
      <c r="F18" s="21" t="s">
        <v>168</v>
      </c>
      <c r="G18" s="22">
        <f>IFERROR(VLOOKUP(D18,'Definición de empresa-personal'!$A$54:$H$64,2,FALSE),"")</f>
        <v>33.223793428237599</v>
      </c>
      <c r="H18" s="22">
        <f>E18*G18</f>
        <v>365.46172771061356</v>
      </c>
      <c r="I18" s="22"/>
      <c r="J18" s="21"/>
    </row>
    <row r="19" spans="1:10" x14ac:dyDescent="0.25">
      <c r="A19" s="17"/>
      <c r="B19" s="17" t="s">
        <v>144</v>
      </c>
      <c r="C19" s="17"/>
      <c r="D19" s="23" t="s">
        <v>249</v>
      </c>
      <c r="E19" s="21"/>
      <c r="F19" s="21"/>
      <c r="G19" s="22" t="str">
        <f>IFERROR(VLOOKUP(#REF!,'Definición de empresa-personal'!$A$54:$H$64,2,FALSE),"")</f>
        <v/>
      </c>
      <c r="H19" s="22"/>
      <c r="I19" s="22">
        <f>SUM(H20)</f>
        <v>265.79034742590079</v>
      </c>
      <c r="J19" s="21"/>
    </row>
    <row r="20" spans="1:10" x14ac:dyDescent="0.25">
      <c r="A20" s="17"/>
      <c r="B20" s="17"/>
      <c r="C20" s="17" t="s">
        <v>152</v>
      </c>
      <c r="D20" s="24" t="s">
        <v>62</v>
      </c>
      <c r="E20" s="21">
        <v>8</v>
      </c>
      <c r="F20" s="21" t="s">
        <v>168</v>
      </c>
      <c r="G20" s="22">
        <f>IFERROR(VLOOKUP(D20,'Definición de empresa-personal'!$A$54:$H$64,2,FALSE),"")</f>
        <v>33.223793428237599</v>
      </c>
      <c r="H20" s="22">
        <f>E20*G20</f>
        <v>265.79034742590079</v>
      </c>
      <c r="I20" s="22"/>
      <c r="J20" s="21"/>
    </row>
    <row r="21" spans="1:10" x14ac:dyDescent="0.25">
      <c r="A21" s="17"/>
      <c r="B21" s="17" t="s">
        <v>213</v>
      </c>
      <c r="C21" s="17"/>
      <c r="D21" s="23" t="s">
        <v>250</v>
      </c>
      <c r="E21" s="21"/>
      <c r="F21" s="21"/>
      <c r="G21" s="22" t="str">
        <f>IFERROR(VLOOKUP(#REF!,'Definición de empresa-personal'!$A$54:$H$64,2,FALSE),"")</f>
        <v/>
      </c>
      <c r="H21" s="22"/>
      <c r="I21" s="22">
        <f>SUM(H22)</f>
        <v>545.22720688175116</v>
      </c>
      <c r="J21" s="21"/>
    </row>
    <row r="22" spans="1:10" x14ac:dyDescent="0.25">
      <c r="A22" s="17"/>
      <c r="B22" s="17"/>
      <c r="C22" s="17" t="s">
        <v>152</v>
      </c>
      <c r="D22" s="24" t="s">
        <v>61</v>
      </c>
      <c r="E22" s="21">
        <v>15</v>
      </c>
      <c r="F22" s="21" t="s">
        <v>168</v>
      </c>
      <c r="G22" s="22">
        <f>IFERROR(VLOOKUP(D22,'Definición de empresa-personal'!$A$54:$H$64,2,FALSE),"")</f>
        <v>36.348480458783413</v>
      </c>
      <c r="H22" s="22">
        <f>E22*G22</f>
        <v>545.22720688175116</v>
      </c>
      <c r="I22" s="22"/>
      <c r="J22" s="21"/>
    </row>
    <row r="23" spans="1:10" x14ac:dyDescent="0.25">
      <c r="A23" s="17"/>
      <c r="B23" s="17" t="s">
        <v>215</v>
      </c>
      <c r="C23" s="17"/>
      <c r="D23" s="23" t="s">
        <v>251</v>
      </c>
      <c r="E23" s="21"/>
      <c r="F23" s="21"/>
      <c r="G23" s="22" t="str">
        <f>IFERROR(VLOOKUP(#REF!,'Definición de empresa-personal'!$A$54:$H$64,2,FALSE),"")</f>
        <v/>
      </c>
      <c r="H23" s="22"/>
      <c r="I23" s="22">
        <f>SUM(H24)</f>
        <v>232.56655399766319</v>
      </c>
      <c r="J23" s="21"/>
    </row>
    <row r="24" spans="1:10" x14ac:dyDescent="0.25">
      <c r="A24" s="17"/>
      <c r="B24" s="17"/>
      <c r="C24" s="17" t="s">
        <v>152</v>
      </c>
      <c r="D24" s="24" t="s">
        <v>62</v>
      </c>
      <c r="E24" s="21">
        <v>7</v>
      </c>
      <c r="F24" s="21" t="s">
        <v>168</v>
      </c>
      <c r="G24" s="22">
        <f>IFERROR(VLOOKUP(D24,'Definición de empresa-personal'!$A$54:$H$64,2,FALSE),"")</f>
        <v>33.223793428237599</v>
      </c>
      <c r="H24" s="22">
        <f>E24*G24</f>
        <v>232.56655399766319</v>
      </c>
      <c r="I24" s="22"/>
      <c r="J24" s="21"/>
    </row>
  </sheetData>
  <mergeCells count="1">
    <mergeCell ref="A2:J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C41A983-0E20-480E-9900-1830C50B68AA}">
          <x14:formula1>
            <xm:f>'Definición de empresa-personal'!$A$56:$A$64</xm:f>
          </x14:formula1>
          <xm:sqref>D6 D24 D22 D20 D18 D16 D14 D12 D10 D8</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51A42E-D4C6-4249-A83C-32089B37C186}">
  <sheetPr>
    <tabColor rgb="FF7030A0"/>
  </sheetPr>
  <dimension ref="A2:J26"/>
  <sheetViews>
    <sheetView workbookViewId="0">
      <selection activeCell="A2" sqref="A2:J22"/>
    </sheetView>
  </sheetViews>
  <sheetFormatPr baseColWidth="10" defaultColWidth="11" defaultRowHeight="15.75" x14ac:dyDescent="0.25"/>
  <cols>
    <col min="4" max="4" width="58.5" customWidth="1"/>
    <col min="9" max="9" width="11" customWidth="1"/>
  </cols>
  <sheetData>
    <row r="2" spans="1:10" ht="25.7" customHeight="1" x14ac:dyDescent="0.25">
      <c r="A2" s="214" t="s">
        <v>23</v>
      </c>
      <c r="B2" s="215"/>
      <c r="C2" s="215"/>
      <c r="D2" s="215"/>
      <c r="E2" s="215"/>
      <c r="F2" s="215"/>
      <c r="G2" s="215"/>
      <c r="H2" s="215"/>
      <c r="I2" s="215"/>
      <c r="J2" s="216"/>
    </row>
    <row r="3" spans="1:10" x14ac:dyDescent="0.25">
      <c r="A3" s="33" t="s">
        <v>145</v>
      </c>
      <c r="B3" s="33" t="s">
        <v>146</v>
      </c>
      <c r="C3" s="33" t="s">
        <v>147</v>
      </c>
      <c r="D3" s="34" t="s">
        <v>148</v>
      </c>
      <c r="E3" s="34" t="s">
        <v>149</v>
      </c>
      <c r="F3" s="34" t="s">
        <v>104</v>
      </c>
      <c r="G3" s="34" t="s">
        <v>105</v>
      </c>
      <c r="H3" s="34" t="s">
        <v>151</v>
      </c>
      <c r="I3" s="34" t="s">
        <v>150</v>
      </c>
      <c r="J3" s="34" t="s">
        <v>2</v>
      </c>
    </row>
    <row r="4" spans="1:10" x14ac:dyDescent="0.25">
      <c r="A4" s="35" t="s">
        <v>152</v>
      </c>
      <c r="B4" s="35"/>
      <c r="C4" s="35"/>
      <c r="D4" s="36" t="s">
        <v>17</v>
      </c>
      <c r="E4" s="37"/>
      <c r="F4" s="37"/>
      <c r="G4" s="37"/>
      <c r="H4" s="37"/>
      <c r="I4" s="37"/>
      <c r="J4" s="38">
        <f>SUM(I5:I22)</f>
        <v>2779.7662684502948</v>
      </c>
    </row>
    <row r="5" spans="1:10" x14ac:dyDescent="0.25">
      <c r="A5" s="17"/>
      <c r="B5" s="17" t="s">
        <v>136</v>
      </c>
      <c r="C5" s="17"/>
      <c r="D5" s="23" t="s">
        <v>252</v>
      </c>
      <c r="E5" s="21"/>
      <c r="F5" s="21"/>
      <c r="G5" s="22" t="str">
        <f>IFERROR(VLOOKUP(D5,'Definición de empresa-personal'!$A$54:$H$64,2,FALSE),"")</f>
        <v/>
      </c>
      <c r="H5" s="21"/>
      <c r="I5" s="22">
        <f>SUM(H6)</f>
        <v>299.01414085413842</v>
      </c>
      <c r="J5" s="21"/>
    </row>
    <row r="6" spans="1:10" x14ac:dyDescent="0.25">
      <c r="A6" s="17"/>
      <c r="B6" s="17"/>
      <c r="C6" s="17" t="s">
        <v>152</v>
      </c>
      <c r="D6" s="24" t="s">
        <v>62</v>
      </c>
      <c r="E6" s="21">
        <v>9</v>
      </c>
      <c r="F6" s="21" t="s">
        <v>168</v>
      </c>
      <c r="G6" s="22">
        <f>IFERROR(VLOOKUP(D6,'Definición de empresa-personal'!$A$54:$H$64,2,FALSE),"")</f>
        <v>33.223793428237599</v>
      </c>
      <c r="H6" s="22">
        <f>E6*G6</f>
        <v>299.01414085413842</v>
      </c>
      <c r="I6" s="22"/>
      <c r="J6" s="21"/>
    </row>
    <row r="7" spans="1:10" x14ac:dyDescent="0.25">
      <c r="A7" s="17"/>
      <c r="B7" s="17" t="s">
        <v>137</v>
      </c>
      <c r="C7" s="17"/>
      <c r="D7" s="23" t="s">
        <v>253</v>
      </c>
      <c r="E7" s="21"/>
      <c r="F7" s="21"/>
      <c r="G7" s="22" t="str">
        <f>IFERROR(VLOOKUP(D7,'Definición de empresa-personal'!$A$54:$H$64,2,FALSE),"")</f>
        <v/>
      </c>
      <c r="H7" s="22"/>
      <c r="I7" s="22">
        <f>SUM(H8)</f>
        <v>265.79034742590079</v>
      </c>
      <c r="J7" s="21"/>
    </row>
    <row r="8" spans="1:10" x14ac:dyDescent="0.25">
      <c r="A8" s="17"/>
      <c r="B8" s="17"/>
      <c r="C8" s="17" t="s">
        <v>152</v>
      </c>
      <c r="D8" s="24" t="s">
        <v>62</v>
      </c>
      <c r="E8" s="21">
        <v>8</v>
      </c>
      <c r="F8" s="21" t="s">
        <v>168</v>
      </c>
      <c r="G8" s="22">
        <f>IFERROR(VLOOKUP(D8,'Definición de empresa-personal'!$A$54:$H$64,2,FALSE),"")</f>
        <v>33.223793428237599</v>
      </c>
      <c r="H8" s="22">
        <f>E8*G8</f>
        <v>265.79034742590079</v>
      </c>
      <c r="I8" s="22"/>
      <c r="J8" s="21"/>
    </row>
    <row r="9" spans="1:10" x14ac:dyDescent="0.25">
      <c r="A9" s="17"/>
      <c r="B9" s="17" t="s">
        <v>138</v>
      </c>
      <c r="C9" s="17"/>
      <c r="D9" s="23" t="s">
        <v>254</v>
      </c>
      <c r="E9" s="21"/>
      <c r="F9" s="21"/>
      <c r="G9" s="22" t="str">
        <f>IFERROR(VLOOKUP(D9,'Definición de empresa-personal'!$A$54:$H$64,2,FALSE),"")</f>
        <v/>
      </c>
      <c r="H9" s="22"/>
      <c r="I9" s="22">
        <f>SUM(H10)</f>
        <v>254.43936321148391</v>
      </c>
      <c r="J9" s="21"/>
    </row>
    <row r="10" spans="1:10" x14ac:dyDescent="0.25">
      <c r="A10" s="17"/>
      <c r="B10" s="17"/>
      <c r="C10" s="17" t="s">
        <v>152</v>
      </c>
      <c r="D10" s="24" t="s">
        <v>61</v>
      </c>
      <c r="E10" s="21">
        <v>7</v>
      </c>
      <c r="F10" s="21" t="s">
        <v>168</v>
      </c>
      <c r="G10" s="22">
        <f>IFERROR(VLOOKUP(D10,'Definición de empresa-personal'!$A$54:$H$64,2,FALSE),"")</f>
        <v>36.348480458783413</v>
      </c>
      <c r="H10" s="22">
        <f>E10*G10</f>
        <v>254.43936321148391</v>
      </c>
      <c r="I10" s="22"/>
      <c r="J10" s="21"/>
    </row>
    <row r="11" spans="1:10" x14ac:dyDescent="0.25">
      <c r="A11" s="17"/>
      <c r="B11" s="17" t="s">
        <v>139</v>
      </c>
      <c r="C11" s="17"/>
      <c r="D11" s="23" t="s">
        <v>255</v>
      </c>
      <c r="E11" s="21"/>
      <c r="F11" s="21"/>
      <c r="G11" s="22" t="str">
        <f>IFERROR(VLOOKUP(D11,'Definición de empresa-personal'!$A$54:$H$64,2,FALSE),"")</f>
        <v/>
      </c>
      <c r="H11" s="22"/>
      <c r="I11" s="22">
        <f>SUM(H12)</f>
        <v>327.13632412905071</v>
      </c>
      <c r="J11" s="21"/>
    </row>
    <row r="12" spans="1:10" x14ac:dyDescent="0.25">
      <c r="A12" s="17"/>
      <c r="B12" s="17"/>
      <c r="C12" s="17" t="s">
        <v>152</v>
      </c>
      <c r="D12" s="24" t="s">
        <v>61</v>
      </c>
      <c r="E12" s="21">
        <v>9</v>
      </c>
      <c r="F12" s="21" t="s">
        <v>168</v>
      </c>
      <c r="G12" s="22">
        <f>IFERROR(VLOOKUP(D12,'Definición de empresa-personal'!$A$54:$H$64,2,FALSE),"")</f>
        <v>36.348480458783413</v>
      </c>
      <c r="H12" s="22">
        <f>E12*G12</f>
        <v>327.13632412905071</v>
      </c>
      <c r="I12" s="22"/>
      <c r="J12" s="21"/>
    </row>
    <row r="13" spans="1:10" x14ac:dyDescent="0.25">
      <c r="A13" s="17"/>
      <c r="B13" s="17" t="s">
        <v>140</v>
      </c>
      <c r="C13" s="17"/>
      <c r="D13" s="23" t="s">
        <v>256</v>
      </c>
      <c r="E13" s="21"/>
      <c r="F13" s="21"/>
      <c r="G13" s="22" t="str">
        <f>IFERROR(VLOOKUP(D13,'Definición de empresa-personal'!$A$54:$H$64,2,FALSE),"")</f>
        <v/>
      </c>
      <c r="H13" s="22"/>
      <c r="I13" s="22">
        <f>SUM(H14)</f>
        <v>265.79034742590079</v>
      </c>
      <c r="J13" s="21"/>
    </row>
    <row r="14" spans="1:10" x14ac:dyDescent="0.25">
      <c r="A14" s="17"/>
      <c r="B14" s="17"/>
      <c r="C14" s="17" t="s">
        <v>152</v>
      </c>
      <c r="D14" s="24" t="s">
        <v>62</v>
      </c>
      <c r="E14" s="21">
        <v>8</v>
      </c>
      <c r="F14" s="21" t="s">
        <v>168</v>
      </c>
      <c r="G14" s="22">
        <f>IFERROR(VLOOKUP(D14,'Definición de empresa-personal'!$A$54:$H$64,2,FALSE),"")</f>
        <v>33.223793428237599</v>
      </c>
      <c r="H14" s="22">
        <f>E14*G14</f>
        <v>265.79034742590079</v>
      </c>
      <c r="I14" s="22"/>
      <c r="J14" s="21"/>
    </row>
    <row r="15" spans="1:10" x14ac:dyDescent="0.25">
      <c r="A15" s="17"/>
      <c r="B15" s="17" t="s">
        <v>141</v>
      </c>
      <c r="C15" s="17"/>
      <c r="D15" s="23" t="s">
        <v>216</v>
      </c>
      <c r="E15" s="21"/>
      <c r="F15" s="21"/>
      <c r="G15" s="22" t="str">
        <f>IFERROR(VLOOKUP(D15,'Definición de empresa-personal'!$A$54:$H$64,2,FALSE),"")</f>
        <v/>
      </c>
      <c r="H15" s="22"/>
      <c r="I15" s="22">
        <f>SUM(H16)</f>
        <v>199.34276056942559</v>
      </c>
      <c r="J15" s="21"/>
    </row>
    <row r="16" spans="1:10" x14ac:dyDescent="0.25">
      <c r="A16" s="17"/>
      <c r="B16" s="17"/>
      <c r="C16" s="17" t="s">
        <v>152</v>
      </c>
      <c r="D16" s="24" t="s">
        <v>62</v>
      </c>
      <c r="E16" s="21">
        <v>6</v>
      </c>
      <c r="F16" s="21" t="s">
        <v>168</v>
      </c>
      <c r="G16" s="22">
        <f>IFERROR(VLOOKUP(D16,'Definición de empresa-personal'!$A$54:$H$64,2,FALSE),"")</f>
        <v>33.223793428237599</v>
      </c>
      <c r="H16" s="22">
        <f>E16*G16</f>
        <v>199.34276056942559</v>
      </c>
      <c r="I16" s="22"/>
      <c r="J16" s="21"/>
    </row>
    <row r="17" spans="1:10" x14ac:dyDescent="0.25">
      <c r="A17" s="17"/>
      <c r="B17" s="17" t="s">
        <v>142</v>
      </c>
      <c r="C17" s="17"/>
      <c r="D17" s="23" t="s">
        <v>257</v>
      </c>
      <c r="E17" s="21"/>
      <c r="F17" s="21"/>
      <c r="G17" s="22" t="str">
        <f>IFERROR(VLOOKUP(D17,'Definición de empresa-personal'!$A$54:$H$64,2,FALSE),"")</f>
        <v/>
      </c>
      <c r="H17" s="22"/>
      <c r="I17" s="22">
        <f>SUM(H18)</f>
        <v>332.23793428237599</v>
      </c>
      <c r="J17" s="21"/>
    </row>
    <row r="18" spans="1:10" x14ac:dyDescent="0.25">
      <c r="A18" s="17"/>
      <c r="B18" s="17"/>
      <c r="C18" s="17" t="s">
        <v>152</v>
      </c>
      <c r="D18" s="24" t="s">
        <v>62</v>
      </c>
      <c r="E18" s="21">
        <v>10</v>
      </c>
      <c r="F18" s="21" t="s">
        <v>168</v>
      </c>
      <c r="G18" s="22">
        <f>IFERROR(VLOOKUP(D18,'Definición de empresa-personal'!$A$54:$H$64,2,FALSE),"")</f>
        <v>33.223793428237599</v>
      </c>
      <c r="H18" s="22">
        <f>E18*G18</f>
        <v>332.23793428237599</v>
      </c>
      <c r="I18" s="22"/>
      <c r="J18" s="21"/>
    </row>
    <row r="19" spans="1:10" x14ac:dyDescent="0.25">
      <c r="A19" s="17"/>
      <c r="B19" s="17" t="s">
        <v>144</v>
      </c>
      <c r="C19" s="17"/>
      <c r="D19" s="23" t="s">
        <v>258</v>
      </c>
      <c r="E19" s="21"/>
      <c r="F19" s="21"/>
      <c r="G19" s="22" t="str">
        <f>IFERROR(VLOOKUP(D19,'Definición de empresa-personal'!$A$54:$H$64,2,FALSE),"")</f>
        <v/>
      </c>
      <c r="H19" s="22"/>
      <c r="I19" s="22">
        <f>SUM(H20)</f>
        <v>436.18176550540096</v>
      </c>
      <c r="J19" s="21"/>
    </row>
    <row r="20" spans="1:10" x14ac:dyDescent="0.25">
      <c r="A20" s="17"/>
      <c r="B20" s="17"/>
      <c r="C20" s="17" t="s">
        <v>152</v>
      </c>
      <c r="D20" s="24" t="s">
        <v>61</v>
      </c>
      <c r="E20" s="21">
        <v>12</v>
      </c>
      <c r="F20" s="21" t="s">
        <v>168</v>
      </c>
      <c r="G20" s="22">
        <f>IFERROR(VLOOKUP(D20,'Definición de empresa-personal'!$A$54:$H$64,2,FALSE),"")</f>
        <v>36.348480458783413</v>
      </c>
      <c r="H20" s="22">
        <f>E20*G20</f>
        <v>436.18176550540096</v>
      </c>
      <c r="I20" s="22"/>
      <c r="J20" s="21"/>
    </row>
    <row r="21" spans="1:10" x14ac:dyDescent="0.25">
      <c r="A21" s="17"/>
      <c r="B21" s="17" t="s">
        <v>213</v>
      </c>
      <c r="C21" s="17"/>
      <c r="D21" s="23" t="s">
        <v>259</v>
      </c>
      <c r="E21" s="21"/>
      <c r="F21" s="21"/>
      <c r="G21" s="22" t="str">
        <f>IFERROR(VLOOKUP(D21,'Definición de empresa-personal'!$A$54:$H$64,2,FALSE),"")</f>
        <v/>
      </c>
      <c r="H21" s="22"/>
      <c r="I21" s="22">
        <f>SUM(H22)</f>
        <v>399.83328504661756</v>
      </c>
      <c r="J21" s="21"/>
    </row>
    <row r="22" spans="1:10" x14ac:dyDescent="0.25">
      <c r="A22" s="17"/>
      <c r="B22" s="17"/>
      <c r="C22" s="17" t="s">
        <v>152</v>
      </c>
      <c r="D22" s="24" t="s">
        <v>61</v>
      </c>
      <c r="E22" s="21">
        <v>11</v>
      </c>
      <c r="F22" s="21" t="s">
        <v>168</v>
      </c>
      <c r="G22" s="22">
        <f>IFERROR(VLOOKUP(D22,'Definición de empresa-personal'!$A$54:$H$64,2,FALSE),"")</f>
        <v>36.348480458783413</v>
      </c>
      <c r="H22" s="22">
        <f>E22*G22</f>
        <v>399.83328504661756</v>
      </c>
      <c r="I22" s="22"/>
      <c r="J22" s="21"/>
    </row>
    <row r="23" spans="1:10" x14ac:dyDescent="0.25">
      <c r="A23" s="15"/>
      <c r="B23" s="15"/>
      <c r="C23" s="15"/>
      <c r="D23" s="27"/>
      <c r="E23" s="9"/>
      <c r="F23" s="9"/>
      <c r="G23" s="28"/>
      <c r="H23" s="28"/>
      <c r="I23" s="28"/>
      <c r="J23" s="9"/>
    </row>
    <row r="24" spans="1:10" x14ac:dyDescent="0.25">
      <c r="A24" s="15"/>
      <c r="B24" s="15"/>
      <c r="C24" s="15"/>
      <c r="D24" s="29"/>
      <c r="E24" s="9"/>
      <c r="F24" s="9"/>
      <c r="G24" s="28"/>
      <c r="H24" s="28"/>
      <c r="I24" s="28"/>
      <c r="J24" s="9"/>
    </row>
    <row r="25" spans="1:10" x14ac:dyDescent="0.25">
      <c r="A25" s="15"/>
      <c r="B25" s="15"/>
      <c r="C25" s="15"/>
      <c r="D25" s="27"/>
      <c r="E25" s="9"/>
      <c r="F25" s="9"/>
      <c r="G25" s="28"/>
      <c r="H25" s="28"/>
      <c r="I25" s="28"/>
      <c r="J25" s="9"/>
    </row>
    <row r="26" spans="1:10" x14ac:dyDescent="0.25">
      <c r="A26" s="15"/>
      <c r="B26" s="15"/>
      <c r="C26" s="15"/>
      <c r="D26" s="29"/>
      <c r="E26" s="9"/>
      <c r="F26" s="9"/>
      <c r="G26" s="28"/>
      <c r="H26" s="28"/>
      <c r="I26" s="28"/>
      <c r="J26" s="9"/>
    </row>
  </sheetData>
  <mergeCells count="1">
    <mergeCell ref="A2:J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588B7D3-AB5D-4749-A74B-A3294D5DB1EC}">
          <x14:formula1>
            <xm:f>'Definición de empresa-personal'!$A$56:$A$64</xm:f>
          </x14:formula1>
          <xm:sqref>D6 D26 D24 D22 D20 D18 D16 D14 D12 D10 D8</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A8FE1-FA37-43E9-9638-BC53F5F8CA36}">
  <sheetPr>
    <tabColor theme="9" tint="-0.249977111117893"/>
  </sheetPr>
  <dimension ref="A2:J24"/>
  <sheetViews>
    <sheetView zoomScale="94" zoomScaleNormal="85" workbookViewId="0">
      <selection activeCell="A2" sqref="A2:J24"/>
    </sheetView>
  </sheetViews>
  <sheetFormatPr baseColWidth="10" defaultColWidth="11" defaultRowHeight="15.75" x14ac:dyDescent="0.25"/>
  <cols>
    <col min="4" max="4" width="58.5" customWidth="1"/>
  </cols>
  <sheetData>
    <row r="2" spans="1:10" ht="25.7" customHeight="1" x14ac:dyDescent="0.25">
      <c r="A2" s="211" t="s">
        <v>260</v>
      </c>
      <c r="B2" s="212"/>
      <c r="C2" s="212"/>
      <c r="D2" s="212"/>
      <c r="E2" s="212"/>
      <c r="F2" s="212"/>
      <c r="G2" s="212"/>
      <c r="H2" s="212"/>
      <c r="I2" s="212"/>
      <c r="J2" s="213"/>
    </row>
    <row r="3" spans="1:10" x14ac:dyDescent="0.25">
      <c r="A3" s="33" t="s">
        <v>145</v>
      </c>
      <c r="B3" s="33" t="s">
        <v>146</v>
      </c>
      <c r="C3" s="33" t="s">
        <v>147</v>
      </c>
      <c r="D3" s="34" t="s">
        <v>148</v>
      </c>
      <c r="E3" s="34" t="s">
        <v>149</v>
      </c>
      <c r="F3" s="34" t="s">
        <v>104</v>
      </c>
      <c r="G3" s="34" t="s">
        <v>105</v>
      </c>
      <c r="H3" s="34" t="s">
        <v>151</v>
      </c>
      <c r="I3" s="34" t="s">
        <v>150</v>
      </c>
      <c r="J3" s="34" t="s">
        <v>2</v>
      </c>
    </row>
    <row r="4" spans="1:10" x14ac:dyDescent="0.25">
      <c r="A4" s="35" t="s">
        <v>152</v>
      </c>
      <c r="B4" s="35"/>
      <c r="C4" s="35"/>
      <c r="D4" s="36" t="s">
        <v>260</v>
      </c>
      <c r="E4" s="37"/>
      <c r="F4" s="37"/>
      <c r="G4" s="37"/>
      <c r="H4" s="37"/>
      <c r="I4" s="37"/>
      <c r="J4" s="38">
        <f>SUM(I5:I26)</f>
        <v>3681.0811419510223</v>
      </c>
    </row>
    <row r="5" spans="1:10" x14ac:dyDescent="0.25">
      <c r="A5" s="17"/>
      <c r="B5" s="17" t="s">
        <v>136</v>
      </c>
      <c r="C5" s="17"/>
      <c r="D5" s="98" t="s">
        <v>261</v>
      </c>
      <c r="E5" s="21"/>
      <c r="F5" s="21"/>
      <c r="G5" s="22" t="str">
        <f>IFERROR(VLOOKUP(#REF!,'Definición de empresa-personal'!$A$54:$H$64,2,FALSE),"")</f>
        <v/>
      </c>
      <c r="H5" s="21"/>
      <c r="I5" s="22">
        <f>SUM(H6)</f>
        <v>199.34276056942559</v>
      </c>
      <c r="J5" s="21"/>
    </row>
    <row r="6" spans="1:10" x14ac:dyDescent="0.25">
      <c r="A6" s="17"/>
      <c r="B6" s="17"/>
      <c r="C6" s="17" t="s">
        <v>152</v>
      </c>
      <c r="D6" s="24" t="s">
        <v>62</v>
      </c>
      <c r="E6" s="21">
        <v>6</v>
      </c>
      <c r="F6" s="21" t="s">
        <v>168</v>
      </c>
      <c r="G6" s="22">
        <f>IFERROR(VLOOKUP(D6,'Definición de empresa-personal'!$A$54:$H$64,2,FALSE),"")</f>
        <v>33.223793428237599</v>
      </c>
      <c r="H6" s="22">
        <f>E6*G6</f>
        <v>199.34276056942559</v>
      </c>
      <c r="I6" s="22"/>
      <c r="J6" s="21"/>
    </row>
    <row r="7" spans="1:10" x14ac:dyDescent="0.25">
      <c r="A7" s="17"/>
      <c r="B7" s="17" t="s">
        <v>137</v>
      </c>
      <c r="C7" s="17"/>
      <c r="D7" s="98" t="s">
        <v>262</v>
      </c>
      <c r="E7" s="21"/>
      <c r="F7" s="21"/>
      <c r="G7" s="22" t="str">
        <f>IFERROR(VLOOKUP(#REF!,'Definición de empresa-personal'!$A$54:$H$64,2,FALSE),"")</f>
        <v/>
      </c>
      <c r="H7" s="22"/>
      <c r="I7" s="22">
        <f>SUM(H8)</f>
        <v>265.79034742590079</v>
      </c>
      <c r="J7" s="21"/>
    </row>
    <row r="8" spans="1:10" x14ac:dyDescent="0.25">
      <c r="A8" s="17"/>
      <c r="B8" s="17"/>
      <c r="C8" s="17" t="s">
        <v>152</v>
      </c>
      <c r="D8" s="24" t="s">
        <v>62</v>
      </c>
      <c r="E8" s="21">
        <v>8</v>
      </c>
      <c r="F8" s="21" t="s">
        <v>168</v>
      </c>
      <c r="G8" s="22">
        <f>IFERROR(VLOOKUP(D8,'Definición de empresa-personal'!$A$54:$H$64,2,FALSE),"")</f>
        <v>33.223793428237599</v>
      </c>
      <c r="H8" s="22">
        <f>E8*G8</f>
        <v>265.79034742590079</v>
      </c>
      <c r="I8" s="22"/>
      <c r="J8" s="21"/>
    </row>
    <row r="9" spans="1:10" x14ac:dyDescent="0.25">
      <c r="A9" s="17"/>
      <c r="B9" s="17" t="s">
        <v>138</v>
      </c>
      <c r="C9" s="17"/>
      <c r="D9" s="98" t="s">
        <v>263</v>
      </c>
      <c r="E9" s="21"/>
      <c r="F9" s="21"/>
      <c r="G9" s="22" t="str">
        <f>IFERROR(VLOOKUP(#REF!,'Definición de empresa-personal'!$A$54:$H$64,2,FALSE),"")</f>
        <v/>
      </c>
      <c r="H9" s="22"/>
      <c r="I9" s="22">
        <f>SUM(H10)</f>
        <v>436.18176550540096</v>
      </c>
      <c r="J9" s="21"/>
    </row>
    <row r="10" spans="1:10" x14ac:dyDescent="0.25">
      <c r="A10" s="17"/>
      <c r="B10" s="17"/>
      <c r="C10" s="17" t="s">
        <v>152</v>
      </c>
      <c r="D10" s="24" t="s">
        <v>61</v>
      </c>
      <c r="E10" s="21">
        <v>12</v>
      </c>
      <c r="F10" s="21" t="s">
        <v>168</v>
      </c>
      <c r="G10" s="22">
        <f>IFERROR(VLOOKUP(D10,'Definición de empresa-personal'!$A$54:$H$64,2,FALSE),"")</f>
        <v>36.348480458783413</v>
      </c>
      <c r="H10" s="22">
        <f>E10*G10</f>
        <v>436.18176550540096</v>
      </c>
      <c r="I10" s="22"/>
      <c r="J10" s="21"/>
    </row>
    <row r="11" spans="1:10" x14ac:dyDescent="0.25">
      <c r="A11" s="17"/>
      <c r="B11" s="17" t="s">
        <v>139</v>
      </c>
      <c r="C11" s="17"/>
      <c r="D11" s="98" t="s">
        <v>264</v>
      </c>
      <c r="E11" s="21"/>
      <c r="F11" s="21"/>
      <c r="G11" s="22" t="str">
        <f>IFERROR(VLOOKUP(#REF!,'Definición de empresa-personal'!$A$54:$H$64,2,FALSE),"")</f>
        <v/>
      </c>
      <c r="H11" s="22"/>
      <c r="I11" s="22">
        <f>SUM(H12)</f>
        <v>508.87872642296782</v>
      </c>
      <c r="J11" s="21"/>
    </row>
    <row r="12" spans="1:10" x14ac:dyDescent="0.25">
      <c r="A12" s="17"/>
      <c r="B12" s="17"/>
      <c r="C12" s="17" t="s">
        <v>152</v>
      </c>
      <c r="D12" s="24" t="s">
        <v>61</v>
      </c>
      <c r="E12" s="21">
        <v>14</v>
      </c>
      <c r="F12" s="21" t="s">
        <v>168</v>
      </c>
      <c r="G12" s="22">
        <f>IFERROR(VLOOKUP(D12,'Definición de empresa-personal'!$A$54:$H$64,2,FALSE),"")</f>
        <v>36.348480458783413</v>
      </c>
      <c r="H12" s="22">
        <f>E12*G12</f>
        <v>508.87872642296782</v>
      </c>
      <c r="I12" s="22"/>
      <c r="J12" s="21"/>
    </row>
    <row r="13" spans="1:10" x14ac:dyDescent="0.25">
      <c r="A13" s="17"/>
      <c r="B13" s="17" t="s">
        <v>140</v>
      </c>
      <c r="C13" s="17"/>
      <c r="D13" s="98" t="s">
        <v>265</v>
      </c>
      <c r="E13" s="21"/>
      <c r="F13" s="21"/>
      <c r="G13" s="22" t="str">
        <f>IFERROR(VLOOKUP(#REF!,'Definición de empresa-personal'!$A$54:$H$64,2,FALSE),"")</f>
        <v/>
      </c>
      <c r="H13" s="22"/>
      <c r="I13" s="22">
        <f>SUM(H14)</f>
        <v>166.11896714118799</v>
      </c>
      <c r="J13" s="21"/>
    </row>
    <row r="14" spans="1:10" x14ac:dyDescent="0.25">
      <c r="A14" s="17"/>
      <c r="B14" s="17"/>
      <c r="C14" s="17" t="s">
        <v>152</v>
      </c>
      <c r="D14" s="24" t="s">
        <v>62</v>
      </c>
      <c r="E14" s="21">
        <v>5</v>
      </c>
      <c r="F14" s="21" t="s">
        <v>168</v>
      </c>
      <c r="G14" s="22">
        <f>IFERROR(VLOOKUP(D14,'Definición de empresa-personal'!$A$54:$H$64,2,FALSE),"")</f>
        <v>33.223793428237599</v>
      </c>
      <c r="H14" s="22">
        <f>E14*G14</f>
        <v>166.11896714118799</v>
      </c>
      <c r="I14" s="22"/>
      <c r="J14" s="21"/>
    </row>
    <row r="15" spans="1:10" x14ac:dyDescent="0.25">
      <c r="A15" s="17"/>
      <c r="B15" s="17" t="s">
        <v>141</v>
      </c>
      <c r="C15" s="17"/>
      <c r="D15" s="98" t="s">
        <v>266</v>
      </c>
      <c r="E15" s="21"/>
      <c r="F15" s="21"/>
      <c r="G15" s="22" t="str">
        <f>IFERROR(VLOOKUP(#REF!,'Definición de empresa-personal'!$A$54:$H$64,2,FALSE),"")</f>
        <v/>
      </c>
      <c r="H15" s="22"/>
      <c r="I15" s="22">
        <f>SUM(H16)</f>
        <v>299.01414085413842</v>
      </c>
      <c r="J15" s="21"/>
    </row>
    <row r="16" spans="1:10" x14ac:dyDescent="0.25">
      <c r="A16" s="17"/>
      <c r="B16" s="17"/>
      <c r="C16" s="17" t="s">
        <v>152</v>
      </c>
      <c r="D16" s="24" t="s">
        <v>62</v>
      </c>
      <c r="E16" s="21">
        <v>9</v>
      </c>
      <c r="F16" s="21" t="s">
        <v>168</v>
      </c>
      <c r="G16" s="22">
        <f>IFERROR(VLOOKUP(D16,'Definición de empresa-personal'!$A$54:$H$64,2,FALSE),"")</f>
        <v>33.223793428237599</v>
      </c>
      <c r="H16" s="22">
        <f>E16*G16</f>
        <v>299.01414085413842</v>
      </c>
      <c r="I16" s="22"/>
      <c r="J16" s="21"/>
    </row>
    <row r="17" spans="1:10" x14ac:dyDescent="0.25">
      <c r="A17" s="17"/>
      <c r="B17" s="17" t="s">
        <v>142</v>
      </c>
      <c r="C17" s="17"/>
      <c r="D17" s="98" t="s">
        <v>267</v>
      </c>
      <c r="E17" s="21"/>
      <c r="F17" s="21"/>
      <c r="G17" s="22" t="str">
        <f>IFERROR(VLOOKUP(#REF!,'Definición de empresa-personal'!$A$54:$H$64,2,FALSE),"")</f>
        <v/>
      </c>
      <c r="H17" s="22"/>
      <c r="I17" s="22">
        <f>SUM(H18)</f>
        <v>365.46172771061356</v>
      </c>
      <c r="J17" s="21"/>
    </row>
    <row r="18" spans="1:10" x14ac:dyDescent="0.25">
      <c r="A18" s="17"/>
      <c r="B18" s="17"/>
      <c r="C18" s="17" t="s">
        <v>152</v>
      </c>
      <c r="D18" s="24" t="s">
        <v>62</v>
      </c>
      <c r="E18" s="21">
        <v>11</v>
      </c>
      <c r="F18" s="21" t="s">
        <v>168</v>
      </c>
      <c r="G18" s="22">
        <f>IFERROR(VLOOKUP(D18,'Definición de empresa-personal'!$A$54:$H$64,2,FALSE),"")</f>
        <v>33.223793428237599</v>
      </c>
      <c r="H18" s="22">
        <f>E18*G18</f>
        <v>365.46172771061356</v>
      </c>
      <c r="I18" s="22"/>
      <c r="J18" s="21"/>
    </row>
    <row r="19" spans="1:10" x14ac:dyDescent="0.25">
      <c r="A19" s="17"/>
      <c r="B19" s="17" t="s">
        <v>144</v>
      </c>
      <c r="C19" s="17"/>
      <c r="D19" s="98" t="s">
        <v>268</v>
      </c>
      <c r="E19" s="21"/>
      <c r="F19" s="21"/>
      <c r="G19" s="22" t="str">
        <f>IFERROR(VLOOKUP(#REF!,'Definición de empresa-personal'!$A$54:$H$64,2,FALSE),"")</f>
        <v/>
      </c>
      <c r="H19" s="22"/>
      <c r="I19" s="22">
        <f>SUM(H20)</f>
        <v>531.58069485180158</v>
      </c>
      <c r="J19" s="21"/>
    </row>
    <row r="20" spans="1:10" x14ac:dyDescent="0.25">
      <c r="A20" s="17"/>
      <c r="B20" s="17"/>
      <c r="C20" s="17" t="s">
        <v>152</v>
      </c>
      <c r="D20" s="24" t="s">
        <v>62</v>
      </c>
      <c r="E20" s="21">
        <v>16</v>
      </c>
      <c r="F20" s="21" t="s">
        <v>168</v>
      </c>
      <c r="G20" s="22">
        <f>IFERROR(VLOOKUP(D20,'Definición de empresa-personal'!$A$54:$H$64,2,FALSE),"")</f>
        <v>33.223793428237599</v>
      </c>
      <c r="H20" s="22">
        <f>E20*G20</f>
        <v>531.58069485180158</v>
      </c>
      <c r="I20" s="22"/>
      <c r="J20" s="21"/>
    </row>
    <row r="21" spans="1:10" x14ac:dyDescent="0.25">
      <c r="A21" s="17"/>
      <c r="B21" s="17" t="s">
        <v>213</v>
      </c>
      <c r="C21" s="17"/>
      <c r="D21" s="98" t="s">
        <v>269</v>
      </c>
      <c r="E21" s="21"/>
      <c r="F21" s="21"/>
      <c r="G21" s="22" t="str">
        <f>IFERROR(VLOOKUP(#REF!,'Definición de empresa-personal'!$A$54:$H$64,2,FALSE),"")</f>
        <v/>
      </c>
      <c r="H21" s="22"/>
      <c r="I21" s="22">
        <f>SUM(H22)</f>
        <v>436.18176550540096</v>
      </c>
      <c r="J21" s="21"/>
    </row>
    <row r="22" spans="1:10" x14ac:dyDescent="0.25">
      <c r="A22" s="17"/>
      <c r="B22" s="17"/>
      <c r="C22" s="17" t="s">
        <v>152</v>
      </c>
      <c r="D22" s="24" t="s">
        <v>61</v>
      </c>
      <c r="E22" s="21">
        <v>12</v>
      </c>
      <c r="F22" s="21" t="s">
        <v>168</v>
      </c>
      <c r="G22" s="22">
        <f>IFERROR(VLOOKUP(D22,'Definición de empresa-personal'!$A$54:$H$64,2,FALSE),"")</f>
        <v>36.348480458783413</v>
      </c>
      <c r="H22" s="22">
        <f>E22*G22</f>
        <v>436.18176550540096</v>
      </c>
      <c r="I22" s="22"/>
      <c r="J22" s="21"/>
    </row>
    <row r="23" spans="1:10" x14ac:dyDescent="0.25">
      <c r="A23" s="17"/>
      <c r="B23" s="17" t="s">
        <v>215</v>
      </c>
      <c r="C23" s="17"/>
      <c r="D23" s="98" t="s">
        <v>270</v>
      </c>
      <c r="E23" s="21"/>
      <c r="F23" s="21"/>
      <c r="G23" s="22" t="str">
        <f>IFERROR(VLOOKUP(#REF!,'Definición de empresa-personal'!$A$54:$H$64,2,FALSE),"")</f>
        <v/>
      </c>
      <c r="H23" s="22"/>
      <c r="I23" s="22">
        <f>SUM(H24)</f>
        <v>472.53024596418436</v>
      </c>
      <c r="J23" s="21"/>
    </row>
    <row r="24" spans="1:10" x14ac:dyDescent="0.25">
      <c r="A24" s="17"/>
      <c r="B24" s="17"/>
      <c r="C24" s="17" t="s">
        <v>152</v>
      </c>
      <c r="D24" s="24" t="s">
        <v>61</v>
      </c>
      <c r="E24" s="21">
        <v>13</v>
      </c>
      <c r="F24" s="21" t="s">
        <v>168</v>
      </c>
      <c r="G24" s="22">
        <f>IFERROR(VLOOKUP(D24,'Definición de empresa-personal'!$A$54:$H$64,2,FALSE),"")</f>
        <v>36.348480458783413</v>
      </c>
      <c r="H24" s="22">
        <f>E24*G24</f>
        <v>472.53024596418436</v>
      </c>
      <c r="I24" s="22"/>
      <c r="J24" s="21"/>
    </row>
  </sheetData>
  <mergeCells count="1">
    <mergeCell ref="A2:J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BDAB676-2DB9-4A39-967A-522126432E25}">
          <x14:formula1>
            <xm:f>'Definición de empresa-personal'!$A$56:$A$64</xm:f>
          </x14:formula1>
          <xm:sqref>D6 D26 D24 D22 D20 D18 D16 D14 D12 D10 D8</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77D0F-7C1F-40F2-988D-051F5ACD4040}">
  <sheetPr>
    <tabColor theme="9" tint="-0.249977111117893"/>
  </sheetPr>
  <dimension ref="A2:J8"/>
  <sheetViews>
    <sheetView zoomScale="94" zoomScaleNormal="85" workbookViewId="0">
      <selection activeCell="A2" sqref="A2"/>
    </sheetView>
  </sheetViews>
  <sheetFormatPr baseColWidth="10" defaultColWidth="11" defaultRowHeight="15.75" x14ac:dyDescent="0.25"/>
  <cols>
    <col min="4" max="4" width="58.5" customWidth="1"/>
  </cols>
  <sheetData>
    <row r="2" spans="1:10" ht="25.7" customHeight="1" x14ac:dyDescent="0.25">
      <c r="A2" s="211" t="s">
        <v>26</v>
      </c>
      <c r="B2" s="212"/>
      <c r="C2" s="212"/>
      <c r="D2" s="212"/>
      <c r="E2" s="212"/>
      <c r="F2" s="212"/>
      <c r="G2" s="212"/>
      <c r="H2" s="212"/>
      <c r="I2" s="212"/>
      <c r="J2" s="213"/>
    </row>
    <row r="3" spans="1:10" x14ac:dyDescent="0.25">
      <c r="A3" s="33" t="s">
        <v>145</v>
      </c>
      <c r="B3" s="33" t="s">
        <v>146</v>
      </c>
      <c r="C3" s="33" t="s">
        <v>147</v>
      </c>
      <c r="D3" s="34" t="s">
        <v>148</v>
      </c>
      <c r="E3" s="34" t="s">
        <v>149</v>
      </c>
      <c r="F3" s="34" t="s">
        <v>104</v>
      </c>
      <c r="G3" s="34" t="s">
        <v>105</v>
      </c>
      <c r="H3" s="34" t="s">
        <v>151</v>
      </c>
      <c r="I3" s="34" t="s">
        <v>150</v>
      </c>
      <c r="J3" s="34" t="s">
        <v>2</v>
      </c>
    </row>
    <row r="4" spans="1:10" x14ac:dyDescent="0.25">
      <c r="A4" s="35" t="s">
        <v>152</v>
      </c>
      <c r="B4" s="35"/>
      <c r="C4" s="35"/>
      <c r="D4" s="36" t="s">
        <v>26</v>
      </c>
      <c r="E4" s="37"/>
      <c r="F4" s="37"/>
      <c r="G4" s="37"/>
      <c r="H4" s="37"/>
      <c r="I4" s="37"/>
      <c r="J4" s="38">
        <f>SUM(I5:I26)</f>
        <v>86.156504101390183</v>
      </c>
    </row>
    <row r="5" spans="1:10" x14ac:dyDescent="0.25">
      <c r="A5" s="17"/>
      <c r="B5" s="17" t="s">
        <v>136</v>
      </c>
      <c r="C5" s="17"/>
      <c r="D5" s="98" t="s">
        <v>271</v>
      </c>
      <c r="E5" s="21"/>
      <c r="F5" s="21"/>
      <c r="G5" s="22" t="str">
        <f>IFERROR(VLOOKUP(#REF!,'Definición de empresa-personal'!$A$54:$H$64,2,FALSE),"")</f>
        <v/>
      </c>
      <c r="H5" s="21"/>
      <c r="I5" s="22">
        <f>SUM(H6)</f>
        <v>68.925203281112147</v>
      </c>
      <c r="J5" s="21"/>
    </row>
    <row r="6" spans="1:10" x14ac:dyDescent="0.25">
      <c r="A6" s="17"/>
      <c r="B6" s="17"/>
      <c r="C6" s="17" t="s">
        <v>152</v>
      </c>
      <c r="D6" s="24" t="s">
        <v>64</v>
      </c>
      <c r="E6" s="21">
        <v>2</v>
      </c>
      <c r="F6" s="21" t="s">
        <v>168</v>
      </c>
      <c r="G6" s="22">
        <f>IFERROR(VLOOKUP(D6,'Definición de empresa-personal'!$A$54:$H$64,2,FALSE),"")</f>
        <v>34.462601640556073</v>
      </c>
      <c r="H6" s="22">
        <f>E6*G6</f>
        <v>68.925203281112147</v>
      </c>
      <c r="I6" s="22"/>
      <c r="J6" s="21"/>
    </row>
    <row r="7" spans="1:10" x14ac:dyDescent="0.25">
      <c r="A7" s="17"/>
      <c r="B7" s="17" t="s">
        <v>137</v>
      </c>
      <c r="C7" s="17"/>
      <c r="D7" s="98" t="s">
        <v>272</v>
      </c>
      <c r="E7" s="21"/>
      <c r="F7" s="21"/>
      <c r="G7" s="22" t="str">
        <f>IFERROR(VLOOKUP(#REF!,'Definición de empresa-personal'!$A$54:$H$64,2,FALSE),"")</f>
        <v/>
      </c>
      <c r="H7" s="22"/>
      <c r="I7" s="22">
        <f>SUM(H8)</f>
        <v>17.231300820278037</v>
      </c>
      <c r="J7" s="21"/>
    </row>
    <row r="8" spans="1:10" x14ac:dyDescent="0.25">
      <c r="A8" s="17"/>
      <c r="B8" s="17"/>
      <c r="C8" s="17" t="s">
        <v>152</v>
      </c>
      <c r="D8" s="24" t="s">
        <v>64</v>
      </c>
      <c r="E8" s="21">
        <v>0.5</v>
      </c>
      <c r="F8" s="21" t="s">
        <v>168</v>
      </c>
      <c r="G8" s="22">
        <f>IFERROR(VLOOKUP(D8,'Definición de empresa-personal'!$A$54:$H$64,2,FALSE),"")</f>
        <v>34.462601640556073</v>
      </c>
      <c r="H8" s="22">
        <f>E8*G8</f>
        <v>17.231300820278037</v>
      </c>
      <c r="I8" s="22"/>
      <c r="J8" s="21"/>
    </row>
  </sheetData>
  <mergeCells count="1">
    <mergeCell ref="A2:J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76619ED-0611-4046-8C6C-9896A95E6255}">
          <x14:formula1>
            <xm:f>'Definición de empresa-personal'!$A$56:$A$64</xm:f>
          </x14:formula1>
          <xm:sqref>D6 D26 D24 D22 D20 D18 D16 D14 D12 D10 D8</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D6E35-5A96-4FA5-A039-A4B62129237A}">
  <sheetPr>
    <tabColor rgb="FF7030A0"/>
  </sheetPr>
  <dimension ref="A2:L98"/>
  <sheetViews>
    <sheetView topLeftCell="A15" workbookViewId="0">
      <selection activeCell="L98" sqref="L98"/>
    </sheetView>
  </sheetViews>
  <sheetFormatPr baseColWidth="10" defaultColWidth="11" defaultRowHeight="15.75" x14ac:dyDescent="0.25"/>
  <cols>
    <col min="5" max="5" width="58.5" customWidth="1"/>
  </cols>
  <sheetData>
    <row r="2" spans="1:12" ht="25.7" customHeight="1" x14ac:dyDescent="0.25">
      <c r="A2" s="217" t="s">
        <v>273</v>
      </c>
      <c r="B2" s="217"/>
      <c r="C2" s="217"/>
      <c r="D2" s="217"/>
      <c r="E2" s="217"/>
      <c r="F2" s="217"/>
      <c r="G2" s="217"/>
      <c r="H2" s="217"/>
      <c r="I2" s="217"/>
      <c r="J2" s="217"/>
      <c r="K2" s="217"/>
      <c r="L2" s="217"/>
    </row>
    <row r="3" spans="1:12" x14ac:dyDescent="0.25">
      <c r="A3" s="42" t="s">
        <v>145</v>
      </c>
      <c r="B3" s="42" t="s">
        <v>146</v>
      </c>
      <c r="C3" s="42" t="s">
        <v>147</v>
      </c>
      <c r="D3" s="42" t="s">
        <v>274</v>
      </c>
      <c r="E3" s="34" t="s">
        <v>148</v>
      </c>
      <c r="F3" s="34" t="s">
        <v>149</v>
      </c>
      <c r="G3" s="34" t="s">
        <v>104</v>
      </c>
      <c r="H3" s="34" t="s">
        <v>105</v>
      </c>
      <c r="I3" s="34" t="s">
        <v>275</v>
      </c>
      <c r="J3" s="34" t="s">
        <v>276</v>
      </c>
      <c r="K3" s="34" t="s">
        <v>151</v>
      </c>
      <c r="L3" s="34" t="s">
        <v>2</v>
      </c>
    </row>
    <row r="4" spans="1:12" x14ac:dyDescent="0.25">
      <c r="A4" s="35" t="s">
        <v>136</v>
      </c>
      <c r="B4" s="35"/>
      <c r="C4" s="35"/>
      <c r="D4" s="35"/>
      <c r="E4" s="36" t="s">
        <v>277</v>
      </c>
      <c r="F4" s="37"/>
      <c r="G4" s="37"/>
      <c r="H4" s="43"/>
      <c r="I4" s="43"/>
      <c r="J4" s="43"/>
      <c r="K4" s="43"/>
      <c r="L4" s="38">
        <f>SUM(K5:K98)</f>
        <v>2308.9943099172569</v>
      </c>
    </row>
    <row r="5" spans="1:12" x14ac:dyDescent="0.25">
      <c r="A5" s="44"/>
      <c r="B5" s="44" t="s">
        <v>152</v>
      </c>
      <c r="C5" s="44"/>
      <c r="D5" s="44"/>
      <c r="E5" s="45" t="s">
        <v>278</v>
      </c>
      <c r="F5" s="46"/>
      <c r="G5" s="46" t="str" cm="1">
        <f t="array" aca="1" ref="G5" ca="1">IFERROR('Partida - Instalación hospitale'!H7(D5,'Definición de empresa-personal'!$A$54:$H$62,2,FALSE),"")</f>
        <v/>
      </c>
      <c r="H5" s="47" t="str">
        <f>IFERROR(VLOOKUP(E4,'Definición de empresa-personal'!$A$54:$H$64,2,FALSE),"")</f>
        <v/>
      </c>
      <c r="I5" s="47"/>
      <c r="J5" s="47"/>
      <c r="K5" s="48">
        <f>SUM(J6:J15)</f>
        <v>206.77560984333644</v>
      </c>
      <c r="L5" s="47"/>
    </row>
    <row r="6" spans="1:12" x14ac:dyDescent="0.25">
      <c r="A6" s="17"/>
      <c r="B6" s="17"/>
      <c r="C6" s="17" t="s">
        <v>152</v>
      </c>
      <c r="D6" s="17"/>
      <c r="E6" s="24" t="s">
        <v>279</v>
      </c>
      <c r="F6" s="21"/>
      <c r="G6" s="21"/>
      <c r="H6" s="22" t="str">
        <f>IFERROR(VLOOKUP(E6,'Definición de empresa-personal'!$A$54:$H$64,2,FALSE),"")</f>
        <v/>
      </c>
      <c r="I6" s="22"/>
      <c r="J6" s="22">
        <f>SUM(I7)</f>
        <v>34.462601640556073</v>
      </c>
      <c r="K6" s="19"/>
      <c r="L6" s="19"/>
    </row>
    <row r="7" spans="1:12" x14ac:dyDescent="0.25">
      <c r="A7" s="17"/>
      <c r="B7" s="17"/>
      <c r="C7" s="17"/>
      <c r="D7" s="17" t="s">
        <v>152</v>
      </c>
      <c r="E7" s="30" t="s">
        <v>64</v>
      </c>
      <c r="F7" s="21">
        <v>1</v>
      </c>
      <c r="G7" s="21" t="s">
        <v>168</v>
      </c>
      <c r="H7" s="22">
        <f>IFERROR(VLOOKUP(E7,'Definición de empresa-personal'!$A$54:$H$64,2,FALSE),"")</f>
        <v>34.462601640556073</v>
      </c>
      <c r="I7" s="22">
        <f>F7*H7</f>
        <v>34.462601640556073</v>
      </c>
      <c r="J7" s="22"/>
      <c r="K7" s="19"/>
      <c r="L7" s="19"/>
    </row>
    <row r="8" spans="1:12" x14ac:dyDescent="0.25">
      <c r="A8" s="17"/>
      <c r="B8" s="17"/>
      <c r="C8" s="17" t="s">
        <v>174</v>
      </c>
      <c r="D8" s="17"/>
      <c r="E8" s="24" t="s">
        <v>280</v>
      </c>
      <c r="F8" s="21"/>
      <c r="G8" s="21"/>
      <c r="H8" s="22" t="str">
        <f>IFERROR(VLOOKUP(E8,'Definición de empresa-personal'!$A$54:$H$64,2,FALSE),"")</f>
        <v/>
      </c>
      <c r="I8" s="22"/>
      <c r="J8" s="22">
        <f>SUM(I9)</f>
        <v>68.925203281112147</v>
      </c>
      <c r="K8" s="19"/>
      <c r="L8" s="19"/>
    </row>
    <row r="9" spans="1:12" x14ac:dyDescent="0.25">
      <c r="A9" s="17"/>
      <c r="B9" s="17"/>
      <c r="C9" s="17"/>
      <c r="D9" s="17" t="s">
        <v>152</v>
      </c>
      <c r="E9" s="30" t="s">
        <v>64</v>
      </c>
      <c r="F9" s="21">
        <v>2</v>
      </c>
      <c r="G9" s="21" t="s">
        <v>168</v>
      </c>
      <c r="H9" s="22">
        <f>IFERROR(VLOOKUP(E9,'Definición de empresa-personal'!$A$54:$H$64,2,FALSE),"")</f>
        <v>34.462601640556073</v>
      </c>
      <c r="I9" s="22">
        <f>F9*H9</f>
        <v>68.925203281112147</v>
      </c>
      <c r="J9" s="22"/>
      <c r="K9" s="19"/>
      <c r="L9" s="19"/>
    </row>
    <row r="10" spans="1:12" x14ac:dyDescent="0.25">
      <c r="A10" s="17"/>
      <c r="B10" s="17"/>
      <c r="C10" s="17" t="s">
        <v>176</v>
      </c>
      <c r="D10" s="17"/>
      <c r="E10" s="24" t="s">
        <v>281</v>
      </c>
      <c r="F10" s="21"/>
      <c r="G10" s="21"/>
      <c r="H10" s="22" t="str">
        <f>IFERROR(VLOOKUP(E10,'Definición de empresa-personal'!$A$54:$H$64,2,FALSE),"")</f>
        <v/>
      </c>
      <c r="I10" s="22"/>
      <c r="J10" s="22">
        <f>SUM(I11)</f>
        <v>34.462601640556073</v>
      </c>
      <c r="K10" s="19"/>
      <c r="L10" s="19"/>
    </row>
    <row r="11" spans="1:12" x14ac:dyDescent="0.25">
      <c r="A11" s="17"/>
      <c r="B11" s="17"/>
      <c r="C11" s="17"/>
      <c r="D11" s="17" t="s">
        <v>152</v>
      </c>
      <c r="E11" s="30" t="s">
        <v>64</v>
      </c>
      <c r="F11" s="21">
        <v>1</v>
      </c>
      <c r="G11" s="21" t="s">
        <v>168</v>
      </c>
      <c r="H11" s="22">
        <f>IFERROR(VLOOKUP(E11,'Definición de empresa-personal'!$A$54:$H$64,2,FALSE),"")</f>
        <v>34.462601640556073</v>
      </c>
      <c r="I11" s="22">
        <f>F11*H11</f>
        <v>34.462601640556073</v>
      </c>
      <c r="J11" s="22"/>
      <c r="K11" s="19"/>
      <c r="L11" s="19"/>
    </row>
    <row r="12" spans="1:12" x14ac:dyDescent="0.25">
      <c r="A12" s="17"/>
      <c r="B12" s="17"/>
      <c r="C12" s="17" t="s">
        <v>181</v>
      </c>
      <c r="D12" s="17"/>
      <c r="E12" s="24" t="s">
        <v>282</v>
      </c>
      <c r="F12" s="21"/>
      <c r="G12" s="21"/>
      <c r="H12" s="22" t="str">
        <f>IFERROR(VLOOKUP(E12,'Definición de empresa-personal'!$A$54:$H$64,2,FALSE),"")</f>
        <v/>
      </c>
      <c r="I12" s="22"/>
      <c r="J12" s="22">
        <f>SUM(I13)</f>
        <v>34.462601640556073</v>
      </c>
      <c r="K12" s="19"/>
      <c r="L12" s="19"/>
    </row>
    <row r="13" spans="1:12" x14ac:dyDescent="0.25">
      <c r="A13" s="17"/>
      <c r="B13" s="17"/>
      <c r="C13" s="17"/>
      <c r="D13" s="17" t="s">
        <v>152</v>
      </c>
      <c r="E13" s="30" t="s">
        <v>64</v>
      </c>
      <c r="F13" s="21">
        <v>1</v>
      </c>
      <c r="G13" s="21" t="s">
        <v>168</v>
      </c>
      <c r="H13" s="22">
        <f>IFERROR(VLOOKUP(E13,'Definición de empresa-personal'!$A$54:$H$64,2,FALSE),"")</f>
        <v>34.462601640556073</v>
      </c>
      <c r="I13" s="22">
        <f>F13*H13</f>
        <v>34.462601640556073</v>
      </c>
      <c r="J13" s="22"/>
      <c r="K13" s="19"/>
      <c r="L13" s="19"/>
    </row>
    <row r="14" spans="1:12" x14ac:dyDescent="0.25">
      <c r="A14" s="17"/>
      <c r="B14" s="17"/>
      <c r="C14" s="17" t="s">
        <v>183</v>
      </c>
      <c r="D14" s="17"/>
      <c r="E14" s="24" t="s">
        <v>283</v>
      </c>
      <c r="F14" s="21"/>
      <c r="G14" s="21"/>
      <c r="H14" s="22" t="str">
        <f>IFERROR(VLOOKUP(E14,'Definición de empresa-personal'!$A$54:$H$64,2,FALSE),"")</f>
        <v/>
      </c>
      <c r="I14" s="22"/>
      <c r="J14" s="22">
        <f>SUM(I15)</f>
        <v>34.462601640556073</v>
      </c>
      <c r="K14" s="19"/>
      <c r="L14" s="19"/>
    </row>
    <row r="15" spans="1:12" x14ac:dyDescent="0.25">
      <c r="A15" s="17"/>
      <c r="B15" s="17"/>
      <c r="C15" s="17"/>
      <c r="D15" s="17" t="s">
        <v>152</v>
      </c>
      <c r="E15" s="30" t="s">
        <v>64</v>
      </c>
      <c r="F15" s="21">
        <v>1</v>
      </c>
      <c r="G15" s="21" t="s">
        <v>168</v>
      </c>
      <c r="H15" s="22">
        <f>IFERROR(VLOOKUP(E15,'Definición de empresa-personal'!$A$54:$H$64,2,FALSE),"")</f>
        <v>34.462601640556073</v>
      </c>
      <c r="I15" s="22">
        <f>F15*H15</f>
        <v>34.462601640556073</v>
      </c>
      <c r="J15" s="22"/>
      <c r="K15" s="22"/>
      <c r="L15" s="22"/>
    </row>
    <row r="16" spans="1:12" x14ac:dyDescent="0.25">
      <c r="A16" s="44"/>
      <c r="B16" s="44" t="s">
        <v>174</v>
      </c>
      <c r="C16" s="44"/>
      <c r="D16" s="44"/>
      <c r="E16" s="45" t="s">
        <v>284</v>
      </c>
      <c r="F16" s="46"/>
      <c r="G16" s="46"/>
      <c r="H16" s="47"/>
      <c r="I16" s="47"/>
      <c r="J16" s="47"/>
      <c r="K16" s="48">
        <f>SUM(J17:J26)</f>
        <v>206.77560984333644</v>
      </c>
      <c r="L16" s="47"/>
    </row>
    <row r="17" spans="1:12" x14ac:dyDescent="0.25">
      <c r="A17" s="17"/>
      <c r="B17" s="17"/>
      <c r="C17" s="17" t="s">
        <v>152</v>
      </c>
      <c r="D17" s="17"/>
      <c r="E17" s="24" t="s">
        <v>279</v>
      </c>
      <c r="F17" s="21"/>
      <c r="G17" s="21"/>
      <c r="H17" s="22" t="str">
        <f>IFERROR(VLOOKUP(E17,'Definición de empresa-personal'!$A$54:$H$64,2,FALSE),"")</f>
        <v/>
      </c>
      <c r="I17" s="22"/>
      <c r="J17" s="22">
        <f>SUM(I18)</f>
        <v>34.462601640556073</v>
      </c>
      <c r="K17" s="19"/>
      <c r="L17" s="19"/>
    </row>
    <row r="18" spans="1:12" x14ac:dyDescent="0.25">
      <c r="A18" s="17"/>
      <c r="B18" s="17"/>
      <c r="C18" s="17"/>
      <c r="D18" s="17" t="s">
        <v>152</v>
      </c>
      <c r="E18" s="30" t="s">
        <v>64</v>
      </c>
      <c r="F18" s="21">
        <v>1</v>
      </c>
      <c r="G18" s="21" t="s">
        <v>168</v>
      </c>
      <c r="H18" s="22">
        <f>IFERROR(VLOOKUP(E18,'Definición de empresa-personal'!$A$54:$H$64,2,FALSE),"")</f>
        <v>34.462601640556073</v>
      </c>
      <c r="I18" s="22">
        <f>F18*H18</f>
        <v>34.462601640556073</v>
      </c>
      <c r="J18" s="22"/>
      <c r="K18" s="19"/>
      <c r="L18" s="19"/>
    </row>
    <row r="19" spans="1:12" x14ac:dyDescent="0.25">
      <c r="A19" s="17"/>
      <c r="B19" s="17"/>
      <c r="C19" s="17" t="s">
        <v>174</v>
      </c>
      <c r="D19" s="17"/>
      <c r="E19" s="24" t="s">
        <v>280</v>
      </c>
      <c r="F19" s="21"/>
      <c r="G19" s="21"/>
      <c r="H19" s="22" t="str">
        <f>IFERROR(VLOOKUP(E19,'Definición de empresa-personal'!$A$54:$H$64,2,FALSE),"")</f>
        <v/>
      </c>
      <c r="I19" s="22"/>
      <c r="J19" s="22">
        <f>SUM(I20)</f>
        <v>68.925203281112147</v>
      </c>
      <c r="K19" s="19"/>
      <c r="L19" s="19"/>
    </row>
    <row r="20" spans="1:12" x14ac:dyDescent="0.25">
      <c r="A20" s="17"/>
      <c r="B20" s="17"/>
      <c r="C20" s="17"/>
      <c r="D20" s="17" t="s">
        <v>152</v>
      </c>
      <c r="E20" s="30" t="s">
        <v>64</v>
      </c>
      <c r="F20" s="21">
        <v>2</v>
      </c>
      <c r="G20" s="21" t="s">
        <v>168</v>
      </c>
      <c r="H20" s="22">
        <f>IFERROR(VLOOKUP(E20,'Definición de empresa-personal'!$A$54:$H$64,2,FALSE),"")</f>
        <v>34.462601640556073</v>
      </c>
      <c r="I20" s="22">
        <f>F20*H20</f>
        <v>68.925203281112147</v>
      </c>
      <c r="J20" s="22"/>
      <c r="K20" s="19"/>
      <c r="L20" s="19"/>
    </row>
    <row r="21" spans="1:12" x14ac:dyDescent="0.25">
      <c r="A21" s="17"/>
      <c r="B21" s="17"/>
      <c r="C21" s="17" t="s">
        <v>176</v>
      </c>
      <c r="D21" s="17"/>
      <c r="E21" s="24" t="s">
        <v>281</v>
      </c>
      <c r="F21" s="21"/>
      <c r="G21" s="21"/>
      <c r="H21" s="22" t="str">
        <f>IFERROR(VLOOKUP(E21,'Definición de empresa-personal'!$A$54:$H$64,2,FALSE),"")</f>
        <v/>
      </c>
      <c r="I21" s="22"/>
      <c r="J21" s="22">
        <f>SUM(I22)</f>
        <v>34.462601640556073</v>
      </c>
      <c r="K21" s="19"/>
      <c r="L21" s="19"/>
    </row>
    <row r="22" spans="1:12" x14ac:dyDescent="0.25">
      <c r="A22" s="17"/>
      <c r="B22" s="17"/>
      <c r="C22" s="17"/>
      <c r="D22" s="17" t="s">
        <v>152</v>
      </c>
      <c r="E22" s="30" t="s">
        <v>64</v>
      </c>
      <c r="F22" s="21">
        <v>1</v>
      </c>
      <c r="G22" s="21" t="s">
        <v>168</v>
      </c>
      <c r="H22" s="22">
        <f>IFERROR(VLOOKUP(E22,'Definición de empresa-personal'!$A$54:$H$64,2,FALSE),"")</f>
        <v>34.462601640556073</v>
      </c>
      <c r="I22" s="22">
        <f>F22*H22</f>
        <v>34.462601640556073</v>
      </c>
      <c r="J22" s="22"/>
      <c r="K22" s="19"/>
      <c r="L22" s="19"/>
    </row>
    <row r="23" spans="1:12" x14ac:dyDescent="0.25">
      <c r="A23" s="17"/>
      <c r="B23" s="17"/>
      <c r="C23" s="17" t="s">
        <v>181</v>
      </c>
      <c r="D23" s="17"/>
      <c r="E23" s="24" t="s">
        <v>282</v>
      </c>
      <c r="F23" s="21"/>
      <c r="G23" s="21"/>
      <c r="H23" s="22" t="str">
        <f>IFERROR(VLOOKUP(E23,'Definición de empresa-personal'!$A$54:$H$64,2,FALSE),"")</f>
        <v/>
      </c>
      <c r="I23" s="22"/>
      <c r="J23" s="22">
        <f>SUM(I24)</f>
        <v>34.462601640556073</v>
      </c>
      <c r="K23" s="19"/>
      <c r="L23" s="19"/>
    </row>
    <row r="24" spans="1:12" x14ac:dyDescent="0.25">
      <c r="A24" s="17"/>
      <c r="B24" s="17"/>
      <c r="C24" s="17"/>
      <c r="D24" s="17" t="s">
        <v>152</v>
      </c>
      <c r="E24" s="30" t="s">
        <v>64</v>
      </c>
      <c r="F24" s="21">
        <v>1</v>
      </c>
      <c r="G24" s="21" t="s">
        <v>168</v>
      </c>
      <c r="H24" s="22">
        <f>IFERROR(VLOOKUP(E24,'Definición de empresa-personal'!$A$54:$H$64,2,FALSE),"")</f>
        <v>34.462601640556073</v>
      </c>
      <c r="I24" s="22">
        <f>F24*H24</f>
        <v>34.462601640556073</v>
      </c>
      <c r="J24" s="22"/>
      <c r="K24" s="19"/>
      <c r="L24" s="19"/>
    </row>
    <row r="25" spans="1:12" x14ac:dyDescent="0.25">
      <c r="A25" s="17"/>
      <c r="B25" s="17"/>
      <c r="C25" s="17" t="s">
        <v>183</v>
      </c>
      <c r="D25" s="17"/>
      <c r="E25" s="24" t="s">
        <v>283</v>
      </c>
      <c r="F25" s="21"/>
      <c r="G25" s="21"/>
      <c r="H25" s="22" t="str">
        <f>IFERROR(VLOOKUP(E25,'Definición de empresa-personal'!$A$54:$H$64,2,FALSE),"")</f>
        <v/>
      </c>
      <c r="I25" s="22"/>
      <c r="J25" s="22">
        <f>SUM(I26)</f>
        <v>34.462601640556073</v>
      </c>
      <c r="K25" s="19"/>
      <c r="L25" s="19"/>
    </row>
    <row r="26" spans="1:12" x14ac:dyDescent="0.25">
      <c r="A26" s="17"/>
      <c r="B26" s="17"/>
      <c r="C26" s="17"/>
      <c r="D26" s="17" t="s">
        <v>152</v>
      </c>
      <c r="E26" s="30" t="s">
        <v>64</v>
      </c>
      <c r="F26" s="21">
        <v>1</v>
      </c>
      <c r="G26" s="21" t="s">
        <v>168</v>
      </c>
      <c r="H26" s="22">
        <f>IFERROR(VLOOKUP(E26,'Definición de empresa-personal'!$A$54:$H$64,2,FALSE),"")</f>
        <v>34.462601640556073</v>
      </c>
      <c r="I26" s="22">
        <f>F26*H26</f>
        <v>34.462601640556073</v>
      </c>
      <c r="J26" s="22"/>
      <c r="K26" s="22"/>
      <c r="L26" s="22"/>
    </row>
    <row r="27" spans="1:12" x14ac:dyDescent="0.25">
      <c r="A27" s="44"/>
      <c r="B27" s="44" t="s">
        <v>176</v>
      </c>
      <c r="C27" s="44"/>
      <c r="D27" s="44"/>
      <c r="E27" s="45" t="s">
        <v>285</v>
      </c>
      <c r="F27" s="46"/>
      <c r="G27" s="46"/>
      <c r="H27" s="47"/>
      <c r="I27" s="47"/>
      <c r="J27" s="47"/>
      <c r="K27" s="48">
        <f>SUM(J28:J37)</f>
        <v>206.77560984333644</v>
      </c>
      <c r="L27" s="47"/>
    </row>
    <row r="28" spans="1:12" x14ac:dyDescent="0.25">
      <c r="A28" s="17"/>
      <c r="B28" s="17"/>
      <c r="C28" s="17" t="s">
        <v>152</v>
      </c>
      <c r="D28" s="17"/>
      <c r="E28" s="24" t="s">
        <v>279</v>
      </c>
      <c r="F28" s="21"/>
      <c r="G28" s="21"/>
      <c r="H28" s="22" t="str">
        <f>IFERROR(VLOOKUP(E28,'Definición de empresa-personal'!$A$54:$H$64,2,FALSE),"")</f>
        <v/>
      </c>
      <c r="I28" s="22"/>
      <c r="J28" s="22">
        <f>SUM(I29)</f>
        <v>34.462601640556073</v>
      </c>
      <c r="K28" s="19"/>
      <c r="L28" s="19"/>
    </row>
    <row r="29" spans="1:12" x14ac:dyDescent="0.25">
      <c r="A29" s="17"/>
      <c r="B29" s="17"/>
      <c r="C29" s="17"/>
      <c r="D29" s="17" t="s">
        <v>152</v>
      </c>
      <c r="E29" s="30" t="s">
        <v>64</v>
      </c>
      <c r="F29" s="21">
        <v>1</v>
      </c>
      <c r="G29" s="21" t="s">
        <v>168</v>
      </c>
      <c r="H29" s="22">
        <f>IFERROR(VLOOKUP(E29,'Definición de empresa-personal'!$A$54:$H$64,2,FALSE),"")</f>
        <v>34.462601640556073</v>
      </c>
      <c r="I29" s="22">
        <f>F29*H29</f>
        <v>34.462601640556073</v>
      </c>
      <c r="J29" s="22"/>
      <c r="K29" s="19"/>
      <c r="L29" s="19"/>
    </row>
    <row r="30" spans="1:12" x14ac:dyDescent="0.25">
      <c r="A30" s="17"/>
      <c r="B30" s="17"/>
      <c r="C30" s="17" t="s">
        <v>174</v>
      </c>
      <c r="D30" s="17"/>
      <c r="E30" s="24" t="s">
        <v>280</v>
      </c>
      <c r="F30" s="21"/>
      <c r="G30" s="21"/>
      <c r="H30" s="22" t="str">
        <f>IFERROR(VLOOKUP(E30,'Definición de empresa-personal'!$A$54:$H$64,2,FALSE),"")</f>
        <v/>
      </c>
      <c r="I30" s="22"/>
      <c r="J30" s="22">
        <f>SUM(I31)</f>
        <v>68.925203281112147</v>
      </c>
      <c r="K30" s="19"/>
      <c r="L30" s="19"/>
    </row>
    <row r="31" spans="1:12" x14ac:dyDescent="0.25">
      <c r="A31" s="17"/>
      <c r="B31" s="17"/>
      <c r="C31" s="17"/>
      <c r="D31" s="17" t="s">
        <v>152</v>
      </c>
      <c r="E31" s="30" t="s">
        <v>64</v>
      </c>
      <c r="F31" s="21">
        <v>2</v>
      </c>
      <c r="G31" s="21" t="s">
        <v>168</v>
      </c>
      <c r="H31" s="22">
        <f>IFERROR(VLOOKUP(E31,'Definición de empresa-personal'!$A$54:$H$64,2,FALSE),"")</f>
        <v>34.462601640556073</v>
      </c>
      <c r="I31" s="22">
        <f>F31*H31</f>
        <v>68.925203281112147</v>
      </c>
      <c r="J31" s="22"/>
      <c r="K31" s="19"/>
      <c r="L31" s="19"/>
    </row>
    <row r="32" spans="1:12" x14ac:dyDescent="0.25">
      <c r="A32" s="17"/>
      <c r="B32" s="17"/>
      <c r="C32" s="17" t="s">
        <v>176</v>
      </c>
      <c r="D32" s="17"/>
      <c r="E32" s="24" t="s">
        <v>281</v>
      </c>
      <c r="F32" s="21"/>
      <c r="G32" s="21"/>
      <c r="H32" s="22" t="str">
        <f>IFERROR(VLOOKUP(E32,'Definición de empresa-personal'!$A$54:$H$64,2,FALSE),"")</f>
        <v/>
      </c>
      <c r="I32" s="22"/>
      <c r="J32" s="22">
        <f>SUM(I33)</f>
        <v>34.462601640556073</v>
      </c>
      <c r="K32" s="19"/>
      <c r="L32" s="19"/>
    </row>
    <row r="33" spans="1:12" x14ac:dyDescent="0.25">
      <c r="A33" s="17"/>
      <c r="B33" s="17"/>
      <c r="C33" s="17"/>
      <c r="D33" s="17" t="s">
        <v>152</v>
      </c>
      <c r="E33" s="30" t="s">
        <v>64</v>
      </c>
      <c r="F33" s="21">
        <v>1</v>
      </c>
      <c r="G33" s="21" t="s">
        <v>168</v>
      </c>
      <c r="H33" s="22">
        <f>IFERROR(VLOOKUP(E33,'Definición de empresa-personal'!$A$54:$H$64,2,FALSE),"")</f>
        <v>34.462601640556073</v>
      </c>
      <c r="I33" s="22">
        <f>F33*H33</f>
        <v>34.462601640556073</v>
      </c>
      <c r="J33" s="22"/>
      <c r="K33" s="19"/>
      <c r="L33" s="19"/>
    </row>
    <row r="34" spans="1:12" x14ac:dyDescent="0.25">
      <c r="A34" s="17"/>
      <c r="B34" s="17"/>
      <c r="C34" s="17" t="s">
        <v>181</v>
      </c>
      <c r="D34" s="17"/>
      <c r="E34" s="24" t="s">
        <v>282</v>
      </c>
      <c r="F34" s="21"/>
      <c r="G34" s="21"/>
      <c r="H34" s="22" t="str">
        <f>IFERROR(VLOOKUP(E34,'Definición de empresa-personal'!$A$54:$H$64,2,FALSE),"")</f>
        <v/>
      </c>
      <c r="I34" s="22"/>
      <c r="J34" s="22">
        <f>SUM(I35)</f>
        <v>34.462601640556073</v>
      </c>
      <c r="K34" s="19"/>
      <c r="L34" s="19"/>
    </row>
    <row r="35" spans="1:12" x14ac:dyDescent="0.25">
      <c r="A35" s="17"/>
      <c r="B35" s="17"/>
      <c r="C35" s="17"/>
      <c r="D35" s="17" t="s">
        <v>152</v>
      </c>
      <c r="E35" s="30" t="s">
        <v>64</v>
      </c>
      <c r="F35" s="21">
        <v>1</v>
      </c>
      <c r="G35" s="21" t="s">
        <v>168</v>
      </c>
      <c r="H35" s="22">
        <f>IFERROR(VLOOKUP(E35,'Definición de empresa-personal'!$A$54:$H$64,2,FALSE),"")</f>
        <v>34.462601640556073</v>
      </c>
      <c r="I35" s="22">
        <f>F35*H35</f>
        <v>34.462601640556073</v>
      </c>
      <c r="J35" s="22"/>
      <c r="K35" s="19"/>
      <c r="L35" s="19"/>
    </row>
    <row r="36" spans="1:12" x14ac:dyDescent="0.25">
      <c r="A36" s="17"/>
      <c r="B36" s="17"/>
      <c r="C36" s="17" t="s">
        <v>183</v>
      </c>
      <c r="D36" s="17"/>
      <c r="E36" s="24" t="s">
        <v>283</v>
      </c>
      <c r="F36" s="21"/>
      <c r="G36" s="21"/>
      <c r="H36" s="22" t="str">
        <f>IFERROR(VLOOKUP(E36,'Definición de empresa-personal'!$A$54:$H$64,2,FALSE),"")</f>
        <v/>
      </c>
      <c r="I36" s="22"/>
      <c r="J36" s="22">
        <f>SUM(I37)</f>
        <v>34.462601640556073</v>
      </c>
      <c r="K36" s="19"/>
      <c r="L36" s="19"/>
    </row>
    <row r="37" spans="1:12" x14ac:dyDescent="0.25">
      <c r="A37" s="17"/>
      <c r="B37" s="17"/>
      <c r="C37" s="17"/>
      <c r="D37" s="17" t="s">
        <v>152</v>
      </c>
      <c r="E37" s="30" t="s">
        <v>64</v>
      </c>
      <c r="F37" s="21">
        <v>1</v>
      </c>
      <c r="G37" s="21" t="s">
        <v>168</v>
      </c>
      <c r="H37" s="22">
        <f>IFERROR(VLOOKUP(E37,'Definición de empresa-personal'!$A$54:$H$64,2,FALSE),"")</f>
        <v>34.462601640556073</v>
      </c>
      <c r="I37" s="22">
        <f>F37*H37</f>
        <v>34.462601640556073</v>
      </c>
      <c r="J37" s="22"/>
      <c r="K37" s="22"/>
      <c r="L37" s="22"/>
    </row>
    <row r="38" spans="1:12" x14ac:dyDescent="0.25">
      <c r="A38" s="44"/>
      <c r="B38" s="44" t="s">
        <v>181</v>
      </c>
      <c r="C38" s="44"/>
      <c r="D38" s="44"/>
      <c r="E38" s="45" t="s">
        <v>286</v>
      </c>
      <c r="F38" s="46"/>
      <c r="G38" s="46"/>
      <c r="H38" s="47"/>
      <c r="I38" s="47"/>
      <c r="J38" s="47"/>
      <c r="K38" s="48">
        <f>SUM(J39:J54)</f>
        <v>861.5650410139018</v>
      </c>
      <c r="L38" s="47"/>
    </row>
    <row r="39" spans="1:12" x14ac:dyDescent="0.25">
      <c r="A39" s="17"/>
      <c r="B39" s="17"/>
      <c r="C39" s="17" t="s">
        <v>152</v>
      </c>
      <c r="D39" s="17"/>
      <c r="E39" s="24" t="s">
        <v>279</v>
      </c>
      <c r="F39" s="21"/>
      <c r="G39" s="21"/>
      <c r="H39" s="22" t="str">
        <f>IFERROR(VLOOKUP(E39,'Definición de empresa-personal'!$A$54:$H$64,2,FALSE),"")</f>
        <v/>
      </c>
      <c r="I39" s="22"/>
      <c r="J39" s="22">
        <f>SUM(I40)</f>
        <v>34.462601640556073</v>
      </c>
      <c r="K39" s="19"/>
      <c r="L39" s="19"/>
    </row>
    <row r="40" spans="1:12" x14ac:dyDescent="0.25">
      <c r="A40" s="17"/>
      <c r="B40" s="17"/>
      <c r="C40" s="17"/>
      <c r="D40" s="17" t="s">
        <v>152</v>
      </c>
      <c r="E40" s="30" t="s">
        <v>64</v>
      </c>
      <c r="F40" s="21">
        <v>1</v>
      </c>
      <c r="G40" s="21" t="s">
        <v>168</v>
      </c>
      <c r="H40" s="22">
        <f>IFERROR(VLOOKUP(E40,'Definición de empresa-personal'!$A$54:$H$64,2,FALSE),"")</f>
        <v>34.462601640556073</v>
      </c>
      <c r="I40" s="22">
        <f>F40*H40</f>
        <v>34.462601640556073</v>
      </c>
      <c r="J40" s="22"/>
      <c r="K40" s="19"/>
      <c r="L40" s="19"/>
    </row>
    <row r="41" spans="1:12" x14ac:dyDescent="0.25">
      <c r="A41" s="17"/>
      <c r="B41" s="17"/>
      <c r="C41" s="17" t="s">
        <v>174</v>
      </c>
      <c r="D41" s="17"/>
      <c r="E41" s="24" t="s">
        <v>280</v>
      </c>
      <c r="F41" s="21"/>
      <c r="G41" s="21"/>
      <c r="H41" s="22" t="str">
        <f>IFERROR(VLOOKUP(E41,'Definición de empresa-personal'!$A$54:$H$64,2,FALSE),"")</f>
        <v/>
      </c>
      <c r="I41" s="22"/>
      <c r="J41" s="22">
        <f>SUM(I42)</f>
        <v>68.925203281112147</v>
      </c>
      <c r="K41" s="19"/>
      <c r="L41" s="19"/>
    </row>
    <row r="42" spans="1:12" x14ac:dyDescent="0.25">
      <c r="A42" s="17"/>
      <c r="B42" s="17"/>
      <c r="C42" s="17"/>
      <c r="D42" s="17" t="s">
        <v>152</v>
      </c>
      <c r="E42" s="30" t="s">
        <v>64</v>
      </c>
      <c r="F42" s="21">
        <v>2</v>
      </c>
      <c r="G42" s="21" t="s">
        <v>168</v>
      </c>
      <c r="H42" s="22">
        <f>IFERROR(VLOOKUP(E42,'Definición de empresa-personal'!$A$54:$H$64,2,FALSE),"")</f>
        <v>34.462601640556073</v>
      </c>
      <c r="I42" s="22">
        <f>F42*H42</f>
        <v>68.925203281112147</v>
      </c>
      <c r="J42" s="22"/>
      <c r="K42" s="19"/>
      <c r="L42" s="19"/>
    </row>
    <row r="43" spans="1:12" x14ac:dyDescent="0.25">
      <c r="A43" s="17"/>
      <c r="B43" s="17"/>
      <c r="C43" s="17" t="s">
        <v>176</v>
      </c>
      <c r="D43" s="17"/>
      <c r="E43" s="24" t="s">
        <v>281</v>
      </c>
      <c r="F43" s="21"/>
      <c r="G43" s="21"/>
      <c r="H43" s="22" t="str">
        <f>IFERROR(VLOOKUP(E43,'Definición de empresa-personal'!$A$54:$H$64,2,FALSE),"")</f>
        <v/>
      </c>
      <c r="I43" s="22"/>
      <c r="J43" s="22">
        <f>SUM(I44)</f>
        <v>34.462601640556073</v>
      </c>
      <c r="K43" s="19"/>
      <c r="L43" s="19"/>
    </row>
    <row r="44" spans="1:12" x14ac:dyDescent="0.25">
      <c r="A44" s="17"/>
      <c r="B44" s="17"/>
      <c r="C44" s="17"/>
      <c r="D44" s="17" t="s">
        <v>152</v>
      </c>
      <c r="E44" s="30" t="s">
        <v>64</v>
      </c>
      <c r="F44" s="21">
        <v>1</v>
      </c>
      <c r="G44" s="21" t="s">
        <v>168</v>
      </c>
      <c r="H44" s="22">
        <f>IFERROR(VLOOKUP(E44,'Definición de empresa-personal'!$A$54:$H$64,2,FALSE),"")</f>
        <v>34.462601640556073</v>
      </c>
      <c r="I44" s="22">
        <f>F44*H44</f>
        <v>34.462601640556073</v>
      </c>
      <c r="J44" s="22"/>
      <c r="K44" s="19"/>
      <c r="L44" s="19"/>
    </row>
    <row r="45" spans="1:12" x14ac:dyDescent="0.25">
      <c r="A45" s="17"/>
      <c r="B45" s="17"/>
      <c r="C45" s="17" t="s">
        <v>181</v>
      </c>
      <c r="D45" s="17"/>
      <c r="E45" s="24" t="s">
        <v>282</v>
      </c>
      <c r="F45" s="21"/>
      <c r="G45" s="21"/>
      <c r="H45" s="22" t="str">
        <f>IFERROR(VLOOKUP(E45,'Definición de empresa-personal'!$A$54:$H$64,2,FALSE),"")</f>
        <v/>
      </c>
      <c r="I45" s="22"/>
      <c r="J45" s="22">
        <f>SUM(I46)</f>
        <v>34.462601640556073</v>
      </c>
      <c r="K45" s="19"/>
      <c r="L45" s="19"/>
    </row>
    <row r="46" spans="1:12" x14ac:dyDescent="0.25">
      <c r="A46" s="17"/>
      <c r="B46" s="17"/>
      <c r="C46" s="17"/>
      <c r="D46" s="17" t="s">
        <v>152</v>
      </c>
      <c r="E46" s="30" t="s">
        <v>64</v>
      </c>
      <c r="F46" s="21">
        <v>1</v>
      </c>
      <c r="G46" s="21" t="s">
        <v>168</v>
      </c>
      <c r="H46" s="22">
        <f>IFERROR(VLOOKUP(E46,'Definición de empresa-personal'!$A$54:$H$64,2,FALSE),"")</f>
        <v>34.462601640556073</v>
      </c>
      <c r="I46" s="22">
        <f>F46*H46</f>
        <v>34.462601640556073</v>
      </c>
      <c r="J46" s="22"/>
      <c r="K46" s="19"/>
      <c r="L46" s="19"/>
    </row>
    <row r="47" spans="1:12" x14ac:dyDescent="0.25">
      <c r="A47" s="17"/>
      <c r="B47" s="17"/>
      <c r="C47" s="17" t="s">
        <v>183</v>
      </c>
      <c r="D47" s="17"/>
      <c r="E47" s="24" t="s">
        <v>283</v>
      </c>
      <c r="F47" s="21"/>
      <c r="G47" s="21"/>
      <c r="H47" s="22" t="str">
        <f>IFERROR(VLOOKUP(E47,'Definición de empresa-personal'!$A$54:$H$64,2,FALSE),"")</f>
        <v/>
      </c>
      <c r="I47" s="22"/>
      <c r="J47" s="22">
        <f>SUM(I48)</f>
        <v>34.462601640556073</v>
      </c>
      <c r="K47" s="19"/>
      <c r="L47" s="19"/>
    </row>
    <row r="48" spans="1:12" x14ac:dyDescent="0.25">
      <c r="A48" s="17"/>
      <c r="B48" s="17"/>
      <c r="C48" s="17"/>
      <c r="D48" s="17" t="s">
        <v>152</v>
      </c>
      <c r="E48" s="30" t="s">
        <v>64</v>
      </c>
      <c r="F48" s="21">
        <v>1</v>
      </c>
      <c r="G48" s="21" t="s">
        <v>168</v>
      </c>
      <c r="H48" s="22">
        <f>IFERROR(VLOOKUP(E48,'Definición de empresa-personal'!$A$54:$H$64,2,FALSE),"")</f>
        <v>34.462601640556073</v>
      </c>
      <c r="I48" s="22">
        <f>F48*H48</f>
        <v>34.462601640556073</v>
      </c>
      <c r="J48" s="22"/>
      <c r="K48" s="22"/>
      <c r="L48" s="22"/>
    </row>
    <row r="49" spans="1:12" x14ac:dyDescent="0.25">
      <c r="A49" s="17"/>
      <c r="B49" s="17"/>
      <c r="C49" s="17" t="s">
        <v>185</v>
      </c>
      <c r="D49" s="17"/>
      <c r="E49" s="24" t="s">
        <v>287</v>
      </c>
      <c r="F49" s="21"/>
      <c r="G49" s="21"/>
      <c r="H49" s="22" t="str">
        <f>IFERROR(VLOOKUP(E49,'Definición de empresa-personal'!$A$54:$H$64,2,FALSE),"")</f>
        <v/>
      </c>
      <c r="I49" s="22"/>
      <c r="J49" s="22">
        <f>SUM(I50)</f>
        <v>310.16341476500463</v>
      </c>
      <c r="K49" s="19"/>
      <c r="L49" s="19"/>
    </row>
    <row r="50" spans="1:12" x14ac:dyDescent="0.25">
      <c r="A50" s="17"/>
      <c r="B50" s="17"/>
      <c r="C50" s="17"/>
      <c r="D50" s="17" t="s">
        <v>152</v>
      </c>
      <c r="E50" s="30" t="s">
        <v>64</v>
      </c>
      <c r="F50" s="21">
        <v>9</v>
      </c>
      <c r="G50" s="21" t="s">
        <v>168</v>
      </c>
      <c r="H50" s="22">
        <f>IFERROR(VLOOKUP(E50,'Definición de empresa-personal'!$A$54:$H$64,2,FALSE),"")</f>
        <v>34.462601640556073</v>
      </c>
      <c r="I50" s="22">
        <f>F50*H50</f>
        <v>310.16341476500463</v>
      </c>
      <c r="J50" s="22"/>
      <c r="K50" s="22"/>
      <c r="L50" s="22"/>
    </row>
    <row r="51" spans="1:12" x14ac:dyDescent="0.25">
      <c r="A51" s="17"/>
      <c r="B51" s="17"/>
      <c r="C51" s="17" t="s">
        <v>188</v>
      </c>
      <c r="D51" s="17"/>
      <c r="E51" s="24" t="s">
        <v>288</v>
      </c>
      <c r="F51" s="21"/>
      <c r="G51" s="21"/>
      <c r="H51" s="22" t="str">
        <f>IFERROR(VLOOKUP(E51,'Definición de empresa-personal'!$A$54:$H$64,2,FALSE),"")</f>
        <v/>
      </c>
      <c r="I51" s="22"/>
      <c r="J51" s="22">
        <f>SUM(I52)</f>
        <v>206.77560984333644</v>
      </c>
      <c r="K51" s="19"/>
      <c r="L51" s="19"/>
    </row>
    <row r="52" spans="1:12" x14ac:dyDescent="0.25">
      <c r="A52" s="17"/>
      <c r="B52" s="17"/>
      <c r="C52" s="17"/>
      <c r="D52" s="17" t="s">
        <v>152</v>
      </c>
      <c r="E52" s="30" t="s">
        <v>64</v>
      </c>
      <c r="F52" s="21">
        <v>6</v>
      </c>
      <c r="G52" s="21" t="s">
        <v>168</v>
      </c>
      <c r="H52" s="22">
        <f>IFERROR(VLOOKUP(E52,'Definición de empresa-personal'!$A$54:$H$64,2,FALSE),"")</f>
        <v>34.462601640556073</v>
      </c>
      <c r="I52" s="22">
        <f>F52*H52</f>
        <v>206.77560984333644</v>
      </c>
      <c r="J52" s="22"/>
      <c r="K52" s="22"/>
      <c r="L52" s="22"/>
    </row>
    <row r="53" spans="1:12" x14ac:dyDescent="0.25">
      <c r="A53" s="17"/>
      <c r="B53" s="17"/>
      <c r="C53" s="17" t="s">
        <v>289</v>
      </c>
      <c r="D53" s="17"/>
      <c r="E53" s="24" t="s">
        <v>290</v>
      </c>
      <c r="F53" s="21"/>
      <c r="G53" s="21"/>
      <c r="H53" s="22" t="str">
        <f>IFERROR(VLOOKUP(E53,'Definición de empresa-personal'!$A$54:$H$64,2,FALSE),"")</f>
        <v/>
      </c>
      <c r="I53" s="22"/>
      <c r="J53" s="22">
        <f>SUM(I54)</f>
        <v>137.85040656222429</v>
      </c>
      <c r="K53" s="19"/>
      <c r="L53" s="19"/>
    </row>
    <row r="54" spans="1:12" x14ac:dyDescent="0.25">
      <c r="A54" s="17"/>
      <c r="B54" s="17"/>
      <c r="C54" s="17"/>
      <c r="D54" s="17" t="s">
        <v>152</v>
      </c>
      <c r="E54" s="30" t="s">
        <v>64</v>
      </c>
      <c r="F54" s="21">
        <v>4</v>
      </c>
      <c r="G54" s="21" t="s">
        <v>168</v>
      </c>
      <c r="H54" s="22">
        <f>IFERROR(VLOOKUP(E54,'Definición de empresa-personal'!$A$54:$H$64,2,FALSE),"")</f>
        <v>34.462601640556073</v>
      </c>
      <c r="I54" s="22">
        <f>F54*H54</f>
        <v>137.85040656222429</v>
      </c>
      <c r="J54" s="22"/>
      <c r="K54" s="22"/>
      <c r="L54" s="26"/>
    </row>
    <row r="55" spans="1:12" x14ac:dyDescent="0.25">
      <c r="A55" s="44"/>
      <c r="B55" s="44" t="s">
        <v>183</v>
      </c>
      <c r="C55" s="44"/>
      <c r="D55" s="44"/>
      <c r="E55" s="45" t="s">
        <v>291</v>
      </c>
      <c r="F55" s="46"/>
      <c r="G55" s="46"/>
      <c r="H55" s="47"/>
      <c r="I55" s="47"/>
      <c r="J55" s="49"/>
      <c r="K55" s="50">
        <f>SUM(J56:J65)</f>
        <v>206.77560984333644</v>
      </c>
      <c r="L55" s="190"/>
    </row>
    <row r="56" spans="1:12" x14ac:dyDescent="0.25">
      <c r="A56" s="17"/>
      <c r="B56" s="17"/>
      <c r="C56" s="17" t="s">
        <v>152</v>
      </c>
      <c r="D56" s="17"/>
      <c r="E56" s="24" t="s">
        <v>279</v>
      </c>
      <c r="F56" s="21"/>
      <c r="G56" s="21"/>
      <c r="H56" s="22" t="str">
        <f>IFERROR(VLOOKUP(E56,'Definición de empresa-personal'!$A$54:$H$64,2,FALSE),"")</f>
        <v/>
      </c>
      <c r="I56" s="22"/>
      <c r="J56" s="31">
        <f>SUM(I57)</f>
        <v>34.462601640556073</v>
      </c>
      <c r="K56" s="32"/>
      <c r="L56" s="191"/>
    </row>
    <row r="57" spans="1:12" x14ac:dyDescent="0.25">
      <c r="A57" s="17"/>
      <c r="B57" s="17"/>
      <c r="C57" s="17"/>
      <c r="D57" s="17" t="s">
        <v>152</v>
      </c>
      <c r="E57" s="30" t="s">
        <v>64</v>
      </c>
      <c r="F57" s="21">
        <v>1</v>
      </c>
      <c r="G57" s="21" t="s">
        <v>168</v>
      </c>
      <c r="H57" s="22">
        <f>IFERROR(VLOOKUP(E57,'Definición de empresa-personal'!$A$54:$H$64,2,FALSE),"")</f>
        <v>34.462601640556073</v>
      </c>
      <c r="I57" s="22">
        <f>F57*H57</f>
        <v>34.462601640556073</v>
      </c>
      <c r="J57" s="31"/>
      <c r="K57" s="32"/>
      <c r="L57" s="191"/>
    </row>
    <row r="58" spans="1:12" x14ac:dyDescent="0.25">
      <c r="A58" s="17"/>
      <c r="B58" s="17"/>
      <c r="C58" s="17" t="s">
        <v>174</v>
      </c>
      <c r="D58" s="17"/>
      <c r="E58" s="24" t="s">
        <v>280</v>
      </c>
      <c r="F58" s="21"/>
      <c r="G58" s="21"/>
      <c r="H58" s="22" t="str">
        <f>IFERROR(VLOOKUP(E58,'Definición de empresa-personal'!$A$54:$H$64,2,FALSE),"")</f>
        <v/>
      </c>
      <c r="I58" s="22"/>
      <c r="J58" s="31">
        <f>SUM(I59)</f>
        <v>68.925203281112147</v>
      </c>
      <c r="K58" s="32"/>
      <c r="L58" s="191"/>
    </row>
    <row r="59" spans="1:12" x14ac:dyDescent="0.25">
      <c r="A59" s="17"/>
      <c r="B59" s="17"/>
      <c r="C59" s="17"/>
      <c r="D59" s="17" t="s">
        <v>152</v>
      </c>
      <c r="E59" s="30" t="s">
        <v>64</v>
      </c>
      <c r="F59" s="21">
        <v>2</v>
      </c>
      <c r="G59" s="21" t="s">
        <v>168</v>
      </c>
      <c r="H59" s="22">
        <f>IFERROR(VLOOKUP(E59,'Definición de empresa-personal'!$A$54:$H$64,2,FALSE),"")</f>
        <v>34.462601640556073</v>
      </c>
      <c r="I59" s="22">
        <f>F59*H59</f>
        <v>68.925203281112147</v>
      </c>
      <c r="J59" s="31"/>
      <c r="K59" s="32"/>
      <c r="L59" s="191"/>
    </row>
    <row r="60" spans="1:12" x14ac:dyDescent="0.25">
      <c r="A60" s="17"/>
      <c r="B60" s="17"/>
      <c r="C60" s="17" t="s">
        <v>176</v>
      </c>
      <c r="D60" s="17"/>
      <c r="E60" s="24" t="s">
        <v>281</v>
      </c>
      <c r="F60" s="21"/>
      <c r="G60" s="21"/>
      <c r="H60" s="22" t="str">
        <f>IFERROR(VLOOKUP(E60,'Definición de empresa-personal'!$A$54:$H$64,2,FALSE),"")</f>
        <v/>
      </c>
      <c r="I60" s="22"/>
      <c r="J60" s="31">
        <f>SUM(I61)</f>
        <v>34.462601640556073</v>
      </c>
      <c r="K60" s="32"/>
      <c r="L60" s="191"/>
    </row>
    <row r="61" spans="1:12" x14ac:dyDescent="0.25">
      <c r="A61" s="17"/>
      <c r="B61" s="17"/>
      <c r="C61" s="17"/>
      <c r="D61" s="17" t="s">
        <v>152</v>
      </c>
      <c r="E61" s="30" t="s">
        <v>64</v>
      </c>
      <c r="F61" s="21">
        <v>1</v>
      </c>
      <c r="G61" s="21" t="s">
        <v>168</v>
      </c>
      <c r="H61" s="22">
        <f>IFERROR(VLOOKUP(E61,'Definición de empresa-personal'!$A$54:$H$64,2,FALSE),"")</f>
        <v>34.462601640556073</v>
      </c>
      <c r="I61" s="22">
        <f>F61*H61</f>
        <v>34.462601640556073</v>
      </c>
      <c r="J61" s="31"/>
      <c r="K61" s="32"/>
      <c r="L61" s="191"/>
    </row>
    <row r="62" spans="1:12" x14ac:dyDescent="0.25">
      <c r="A62" s="17"/>
      <c r="B62" s="17"/>
      <c r="C62" s="17" t="s">
        <v>181</v>
      </c>
      <c r="D62" s="17"/>
      <c r="E62" s="24" t="s">
        <v>282</v>
      </c>
      <c r="F62" s="21"/>
      <c r="G62" s="21"/>
      <c r="H62" s="22" t="str">
        <f>IFERROR(VLOOKUP(E62,'Definición de empresa-personal'!$A$54:$H$64,2,FALSE),"")</f>
        <v/>
      </c>
      <c r="I62" s="22"/>
      <c r="J62" s="31">
        <f>SUM(I63)</f>
        <v>34.462601640556073</v>
      </c>
      <c r="K62" s="32"/>
      <c r="L62" s="191"/>
    </row>
    <row r="63" spans="1:12" x14ac:dyDescent="0.25">
      <c r="A63" s="17"/>
      <c r="B63" s="17"/>
      <c r="C63" s="17"/>
      <c r="D63" s="17" t="s">
        <v>152</v>
      </c>
      <c r="E63" s="30" t="s">
        <v>64</v>
      </c>
      <c r="F63" s="21">
        <v>1</v>
      </c>
      <c r="G63" s="21" t="s">
        <v>168</v>
      </c>
      <c r="H63" s="22">
        <f>IFERROR(VLOOKUP(E63,'Definición de empresa-personal'!$A$54:$H$64,2,FALSE),"")</f>
        <v>34.462601640556073</v>
      </c>
      <c r="I63" s="22">
        <f>F63*H63</f>
        <v>34.462601640556073</v>
      </c>
      <c r="J63" s="31"/>
      <c r="K63" s="32"/>
      <c r="L63" s="191"/>
    </row>
    <row r="64" spans="1:12" x14ac:dyDescent="0.25">
      <c r="A64" s="17"/>
      <c r="B64" s="17"/>
      <c r="C64" s="17" t="s">
        <v>183</v>
      </c>
      <c r="D64" s="17"/>
      <c r="E64" s="24" t="s">
        <v>283</v>
      </c>
      <c r="F64" s="21"/>
      <c r="G64" s="21"/>
      <c r="H64" s="22" t="str">
        <f>IFERROR(VLOOKUP(E64,'Definición de empresa-personal'!$A$54:$H$64,2,FALSE),"")</f>
        <v/>
      </c>
      <c r="I64" s="22"/>
      <c r="J64" s="31">
        <f>SUM(I65)</f>
        <v>34.462601640556073</v>
      </c>
      <c r="K64" s="32"/>
      <c r="L64" s="191"/>
    </row>
    <row r="65" spans="1:12" x14ac:dyDescent="0.25">
      <c r="A65" s="17"/>
      <c r="B65" s="17"/>
      <c r="C65" s="17"/>
      <c r="D65" s="17" t="s">
        <v>152</v>
      </c>
      <c r="E65" s="30" t="s">
        <v>64</v>
      </c>
      <c r="F65" s="21">
        <v>1</v>
      </c>
      <c r="G65" s="21" t="s">
        <v>168</v>
      </c>
      <c r="H65" s="22">
        <f>IFERROR(VLOOKUP(E65,'Definición de empresa-personal'!$A$54:$H$64,2,FALSE),"")</f>
        <v>34.462601640556073</v>
      </c>
      <c r="I65" s="22">
        <f>F65*H65</f>
        <v>34.462601640556073</v>
      </c>
      <c r="J65" s="31"/>
      <c r="K65" s="31"/>
      <c r="L65" s="192"/>
    </row>
    <row r="66" spans="1:12" x14ac:dyDescent="0.25">
      <c r="A66" s="44"/>
      <c r="B66" s="44" t="s">
        <v>185</v>
      </c>
      <c r="C66" s="44"/>
      <c r="D66" s="44"/>
      <c r="E66" s="45" t="s">
        <v>292</v>
      </c>
      <c r="F66" s="46"/>
      <c r="G66" s="46"/>
      <c r="H66" s="47"/>
      <c r="I66" s="47"/>
      <c r="J66" s="49"/>
      <c r="K66" s="50">
        <f>SUM(J67:J76)</f>
        <v>206.77560984333644</v>
      </c>
      <c r="L66" s="193"/>
    </row>
    <row r="67" spans="1:12" x14ac:dyDescent="0.25">
      <c r="A67" s="17"/>
      <c r="B67" s="17"/>
      <c r="C67" s="17" t="s">
        <v>152</v>
      </c>
      <c r="D67" s="17"/>
      <c r="E67" s="24" t="s">
        <v>279</v>
      </c>
      <c r="F67" s="21"/>
      <c r="G67" s="21"/>
      <c r="H67" s="22" t="str">
        <f>IFERROR(VLOOKUP(E67,'Definición de empresa-personal'!$A$54:$H$64,2,FALSE),"")</f>
        <v/>
      </c>
      <c r="I67" s="22"/>
      <c r="J67" s="31">
        <f>SUM(I68)</f>
        <v>34.462601640556073</v>
      </c>
      <c r="K67" s="32"/>
      <c r="L67" s="191"/>
    </row>
    <row r="68" spans="1:12" x14ac:dyDescent="0.25">
      <c r="A68" s="17"/>
      <c r="B68" s="17"/>
      <c r="C68" s="17"/>
      <c r="D68" s="17" t="s">
        <v>152</v>
      </c>
      <c r="E68" s="30" t="s">
        <v>64</v>
      </c>
      <c r="F68" s="21">
        <v>1</v>
      </c>
      <c r="G68" s="21" t="s">
        <v>168</v>
      </c>
      <c r="H68" s="22">
        <f>IFERROR(VLOOKUP(E68,'Definición de empresa-personal'!$A$54:$H$64,2,FALSE),"")</f>
        <v>34.462601640556073</v>
      </c>
      <c r="I68" s="22">
        <f>F68*H68</f>
        <v>34.462601640556073</v>
      </c>
      <c r="J68" s="31"/>
      <c r="K68" s="32"/>
      <c r="L68" s="191"/>
    </row>
    <row r="69" spans="1:12" x14ac:dyDescent="0.25">
      <c r="A69" s="17"/>
      <c r="B69" s="17"/>
      <c r="C69" s="17" t="s">
        <v>174</v>
      </c>
      <c r="D69" s="17"/>
      <c r="E69" s="24" t="s">
        <v>280</v>
      </c>
      <c r="F69" s="21"/>
      <c r="G69" s="21"/>
      <c r="H69" s="22" t="str">
        <f>IFERROR(VLOOKUP(E69,'Definición de empresa-personal'!$A$54:$H$64,2,FALSE),"")</f>
        <v/>
      </c>
      <c r="I69" s="22"/>
      <c r="J69" s="31">
        <f>SUM(I70)</f>
        <v>68.925203281112147</v>
      </c>
      <c r="K69" s="32"/>
      <c r="L69" s="191"/>
    </row>
    <row r="70" spans="1:12" x14ac:dyDescent="0.25">
      <c r="A70" s="17"/>
      <c r="B70" s="17"/>
      <c r="C70" s="17"/>
      <c r="D70" s="17" t="s">
        <v>152</v>
      </c>
      <c r="E70" s="30" t="s">
        <v>64</v>
      </c>
      <c r="F70" s="21">
        <v>2</v>
      </c>
      <c r="G70" s="21" t="s">
        <v>168</v>
      </c>
      <c r="H70" s="22">
        <f>IFERROR(VLOOKUP(E70,'Definición de empresa-personal'!$A$54:$H$64,2,FALSE),"")</f>
        <v>34.462601640556073</v>
      </c>
      <c r="I70" s="22">
        <f>F70*H70</f>
        <v>68.925203281112147</v>
      </c>
      <c r="J70" s="31"/>
      <c r="K70" s="32"/>
      <c r="L70" s="191"/>
    </row>
    <row r="71" spans="1:12" x14ac:dyDescent="0.25">
      <c r="A71" s="17"/>
      <c r="B71" s="17"/>
      <c r="C71" s="17" t="s">
        <v>176</v>
      </c>
      <c r="D71" s="17"/>
      <c r="E71" s="24" t="s">
        <v>281</v>
      </c>
      <c r="F71" s="21"/>
      <c r="G71" s="21"/>
      <c r="H71" s="22" t="str">
        <f>IFERROR(VLOOKUP(E71,'Definición de empresa-personal'!$A$54:$H$64,2,FALSE),"")</f>
        <v/>
      </c>
      <c r="I71" s="22"/>
      <c r="J71" s="31">
        <f>SUM(I72)</f>
        <v>34.462601640556073</v>
      </c>
      <c r="K71" s="32"/>
      <c r="L71" s="191"/>
    </row>
    <row r="72" spans="1:12" x14ac:dyDescent="0.25">
      <c r="A72" s="17"/>
      <c r="B72" s="17"/>
      <c r="C72" s="17"/>
      <c r="D72" s="17" t="s">
        <v>152</v>
      </c>
      <c r="E72" s="30" t="s">
        <v>64</v>
      </c>
      <c r="F72" s="21">
        <v>1</v>
      </c>
      <c r="G72" s="21" t="s">
        <v>168</v>
      </c>
      <c r="H72" s="22">
        <f>IFERROR(VLOOKUP(E72,'Definición de empresa-personal'!$A$54:$H$64,2,FALSE),"")</f>
        <v>34.462601640556073</v>
      </c>
      <c r="I72" s="22">
        <f>F72*H72</f>
        <v>34.462601640556073</v>
      </c>
      <c r="J72" s="31"/>
      <c r="K72" s="32"/>
      <c r="L72" s="191"/>
    </row>
    <row r="73" spans="1:12" x14ac:dyDescent="0.25">
      <c r="A73" s="17"/>
      <c r="B73" s="17"/>
      <c r="C73" s="17" t="s">
        <v>181</v>
      </c>
      <c r="D73" s="17"/>
      <c r="E73" s="24" t="s">
        <v>282</v>
      </c>
      <c r="F73" s="21"/>
      <c r="G73" s="21"/>
      <c r="H73" s="22" t="str">
        <f>IFERROR(VLOOKUP(E73,'Definición de empresa-personal'!$A$54:$H$64,2,FALSE),"")</f>
        <v/>
      </c>
      <c r="I73" s="22"/>
      <c r="J73" s="31">
        <f>SUM(I74)</f>
        <v>34.462601640556073</v>
      </c>
      <c r="K73" s="32"/>
      <c r="L73" s="191"/>
    </row>
    <row r="74" spans="1:12" x14ac:dyDescent="0.25">
      <c r="A74" s="17"/>
      <c r="B74" s="17"/>
      <c r="C74" s="17"/>
      <c r="D74" s="17" t="s">
        <v>152</v>
      </c>
      <c r="E74" s="30" t="s">
        <v>64</v>
      </c>
      <c r="F74" s="21">
        <v>1</v>
      </c>
      <c r="G74" s="21" t="s">
        <v>168</v>
      </c>
      <c r="H74" s="22">
        <f>IFERROR(VLOOKUP(E74,'Definición de empresa-personal'!$A$54:$H$64,2,FALSE),"")</f>
        <v>34.462601640556073</v>
      </c>
      <c r="I74" s="22">
        <f>F74*H74</f>
        <v>34.462601640556073</v>
      </c>
      <c r="J74" s="31"/>
      <c r="K74" s="32"/>
      <c r="L74" s="191"/>
    </row>
    <row r="75" spans="1:12" x14ac:dyDescent="0.25">
      <c r="A75" s="17"/>
      <c r="B75" s="17"/>
      <c r="C75" s="17" t="s">
        <v>183</v>
      </c>
      <c r="D75" s="17"/>
      <c r="E75" s="24" t="s">
        <v>283</v>
      </c>
      <c r="F75" s="21"/>
      <c r="G75" s="21"/>
      <c r="H75" s="22" t="str">
        <f>IFERROR(VLOOKUP(E75,'Definición de empresa-personal'!$A$54:$H$64,2,FALSE),"")</f>
        <v/>
      </c>
      <c r="I75" s="22"/>
      <c r="J75" s="31">
        <f>SUM(I76)</f>
        <v>34.462601640556073</v>
      </c>
      <c r="K75" s="32"/>
      <c r="L75" s="191"/>
    </row>
    <row r="76" spans="1:12" x14ac:dyDescent="0.25">
      <c r="A76" s="17"/>
      <c r="B76" s="17"/>
      <c r="C76" s="17"/>
      <c r="D76" s="17" t="s">
        <v>152</v>
      </c>
      <c r="E76" s="30" t="s">
        <v>64</v>
      </c>
      <c r="F76" s="21">
        <v>1</v>
      </c>
      <c r="G76" s="21" t="s">
        <v>168</v>
      </c>
      <c r="H76" s="22">
        <f>IFERROR(VLOOKUP(E76,'Definición de empresa-personal'!$A$54:$H$64,2,FALSE),"")</f>
        <v>34.462601640556073</v>
      </c>
      <c r="I76" s="22">
        <f>F76*H76</f>
        <v>34.462601640556073</v>
      </c>
      <c r="J76" s="31"/>
      <c r="K76" s="31"/>
      <c r="L76" s="192"/>
    </row>
    <row r="77" spans="1:12" x14ac:dyDescent="0.25">
      <c r="A77" s="44"/>
      <c r="B77" s="44" t="s">
        <v>188</v>
      </c>
      <c r="C77" s="44"/>
      <c r="D77" s="44"/>
      <c r="E77" s="45" t="s">
        <v>293</v>
      </c>
      <c r="F77" s="46"/>
      <c r="G77" s="46"/>
      <c r="H77" s="47"/>
      <c r="I77" s="47"/>
      <c r="J77" s="49"/>
      <c r="K77" s="50">
        <f>SUM(J78:J87)</f>
        <v>206.77560984333644</v>
      </c>
      <c r="L77" s="193"/>
    </row>
    <row r="78" spans="1:12" x14ac:dyDescent="0.25">
      <c r="A78" s="17"/>
      <c r="B78" s="17"/>
      <c r="C78" s="17" t="s">
        <v>152</v>
      </c>
      <c r="D78" s="17"/>
      <c r="E78" s="24" t="s">
        <v>279</v>
      </c>
      <c r="F78" s="21"/>
      <c r="G78" s="21"/>
      <c r="H78" s="22" t="str">
        <f>IFERROR(VLOOKUP(E78,'Definición de empresa-personal'!$A$54:$H$64,2,FALSE),"")</f>
        <v/>
      </c>
      <c r="I78" s="22"/>
      <c r="J78" s="31">
        <f>SUM(I79)</f>
        <v>34.462601640556073</v>
      </c>
      <c r="K78" s="32"/>
      <c r="L78" s="191"/>
    </row>
    <row r="79" spans="1:12" x14ac:dyDescent="0.25">
      <c r="A79" s="17"/>
      <c r="B79" s="17"/>
      <c r="C79" s="17"/>
      <c r="D79" s="17" t="s">
        <v>152</v>
      </c>
      <c r="E79" s="30" t="s">
        <v>64</v>
      </c>
      <c r="F79" s="21">
        <v>1</v>
      </c>
      <c r="G79" s="21" t="s">
        <v>168</v>
      </c>
      <c r="H79" s="22">
        <f>IFERROR(VLOOKUP(E79,'Definición de empresa-personal'!$A$54:$H$64,2,FALSE),"")</f>
        <v>34.462601640556073</v>
      </c>
      <c r="I79" s="22">
        <f>F79*H79</f>
        <v>34.462601640556073</v>
      </c>
      <c r="J79" s="31"/>
      <c r="K79" s="32"/>
      <c r="L79" s="191"/>
    </row>
    <row r="80" spans="1:12" x14ac:dyDescent="0.25">
      <c r="A80" s="17"/>
      <c r="B80" s="17"/>
      <c r="C80" s="17" t="s">
        <v>174</v>
      </c>
      <c r="D80" s="17"/>
      <c r="E80" s="24" t="s">
        <v>280</v>
      </c>
      <c r="F80" s="21"/>
      <c r="G80" s="21"/>
      <c r="H80" s="22" t="str">
        <f>IFERROR(VLOOKUP(E80,'Definición de empresa-personal'!$A$54:$H$64,2,FALSE),"")</f>
        <v/>
      </c>
      <c r="I80" s="22"/>
      <c r="J80" s="31">
        <f>SUM(I81)</f>
        <v>68.925203281112147</v>
      </c>
      <c r="K80" s="32"/>
      <c r="L80" s="191"/>
    </row>
    <row r="81" spans="1:12" x14ac:dyDescent="0.25">
      <c r="A81" s="17"/>
      <c r="B81" s="17"/>
      <c r="C81" s="17"/>
      <c r="D81" s="17" t="s">
        <v>152</v>
      </c>
      <c r="E81" s="30" t="s">
        <v>64</v>
      </c>
      <c r="F81" s="21">
        <v>2</v>
      </c>
      <c r="G81" s="21" t="s">
        <v>168</v>
      </c>
      <c r="H81" s="22">
        <f>IFERROR(VLOOKUP(E81,'Definición de empresa-personal'!$A$54:$H$64,2,FALSE),"")</f>
        <v>34.462601640556073</v>
      </c>
      <c r="I81" s="22">
        <f>F81*H81</f>
        <v>68.925203281112147</v>
      </c>
      <c r="J81" s="31"/>
      <c r="K81" s="32"/>
      <c r="L81" s="191"/>
    </row>
    <row r="82" spans="1:12" x14ac:dyDescent="0.25">
      <c r="A82" s="17"/>
      <c r="B82" s="17"/>
      <c r="C82" s="17" t="s">
        <v>176</v>
      </c>
      <c r="D82" s="17"/>
      <c r="E82" s="24" t="s">
        <v>281</v>
      </c>
      <c r="F82" s="21"/>
      <c r="G82" s="21"/>
      <c r="H82" s="22" t="str">
        <f>IFERROR(VLOOKUP(E82,'Definición de empresa-personal'!$A$54:$H$64,2,FALSE),"")</f>
        <v/>
      </c>
      <c r="I82" s="22"/>
      <c r="J82" s="31">
        <f>SUM(I83)</f>
        <v>34.462601640556073</v>
      </c>
      <c r="K82" s="32"/>
      <c r="L82" s="191"/>
    </row>
    <row r="83" spans="1:12" x14ac:dyDescent="0.25">
      <c r="A83" s="17"/>
      <c r="B83" s="17"/>
      <c r="C83" s="17"/>
      <c r="D83" s="17" t="s">
        <v>152</v>
      </c>
      <c r="E83" s="30" t="s">
        <v>64</v>
      </c>
      <c r="F83" s="21">
        <v>1</v>
      </c>
      <c r="G83" s="21" t="s">
        <v>168</v>
      </c>
      <c r="H83" s="22">
        <f>IFERROR(VLOOKUP(E83,'Definición de empresa-personal'!$A$54:$H$64,2,FALSE),"")</f>
        <v>34.462601640556073</v>
      </c>
      <c r="I83" s="22">
        <f>F83*H83</f>
        <v>34.462601640556073</v>
      </c>
      <c r="J83" s="31"/>
      <c r="K83" s="32"/>
      <c r="L83" s="191"/>
    </row>
    <row r="84" spans="1:12" x14ac:dyDescent="0.25">
      <c r="A84" s="17"/>
      <c r="B84" s="17"/>
      <c r="C84" s="17" t="s">
        <v>181</v>
      </c>
      <c r="D84" s="17"/>
      <c r="E84" s="24" t="s">
        <v>282</v>
      </c>
      <c r="F84" s="21"/>
      <c r="G84" s="21"/>
      <c r="H84" s="22" t="str">
        <f>IFERROR(VLOOKUP(E84,'Definición de empresa-personal'!$A$54:$H$64,2,FALSE),"")</f>
        <v/>
      </c>
      <c r="I84" s="22"/>
      <c r="J84" s="31">
        <f>SUM(I85)</f>
        <v>34.462601640556073</v>
      </c>
      <c r="K84" s="32"/>
      <c r="L84" s="191"/>
    </row>
    <row r="85" spans="1:12" x14ac:dyDescent="0.25">
      <c r="A85" s="17"/>
      <c r="B85" s="17"/>
      <c r="C85" s="17"/>
      <c r="D85" s="17" t="s">
        <v>152</v>
      </c>
      <c r="E85" s="30" t="s">
        <v>64</v>
      </c>
      <c r="F85" s="21">
        <v>1</v>
      </c>
      <c r="G85" s="21" t="s">
        <v>168</v>
      </c>
      <c r="H85" s="22">
        <f>IFERROR(VLOOKUP(E85,'Definición de empresa-personal'!$A$54:$H$64,2,FALSE),"")</f>
        <v>34.462601640556073</v>
      </c>
      <c r="I85" s="22">
        <f>F85*H85</f>
        <v>34.462601640556073</v>
      </c>
      <c r="J85" s="31"/>
      <c r="K85" s="32"/>
      <c r="L85" s="191"/>
    </row>
    <row r="86" spans="1:12" x14ac:dyDescent="0.25">
      <c r="A86" s="17"/>
      <c r="B86" s="17"/>
      <c r="C86" s="17" t="s">
        <v>183</v>
      </c>
      <c r="D86" s="17"/>
      <c r="E86" s="24" t="s">
        <v>283</v>
      </c>
      <c r="F86" s="21"/>
      <c r="G86" s="21"/>
      <c r="H86" s="22" t="str">
        <f>IFERROR(VLOOKUP(E86,'Definición de empresa-personal'!$A$54:$H$64,2,FALSE),"")</f>
        <v/>
      </c>
      <c r="I86" s="22"/>
      <c r="J86" s="31">
        <f>SUM(I87)</f>
        <v>34.462601640556073</v>
      </c>
      <c r="K86" s="32"/>
      <c r="L86" s="191"/>
    </row>
    <row r="87" spans="1:12" x14ac:dyDescent="0.25">
      <c r="A87" s="17"/>
      <c r="B87" s="17"/>
      <c r="C87" s="17"/>
      <c r="D87" s="17" t="s">
        <v>152</v>
      </c>
      <c r="E87" s="30" t="s">
        <v>64</v>
      </c>
      <c r="F87" s="21">
        <v>1</v>
      </c>
      <c r="G87" s="21" t="s">
        <v>168</v>
      </c>
      <c r="H87" s="22">
        <f>IFERROR(VLOOKUP(E87,'Definición de empresa-personal'!$A$54:$H$64,2,FALSE),"")</f>
        <v>34.462601640556073</v>
      </c>
      <c r="I87" s="22">
        <f>F87*H87</f>
        <v>34.462601640556073</v>
      </c>
      <c r="J87" s="31"/>
      <c r="K87" s="31"/>
      <c r="L87" s="192"/>
    </row>
    <row r="88" spans="1:12" x14ac:dyDescent="0.25">
      <c r="A88" s="44"/>
      <c r="B88" s="44" t="s">
        <v>289</v>
      </c>
      <c r="C88" s="44"/>
      <c r="D88" s="44"/>
      <c r="E88" s="45" t="s">
        <v>294</v>
      </c>
      <c r="F88" s="46"/>
      <c r="G88" s="46"/>
      <c r="H88" s="47"/>
      <c r="I88" s="47"/>
      <c r="J88" s="49"/>
      <c r="K88" s="50">
        <f>SUM(J89:J98)</f>
        <v>206.77560984333644</v>
      </c>
      <c r="L88" s="193"/>
    </row>
    <row r="89" spans="1:12" x14ac:dyDescent="0.25">
      <c r="A89" s="17"/>
      <c r="B89" s="17"/>
      <c r="C89" s="17" t="s">
        <v>152</v>
      </c>
      <c r="D89" s="17"/>
      <c r="E89" s="24" t="s">
        <v>279</v>
      </c>
      <c r="F89" s="21"/>
      <c r="G89" s="21"/>
      <c r="H89" s="22" t="str">
        <f>IFERROR(VLOOKUP(E89,'Definición de empresa-personal'!$A$54:$H$64,2,FALSE),"")</f>
        <v/>
      </c>
      <c r="I89" s="22"/>
      <c r="J89" s="31">
        <f>SUM(I90)</f>
        <v>34.462601640556073</v>
      </c>
      <c r="K89" s="32"/>
      <c r="L89" s="191"/>
    </row>
    <row r="90" spans="1:12" x14ac:dyDescent="0.25">
      <c r="A90" s="17"/>
      <c r="B90" s="17"/>
      <c r="C90" s="17"/>
      <c r="D90" s="17" t="s">
        <v>152</v>
      </c>
      <c r="E90" s="30" t="s">
        <v>64</v>
      </c>
      <c r="F90" s="21">
        <v>1</v>
      </c>
      <c r="G90" s="21" t="s">
        <v>168</v>
      </c>
      <c r="H90" s="22">
        <f>IFERROR(VLOOKUP(E90,'Definición de empresa-personal'!$A$54:$H$64,2,FALSE),"")</f>
        <v>34.462601640556073</v>
      </c>
      <c r="I90" s="22">
        <f>F90*H90</f>
        <v>34.462601640556073</v>
      </c>
      <c r="J90" s="31"/>
      <c r="K90" s="32"/>
      <c r="L90" s="191"/>
    </row>
    <row r="91" spans="1:12" x14ac:dyDescent="0.25">
      <c r="A91" s="17"/>
      <c r="B91" s="17"/>
      <c r="C91" s="17" t="s">
        <v>174</v>
      </c>
      <c r="D91" s="17"/>
      <c r="E91" s="24" t="s">
        <v>280</v>
      </c>
      <c r="F91" s="21"/>
      <c r="G91" s="21"/>
      <c r="H91" s="22" t="str">
        <f>IFERROR(VLOOKUP(E91,'Definición de empresa-personal'!$A$54:$H$64,2,FALSE),"")</f>
        <v/>
      </c>
      <c r="I91" s="22"/>
      <c r="J91" s="31">
        <f>SUM(I92)</f>
        <v>68.925203281112147</v>
      </c>
      <c r="K91" s="32"/>
      <c r="L91" s="191"/>
    </row>
    <row r="92" spans="1:12" x14ac:dyDescent="0.25">
      <c r="A92" s="17"/>
      <c r="B92" s="17"/>
      <c r="C92" s="17"/>
      <c r="D92" s="17" t="s">
        <v>152</v>
      </c>
      <c r="E92" s="30" t="s">
        <v>64</v>
      </c>
      <c r="F92" s="21">
        <v>2</v>
      </c>
      <c r="G92" s="21" t="s">
        <v>168</v>
      </c>
      <c r="H92" s="22">
        <f>IFERROR(VLOOKUP(E92,'Definición de empresa-personal'!$A$54:$H$64,2,FALSE),"")</f>
        <v>34.462601640556073</v>
      </c>
      <c r="I92" s="22">
        <f>F92*H92</f>
        <v>68.925203281112147</v>
      </c>
      <c r="J92" s="31"/>
      <c r="K92" s="32"/>
      <c r="L92" s="191"/>
    </row>
    <row r="93" spans="1:12" x14ac:dyDescent="0.25">
      <c r="A93" s="17"/>
      <c r="B93" s="17"/>
      <c r="C93" s="17" t="s">
        <v>176</v>
      </c>
      <c r="D93" s="17"/>
      <c r="E93" s="24" t="s">
        <v>281</v>
      </c>
      <c r="F93" s="21"/>
      <c r="G93" s="21"/>
      <c r="H93" s="22" t="str">
        <f>IFERROR(VLOOKUP(E93,'Definición de empresa-personal'!$A$54:$H$64,2,FALSE),"")</f>
        <v/>
      </c>
      <c r="I93" s="22"/>
      <c r="J93" s="31">
        <f>SUM(I94)</f>
        <v>34.462601640556073</v>
      </c>
      <c r="K93" s="32"/>
      <c r="L93" s="191"/>
    </row>
    <row r="94" spans="1:12" x14ac:dyDescent="0.25">
      <c r="A94" s="17"/>
      <c r="B94" s="17"/>
      <c r="C94" s="17"/>
      <c r="D94" s="17" t="s">
        <v>152</v>
      </c>
      <c r="E94" s="30" t="s">
        <v>64</v>
      </c>
      <c r="F94" s="21">
        <v>1</v>
      </c>
      <c r="G94" s="21" t="s">
        <v>168</v>
      </c>
      <c r="H94" s="22">
        <f>IFERROR(VLOOKUP(E94,'Definición de empresa-personal'!$A$54:$H$64,2,FALSE),"")</f>
        <v>34.462601640556073</v>
      </c>
      <c r="I94" s="22">
        <f>F94*H94</f>
        <v>34.462601640556073</v>
      </c>
      <c r="J94" s="31"/>
      <c r="K94" s="32"/>
      <c r="L94" s="191"/>
    </row>
    <row r="95" spans="1:12" x14ac:dyDescent="0.25">
      <c r="A95" s="17"/>
      <c r="B95" s="17"/>
      <c r="C95" s="17" t="s">
        <v>181</v>
      </c>
      <c r="D95" s="17"/>
      <c r="E95" s="24" t="s">
        <v>282</v>
      </c>
      <c r="F95" s="21"/>
      <c r="G95" s="21"/>
      <c r="H95" s="22" t="str">
        <f>IFERROR(VLOOKUP(E95,'Definición de empresa-personal'!$A$54:$H$64,2,FALSE),"")</f>
        <v/>
      </c>
      <c r="I95" s="22"/>
      <c r="J95" s="31">
        <f>SUM(I96)</f>
        <v>34.462601640556073</v>
      </c>
      <c r="K95" s="32"/>
      <c r="L95" s="191"/>
    </row>
    <row r="96" spans="1:12" x14ac:dyDescent="0.25">
      <c r="A96" s="17"/>
      <c r="B96" s="17"/>
      <c r="C96" s="17"/>
      <c r="D96" s="17" t="s">
        <v>152</v>
      </c>
      <c r="E96" s="30" t="s">
        <v>64</v>
      </c>
      <c r="F96" s="21">
        <v>1</v>
      </c>
      <c r="G96" s="21" t="s">
        <v>168</v>
      </c>
      <c r="H96" s="22">
        <f>IFERROR(VLOOKUP(E96,'Definición de empresa-personal'!$A$54:$H$64,2,FALSE),"")</f>
        <v>34.462601640556073</v>
      </c>
      <c r="I96" s="22">
        <f>F96*H96</f>
        <v>34.462601640556073</v>
      </c>
      <c r="J96" s="31"/>
      <c r="K96" s="32"/>
      <c r="L96" s="191"/>
    </row>
    <row r="97" spans="1:12" x14ac:dyDescent="0.25">
      <c r="A97" s="17"/>
      <c r="B97" s="17"/>
      <c r="C97" s="17" t="s">
        <v>183</v>
      </c>
      <c r="D97" s="17"/>
      <c r="E97" s="24" t="s">
        <v>283</v>
      </c>
      <c r="F97" s="21"/>
      <c r="G97" s="21"/>
      <c r="H97" s="22" t="str">
        <f>IFERROR(VLOOKUP(E97,'Definición de empresa-personal'!$A$54:$H$64,2,FALSE),"")</f>
        <v/>
      </c>
      <c r="I97" s="22"/>
      <c r="J97" s="31">
        <f>SUM(I98)</f>
        <v>34.462601640556073</v>
      </c>
      <c r="K97" s="32"/>
      <c r="L97" s="191"/>
    </row>
    <row r="98" spans="1:12" x14ac:dyDescent="0.25">
      <c r="A98" s="17"/>
      <c r="B98" s="17"/>
      <c r="C98" s="17"/>
      <c r="D98" s="17" t="s">
        <v>152</v>
      </c>
      <c r="E98" s="30" t="s">
        <v>64</v>
      </c>
      <c r="F98" s="21">
        <v>1</v>
      </c>
      <c r="G98" s="21" t="s">
        <v>168</v>
      </c>
      <c r="H98" s="22">
        <f>IFERROR(VLOOKUP(E98,'Definición de empresa-personal'!$A$54:$H$64,2,FALSE),"")</f>
        <v>34.462601640556073</v>
      </c>
      <c r="I98" s="22">
        <f>F98*H98</f>
        <v>34.462601640556073</v>
      </c>
      <c r="J98" s="31"/>
      <c r="K98" s="31"/>
      <c r="L98" s="194"/>
    </row>
  </sheetData>
  <mergeCells count="1">
    <mergeCell ref="A2:L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8333057-C167-4E21-B0EC-0699B0AA7554}">
          <x14:formula1>
            <xm:f>'Definición de empresa-personal'!$A$56:$A$64</xm:f>
          </x14:formula1>
          <xm:sqref>E7 E98 E96 E94 E92 E90 E87 E85 E83 E81 E79 E76 E74 E72 E70 E68 E65 E63 E61 E59 E57 E54 E52 E50 E48 E46 E44 E42 E40 E37 E35 E33 E31 E29 E26 E24 E22 E20 E18 E15 E13 E11 E9</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87DEE-08D2-409D-8DCC-050F3F1ED614}">
  <sheetPr>
    <tabColor rgb="FF7030A0"/>
  </sheetPr>
  <dimension ref="A2:N26"/>
  <sheetViews>
    <sheetView topLeftCell="A12" workbookViewId="0">
      <selection activeCell="J20" sqref="A2:J20"/>
    </sheetView>
  </sheetViews>
  <sheetFormatPr baseColWidth="10" defaultColWidth="11" defaultRowHeight="15.75" x14ac:dyDescent="0.25"/>
  <cols>
    <col min="1" max="1" width="6.625" customWidth="1"/>
    <col min="2" max="2" width="4.875" customWidth="1"/>
    <col min="3" max="3" width="3.125" customWidth="1"/>
    <col min="4" max="4" width="40.25" customWidth="1"/>
    <col min="5" max="5" width="8.5" customWidth="1"/>
    <col min="6" max="6" width="8.75" customWidth="1"/>
    <col min="7" max="7" width="7.5" customWidth="1"/>
    <col min="8" max="8" width="10.875" customWidth="1"/>
    <col min="9" max="9" width="10.625" customWidth="1"/>
    <col min="10" max="10" width="9.5" customWidth="1"/>
  </cols>
  <sheetData>
    <row r="2" spans="1:14" ht="25.7" customHeight="1" x14ac:dyDescent="0.25">
      <c r="A2" s="217" t="s">
        <v>295</v>
      </c>
      <c r="B2" s="217"/>
      <c r="C2" s="217"/>
      <c r="D2" s="217"/>
      <c r="E2" s="217"/>
      <c r="F2" s="217"/>
      <c r="G2" s="217"/>
      <c r="H2" s="217"/>
      <c r="I2" s="217"/>
      <c r="J2" s="217"/>
    </row>
    <row r="3" spans="1:14" x14ac:dyDescent="0.25">
      <c r="A3" s="33" t="s">
        <v>145</v>
      </c>
      <c r="B3" s="33" t="s">
        <v>146</v>
      </c>
      <c r="C3" s="33" t="s">
        <v>147</v>
      </c>
      <c r="D3" s="34" t="s">
        <v>148</v>
      </c>
      <c r="E3" s="34" t="s">
        <v>149</v>
      </c>
      <c r="F3" s="34" t="s">
        <v>104</v>
      </c>
      <c r="G3" s="34" t="s">
        <v>105</v>
      </c>
      <c r="H3" s="34" t="s">
        <v>151</v>
      </c>
      <c r="I3" s="34" t="s">
        <v>150</v>
      </c>
      <c r="J3" s="34" t="s">
        <v>2</v>
      </c>
    </row>
    <row r="4" spans="1:14" x14ac:dyDescent="0.25">
      <c r="A4" s="35" t="s">
        <v>152</v>
      </c>
      <c r="B4" s="35"/>
      <c r="C4" s="35"/>
      <c r="D4" s="36" t="s">
        <v>296</v>
      </c>
      <c r="E4" s="37"/>
      <c r="F4" s="37"/>
      <c r="G4" s="37"/>
      <c r="H4" s="37"/>
      <c r="I4" s="37"/>
      <c r="J4" s="38">
        <f>SUM(I5:I22)</f>
        <v>689.25203281112135</v>
      </c>
    </row>
    <row r="5" spans="1:14" x14ac:dyDescent="0.25">
      <c r="A5" s="17"/>
      <c r="B5" s="17" t="s">
        <v>136</v>
      </c>
      <c r="C5" s="17"/>
      <c r="D5" s="23" t="s">
        <v>297</v>
      </c>
      <c r="E5" s="21"/>
      <c r="F5" s="21"/>
      <c r="G5" s="22" t="str">
        <f>IFERROR(VLOOKUP(D5,'Definición de empresa-personal'!$A$54:$H$64,2,FALSE),"")</f>
        <v/>
      </c>
      <c r="H5" s="21"/>
      <c r="I5" s="22">
        <f>SUM(H6)</f>
        <v>68.925203281112147</v>
      </c>
      <c r="J5" s="21"/>
    </row>
    <row r="6" spans="1:14" x14ac:dyDescent="0.25">
      <c r="A6" s="17"/>
      <c r="B6" s="17"/>
      <c r="C6" s="17" t="s">
        <v>152</v>
      </c>
      <c r="D6" s="24" t="s">
        <v>64</v>
      </c>
      <c r="E6" s="21">
        <v>2</v>
      </c>
      <c r="F6" s="21" t="s">
        <v>168</v>
      </c>
      <c r="G6" s="22">
        <f>IFERROR(VLOOKUP(D6,'Definición de empresa-personal'!$A$54:$H$64,2,FALSE),"")</f>
        <v>34.462601640556073</v>
      </c>
      <c r="H6" s="22">
        <f>E6*G6</f>
        <v>68.925203281112147</v>
      </c>
      <c r="I6" s="22"/>
      <c r="J6" s="21"/>
    </row>
    <row r="7" spans="1:14" x14ac:dyDescent="0.25">
      <c r="A7" s="17"/>
      <c r="B7" s="17" t="s">
        <v>137</v>
      </c>
      <c r="C7" s="17"/>
      <c r="D7" s="23" t="s">
        <v>298</v>
      </c>
      <c r="E7" s="21"/>
      <c r="F7" s="21"/>
      <c r="G7" s="22" t="str">
        <f>IFERROR(VLOOKUP(D7,'Definición de empresa-personal'!$A$54:$H$64,2,FALSE),"")</f>
        <v/>
      </c>
      <c r="H7" s="22"/>
      <c r="I7" s="22">
        <f>SUM(H8)</f>
        <v>68.925203281112147</v>
      </c>
      <c r="J7" s="21"/>
      <c r="N7" t="s">
        <v>342</v>
      </c>
    </row>
    <row r="8" spans="1:14" x14ac:dyDescent="0.25">
      <c r="A8" s="17"/>
      <c r="B8" s="17"/>
      <c r="C8" s="17" t="s">
        <v>152</v>
      </c>
      <c r="D8" s="24" t="s">
        <v>64</v>
      </c>
      <c r="E8" s="21">
        <v>2</v>
      </c>
      <c r="F8" s="21" t="s">
        <v>168</v>
      </c>
      <c r="G8" s="22">
        <f>IFERROR(VLOOKUP(D8,'Definición de empresa-personal'!$A$54:$H$64,2,FALSE),"")</f>
        <v>34.462601640556073</v>
      </c>
      <c r="H8" s="22">
        <f>E8*G8</f>
        <v>68.925203281112147</v>
      </c>
      <c r="I8" s="22"/>
      <c r="J8" s="21"/>
    </row>
    <row r="9" spans="1:14" x14ac:dyDescent="0.25">
      <c r="A9" s="17"/>
      <c r="B9" s="17" t="s">
        <v>138</v>
      </c>
      <c r="C9" s="17"/>
      <c r="D9" s="23" t="s">
        <v>299</v>
      </c>
      <c r="E9" s="21"/>
      <c r="F9" s="21"/>
      <c r="G9" s="22" t="str">
        <f>IFERROR(VLOOKUP(D9,'Definición de empresa-personal'!$A$54:$H$64,2,FALSE),"")</f>
        <v/>
      </c>
      <c r="H9" s="22"/>
      <c r="I9" s="22">
        <f>SUM(H10)</f>
        <v>103.38780492166822</v>
      </c>
      <c r="J9" s="21"/>
    </row>
    <row r="10" spans="1:14" x14ac:dyDescent="0.25">
      <c r="A10" s="17"/>
      <c r="B10" s="17"/>
      <c r="C10" s="17" t="s">
        <v>152</v>
      </c>
      <c r="D10" s="24" t="s">
        <v>64</v>
      </c>
      <c r="E10" s="21">
        <v>3</v>
      </c>
      <c r="F10" s="21" t="s">
        <v>168</v>
      </c>
      <c r="G10" s="22">
        <f>IFERROR(VLOOKUP(D10,'Definición de empresa-personal'!$A$54:$H$64,2,FALSE),"")</f>
        <v>34.462601640556073</v>
      </c>
      <c r="H10" s="22">
        <f>E10*G10</f>
        <v>103.38780492166822</v>
      </c>
      <c r="I10" s="22"/>
      <c r="J10" s="21"/>
    </row>
    <row r="11" spans="1:14" x14ac:dyDescent="0.25">
      <c r="A11" s="17"/>
      <c r="B11" s="17" t="s">
        <v>139</v>
      </c>
      <c r="C11" s="17"/>
      <c r="D11" s="23" t="s">
        <v>300</v>
      </c>
      <c r="E11" s="21"/>
      <c r="F11" s="21"/>
      <c r="G11" s="22" t="str">
        <f>IFERROR(VLOOKUP(D11,'Definición de empresa-personal'!$A$54:$H$64,2,FALSE),"")</f>
        <v/>
      </c>
      <c r="H11" s="22"/>
      <c r="I11" s="22">
        <f>SUM(H12)</f>
        <v>137.85040656222429</v>
      </c>
      <c r="J11" s="21"/>
    </row>
    <row r="12" spans="1:14" x14ac:dyDescent="0.25">
      <c r="A12" s="17"/>
      <c r="B12" s="17"/>
      <c r="C12" s="17" t="s">
        <v>152</v>
      </c>
      <c r="D12" s="24" t="s">
        <v>64</v>
      </c>
      <c r="E12" s="21">
        <v>4</v>
      </c>
      <c r="F12" s="21" t="s">
        <v>168</v>
      </c>
      <c r="G12" s="22">
        <f>IFERROR(VLOOKUP(D12,'Definición de empresa-personal'!$A$54:$H$64,2,FALSE),"")</f>
        <v>34.462601640556073</v>
      </c>
      <c r="H12" s="22">
        <f>E12*G12</f>
        <v>137.85040656222429</v>
      </c>
      <c r="I12" s="22"/>
      <c r="J12" s="21"/>
    </row>
    <row r="13" spans="1:14" x14ac:dyDescent="0.25">
      <c r="A13" s="17"/>
      <c r="B13" s="17" t="s">
        <v>140</v>
      </c>
      <c r="C13" s="17"/>
      <c r="D13" s="23" t="s">
        <v>301</v>
      </c>
      <c r="E13" s="21"/>
      <c r="F13" s="21"/>
      <c r="G13" s="22" t="str">
        <f>IFERROR(VLOOKUP(D13,'Definición de empresa-personal'!$A$54:$H$64,2,FALSE),"")</f>
        <v/>
      </c>
      <c r="H13" s="22"/>
      <c r="I13" s="22">
        <f>SUM(H14)</f>
        <v>103.38780492166822</v>
      </c>
      <c r="J13" s="21"/>
    </row>
    <row r="14" spans="1:14" x14ac:dyDescent="0.25">
      <c r="A14" s="17"/>
      <c r="B14" s="17"/>
      <c r="C14" s="17" t="s">
        <v>152</v>
      </c>
      <c r="D14" s="24" t="s">
        <v>64</v>
      </c>
      <c r="E14" s="21">
        <v>3</v>
      </c>
      <c r="F14" s="21" t="s">
        <v>168</v>
      </c>
      <c r="G14" s="22">
        <f>IFERROR(VLOOKUP(D14,'Definición de empresa-personal'!$A$54:$H$64,2,FALSE),"")</f>
        <v>34.462601640556073</v>
      </c>
      <c r="H14" s="22">
        <f>E14*G14</f>
        <v>103.38780492166822</v>
      </c>
      <c r="I14" s="22"/>
      <c r="J14" s="21"/>
    </row>
    <row r="15" spans="1:14" x14ac:dyDescent="0.25">
      <c r="A15" s="17"/>
      <c r="B15" s="17" t="s">
        <v>141</v>
      </c>
      <c r="C15" s="17"/>
      <c r="D15" s="23" t="s">
        <v>302</v>
      </c>
      <c r="E15" s="21"/>
      <c r="F15" s="21"/>
      <c r="G15" s="22" t="str">
        <f>IFERROR(VLOOKUP(D15,'Definición de empresa-personal'!$A$54:$H$64,2,FALSE),"")</f>
        <v/>
      </c>
      <c r="H15" s="22"/>
      <c r="I15" s="22">
        <f>SUM(H16)</f>
        <v>68.925203281112147</v>
      </c>
      <c r="J15" s="21"/>
    </row>
    <row r="16" spans="1:14" x14ac:dyDescent="0.25">
      <c r="A16" s="17"/>
      <c r="B16" s="17"/>
      <c r="C16" s="17" t="s">
        <v>152</v>
      </c>
      <c r="D16" s="24" t="s">
        <v>64</v>
      </c>
      <c r="E16" s="21">
        <v>2</v>
      </c>
      <c r="F16" s="21" t="s">
        <v>168</v>
      </c>
      <c r="G16" s="22">
        <f>IFERROR(VLOOKUP(D16,'Definición de empresa-personal'!$A$54:$H$64,2,FALSE),"")</f>
        <v>34.462601640556073</v>
      </c>
      <c r="H16" s="22">
        <f>E16*G16</f>
        <v>68.925203281112147</v>
      </c>
      <c r="I16" s="22"/>
      <c r="J16" s="21"/>
    </row>
    <row r="17" spans="1:10" x14ac:dyDescent="0.25">
      <c r="A17" s="17"/>
      <c r="B17" s="17" t="s">
        <v>142</v>
      </c>
      <c r="C17" s="17"/>
      <c r="D17" s="23" t="s">
        <v>303</v>
      </c>
      <c r="E17" s="21"/>
      <c r="F17" s="21"/>
      <c r="G17" s="22" t="str">
        <f>IFERROR(VLOOKUP(D17,'Definición de empresa-personal'!$A$54:$H$64,2,FALSE),"")</f>
        <v/>
      </c>
      <c r="H17" s="22"/>
      <c r="I17" s="22">
        <f>SUM(H18)</f>
        <v>68.925203281112147</v>
      </c>
      <c r="J17" s="21"/>
    </row>
    <row r="18" spans="1:10" x14ac:dyDescent="0.25">
      <c r="A18" s="17"/>
      <c r="B18" s="17"/>
      <c r="C18" s="17" t="s">
        <v>152</v>
      </c>
      <c r="D18" s="24" t="s">
        <v>64</v>
      </c>
      <c r="E18" s="21">
        <v>2</v>
      </c>
      <c r="F18" s="21" t="s">
        <v>168</v>
      </c>
      <c r="G18" s="22">
        <f>IFERROR(VLOOKUP(D18,'Definición de empresa-personal'!$A$54:$H$64,2,FALSE),"")</f>
        <v>34.462601640556073</v>
      </c>
      <c r="H18" s="22">
        <f>E18*G18</f>
        <v>68.925203281112147</v>
      </c>
      <c r="I18" s="22"/>
      <c r="J18" s="21"/>
    </row>
    <row r="19" spans="1:10" x14ac:dyDescent="0.25">
      <c r="A19" s="17"/>
      <c r="B19" s="17" t="s">
        <v>144</v>
      </c>
      <c r="C19" s="17"/>
      <c r="D19" s="23" t="s">
        <v>304</v>
      </c>
      <c r="E19" s="21"/>
      <c r="F19" s="21"/>
      <c r="G19" s="22" t="str">
        <f>IFERROR(VLOOKUP(D19,'Definición de empresa-personal'!$A$54:$H$64,2,FALSE),"")</f>
        <v/>
      </c>
      <c r="H19" s="22"/>
      <c r="I19" s="22">
        <f>SUM(H20)</f>
        <v>68.925203281112147</v>
      </c>
      <c r="J19" s="21"/>
    </row>
    <row r="20" spans="1:10" x14ac:dyDescent="0.25">
      <c r="A20" s="17"/>
      <c r="B20" s="17"/>
      <c r="C20" s="17" t="s">
        <v>152</v>
      </c>
      <c r="D20" s="24" t="s">
        <v>64</v>
      </c>
      <c r="E20" s="21">
        <v>2</v>
      </c>
      <c r="F20" s="21" t="s">
        <v>168</v>
      </c>
      <c r="G20" s="22">
        <f>IFERROR(VLOOKUP(D20,'Definición de empresa-personal'!$A$54:$H$64,2,FALSE),"")</f>
        <v>34.462601640556073</v>
      </c>
      <c r="H20" s="22">
        <f>E20*G20</f>
        <v>68.925203281112147</v>
      </c>
      <c r="I20" s="22"/>
      <c r="J20" s="21"/>
    </row>
    <row r="21" spans="1:10" x14ac:dyDescent="0.25">
      <c r="A21" s="15"/>
      <c r="B21" s="15"/>
      <c r="C21" s="15"/>
      <c r="D21" s="27"/>
      <c r="E21" s="9"/>
      <c r="F21" s="9"/>
      <c r="G21" s="28"/>
      <c r="H21" s="28"/>
      <c r="I21" s="28"/>
      <c r="J21" s="9"/>
    </row>
    <row r="22" spans="1:10" x14ac:dyDescent="0.25">
      <c r="A22" s="15"/>
      <c r="B22" s="15"/>
      <c r="C22" s="15"/>
      <c r="D22" s="29"/>
      <c r="E22" s="9"/>
      <c r="F22" s="9"/>
      <c r="G22" s="28"/>
      <c r="H22" s="28"/>
      <c r="I22" s="28"/>
      <c r="J22" s="9"/>
    </row>
    <row r="23" spans="1:10" x14ac:dyDescent="0.25">
      <c r="A23" s="15"/>
      <c r="B23" s="15"/>
      <c r="C23" s="15"/>
      <c r="D23" s="27"/>
      <c r="E23" s="9"/>
      <c r="F23" s="9"/>
      <c r="G23" s="28"/>
      <c r="H23" s="28"/>
      <c r="I23" s="28"/>
      <c r="J23" s="9"/>
    </row>
    <row r="24" spans="1:10" x14ac:dyDescent="0.25">
      <c r="A24" s="15"/>
      <c r="B24" s="15"/>
      <c r="C24" s="15"/>
      <c r="D24" s="29"/>
      <c r="E24" s="9"/>
      <c r="F24" s="9"/>
      <c r="G24" s="28"/>
      <c r="H24" s="28"/>
      <c r="I24" s="28"/>
      <c r="J24" s="9"/>
    </row>
    <row r="25" spans="1:10" x14ac:dyDescent="0.25">
      <c r="A25" s="15"/>
      <c r="B25" s="15"/>
      <c r="C25" s="15"/>
      <c r="D25" s="27"/>
      <c r="E25" s="9"/>
      <c r="F25" s="9"/>
      <c r="G25" s="28"/>
      <c r="H25" s="28"/>
      <c r="I25" s="28"/>
      <c r="J25" s="9"/>
    </row>
    <row r="26" spans="1:10" x14ac:dyDescent="0.25">
      <c r="A26" s="15"/>
      <c r="B26" s="15"/>
      <c r="C26" s="15"/>
      <c r="D26" s="29"/>
      <c r="E26" s="9"/>
      <c r="F26" s="9"/>
      <c r="G26" s="28"/>
      <c r="H26" s="28"/>
      <c r="I26" s="28"/>
      <c r="J26" s="9"/>
    </row>
  </sheetData>
  <mergeCells count="1">
    <mergeCell ref="A2:J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BB8C6C52-C4C0-422A-9E8F-A2C33C495771}">
          <x14:formula1>
            <xm:f>'Definición de empresa-personal'!$A$56:$A$64</xm:f>
          </x14:formula1>
          <xm:sqref>D6 D22 D24 D20 D18 D16 D14 D12 D10 D8 D26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F9552-E78B-41B0-98C1-ED01B93E54EC}">
  <sheetPr>
    <tabColor theme="5"/>
  </sheetPr>
  <dimension ref="A2:J14"/>
  <sheetViews>
    <sheetView workbookViewId="0">
      <selection activeCell="A2" sqref="A2:J14"/>
    </sheetView>
  </sheetViews>
  <sheetFormatPr baseColWidth="10" defaultColWidth="11" defaultRowHeight="15.75" x14ac:dyDescent="0.25"/>
  <cols>
    <col min="4" max="4" width="62.25" customWidth="1"/>
  </cols>
  <sheetData>
    <row r="2" spans="1:10" ht="25.7" customHeight="1" x14ac:dyDescent="0.25">
      <c r="A2" s="217" t="s">
        <v>305</v>
      </c>
      <c r="B2" s="217"/>
      <c r="C2" s="217"/>
      <c r="D2" s="217"/>
      <c r="E2" s="217"/>
      <c r="F2" s="217"/>
      <c r="G2" s="217"/>
      <c r="H2" s="217"/>
      <c r="I2" s="217"/>
      <c r="J2" s="217"/>
    </row>
    <row r="3" spans="1:10" x14ac:dyDescent="0.25">
      <c r="A3" s="33" t="s">
        <v>145</v>
      </c>
      <c r="B3" s="33" t="s">
        <v>146</v>
      </c>
      <c r="C3" s="33" t="s">
        <v>147</v>
      </c>
      <c r="D3" s="34" t="s">
        <v>148</v>
      </c>
      <c r="E3" s="34" t="s">
        <v>149</v>
      </c>
      <c r="F3" s="34" t="s">
        <v>104</v>
      </c>
      <c r="G3" s="34" t="s">
        <v>105</v>
      </c>
      <c r="H3" s="34" t="s">
        <v>151</v>
      </c>
      <c r="I3" s="34" t="s">
        <v>150</v>
      </c>
      <c r="J3" s="34" t="s">
        <v>2</v>
      </c>
    </row>
    <row r="4" spans="1:10" x14ac:dyDescent="0.25">
      <c r="A4" s="88" t="s">
        <v>152</v>
      </c>
      <c r="B4" s="88"/>
      <c r="C4" s="88"/>
      <c r="D4" s="174">
        <f>'Partida -  Int. Sist. Centrales'!J4</f>
        <v>2940.7836254381577</v>
      </c>
      <c r="E4" s="90"/>
      <c r="F4" s="90"/>
      <c r="G4" s="90"/>
      <c r="H4" s="90"/>
      <c r="I4" s="90"/>
      <c r="J4" s="91">
        <f>SUM(I5:I18)</f>
        <v>2940.7836254381577</v>
      </c>
    </row>
    <row r="5" spans="1:10" x14ac:dyDescent="0.25">
      <c r="A5" s="169"/>
      <c r="B5" s="169" t="s">
        <v>152</v>
      </c>
      <c r="C5" s="169"/>
      <c r="D5" s="170" t="s">
        <v>306</v>
      </c>
      <c r="E5" s="170"/>
      <c r="F5" s="170"/>
      <c r="G5" s="171"/>
      <c r="H5" s="170"/>
      <c r="I5" s="171">
        <f>H6</f>
        <v>398.68552113885119</v>
      </c>
      <c r="J5" s="170"/>
    </row>
    <row r="6" spans="1:10" x14ac:dyDescent="0.25">
      <c r="A6" s="169"/>
      <c r="B6" s="169"/>
      <c r="C6" s="169">
        <v>1</v>
      </c>
      <c r="D6" s="173" t="s">
        <v>62</v>
      </c>
      <c r="E6" s="170">
        <v>12</v>
      </c>
      <c r="F6" s="170" t="s">
        <v>168</v>
      </c>
      <c r="G6" s="171">
        <f>IFERROR(VLOOKUP(D6,'Definición de empresa-personal'!$A$54:$H$64,2,FALSE),"")</f>
        <v>33.223793428237599</v>
      </c>
      <c r="H6" s="171">
        <f>E6*G6</f>
        <v>398.68552113885119</v>
      </c>
      <c r="I6" s="170"/>
      <c r="J6" s="170"/>
    </row>
    <row r="7" spans="1:10" x14ac:dyDescent="0.25">
      <c r="A7" s="170"/>
      <c r="B7" s="169" t="s">
        <v>174</v>
      </c>
      <c r="C7" s="169"/>
      <c r="D7" s="170" t="s">
        <v>307</v>
      </c>
      <c r="E7" s="170"/>
      <c r="F7" s="170"/>
      <c r="G7" s="170"/>
      <c r="H7" s="171"/>
      <c r="I7" s="171">
        <f>H8</f>
        <v>763.31808963445167</v>
      </c>
      <c r="J7" s="170"/>
    </row>
    <row r="8" spans="1:10" x14ac:dyDescent="0.25">
      <c r="A8" s="170"/>
      <c r="B8" s="169"/>
      <c r="C8" s="169">
        <v>1</v>
      </c>
      <c r="D8" s="173" t="s">
        <v>61</v>
      </c>
      <c r="E8" s="170">
        <v>21</v>
      </c>
      <c r="F8" s="170" t="s">
        <v>168</v>
      </c>
      <c r="G8" s="170">
        <f>IFERROR(VLOOKUP(D8,'Definición de empresa-personal'!$A$54:$H$64,2,FALSE),"")</f>
        <v>36.348480458783413</v>
      </c>
      <c r="H8" s="171">
        <f>E8*G8</f>
        <v>763.31808963445167</v>
      </c>
      <c r="I8" s="170"/>
      <c r="J8" s="170"/>
    </row>
    <row r="9" spans="1:10" x14ac:dyDescent="0.25">
      <c r="A9" s="170"/>
      <c r="B9" s="169" t="s">
        <v>176</v>
      </c>
      <c r="C9" s="169"/>
      <c r="D9" s="170" t="s">
        <v>308</v>
      </c>
      <c r="E9" s="170"/>
      <c r="F9" s="170"/>
      <c r="G9" s="170"/>
      <c r="H9" s="171"/>
      <c r="I9" s="171">
        <f>H10</f>
        <v>981.40897238715218</v>
      </c>
      <c r="J9" s="170"/>
    </row>
    <row r="10" spans="1:10" x14ac:dyDescent="0.25">
      <c r="A10" s="170"/>
      <c r="B10" s="169"/>
      <c r="C10" s="169">
        <v>1</v>
      </c>
      <c r="D10" s="173" t="s">
        <v>61</v>
      </c>
      <c r="E10" s="170">
        <v>27</v>
      </c>
      <c r="F10" s="170" t="s">
        <v>168</v>
      </c>
      <c r="G10" s="170">
        <f>IFERROR(VLOOKUP(D10,'Definición de empresa-personal'!$A$54:$H$64,2,FALSE),"")</f>
        <v>36.348480458783413</v>
      </c>
      <c r="H10" s="171">
        <f>E10*G10</f>
        <v>981.40897238715218</v>
      </c>
      <c r="I10" s="170"/>
      <c r="J10" s="170"/>
    </row>
    <row r="11" spans="1:10" x14ac:dyDescent="0.25">
      <c r="A11" s="170"/>
      <c r="B11" s="169" t="s">
        <v>181</v>
      </c>
      <c r="C11" s="169"/>
      <c r="D11" s="170" t="s">
        <v>309</v>
      </c>
      <c r="E11" s="170"/>
      <c r="F11" s="170"/>
      <c r="G11" s="170"/>
      <c r="H11" s="171"/>
      <c r="I11" s="171">
        <f>H12</f>
        <v>498.35690142356395</v>
      </c>
      <c r="J11" s="170"/>
    </row>
    <row r="12" spans="1:10" x14ac:dyDescent="0.25">
      <c r="A12" s="170"/>
      <c r="B12" s="169"/>
      <c r="C12" s="169">
        <v>1</v>
      </c>
      <c r="D12" s="173" t="s">
        <v>62</v>
      </c>
      <c r="E12" s="170">
        <v>15</v>
      </c>
      <c r="F12" s="170" t="s">
        <v>168</v>
      </c>
      <c r="G12" s="170">
        <f>IFERROR(VLOOKUP(D12,'Definición de empresa-personal'!$A$54:$H$64,2,FALSE),"")</f>
        <v>33.223793428237599</v>
      </c>
      <c r="H12" s="171">
        <f>E12*G12</f>
        <v>498.35690142356395</v>
      </c>
      <c r="I12" s="170"/>
      <c r="J12" s="170"/>
    </row>
    <row r="13" spans="1:10" x14ac:dyDescent="0.25">
      <c r="A13" s="170"/>
      <c r="B13" s="169" t="s">
        <v>183</v>
      </c>
      <c r="C13" s="169"/>
      <c r="D13" s="170" t="s">
        <v>310</v>
      </c>
      <c r="E13" s="170"/>
      <c r="F13" s="170"/>
      <c r="G13" s="170"/>
      <c r="H13" s="171"/>
      <c r="I13" s="171">
        <f>H14</f>
        <v>299.01414085413842</v>
      </c>
      <c r="J13" s="170"/>
    </row>
    <row r="14" spans="1:10" x14ac:dyDescent="0.25">
      <c r="A14" s="170"/>
      <c r="B14" s="169"/>
      <c r="C14" s="169">
        <v>1</v>
      </c>
      <c r="D14" s="173" t="s">
        <v>62</v>
      </c>
      <c r="E14" s="170">
        <v>9</v>
      </c>
      <c r="F14" s="170" t="s">
        <v>168</v>
      </c>
      <c r="G14" s="170">
        <f>IFERROR(VLOOKUP(D14,'Definición de empresa-personal'!$A$54:$H$64,2,FALSE),"")</f>
        <v>33.223793428237599</v>
      </c>
      <c r="H14" s="171">
        <f>E14*G14</f>
        <v>299.01414085413842</v>
      </c>
      <c r="I14" s="170"/>
      <c r="J14" s="170"/>
    </row>
  </sheetData>
  <mergeCells count="1">
    <mergeCell ref="A2:J2"/>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1FFBE-B1A6-44D6-87AA-BFCD6C3DB846}">
  <sheetPr>
    <tabColor theme="5"/>
  </sheetPr>
  <dimension ref="A2:J22"/>
  <sheetViews>
    <sheetView workbookViewId="0">
      <selection activeCell="A2" sqref="A2:J22"/>
    </sheetView>
  </sheetViews>
  <sheetFormatPr baseColWidth="10" defaultColWidth="11" defaultRowHeight="15.75" x14ac:dyDescent="0.25"/>
  <cols>
    <col min="4" max="4" width="62.25" customWidth="1"/>
  </cols>
  <sheetData>
    <row r="2" spans="1:10" ht="25.7" customHeight="1" x14ac:dyDescent="0.25">
      <c r="A2" s="217" t="s">
        <v>311</v>
      </c>
      <c r="B2" s="217"/>
      <c r="C2" s="217"/>
      <c r="D2" s="217"/>
      <c r="E2" s="217"/>
      <c r="F2" s="217"/>
      <c r="G2" s="217"/>
      <c r="H2" s="217"/>
      <c r="I2" s="217"/>
      <c r="J2" s="217"/>
    </row>
    <row r="3" spans="1:10" x14ac:dyDescent="0.25">
      <c r="A3" s="33" t="s">
        <v>145</v>
      </c>
      <c r="B3" s="33" t="s">
        <v>146</v>
      </c>
      <c r="C3" s="33" t="s">
        <v>147</v>
      </c>
      <c r="D3" s="34" t="s">
        <v>148</v>
      </c>
      <c r="E3" s="34" t="s">
        <v>149</v>
      </c>
      <c r="F3" s="34" t="s">
        <v>104</v>
      </c>
      <c r="G3" s="34" t="s">
        <v>105</v>
      </c>
      <c r="H3" s="34" t="s">
        <v>151</v>
      </c>
      <c r="I3" s="34" t="s">
        <v>150</v>
      </c>
      <c r="J3" s="34" t="s">
        <v>2</v>
      </c>
    </row>
    <row r="4" spans="1:10" x14ac:dyDescent="0.25">
      <c r="A4" s="88" t="s">
        <v>152</v>
      </c>
      <c r="B4" s="88"/>
      <c r="C4" s="88"/>
      <c r="D4" s="89" t="s">
        <v>22</v>
      </c>
      <c r="E4" s="90"/>
      <c r="F4" s="90"/>
      <c r="G4" s="90"/>
      <c r="H4" s="90"/>
      <c r="I4" s="90"/>
      <c r="J4" s="91">
        <f>SUM(I5:I22)</f>
        <v>3258.7902229952078</v>
      </c>
    </row>
    <row r="5" spans="1:10" x14ac:dyDescent="0.25">
      <c r="A5" s="169"/>
      <c r="B5" s="169" t="s">
        <v>152</v>
      </c>
      <c r="C5" s="169"/>
      <c r="D5" s="170" t="s">
        <v>312</v>
      </c>
      <c r="E5" s="170"/>
      <c r="F5" s="170"/>
      <c r="G5" s="171"/>
      <c r="H5" s="170"/>
      <c r="I5" s="171">
        <f>H6</f>
        <v>332.23793428237599</v>
      </c>
      <c r="J5" s="170"/>
    </row>
    <row r="6" spans="1:10" x14ac:dyDescent="0.25">
      <c r="A6" s="169"/>
      <c r="B6" s="169"/>
      <c r="C6" s="169">
        <v>1</v>
      </c>
      <c r="D6" s="173" t="s">
        <v>62</v>
      </c>
      <c r="E6" s="170">
        <v>10</v>
      </c>
      <c r="F6" s="170" t="s">
        <v>168</v>
      </c>
      <c r="G6" s="171">
        <f>IFERROR(VLOOKUP(D6,'Definición de empresa-personal'!$A$54:$H$64,2,FALSE),"")</f>
        <v>33.223793428237599</v>
      </c>
      <c r="H6" s="171">
        <f>E6*G6</f>
        <v>332.23793428237599</v>
      </c>
      <c r="I6" s="170"/>
      <c r="J6" s="170"/>
    </row>
    <row r="7" spans="1:10" x14ac:dyDescent="0.25">
      <c r="A7" s="170"/>
      <c r="B7" s="169" t="s">
        <v>174</v>
      </c>
      <c r="C7" s="169"/>
      <c r="D7" s="170" t="s">
        <v>253</v>
      </c>
      <c r="E7" s="170"/>
      <c r="F7" s="170"/>
      <c r="G7" s="170"/>
      <c r="H7" s="171"/>
      <c r="I7" s="171">
        <f>H8</f>
        <v>425.26455588144131</v>
      </c>
      <c r="J7" s="170"/>
    </row>
    <row r="8" spans="1:10" x14ac:dyDescent="0.25">
      <c r="A8" s="170"/>
      <c r="B8" s="169"/>
      <c r="C8" s="169">
        <v>1</v>
      </c>
      <c r="D8" s="173" t="s">
        <v>62</v>
      </c>
      <c r="E8" s="170">
        <v>12.8</v>
      </c>
      <c r="F8" s="170" t="s">
        <v>168</v>
      </c>
      <c r="G8" s="170">
        <f>IFERROR(VLOOKUP(D8,'Definición de empresa-personal'!$A$54:$H$64,2,FALSE),"")</f>
        <v>33.223793428237599</v>
      </c>
      <c r="H8" s="171">
        <f>E8*G8</f>
        <v>425.26455588144131</v>
      </c>
      <c r="I8" s="170"/>
      <c r="J8" s="170"/>
    </row>
    <row r="9" spans="1:10" x14ac:dyDescent="0.25">
      <c r="A9" s="170"/>
      <c r="B9" s="169" t="s">
        <v>176</v>
      </c>
      <c r="C9" s="169"/>
      <c r="D9" s="170" t="s">
        <v>313</v>
      </c>
      <c r="E9" s="170"/>
      <c r="F9" s="170"/>
      <c r="G9" s="170"/>
      <c r="H9" s="171"/>
      <c r="I9" s="171">
        <f>H10</f>
        <v>290.78784367026731</v>
      </c>
      <c r="J9" s="170"/>
    </row>
    <row r="10" spans="1:10" x14ac:dyDescent="0.25">
      <c r="A10" s="170"/>
      <c r="B10" s="169"/>
      <c r="C10" s="169">
        <v>1</v>
      </c>
      <c r="D10" s="173" t="s">
        <v>61</v>
      </c>
      <c r="E10" s="170">
        <v>8</v>
      </c>
      <c r="F10" s="170" t="s">
        <v>168</v>
      </c>
      <c r="G10" s="170">
        <f>IFERROR(VLOOKUP(D10,'Definición de empresa-personal'!$A$54:$H$64,2,FALSE),"")</f>
        <v>36.348480458783413</v>
      </c>
      <c r="H10" s="171">
        <f>E10*G10</f>
        <v>290.78784367026731</v>
      </c>
      <c r="I10" s="170"/>
      <c r="J10" s="170"/>
    </row>
    <row r="11" spans="1:10" x14ac:dyDescent="0.25">
      <c r="A11" s="170"/>
      <c r="B11" s="169" t="s">
        <v>181</v>
      </c>
      <c r="C11" s="169"/>
      <c r="D11" s="170" t="s">
        <v>314</v>
      </c>
      <c r="E11" s="170"/>
      <c r="F11" s="170"/>
      <c r="G11" s="170"/>
      <c r="H11" s="171"/>
      <c r="I11" s="171">
        <f>H12</f>
        <v>399.83328504661756</v>
      </c>
      <c r="J11" s="170"/>
    </row>
    <row r="12" spans="1:10" x14ac:dyDescent="0.25">
      <c r="A12" s="170"/>
      <c r="B12" s="169"/>
      <c r="C12" s="169">
        <v>1</v>
      </c>
      <c r="D12" s="173" t="s">
        <v>61</v>
      </c>
      <c r="E12" s="170">
        <v>11</v>
      </c>
      <c r="F12" s="170" t="s">
        <v>168</v>
      </c>
      <c r="G12" s="170">
        <f>IFERROR(VLOOKUP(D12,'Definición de empresa-personal'!$A$54:$H$64,2,FALSE),"")</f>
        <v>36.348480458783413</v>
      </c>
      <c r="H12" s="171">
        <f>E12*G12</f>
        <v>399.83328504661756</v>
      </c>
      <c r="I12" s="170"/>
      <c r="J12" s="170"/>
    </row>
    <row r="13" spans="1:10" x14ac:dyDescent="0.25">
      <c r="A13" s="170"/>
      <c r="B13" s="169" t="s">
        <v>183</v>
      </c>
      <c r="C13" s="169"/>
      <c r="D13" s="170" t="s">
        <v>315</v>
      </c>
      <c r="E13" s="170"/>
      <c r="F13" s="170"/>
      <c r="G13" s="170"/>
      <c r="H13" s="171"/>
      <c r="I13" s="171">
        <f>H14</f>
        <v>399.83328504661756</v>
      </c>
      <c r="J13" s="170"/>
    </row>
    <row r="14" spans="1:10" x14ac:dyDescent="0.25">
      <c r="A14" s="170"/>
      <c r="B14" s="169"/>
      <c r="C14" s="169">
        <v>1</v>
      </c>
      <c r="D14" s="173" t="s">
        <v>61</v>
      </c>
      <c r="E14" s="170">
        <v>11</v>
      </c>
      <c r="F14" s="170" t="s">
        <v>168</v>
      </c>
      <c r="G14" s="170">
        <f>IFERROR(VLOOKUP(D14,'Definición de empresa-personal'!$A$54:$H$64,2,FALSE),"")</f>
        <v>36.348480458783413</v>
      </c>
      <c r="H14" s="171">
        <f>E14*G14</f>
        <v>399.83328504661756</v>
      </c>
      <c r="I14" s="170"/>
      <c r="J14" s="170"/>
    </row>
    <row r="15" spans="1:10" x14ac:dyDescent="0.25">
      <c r="A15" s="170"/>
      <c r="B15" s="169" t="s">
        <v>185</v>
      </c>
      <c r="C15" s="169"/>
      <c r="D15" s="170" t="s">
        <v>216</v>
      </c>
      <c r="E15" s="170"/>
      <c r="F15" s="170"/>
      <c r="G15" s="170"/>
      <c r="H15" s="171"/>
      <c r="I15" s="171">
        <f>H16</f>
        <v>379.74795888475575</v>
      </c>
      <c r="J15" s="170"/>
    </row>
    <row r="16" spans="1:10" x14ac:dyDescent="0.25">
      <c r="A16" s="170"/>
      <c r="B16" s="169"/>
      <c r="C16" s="169">
        <v>1</v>
      </c>
      <c r="D16" s="173" t="s">
        <v>62</v>
      </c>
      <c r="E16" s="170">
        <v>11.43</v>
      </c>
      <c r="F16" s="170" t="s">
        <v>168</v>
      </c>
      <c r="G16" s="170">
        <f>IFERROR(VLOOKUP(D16,'Definición de empresa-personal'!$A$54:$H$64,2,FALSE),"")</f>
        <v>33.223793428237599</v>
      </c>
      <c r="H16" s="171">
        <f>E16*G16</f>
        <v>379.74795888475575</v>
      </c>
      <c r="I16" s="171"/>
      <c r="J16" s="170"/>
    </row>
    <row r="17" spans="1:10" x14ac:dyDescent="0.25">
      <c r="A17" s="170"/>
      <c r="B17" s="169" t="s">
        <v>188</v>
      </c>
      <c r="C17" s="170"/>
      <c r="D17" s="170" t="s">
        <v>316</v>
      </c>
      <c r="E17" s="170"/>
      <c r="F17" s="170"/>
      <c r="G17" s="170"/>
      <c r="H17" s="171"/>
      <c r="I17" s="171">
        <f>H18</f>
        <v>365.46172771061356</v>
      </c>
      <c r="J17" s="170"/>
    </row>
    <row r="18" spans="1:10" x14ac:dyDescent="0.25">
      <c r="A18" s="170"/>
      <c r="B18" s="169"/>
      <c r="C18" s="170">
        <v>1</v>
      </c>
      <c r="D18" s="173" t="s">
        <v>62</v>
      </c>
      <c r="E18" s="170">
        <v>11</v>
      </c>
      <c r="F18" s="170" t="s">
        <v>168</v>
      </c>
      <c r="G18" s="170">
        <f>IFERROR(VLOOKUP(D18,'Definición de empresa-personal'!$A$54:$H$64,2,FALSE),"")</f>
        <v>33.223793428237599</v>
      </c>
      <c r="H18" s="171">
        <f>E18*G18</f>
        <v>365.46172771061356</v>
      </c>
      <c r="I18" s="171"/>
      <c r="J18" s="170"/>
    </row>
    <row r="19" spans="1:10" x14ac:dyDescent="0.25">
      <c r="A19" s="170"/>
      <c r="B19" s="169" t="s">
        <v>289</v>
      </c>
      <c r="C19" s="170"/>
      <c r="D19" s="170" t="s">
        <v>207</v>
      </c>
      <c r="E19" s="170"/>
      <c r="F19" s="170"/>
      <c r="G19" s="170"/>
      <c r="H19" s="171"/>
      <c r="I19" s="171">
        <f>H20</f>
        <v>265.79034742590079</v>
      </c>
      <c r="J19" s="170"/>
    </row>
    <row r="20" spans="1:10" x14ac:dyDescent="0.25">
      <c r="A20" s="170"/>
      <c r="B20" s="169"/>
      <c r="C20" s="170">
        <v>1</v>
      </c>
      <c r="D20" s="173" t="s">
        <v>62</v>
      </c>
      <c r="E20" s="170">
        <v>8</v>
      </c>
      <c r="F20" s="170" t="s">
        <v>168</v>
      </c>
      <c r="G20" s="170">
        <f>IFERROR(VLOOKUP(D20,'Definición de empresa-personal'!$A$54:$H$64,2,FALSE),"")</f>
        <v>33.223793428237599</v>
      </c>
      <c r="H20" s="171">
        <f>E20*G20</f>
        <v>265.79034742590079</v>
      </c>
      <c r="I20" s="171"/>
      <c r="J20" s="170"/>
    </row>
    <row r="21" spans="1:10" x14ac:dyDescent="0.25">
      <c r="A21" s="170"/>
      <c r="B21" s="169" t="s">
        <v>317</v>
      </c>
      <c r="C21" s="170"/>
      <c r="D21" s="170" t="s">
        <v>318</v>
      </c>
      <c r="E21" s="170"/>
      <c r="F21" s="170"/>
      <c r="G21" s="170"/>
      <c r="H21" s="171"/>
      <c r="I21" s="171">
        <f>H22</f>
        <v>399.83328504661756</v>
      </c>
      <c r="J21" s="170"/>
    </row>
    <row r="22" spans="1:10" x14ac:dyDescent="0.25">
      <c r="A22" s="170"/>
      <c r="B22" s="170"/>
      <c r="C22" s="170">
        <v>1</v>
      </c>
      <c r="D22" s="173" t="s">
        <v>61</v>
      </c>
      <c r="E22" s="170">
        <v>11</v>
      </c>
      <c r="F22" s="170" t="s">
        <v>168</v>
      </c>
      <c r="G22" s="170">
        <f>IFERROR(VLOOKUP(D22,'Definición de empresa-personal'!$A$54:$H$64,2,FALSE),"")</f>
        <v>36.348480458783413</v>
      </c>
      <c r="H22" s="171">
        <f>E22*G22</f>
        <v>399.83328504661756</v>
      </c>
      <c r="I22" s="171"/>
      <c r="J22" s="170"/>
    </row>
  </sheetData>
  <mergeCells count="1">
    <mergeCell ref="A2:J2"/>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B4112-DF30-45E4-B190-0BB120FD338F}">
  <sheetPr>
    <tabColor theme="5"/>
  </sheetPr>
  <dimension ref="A2:J18"/>
  <sheetViews>
    <sheetView workbookViewId="0">
      <selection activeCell="A4" sqref="A4:J18"/>
    </sheetView>
  </sheetViews>
  <sheetFormatPr baseColWidth="10" defaultColWidth="11" defaultRowHeight="15.75" x14ac:dyDescent="0.25"/>
  <cols>
    <col min="4" max="4" width="62.25" customWidth="1"/>
  </cols>
  <sheetData>
    <row r="2" spans="1:10" ht="25.7" customHeight="1" x14ac:dyDescent="0.25">
      <c r="A2" s="217" t="s">
        <v>319</v>
      </c>
      <c r="B2" s="217"/>
      <c r="C2" s="217"/>
      <c r="D2" s="217"/>
      <c r="E2" s="217"/>
      <c r="F2" s="217"/>
      <c r="G2" s="217"/>
      <c r="H2" s="217"/>
      <c r="I2" s="217"/>
      <c r="J2" s="217"/>
    </row>
    <row r="3" spans="1:10" x14ac:dyDescent="0.25">
      <c r="A3" s="33" t="s">
        <v>145</v>
      </c>
      <c r="B3" s="33" t="s">
        <v>146</v>
      </c>
      <c r="C3" s="33" t="s">
        <v>147</v>
      </c>
      <c r="D3" s="34" t="s">
        <v>148</v>
      </c>
      <c r="E3" s="34" t="s">
        <v>149</v>
      </c>
      <c r="F3" s="34" t="s">
        <v>104</v>
      </c>
      <c r="G3" s="34" t="s">
        <v>105</v>
      </c>
      <c r="H3" s="34" t="s">
        <v>151</v>
      </c>
      <c r="I3" s="34" t="s">
        <v>150</v>
      </c>
      <c r="J3" s="34" t="s">
        <v>2</v>
      </c>
    </row>
    <row r="4" spans="1:10" x14ac:dyDescent="0.25">
      <c r="A4" s="88" t="s">
        <v>152</v>
      </c>
      <c r="B4" s="88"/>
      <c r="C4" s="88"/>
      <c r="D4" s="89" t="s">
        <v>177</v>
      </c>
      <c r="E4" s="90"/>
      <c r="F4" s="90"/>
      <c r="G4" s="90"/>
      <c r="H4" s="90"/>
      <c r="I4" s="90"/>
      <c r="J4" s="91">
        <f>SUM(I5:I22)</f>
        <v>232.56655399766319</v>
      </c>
    </row>
    <row r="5" spans="1:10" x14ac:dyDescent="0.25">
      <c r="A5" s="169"/>
      <c r="B5" s="169" t="s">
        <v>152</v>
      </c>
      <c r="C5" s="169"/>
      <c r="D5" s="170" t="s">
        <v>178</v>
      </c>
      <c r="E5" s="170"/>
      <c r="F5" s="170"/>
      <c r="G5" s="171"/>
      <c r="H5" s="170"/>
      <c r="I5" s="171">
        <f>H6</f>
        <v>33.223793428237599</v>
      </c>
      <c r="J5" s="170"/>
    </row>
    <row r="6" spans="1:10" x14ac:dyDescent="0.25">
      <c r="A6" s="169"/>
      <c r="B6" s="169"/>
      <c r="C6" s="169">
        <v>1</v>
      </c>
      <c r="D6" s="172" t="s">
        <v>62</v>
      </c>
      <c r="E6" s="170">
        <v>1</v>
      </c>
      <c r="F6" s="170" t="s">
        <v>168</v>
      </c>
      <c r="G6" s="171">
        <f>IFERROR(VLOOKUP(D6,'Definición de empresa-personal'!$A$54:$H$64,2,FALSE),"")</f>
        <v>33.223793428237599</v>
      </c>
      <c r="H6" s="171">
        <f>E6*G6</f>
        <v>33.223793428237599</v>
      </c>
      <c r="I6" s="170"/>
      <c r="J6" s="170"/>
    </row>
    <row r="7" spans="1:10" x14ac:dyDescent="0.25">
      <c r="A7" s="170"/>
      <c r="B7" s="169" t="s">
        <v>174</v>
      </c>
      <c r="C7" s="169"/>
      <c r="D7" s="170" t="s">
        <v>179</v>
      </c>
      <c r="E7" s="170"/>
      <c r="F7" s="170"/>
      <c r="G7" s="170"/>
      <c r="H7" s="171"/>
      <c r="I7" s="171">
        <f>H8</f>
        <v>33.223793428237599</v>
      </c>
      <c r="J7" s="170"/>
    </row>
    <row r="8" spans="1:10" x14ac:dyDescent="0.25">
      <c r="A8" s="170"/>
      <c r="B8" s="169"/>
      <c r="C8" s="169">
        <v>1</v>
      </c>
      <c r="D8" s="173" t="s">
        <v>62</v>
      </c>
      <c r="E8" s="170">
        <v>1</v>
      </c>
      <c r="F8" s="170" t="s">
        <v>168</v>
      </c>
      <c r="G8" s="170">
        <f>IFERROR(VLOOKUP(D6,'Definición de empresa-personal'!$A$54:$H$64,2,FALSE),"")</f>
        <v>33.223793428237599</v>
      </c>
      <c r="H8" s="171">
        <f>E8*G8</f>
        <v>33.223793428237599</v>
      </c>
      <c r="I8" s="170"/>
      <c r="J8" s="170"/>
    </row>
    <row r="9" spans="1:10" x14ac:dyDescent="0.25">
      <c r="A9" s="170"/>
      <c r="B9" s="169" t="s">
        <v>176</v>
      </c>
      <c r="C9" s="169"/>
      <c r="D9" s="170" t="s">
        <v>180</v>
      </c>
      <c r="E9" s="170"/>
      <c r="F9" s="170"/>
      <c r="G9" s="170"/>
      <c r="H9" s="171"/>
      <c r="I9" s="171">
        <f>H10</f>
        <v>33.223793428237599</v>
      </c>
      <c r="J9" s="170"/>
    </row>
    <row r="10" spans="1:10" x14ac:dyDescent="0.25">
      <c r="A10" s="170"/>
      <c r="B10" s="169"/>
      <c r="C10" s="169">
        <v>1</v>
      </c>
      <c r="D10" s="173" t="s">
        <v>62</v>
      </c>
      <c r="E10" s="170">
        <v>1</v>
      </c>
      <c r="F10" s="170" t="s">
        <v>168</v>
      </c>
      <c r="G10" s="170">
        <f>IFERROR(VLOOKUP(D6,'Definición de empresa-personal'!$A$54:$H$64,2,FALSE),"")</f>
        <v>33.223793428237599</v>
      </c>
      <c r="H10" s="171">
        <f>E10*G10</f>
        <v>33.223793428237599</v>
      </c>
      <c r="I10" s="170"/>
      <c r="J10" s="170"/>
    </row>
    <row r="11" spans="1:10" x14ac:dyDescent="0.25">
      <c r="A11" s="170"/>
      <c r="B11" s="169" t="s">
        <v>181</v>
      </c>
      <c r="C11" s="169"/>
      <c r="D11" s="170" t="s">
        <v>182</v>
      </c>
      <c r="E11" s="170"/>
      <c r="F11" s="170"/>
      <c r="G11" s="170"/>
      <c r="H11" s="171"/>
      <c r="I11" s="171">
        <f>H12</f>
        <v>33.223793428237599</v>
      </c>
      <c r="J11" s="170"/>
    </row>
    <row r="12" spans="1:10" x14ac:dyDescent="0.25">
      <c r="A12" s="170"/>
      <c r="B12" s="169"/>
      <c r="C12" s="169">
        <v>1</v>
      </c>
      <c r="D12" s="172" t="s">
        <v>62</v>
      </c>
      <c r="E12" s="170">
        <v>1</v>
      </c>
      <c r="F12" s="170" t="s">
        <v>168</v>
      </c>
      <c r="G12" s="170">
        <f>IFERROR(VLOOKUP(D6,'Definición de empresa-personal'!$A$54:$H$64,2,FALSE),"")</f>
        <v>33.223793428237599</v>
      </c>
      <c r="H12" s="171">
        <f>E12*G12</f>
        <v>33.223793428237599</v>
      </c>
      <c r="I12" s="170"/>
      <c r="J12" s="170"/>
    </row>
    <row r="13" spans="1:10" x14ac:dyDescent="0.25">
      <c r="A13" s="170"/>
      <c r="B13" s="169" t="s">
        <v>183</v>
      </c>
      <c r="C13" s="169"/>
      <c r="D13" s="170" t="s">
        <v>184</v>
      </c>
      <c r="E13" s="170"/>
      <c r="F13" s="170"/>
      <c r="G13" s="170"/>
      <c r="H13" s="171"/>
      <c r="I13" s="171">
        <f>H14</f>
        <v>33.223793428237599</v>
      </c>
      <c r="J13" s="170"/>
    </row>
    <row r="14" spans="1:10" x14ac:dyDescent="0.25">
      <c r="A14" s="170"/>
      <c r="B14" s="169"/>
      <c r="C14" s="169">
        <v>1</v>
      </c>
      <c r="D14" s="173" t="s">
        <v>62</v>
      </c>
      <c r="E14" s="170">
        <v>1</v>
      </c>
      <c r="F14" s="170" t="s">
        <v>168</v>
      </c>
      <c r="G14" s="170">
        <f>IFERROR(VLOOKUP(D6,'Definición de empresa-personal'!$A$54:$H$64,2,FALSE),"")</f>
        <v>33.223793428237599</v>
      </c>
      <c r="H14" s="171">
        <f>E14*G14</f>
        <v>33.223793428237599</v>
      </c>
      <c r="I14" s="170"/>
      <c r="J14" s="170"/>
    </row>
    <row r="15" spans="1:10" x14ac:dyDescent="0.25">
      <c r="A15" s="170"/>
      <c r="B15" s="169" t="s">
        <v>185</v>
      </c>
      <c r="C15" s="169"/>
      <c r="D15" s="170" t="s">
        <v>186</v>
      </c>
      <c r="E15" s="170"/>
      <c r="F15" s="170"/>
      <c r="G15" s="170"/>
      <c r="H15" s="171"/>
      <c r="I15" s="171">
        <f>H16</f>
        <v>33.223793428237599</v>
      </c>
      <c r="J15" s="170"/>
    </row>
    <row r="16" spans="1:10" x14ac:dyDescent="0.25">
      <c r="A16" s="170"/>
      <c r="B16" s="169"/>
      <c r="C16" s="169">
        <v>1</v>
      </c>
      <c r="D16" s="173" t="s">
        <v>187</v>
      </c>
      <c r="E16" s="170">
        <v>1</v>
      </c>
      <c r="F16" s="170" t="s">
        <v>168</v>
      </c>
      <c r="G16" s="170">
        <f>IFERROR(VLOOKUP(D6,'Definición de empresa-personal'!$A$54:$H$64,2,FALSE),"")</f>
        <v>33.223793428237599</v>
      </c>
      <c r="H16" s="171">
        <f>E16*G16</f>
        <v>33.223793428237599</v>
      </c>
      <c r="I16" s="170"/>
      <c r="J16" s="170"/>
    </row>
    <row r="17" spans="1:10" x14ac:dyDescent="0.25">
      <c r="A17" s="170"/>
      <c r="B17" s="169" t="s">
        <v>188</v>
      </c>
      <c r="C17" s="169"/>
      <c r="D17" s="170" t="s">
        <v>189</v>
      </c>
      <c r="E17" s="170"/>
      <c r="F17" s="170"/>
      <c r="G17" s="170"/>
      <c r="H17" s="171"/>
      <c r="I17" s="171">
        <f>H18</f>
        <v>33.223793428237599</v>
      </c>
      <c r="J17" s="170"/>
    </row>
    <row r="18" spans="1:10" x14ac:dyDescent="0.25">
      <c r="A18" s="170"/>
      <c r="B18" s="169"/>
      <c r="C18" s="169">
        <v>1</v>
      </c>
      <c r="D18" s="173" t="s">
        <v>62</v>
      </c>
      <c r="E18" s="170">
        <v>1</v>
      </c>
      <c r="F18" s="170" t="s">
        <v>168</v>
      </c>
      <c r="G18" s="170">
        <f>IFERROR(VLOOKUP(D6,'Definición de empresa-personal'!$A$54:$H$64,2,FALSE),"")</f>
        <v>33.223793428237599</v>
      </c>
      <c r="H18" s="171">
        <f>E18*G18</f>
        <v>33.223793428237599</v>
      </c>
      <c r="I18" s="170"/>
      <c r="J18" s="170"/>
    </row>
  </sheetData>
  <mergeCells count="1">
    <mergeCell ref="A2:J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CD4FA-C0F1-4653-9014-A897104B493E}">
  <sheetPr>
    <tabColor theme="5"/>
  </sheetPr>
  <dimension ref="A2:J21"/>
  <sheetViews>
    <sheetView workbookViewId="0">
      <selection activeCell="A2" sqref="A2:J21"/>
    </sheetView>
  </sheetViews>
  <sheetFormatPr baseColWidth="10" defaultColWidth="11" defaultRowHeight="15.75" x14ac:dyDescent="0.25"/>
  <cols>
    <col min="4" max="4" width="64.75" customWidth="1"/>
  </cols>
  <sheetData>
    <row r="2" spans="1:10" ht="25.7" customHeight="1" x14ac:dyDescent="0.25">
      <c r="A2" s="217" t="s">
        <v>320</v>
      </c>
      <c r="B2" s="217"/>
      <c r="C2" s="217"/>
      <c r="D2" s="217"/>
      <c r="E2" s="217"/>
      <c r="F2" s="217"/>
      <c r="G2" s="217"/>
      <c r="H2" s="217"/>
      <c r="I2" s="217"/>
      <c r="J2" s="217"/>
    </row>
    <row r="3" spans="1:10" x14ac:dyDescent="0.25">
      <c r="A3" s="96" t="s">
        <v>145</v>
      </c>
      <c r="B3" s="94" t="s">
        <v>146</v>
      </c>
      <c r="C3" s="33" t="s">
        <v>147</v>
      </c>
      <c r="D3" s="34" t="s">
        <v>148</v>
      </c>
      <c r="E3" s="182" t="s">
        <v>149</v>
      </c>
      <c r="F3" s="182" t="s">
        <v>104</v>
      </c>
      <c r="G3" s="182" t="s">
        <v>105</v>
      </c>
      <c r="H3" s="182" t="s">
        <v>151</v>
      </c>
      <c r="I3" s="182" t="s">
        <v>150</v>
      </c>
      <c r="J3" s="34" t="s">
        <v>2</v>
      </c>
    </row>
    <row r="4" spans="1:10" x14ac:dyDescent="0.25">
      <c r="A4" s="97" t="s">
        <v>152</v>
      </c>
      <c r="B4" s="95"/>
      <c r="C4" s="88"/>
      <c r="D4" s="180" t="s">
        <v>321</v>
      </c>
      <c r="E4" s="185"/>
      <c r="F4" s="186"/>
      <c r="G4" s="186"/>
      <c r="H4" s="186"/>
      <c r="I4" s="187"/>
      <c r="J4" s="181">
        <f>SUM(I5:I22)</f>
        <v>2531.3077859825453</v>
      </c>
    </row>
    <row r="5" spans="1:10" x14ac:dyDescent="0.25">
      <c r="A5" s="169"/>
      <c r="B5" s="169" t="s">
        <v>152</v>
      </c>
      <c r="C5" s="169"/>
      <c r="D5" s="170" t="s">
        <v>322</v>
      </c>
      <c r="E5" s="183"/>
      <c r="F5" s="183"/>
      <c r="G5" s="184"/>
      <c r="H5" s="183"/>
      <c r="I5" s="184">
        <f>H6</f>
        <v>405.13018813935184</v>
      </c>
      <c r="J5" s="170"/>
    </row>
    <row r="6" spans="1:10" x14ac:dyDescent="0.25">
      <c r="A6" s="169"/>
      <c r="B6" s="169"/>
      <c r="C6" s="169">
        <v>1</v>
      </c>
      <c r="D6" s="173" t="s">
        <v>63</v>
      </c>
      <c r="E6" s="170">
        <v>12</v>
      </c>
      <c r="F6" s="170" t="s">
        <v>168</v>
      </c>
      <c r="G6" s="171">
        <f>IFERROR(VLOOKUP(D6,'Definición de empresa-personal'!$A$54:$H$64,2,FALSE),"")</f>
        <v>33.760849011612656</v>
      </c>
      <c r="H6" s="171">
        <f>E6*G6</f>
        <v>405.13018813935184</v>
      </c>
      <c r="I6" s="170"/>
      <c r="J6" s="170"/>
    </row>
    <row r="7" spans="1:10" x14ac:dyDescent="0.25">
      <c r="A7" s="170"/>
      <c r="B7" s="169" t="s">
        <v>174</v>
      </c>
      <c r="C7" s="169"/>
      <c r="D7" s="170" t="s">
        <v>323</v>
      </c>
      <c r="E7" s="170"/>
      <c r="F7" s="170"/>
      <c r="G7" s="170"/>
      <c r="H7" s="171"/>
      <c r="I7" s="171">
        <f>H8</f>
        <v>270.08679209290125</v>
      </c>
      <c r="J7" s="170"/>
    </row>
    <row r="8" spans="1:10" x14ac:dyDescent="0.25">
      <c r="A8" s="170"/>
      <c r="B8" s="169"/>
      <c r="C8" s="169">
        <v>1</v>
      </c>
      <c r="D8" s="173" t="s">
        <v>63</v>
      </c>
      <c r="E8" s="170">
        <v>8</v>
      </c>
      <c r="F8" s="170" t="s">
        <v>168</v>
      </c>
      <c r="G8" s="170">
        <f>IFERROR(VLOOKUP(D8,'Definición de empresa-personal'!$A$54:$H$64,2,FALSE),"")</f>
        <v>33.760849011612656</v>
      </c>
      <c r="H8" s="171">
        <f>E8*G8</f>
        <v>270.08679209290125</v>
      </c>
      <c r="I8" s="170"/>
      <c r="J8" s="170"/>
    </row>
    <row r="9" spans="1:10" x14ac:dyDescent="0.25">
      <c r="A9" s="170"/>
      <c r="B9" s="169" t="s">
        <v>176</v>
      </c>
      <c r="C9" s="169"/>
      <c r="D9" s="170" t="s">
        <v>324</v>
      </c>
      <c r="E9" s="170"/>
      <c r="F9" s="170"/>
      <c r="G9" s="170"/>
      <c r="H9" s="171"/>
      <c r="I9" s="171">
        <f>H10</f>
        <v>438.89103715096451</v>
      </c>
      <c r="J9" s="170"/>
    </row>
    <row r="10" spans="1:10" x14ac:dyDescent="0.25">
      <c r="A10" s="170"/>
      <c r="B10" s="169"/>
      <c r="C10" s="169">
        <v>1</v>
      </c>
      <c r="D10" s="173" t="s">
        <v>63</v>
      </c>
      <c r="E10" s="170">
        <v>13</v>
      </c>
      <c r="F10" s="170" t="s">
        <v>168</v>
      </c>
      <c r="G10" s="170">
        <f>IFERROR(VLOOKUP(D10,'Definición de empresa-personal'!$A$54:$H$64,2,FALSE),"")</f>
        <v>33.760849011612656</v>
      </c>
      <c r="H10" s="171">
        <f>E10*G10</f>
        <v>438.89103715096451</v>
      </c>
      <c r="I10" s="170"/>
      <c r="J10" s="170"/>
    </row>
    <row r="11" spans="1:10" x14ac:dyDescent="0.25">
      <c r="A11" s="170"/>
      <c r="B11" s="169" t="s">
        <v>181</v>
      </c>
      <c r="C11" s="169"/>
      <c r="D11" s="170" t="s">
        <v>325</v>
      </c>
      <c r="E11" s="170"/>
      <c r="F11" s="170"/>
      <c r="G11" s="170"/>
      <c r="H11" s="171"/>
      <c r="I11" s="171">
        <f>H12</f>
        <v>405.13018813935184</v>
      </c>
      <c r="J11" s="170"/>
    </row>
    <row r="12" spans="1:10" x14ac:dyDescent="0.25">
      <c r="A12" s="170"/>
      <c r="B12" s="169"/>
      <c r="C12" s="169">
        <v>1</v>
      </c>
      <c r="D12" s="173" t="s">
        <v>63</v>
      </c>
      <c r="E12" s="170">
        <v>12</v>
      </c>
      <c r="F12" s="170" t="s">
        <v>168</v>
      </c>
      <c r="G12" s="170">
        <f>IFERROR(VLOOKUP(D12,'Definición de empresa-personal'!$A$54:$H$64,2,FALSE),"")</f>
        <v>33.760849011612656</v>
      </c>
      <c r="H12" s="171">
        <f>E12*G12</f>
        <v>405.13018813935184</v>
      </c>
      <c r="I12" s="170"/>
      <c r="J12" s="170"/>
    </row>
    <row r="13" spans="1:10" x14ac:dyDescent="0.25">
      <c r="A13" s="170"/>
      <c r="B13" s="169" t="s">
        <v>183</v>
      </c>
      <c r="C13" s="169"/>
      <c r="D13" s="170" t="s">
        <v>326</v>
      </c>
      <c r="E13" s="170"/>
      <c r="F13" s="170"/>
      <c r="G13" s="170"/>
      <c r="H13" s="171"/>
      <c r="I13" s="171">
        <f>H14</f>
        <v>303.84764110451391</v>
      </c>
      <c r="J13" s="170"/>
    </row>
    <row r="14" spans="1:10" x14ac:dyDescent="0.25">
      <c r="A14" s="170"/>
      <c r="B14" s="169"/>
      <c r="C14" s="169">
        <v>1</v>
      </c>
      <c r="D14" s="173" t="s">
        <v>63</v>
      </c>
      <c r="E14" s="170">
        <v>9</v>
      </c>
      <c r="F14" s="170" t="s">
        <v>168</v>
      </c>
      <c r="G14" s="170">
        <f>IFERROR(VLOOKUP(D14,'Definición de empresa-personal'!$A$54:$H$64,2,FALSE),"")</f>
        <v>33.760849011612656</v>
      </c>
      <c r="H14" s="171">
        <f>E14*G14</f>
        <v>303.84764110451391</v>
      </c>
      <c r="I14" s="170"/>
      <c r="J14" s="170"/>
    </row>
    <row r="15" spans="1:10" x14ac:dyDescent="0.25">
      <c r="A15" s="170"/>
      <c r="B15" s="169" t="s">
        <v>185</v>
      </c>
      <c r="C15" s="169"/>
      <c r="D15" s="170" t="s">
        <v>327</v>
      </c>
      <c r="E15" s="170"/>
      <c r="F15" s="170"/>
      <c r="G15" s="170"/>
      <c r="H15" s="171"/>
      <c r="I15" s="171">
        <f>H16</f>
        <v>303.84764110451391</v>
      </c>
      <c r="J15" s="170"/>
    </row>
    <row r="16" spans="1:10" x14ac:dyDescent="0.25">
      <c r="A16" s="176"/>
      <c r="B16" s="177"/>
      <c r="C16" s="177">
        <v>1</v>
      </c>
      <c r="D16" s="178" t="s">
        <v>63</v>
      </c>
      <c r="E16" s="176">
        <v>9</v>
      </c>
      <c r="F16" s="176" t="s">
        <v>168</v>
      </c>
      <c r="G16" s="176">
        <f>IFERROR(VLOOKUP(D16,'Definición de empresa-personal'!$A$54:$H$64,2,FALSE),"")</f>
        <v>33.760849011612656</v>
      </c>
      <c r="H16" s="179">
        <f>E16*G16</f>
        <v>303.84764110451391</v>
      </c>
      <c r="I16" s="176"/>
      <c r="J16" s="176"/>
    </row>
    <row r="17" spans="1:10" x14ac:dyDescent="0.25">
      <c r="A17" s="170"/>
      <c r="B17" s="169" t="s">
        <v>188</v>
      </c>
      <c r="C17" s="169"/>
      <c r="D17" s="170" t="s">
        <v>328</v>
      </c>
      <c r="E17" s="170"/>
      <c r="F17" s="170"/>
      <c r="G17" s="170"/>
      <c r="H17" s="171"/>
      <c r="I17" s="171">
        <f>H18</f>
        <v>303.84764110451391</v>
      </c>
      <c r="J17" s="170"/>
    </row>
    <row r="18" spans="1:10" x14ac:dyDescent="0.25">
      <c r="A18" s="170"/>
      <c r="B18" s="169"/>
      <c r="C18" s="169">
        <v>1</v>
      </c>
      <c r="D18" s="173" t="s">
        <v>63</v>
      </c>
      <c r="E18" s="176">
        <v>9</v>
      </c>
      <c r="F18" s="176" t="s">
        <v>168</v>
      </c>
      <c r="G18" s="176">
        <f>IFERROR(VLOOKUP(D18,'Definición de empresa-personal'!$A$54:$H$64,2,FALSE),"")</f>
        <v>33.760849011612656</v>
      </c>
      <c r="H18" s="179">
        <f>E18*G18</f>
        <v>303.84764110451391</v>
      </c>
      <c r="I18" s="176"/>
      <c r="J18" s="170"/>
    </row>
    <row r="19" spans="1:10" x14ac:dyDescent="0.25">
      <c r="A19" s="92" t="s">
        <v>174</v>
      </c>
      <c r="B19" s="92"/>
      <c r="C19" s="92"/>
      <c r="D19" s="188" t="s">
        <v>96</v>
      </c>
      <c r="E19" s="185"/>
      <c r="F19" s="186"/>
      <c r="G19" s="186"/>
      <c r="H19" s="186"/>
      <c r="I19" s="187"/>
      <c r="J19" s="189">
        <f>SUM(I20:I37)</f>
        <v>100.52665714643393</v>
      </c>
    </row>
    <row r="20" spans="1:10" x14ac:dyDescent="0.25">
      <c r="A20" s="170"/>
      <c r="B20" s="170">
        <v>1</v>
      </c>
      <c r="C20" s="170"/>
      <c r="D20" s="93" t="s">
        <v>96</v>
      </c>
      <c r="E20" s="183"/>
      <c r="F20" s="183"/>
      <c r="G20" s="183"/>
      <c r="H20" s="183"/>
      <c r="I20" s="183">
        <f>H21</f>
        <v>100.52665714643393</v>
      </c>
      <c r="J20" s="170"/>
    </row>
    <row r="21" spans="1:10" x14ac:dyDescent="0.25">
      <c r="A21" s="170"/>
      <c r="B21" s="170"/>
      <c r="C21" s="170">
        <v>1</v>
      </c>
      <c r="D21" s="175" t="s">
        <v>58</v>
      </c>
      <c r="E21" s="170">
        <v>2.67</v>
      </c>
      <c r="F21" s="170" t="s">
        <v>168</v>
      </c>
      <c r="G21" s="170">
        <f>IFERROR(VLOOKUP(D21,'Definición de empresa-personal'!$A$54:$H$64,2,FALSE),"")</f>
        <v>37.650433388177504</v>
      </c>
      <c r="H21" s="170">
        <f>G21*E21</f>
        <v>100.52665714643393</v>
      </c>
      <c r="I21" s="170"/>
      <c r="J21" s="170"/>
    </row>
  </sheetData>
  <mergeCells count="1">
    <mergeCell ref="A2:J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A5045-5E64-4D5E-A06B-3B9850A54766}">
  <sheetPr>
    <tabColor rgb="FF7030A0"/>
  </sheetPr>
  <dimension ref="A2:J26"/>
  <sheetViews>
    <sheetView workbookViewId="0">
      <selection activeCell="N11" sqref="N11"/>
    </sheetView>
  </sheetViews>
  <sheetFormatPr baseColWidth="10" defaultColWidth="11" defaultRowHeight="15.75" x14ac:dyDescent="0.25"/>
  <cols>
    <col min="3" max="3" width="34.875" customWidth="1"/>
    <col min="4" max="4" width="8.5" bestFit="1" customWidth="1"/>
    <col min="9" max="9" width="11" hidden="1" customWidth="1"/>
    <col min="10" max="10" width="0" hidden="1" customWidth="1"/>
  </cols>
  <sheetData>
    <row r="2" spans="1:10" ht="25.7" customHeight="1" x14ac:dyDescent="0.25">
      <c r="A2" s="217" t="s">
        <v>18</v>
      </c>
      <c r="B2" s="217"/>
      <c r="C2" s="217"/>
      <c r="D2" s="217"/>
      <c r="E2" s="217"/>
      <c r="F2" s="217"/>
      <c r="G2" s="217"/>
      <c r="H2" s="217"/>
      <c r="I2" s="217"/>
      <c r="J2" s="217"/>
    </row>
    <row r="3" spans="1:10" x14ac:dyDescent="0.25">
      <c r="A3" s="33" t="s">
        <v>145</v>
      </c>
      <c r="B3" s="33" t="s">
        <v>146</v>
      </c>
      <c r="C3" s="34" t="s">
        <v>148</v>
      </c>
      <c r="D3" s="34" t="s">
        <v>149</v>
      </c>
      <c r="E3" s="34" t="s">
        <v>104</v>
      </c>
      <c r="F3" s="34" t="s">
        <v>105</v>
      </c>
      <c r="G3" s="34" t="s">
        <v>151</v>
      </c>
      <c r="H3" s="34" t="s">
        <v>2</v>
      </c>
    </row>
    <row r="4" spans="1:10" x14ac:dyDescent="0.25">
      <c r="A4" s="35" t="s">
        <v>152</v>
      </c>
      <c r="B4" s="35"/>
      <c r="C4" s="36" t="s">
        <v>18</v>
      </c>
      <c r="D4" s="37"/>
      <c r="E4" s="37"/>
      <c r="F4" s="37"/>
      <c r="G4" s="37"/>
      <c r="H4" s="38">
        <f>SUM(G5:G15)</f>
        <v>65160</v>
      </c>
    </row>
    <row r="5" spans="1:10" x14ac:dyDescent="0.25">
      <c r="A5" s="17"/>
      <c r="B5" s="17" t="s">
        <v>136</v>
      </c>
      <c r="C5" s="101" t="s">
        <v>329</v>
      </c>
      <c r="D5" s="20">
        <v>36</v>
      </c>
      <c r="E5" s="21" t="s">
        <v>330</v>
      </c>
      <c r="F5" s="22">
        <v>1000</v>
      </c>
      <c r="G5" s="22">
        <f>D5*F5</f>
        <v>36000</v>
      </c>
      <c r="H5" s="21"/>
    </row>
    <row r="6" spans="1:10" x14ac:dyDescent="0.25">
      <c r="A6" s="17"/>
      <c r="B6" s="17" t="s">
        <v>137</v>
      </c>
      <c r="C6" s="101" t="s">
        <v>331</v>
      </c>
      <c r="D6" s="20">
        <v>1440</v>
      </c>
      <c r="E6" s="21" t="s">
        <v>332</v>
      </c>
      <c r="F6" s="22">
        <v>2</v>
      </c>
      <c r="G6" s="22">
        <f>D6*F6</f>
        <v>2880</v>
      </c>
      <c r="H6" s="21"/>
    </row>
    <row r="7" spans="1:10" x14ac:dyDescent="0.25">
      <c r="A7" s="17"/>
      <c r="B7" s="17" t="s">
        <v>138</v>
      </c>
      <c r="C7" s="101" t="s">
        <v>333</v>
      </c>
      <c r="D7" s="20">
        <v>9</v>
      </c>
      <c r="E7" s="21" t="s">
        <v>330</v>
      </c>
      <c r="F7" s="22">
        <v>500</v>
      </c>
      <c r="G7" s="22">
        <f t="shared" ref="G7:G15" si="0">D7*F7</f>
        <v>4500</v>
      </c>
      <c r="H7" s="21"/>
    </row>
    <row r="8" spans="1:10" x14ac:dyDescent="0.25">
      <c r="A8" s="17"/>
      <c r="B8" s="17" t="s">
        <v>139</v>
      </c>
      <c r="C8" s="101" t="s">
        <v>334</v>
      </c>
      <c r="D8" s="20">
        <v>36</v>
      </c>
      <c r="E8" s="21" t="s">
        <v>330</v>
      </c>
      <c r="F8" s="22">
        <v>200</v>
      </c>
      <c r="G8" s="22">
        <f t="shared" si="0"/>
        <v>7200</v>
      </c>
      <c r="H8" s="21"/>
    </row>
    <row r="9" spans="1:10" x14ac:dyDescent="0.25">
      <c r="A9" s="17"/>
      <c r="B9" s="17" t="s">
        <v>140</v>
      </c>
      <c r="C9" s="101" t="s">
        <v>335</v>
      </c>
      <c r="D9" s="20">
        <v>1</v>
      </c>
      <c r="E9" s="21" t="s">
        <v>330</v>
      </c>
      <c r="F9" s="22">
        <v>3000</v>
      </c>
      <c r="G9" s="22">
        <f t="shared" si="0"/>
        <v>3000</v>
      </c>
      <c r="H9" s="21"/>
    </row>
    <row r="10" spans="1:10" x14ac:dyDescent="0.25">
      <c r="A10" s="17"/>
      <c r="B10" s="17" t="s">
        <v>141</v>
      </c>
      <c r="C10" s="101" t="s">
        <v>336</v>
      </c>
      <c r="D10" s="20">
        <v>1</v>
      </c>
      <c r="E10" s="21" t="s">
        <v>330</v>
      </c>
      <c r="F10" s="22">
        <v>500</v>
      </c>
      <c r="G10" s="22">
        <f t="shared" si="0"/>
        <v>500</v>
      </c>
      <c r="H10" s="21"/>
    </row>
    <row r="11" spans="1:10" x14ac:dyDescent="0.25">
      <c r="A11" s="17"/>
      <c r="B11" s="17" t="s">
        <v>142</v>
      </c>
      <c r="C11" s="101" t="s">
        <v>337</v>
      </c>
      <c r="D11" s="20">
        <v>1</v>
      </c>
      <c r="E11" s="21" t="s">
        <v>330</v>
      </c>
      <c r="F11" s="22">
        <v>1500</v>
      </c>
      <c r="G11" s="22">
        <f t="shared" si="0"/>
        <v>1500</v>
      </c>
      <c r="H11" s="21"/>
    </row>
    <row r="12" spans="1:10" x14ac:dyDescent="0.25">
      <c r="A12" s="17"/>
      <c r="B12" s="17" t="s">
        <v>144</v>
      </c>
      <c r="C12" s="101" t="s">
        <v>338</v>
      </c>
      <c r="D12" s="20">
        <v>40</v>
      </c>
      <c r="E12" s="21" t="s">
        <v>330</v>
      </c>
      <c r="F12" s="22">
        <v>100</v>
      </c>
      <c r="G12" s="22">
        <f t="shared" si="0"/>
        <v>4000</v>
      </c>
      <c r="H12" s="21"/>
    </row>
    <row r="13" spans="1:10" x14ac:dyDescent="0.25">
      <c r="A13" s="17"/>
      <c r="B13" s="17" t="s">
        <v>213</v>
      </c>
      <c r="C13" s="101" t="s">
        <v>339</v>
      </c>
      <c r="D13" s="20">
        <v>9</v>
      </c>
      <c r="E13" s="21" t="s">
        <v>330</v>
      </c>
      <c r="F13" s="22">
        <v>150</v>
      </c>
      <c r="G13" s="22">
        <f t="shared" si="0"/>
        <v>1350</v>
      </c>
      <c r="H13" s="21"/>
    </row>
    <row r="14" spans="1:10" x14ac:dyDescent="0.25">
      <c r="A14" s="17"/>
      <c r="B14" s="17" t="s">
        <v>215</v>
      </c>
      <c r="C14" s="101" t="s">
        <v>340</v>
      </c>
      <c r="D14" s="20">
        <v>9</v>
      </c>
      <c r="E14" s="21" t="s">
        <v>330</v>
      </c>
      <c r="F14" s="22">
        <v>150</v>
      </c>
      <c r="G14" s="22">
        <f t="shared" si="0"/>
        <v>1350</v>
      </c>
      <c r="H14" s="21"/>
    </row>
    <row r="15" spans="1:10" x14ac:dyDescent="0.25">
      <c r="A15" s="101"/>
      <c r="B15" s="17" t="s">
        <v>217</v>
      </c>
      <c r="C15" s="101" t="s">
        <v>341</v>
      </c>
      <c r="D15" s="17">
        <v>36</v>
      </c>
      <c r="E15" s="21" t="s">
        <v>330</v>
      </c>
      <c r="F15" s="22">
        <v>80</v>
      </c>
      <c r="G15" s="22">
        <f t="shared" si="0"/>
        <v>2880</v>
      </c>
      <c r="H15" s="101"/>
      <c r="I15" s="9"/>
    </row>
    <row r="16" spans="1:10" x14ac:dyDescent="0.25">
      <c r="A16" s="9"/>
      <c r="B16" s="9"/>
      <c r="C16" s="9"/>
      <c r="D16" s="9"/>
      <c r="E16" s="9"/>
      <c r="F16" s="9"/>
      <c r="G16" s="9"/>
      <c r="H16" s="9"/>
      <c r="I16" s="9"/>
    </row>
    <row r="17" spans="1:10" x14ac:dyDescent="0.25">
      <c r="A17" s="9"/>
      <c r="B17" s="9"/>
      <c r="C17" s="9"/>
      <c r="D17" s="9"/>
      <c r="E17" s="9"/>
      <c r="F17" s="9"/>
      <c r="G17" s="9"/>
      <c r="H17" s="9"/>
      <c r="I17" s="9"/>
    </row>
    <row r="18" spans="1:10" x14ac:dyDescent="0.25">
      <c r="A18" s="9"/>
      <c r="B18" s="9"/>
      <c r="C18" s="9"/>
      <c r="D18" s="9"/>
      <c r="E18" s="9"/>
      <c r="F18" s="9"/>
      <c r="G18" s="9"/>
      <c r="H18" s="9"/>
      <c r="I18" s="9"/>
    </row>
    <row r="19" spans="1:10" x14ac:dyDescent="0.25">
      <c r="A19" s="9"/>
      <c r="B19" s="9"/>
      <c r="C19" s="9"/>
      <c r="D19" s="9"/>
      <c r="E19" s="9"/>
      <c r="F19" s="9"/>
      <c r="G19" s="9"/>
      <c r="H19" s="9"/>
      <c r="I19" s="9"/>
    </row>
    <row r="20" spans="1:10" x14ac:dyDescent="0.25">
      <c r="A20" s="9"/>
      <c r="B20" s="9"/>
      <c r="C20" s="9"/>
      <c r="D20" s="9"/>
      <c r="E20" s="9"/>
      <c r="F20" s="9"/>
      <c r="G20" s="9"/>
      <c r="H20" s="9"/>
      <c r="I20" s="9"/>
    </row>
    <row r="21" spans="1:10" x14ac:dyDescent="0.25">
      <c r="A21" s="15"/>
      <c r="B21" s="15"/>
      <c r="C21" s="15"/>
      <c r="D21" s="27"/>
      <c r="E21" s="9"/>
      <c r="F21" s="9"/>
      <c r="G21" s="28"/>
      <c r="H21" s="28"/>
      <c r="I21" s="28"/>
      <c r="J21" s="9"/>
    </row>
    <row r="22" spans="1:10" x14ac:dyDescent="0.25">
      <c r="A22" s="15"/>
      <c r="B22" s="15"/>
      <c r="C22" s="15"/>
      <c r="D22" s="29"/>
      <c r="E22" s="9"/>
      <c r="F22" s="9"/>
      <c r="G22" s="28"/>
      <c r="H22" s="28"/>
      <c r="I22" s="28"/>
      <c r="J22" s="9"/>
    </row>
    <row r="23" spans="1:10" x14ac:dyDescent="0.25">
      <c r="A23" s="15"/>
      <c r="B23" s="15"/>
      <c r="C23" s="15"/>
      <c r="D23" s="27"/>
      <c r="E23" s="9"/>
      <c r="F23" s="9"/>
      <c r="G23" s="28"/>
      <c r="H23" s="28"/>
      <c r="I23" s="28"/>
      <c r="J23" s="9"/>
    </row>
    <row r="24" spans="1:10" x14ac:dyDescent="0.25">
      <c r="A24" s="15"/>
      <c r="B24" s="15"/>
      <c r="C24" s="15"/>
      <c r="D24" s="29"/>
      <c r="E24" s="9"/>
      <c r="F24" s="9"/>
      <c r="G24" s="28"/>
      <c r="H24" s="28"/>
      <c r="I24" s="28"/>
      <c r="J24" s="9"/>
    </row>
    <row r="25" spans="1:10" x14ac:dyDescent="0.25">
      <c r="A25" s="15"/>
      <c r="B25" s="15"/>
      <c r="C25" s="15"/>
      <c r="D25" s="27"/>
      <c r="E25" s="9"/>
      <c r="F25" s="9"/>
      <c r="G25" s="28"/>
      <c r="H25" s="28"/>
      <c r="I25" s="28"/>
      <c r="J25" s="9"/>
    </row>
    <row r="26" spans="1:10" x14ac:dyDescent="0.25">
      <c r="A26" s="15"/>
      <c r="B26" s="15"/>
      <c r="C26" s="15"/>
      <c r="D26" s="29"/>
      <c r="E26" s="9"/>
      <c r="F26" s="9"/>
      <c r="G26" s="28"/>
      <c r="H26" s="28"/>
      <c r="I26" s="28"/>
      <c r="J26" s="9"/>
    </row>
  </sheetData>
  <mergeCells count="1">
    <mergeCell ref="A2:J2"/>
  </mergeCells>
  <phoneticPr fontId="11" type="noConversion"/>
  <pageMargins left="0.7" right="0.7" top="0.75" bottom="0.75" header="0.3" footer="0.3"/>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AB5715D9-0925-4A5A-B2A3-FA5173758C1A}">
          <x14:formula1>
            <xm:f>'Definición de empresa-personal'!$A$56:$A$64</xm:f>
          </x14:formula1>
          <xm:sqref>D26 D22 D24</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4326AB81C6CF248AA54994EC2B758A4" ma:contentTypeVersion="11" ma:contentTypeDescription="Crear nuevo documento." ma:contentTypeScope="" ma:versionID="71b6670b48d8c51b791f3a7ca35e6ecd">
  <xsd:schema xmlns:xsd="http://www.w3.org/2001/XMLSchema" xmlns:xs="http://www.w3.org/2001/XMLSchema" xmlns:p="http://schemas.microsoft.com/office/2006/metadata/properties" xmlns:ns2="e75426e2-0f14-43b8-86bb-aece17810ea6" xmlns:ns3="4d6f739f-0c4a-4009-b70a-e57ccd87c7d3" targetNamespace="http://schemas.microsoft.com/office/2006/metadata/properties" ma:root="true" ma:fieldsID="8d68a84c4d9006f9a4de50fb13e999e4" ns2:_="" ns3:_="">
    <xsd:import namespace="e75426e2-0f14-43b8-86bb-aece17810ea6"/>
    <xsd:import namespace="4d6f739f-0c4a-4009-b70a-e57ccd87c7d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5426e2-0f14-43b8-86bb-aece17810ea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Etiquetas de imagen" ma:readOnly="false" ma:fieldId="{5cf76f15-5ced-4ddc-b409-7134ff3c332f}" ma:taxonomyMulti="true" ma:sspId="efd49586-4e9d-4401-97cc-84a6e35ca03c"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d6f739f-0c4a-4009-b70a-e57ccd87c7d3"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b4ee4694-2146-410f-b44e-8a29b6f246c4}" ma:internalName="TaxCatchAll" ma:showField="CatchAllData" ma:web="4d6f739f-0c4a-4009-b70a-e57ccd87c7d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832219D-77D5-4558-8225-4ABF901FF5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5426e2-0f14-43b8-86bb-aece17810ea6"/>
    <ds:schemaRef ds:uri="4d6f739f-0c4a-4009-b70a-e57ccd87c7d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D1AD59B-D7AE-4154-B1D3-891537CB5E51}">
  <ds:schemaRefs>
    <ds:schemaRef ds:uri="http://schemas.microsoft.com/sharepoint/v3/contenttype/forms"/>
  </ds:schemaRefs>
</ds:datastoreItem>
</file>

<file path=docMetadata/LabelInfo.xml><?xml version="1.0" encoding="utf-8"?>
<clbl:labelList xmlns:clbl="http://schemas.microsoft.com/office/2020/mipLabelMetadata">
  <clbl:label id="{05ea74a3-92c5-4c31-978a-925c3c799cd0}" enabled="0" method="" siteId="{05ea74a3-92c5-4c31-978a-925c3c799cd0}"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23</vt:i4>
      </vt:variant>
    </vt:vector>
  </HeadingPairs>
  <TitlesOfParts>
    <vt:vector size="23" baseType="lpstr">
      <vt:lpstr>CLIENTE</vt:lpstr>
      <vt:lpstr>Ponderación de costes cliente</vt:lpstr>
      <vt:lpstr>Definición de empresa-personal</vt:lpstr>
      <vt:lpstr>Definición de empresa-servicios</vt:lpstr>
      <vt:lpstr>Definición de empresa-resumen</vt:lpstr>
      <vt:lpstr>Resumen de partidas - sin benef</vt:lpstr>
      <vt:lpstr>Partida - Otros costes</vt:lpstr>
      <vt:lpstr>Partida - Documentación y GP</vt:lpstr>
      <vt:lpstr>Partida - Análisis de requisito</vt:lpstr>
      <vt:lpstr>Partida - Diseño y Arquitectura</vt:lpstr>
      <vt:lpstr>Partida - Sistema mensajería</vt:lpstr>
      <vt:lpstr>Partida - Gestión de usuarios</vt:lpstr>
      <vt:lpstr>Partida - Sistema de geo</vt:lpstr>
      <vt:lpstr>Partida - Dashboard de seguimie</vt:lpstr>
      <vt:lpstr>Partida - App usr. gest. emerg.</vt:lpstr>
      <vt:lpstr>Partida - Adquisición de hardwa</vt:lpstr>
      <vt:lpstr>Partida - Instalación hospitale</vt:lpstr>
      <vt:lpstr>Partida - Instalación vehiculos</vt:lpstr>
      <vt:lpstr>Partida -  Int. Sist. Centrales</vt:lpstr>
      <vt:lpstr>Partida - App Mensj y Alerts</vt:lpstr>
      <vt:lpstr>Partida - Manuales de Usuario</vt:lpstr>
      <vt:lpstr>Partida - Pruebas y depuracion</vt:lpstr>
      <vt:lpstr>Partida - Hardware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David Leszek Warzynski Abril</cp:lastModifiedBy>
  <cp:revision/>
  <dcterms:created xsi:type="dcterms:W3CDTF">2021-04-13T15:46:02Z</dcterms:created>
  <dcterms:modified xsi:type="dcterms:W3CDTF">2024-04-27T17:06:44Z</dcterms:modified>
  <cp:category/>
  <cp:contentStatus/>
</cp:coreProperties>
</file>