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" state="visible" r:id="rId4"/>
  </sheets>
  <calcPr calcId="171027"/>
</workbook>
</file>

<file path=xl/sharedStrings.xml><?xml version="1.0" encoding="utf-8"?>
<sst xmlns="http://schemas.openxmlformats.org/spreadsheetml/2006/main" count="4814" uniqueCount="680">
  <si>
    <t/>
  </si>
  <si>
    <t>PCS</t>
  </si>
  <si>
    <t>Carat</t>
  </si>
  <si>
    <t>Rap.($)</t>
  </si>
  <si>
    <t xml:space="preserve"> Disc %</t>
  </si>
  <si>
    <t xml:space="preserve"> Price/ct</t>
  </si>
  <si>
    <t>Amount</t>
  </si>
  <si>
    <t>Rap Avg</t>
  </si>
  <si>
    <t>TOTAL</t>
  </si>
  <si>
    <t>SELECTED</t>
  </si>
  <si>
    <t>SrNo</t>
  </si>
  <si>
    <t>Packet No</t>
  </si>
  <si>
    <t>DNA</t>
  </si>
  <si>
    <t>Shape</t>
  </si>
  <si>
    <t>Color</t>
  </si>
  <si>
    <t>Clarity</t>
  </si>
  <si>
    <t xml:space="preserve">Cut </t>
  </si>
  <si>
    <t xml:space="preserve"> Pol</t>
  </si>
  <si>
    <t>Sym</t>
  </si>
  <si>
    <t>Fls</t>
  </si>
  <si>
    <t>Measurement</t>
  </si>
  <si>
    <t>Ratio</t>
  </si>
  <si>
    <t>Depth%</t>
  </si>
  <si>
    <t>Table%</t>
  </si>
  <si>
    <t>Lab</t>
  </si>
  <si>
    <t>Report No</t>
  </si>
  <si>
    <t>Comments</t>
  </si>
  <si>
    <t>Key To Symbols</t>
  </si>
  <si>
    <t>TI</t>
  </si>
  <si>
    <t>Shade</t>
  </si>
  <si>
    <t>SI</t>
  </si>
  <si>
    <t>TB</t>
  </si>
  <si>
    <t>SB</t>
  </si>
  <si>
    <t>TO</t>
  </si>
  <si>
    <t>SO</t>
  </si>
  <si>
    <t>11016-18</t>
  </si>
  <si>
    <t>ROUND</t>
  </si>
  <si>
    <t>H</t>
  </si>
  <si>
    <t>VS2</t>
  </si>
  <si>
    <t>EX</t>
  </si>
  <si>
    <t>NON</t>
  </si>
  <si>
    <t>9.9*9.85*6.17</t>
  </si>
  <si>
    <t>GIA</t>
  </si>
  <si>
    <t>-</t>
  </si>
  <si>
    <t>Feather  Crystal</t>
  </si>
  <si>
    <t>CRL1</t>
  </si>
  <si>
    <t>FR1</t>
  </si>
  <si>
    <t>PIN POINT BLACK</t>
  </si>
  <si>
    <t>NONE</t>
  </si>
  <si>
    <t>11051-75</t>
  </si>
  <si>
    <t>J</t>
  </si>
  <si>
    <t>SI1</t>
  </si>
  <si>
    <t>9.93*9.88*6.12</t>
  </si>
  <si>
    <t>Cloud  Feather  Crystal  Twinning Wisp</t>
  </si>
  <si>
    <t>FR2</t>
  </si>
  <si>
    <t>MINOR BLACK</t>
  </si>
  <si>
    <t>11136-83</t>
  </si>
  <si>
    <t>9.68*9.61*6.04</t>
  </si>
  <si>
    <t>Crystal  Cloud  Feather  Needle  Indented Natural</t>
  </si>
  <si>
    <t>SPR1</t>
  </si>
  <si>
    <t xml:space="preserve">SMALL </t>
  </si>
  <si>
    <t>11136-87</t>
  </si>
  <si>
    <t>I</t>
  </si>
  <si>
    <t>FNT</t>
  </si>
  <si>
    <t>9.34*9.28*5.75</t>
  </si>
  <si>
    <t>Crystal  Cloud  Feather  Needle</t>
  </si>
  <si>
    <t xml:space="preserve">PINPOINT </t>
  </si>
  <si>
    <t>11051-38</t>
  </si>
  <si>
    <t>D</t>
  </si>
  <si>
    <t>VS1</t>
  </si>
  <si>
    <t>9.24*9.19*5.77</t>
  </si>
  <si>
    <t>Crystal  Feather  Needle  Pinpoint</t>
  </si>
  <si>
    <t>11001-13</t>
  </si>
  <si>
    <t>9.26*9.22*5.72</t>
  </si>
  <si>
    <t>Crystal  Pinpoint</t>
  </si>
  <si>
    <t>PP1</t>
  </si>
  <si>
    <t>11030-1</t>
  </si>
  <si>
    <t>9.29*9.23*5.75</t>
  </si>
  <si>
    <t>Crystal  Feather  Needle</t>
  </si>
  <si>
    <t>11010-8</t>
  </si>
  <si>
    <t>9.28*9.25*5.76</t>
  </si>
  <si>
    <t>Feather  Needle  Cloud</t>
  </si>
  <si>
    <t>141418-8</t>
  </si>
  <si>
    <t>9.34*9.28*5.72</t>
  </si>
  <si>
    <t>Feather  Pinpoint</t>
  </si>
  <si>
    <t xml:space="preserve">HAIR LINE </t>
  </si>
  <si>
    <t>11042-35</t>
  </si>
  <si>
    <t>SI2</t>
  </si>
  <si>
    <t>9.2*9.15*5.69</t>
  </si>
  <si>
    <t>Crystal  Cloud  Knot  Feather  Needle  Indented Natural</t>
  </si>
  <si>
    <t>11034-18</t>
  </si>
  <si>
    <t>F</t>
  </si>
  <si>
    <t>9.22*9.17*5.7</t>
  </si>
  <si>
    <t>Crystal  Feather  Cloud  Needle  Indented Natural</t>
  </si>
  <si>
    <t>12044-128</t>
  </si>
  <si>
    <t>9.22*9.16*5.73</t>
  </si>
  <si>
    <t>MEDIUM BLACK</t>
  </si>
  <si>
    <t>11051-102</t>
  </si>
  <si>
    <t>G</t>
  </si>
  <si>
    <t>9.26*9.22*5.78</t>
  </si>
  <si>
    <t>12037-29</t>
  </si>
  <si>
    <t>9.28*9.24*5.66</t>
  </si>
  <si>
    <t>Crystal  Cloud  Knot  Needle  Feather</t>
  </si>
  <si>
    <t>11118-33</t>
  </si>
  <si>
    <t>K</t>
  </si>
  <si>
    <t>9.23*9.17*5.72</t>
  </si>
  <si>
    <t>Crystal  Pinpoint  Needle</t>
  </si>
  <si>
    <t>141411-15</t>
  </si>
  <si>
    <t>9.25*9.2*5.75</t>
  </si>
  <si>
    <t>Crystal  Feather  Needle  Cloud</t>
  </si>
  <si>
    <t>DB007-27</t>
  </si>
  <si>
    <t>8.87*8.82*5.59</t>
  </si>
  <si>
    <t>Crystal  Feather  Needle  Indented Natural  Natural</t>
  </si>
  <si>
    <t>11123-4</t>
  </si>
  <si>
    <t>MED</t>
  </si>
  <si>
    <t>8.7*8.65*5.44</t>
  </si>
  <si>
    <t>Crystal</t>
  </si>
  <si>
    <t>11041-13</t>
  </si>
  <si>
    <t>8.73*8.7*5.36</t>
  </si>
  <si>
    <t>141441-18</t>
  </si>
  <si>
    <t>8.73*8.68*5.33</t>
  </si>
  <si>
    <t>11051-30</t>
  </si>
  <si>
    <t>8.67*8.64*5.4</t>
  </si>
  <si>
    <t>141445-31</t>
  </si>
  <si>
    <t>8.69*8.64*5.45</t>
  </si>
  <si>
    <t>Cloud  Feather  Crystal  Needle</t>
  </si>
  <si>
    <t>11016-19</t>
  </si>
  <si>
    <t>8.66*8.61*5.36</t>
  </si>
  <si>
    <t>Feather  Pinpoint  Natural</t>
  </si>
  <si>
    <t>11136-44</t>
  </si>
  <si>
    <t>8.64*8.59*5.41</t>
  </si>
  <si>
    <t>Feather  Cloud  Crystal  Knot  Needle  Indented Natural  Natural</t>
  </si>
  <si>
    <t>141411-63</t>
  </si>
  <si>
    <t>8.72*8.69*5.36</t>
  </si>
  <si>
    <t>11090-33</t>
  </si>
  <si>
    <t>8.78*8.74*5.37</t>
  </si>
  <si>
    <t>Cloud  Crystal  Needle</t>
  </si>
  <si>
    <t>11008-20</t>
  </si>
  <si>
    <t>8.7*8.64*5.37</t>
  </si>
  <si>
    <t>Crystal  Feather  Pinpoint  Indented Natural  Natural</t>
  </si>
  <si>
    <t>CRL2</t>
  </si>
  <si>
    <t>11090-14</t>
  </si>
  <si>
    <t>8.64*8.58*5.2</t>
  </si>
  <si>
    <t>Crystal  Feather  Cloud</t>
  </si>
  <si>
    <t>141441-28</t>
  </si>
  <si>
    <t>8.36*8.31*5.22</t>
  </si>
  <si>
    <t>Crystal  Cloud  Needle  Feather</t>
  </si>
  <si>
    <t>11118-3</t>
  </si>
  <si>
    <t>8.38*8.35*5.18</t>
  </si>
  <si>
    <t>11034-2</t>
  </si>
  <si>
    <t>8.24*8.2*5.14</t>
  </si>
  <si>
    <t>Twinning Wisp  Crystal</t>
  </si>
  <si>
    <t>141444-101</t>
  </si>
  <si>
    <t>8.28*8.24*5.14</t>
  </si>
  <si>
    <t>Crystal  Needle  Cloud</t>
  </si>
  <si>
    <t>11124-3</t>
  </si>
  <si>
    <t>8.21*8.17*5.05</t>
  </si>
  <si>
    <t>Cloud  Crystal  Feather  Needle</t>
  </si>
  <si>
    <t>11141-9</t>
  </si>
  <si>
    <t>8.18*8.14*5.11</t>
  </si>
  <si>
    <t>Crystal  Needle</t>
  </si>
  <si>
    <t>141419-4</t>
  </si>
  <si>
    <t>8.17*8.12*5.1</t>
  </si>
  <si>
    <t>Cloud  Crystal  Feather</t>
  </si>
  <si>
    <t>11136-30</t>
  </si>
  <si>
    <t>8.17*8.13*5.07</t>
  </si>
  <si>
    <t>Crystal  Cloud  Needle</t>
  </si>
  <si>
    <t>12017-70</t>
  </si>
  <si>
    <t>8.17*8.12*5.09</t>
  </si>
  <si>
    <t>11136-52</t>
  </si>
  <si>
    <t>8.12*8.07*5.06</t>
  </si>
  <si>
    <t>Twinning Wisp  Feather  Crystal</t>
  </si>
  <si>
    <t>11008-15</t>
  </si>
  <si>
    <t>E</t>
  </si>
  <si>
    <t>8.07*8.03*5.09</t>
  </si>
  <si>
    <t>11042-15</t>
  </si>
  <si>
    <t>8.11*8.07*5.06</t>
  </si>
  <si>
    <t>SPR2</t>
  </si>
  <si>
    <t>11060-40</t>
  </si>
  <si>
    <t>8.18*8.12*4.98</t>
  </si>
  <si>
    <t>Twinning Wisp  Feather  Needle  Pinpoint</t>
  </si>
  <si>
    <t>11046-4</t>
  </si>
  <si>
    <t>8.13*8.08*5.01</t>
  </si>
  <si>
    <t>11136-63</t>
  </si>
  <si>
    <t>8.24*8.21*4.93</t>
  </si>
  <si>
    <t>12040-11</t>
  </si>
  <si>
    <t>8.07*8.02*5</t>
  </si>
  <si>
    <t>141444-10</t>
  </si>
  <si>
    <t>8.14*8.11*5.01</t>
  </si>
  <si>
    <t>Crystal  Feather  Cloud  Needle</t>
  </si>
  <si>
    <t>142088-45</t>
  </si>
  <si>
    <t>8.08*8.04*5</t>
  </si>
  <si>
    <t>12044-82</t>
  </si>
  <si>
    <t>8.11*8.07*5</t>
  </si>
  <si>
    <t>Feather  Cloud  Crystal  Needle</t>
  </si>
  <si>
    <t>11116-42</t>
  </si>
  <si>
    <t>8.08*8.03*5.04</t>
  </si>
  <si>
    <t>11059-101</t>
  </si>
  <si>
    <t>8.14*8.1*4.94</t>
  </si>
  <si>
    <t>11136-79</t>
  </si>
  <si>
    <t>12044-105</t>
  </si>
  <si>
    <t>8.11*8.06*4.96</t>
  </si>
  <si>
    <t>Crystal  Feather  Needle  Indented Natural</t>
  </si>
  <si>
    <t>11090-32</t>
  </si>
  <si>
    <t>8.13*8.08*5</t>
  </si>
  <si>
    <t>Crystal  Cloud</t>
  </si>
  <si>
    <t>141446-8</t>
  </si>
  <si>
    <t>8.05*8*5.04</t>
  </si>
  <si>
    <t>DB007-32</t>
  </si>
  <si>
    <t>8.19*8.15*4.94</t>
  </si>
  <si>
    <t>Feather  Crystal  Pinpoint</t>
  </si>
  <si>
    <t>11041-16</t>
  </si>
  <si>
    <t>8.09*8.03*4.95</t>
  </si>
  <si>
    <t>Cloud  Feather  Needle</t>
  </si>
  <si>
    <t>11051-88</t>
  </si>
  <si>
    <t>8.12*8.07*4.99</t>
  </si>
  <si>
    <t>Feather  Needle  Pinpoint  Cloud</t>
  </si>
  <si>
    <t>142094-88</t>
  </si>
  <si>
    <t>8.07*8.02*4.97</t>
  </si>
  <si>
    <t>Feather  Crystal  Pinpoint  Indented Natural</t>
  </si>
  <si>
    <t>12022-13</t>
  </si>
  <si>
    <t>8.02*7.97*5.05</t>
  </si>
  <si>
    <t>Twinning Wisp  Feather  Crystal  Indented Natural  Natural</t>
  </si>
  <si>
    <t>11051-77</t>
  </si>
  <si>
    <t>8.09*8.03*5</t>
  </si>
  <si>
    <t>Feather</t>
  </si>
  <si>
    <t>142094-34</t>
  </si>
  <si>
    <t>8.09*8.04*5.01</t>
  </si>
  <si>
    <t>11042-13</t>
  </si>
  <si>
    <t>8.12*8.07*4.97</t>
  </si>
  <si>
    <t>141444-9</t>
  </si>
  <si>
    <t>8.04*7.99*5.03</t>
  </si>
  <si>
    <t>Cloud  Feather  Crystal</t>
  </si>
  <si>
    <t>11041-45</t>
  </si>
  <si>
    <t>8.07*8.02*5.03</t>
  </si>
  <si>
    <t>Feather  Crystal  Cloud  Indented Natural</t>
  </si>
  <si>
    <t>11051-45</t>
  </si>
  <si>
    <t>Feather  Cloud  Crystal</t>
  </si>
  <si>
    <t>11051-105</t>
  </si>
  <si>
    <t>8.1*8.07*4.99</t>
  </si>
  <si>
    <t>Cloud  Crystal  Feather  Natural</t>
  </si>
  <si>
    <t>11136-58</t>
  </si>
  <si>
    <t>8.05*8*5.03</t>
  </si>
  <si>
    <t>11136-65</t>
  </si>
  <si>
    <t>8.08*8.06*4.98</t>
  </si>
  <si>
    <t>11051-49</t>
  </si>
  <si>
    <t>8.14*8.09*4.95</t>
  </si>
  <si>
    <t>Feather  Indented Natural  Natural</t>
  </si>
  <si>
    <t>11051-59</t>
  </si>
  <si>
    <t>8.05*8.01*5.03</t>
  </si>
  <si>
    <t>Cloud  Feather  Pinpoint  Indented Natural  Natural</t>
  </si>
  <si>
    <t>11051-14</t>
  </si>
  <si>
    <t>8.09*8.03*4.97</t>
  </si>
  <si>
    <t>Crystal  Feather  Knot  Cloud  Needle  Pinpoint</t>
  </si>
  <si>
    <t>11042-10</t>
  </si>
  <si>
    <t>8.13*8.08*4.96</t>
  </si>
  <si>
    <t>11136-21</t>
  </si>
  <si>
    <t>8.19*8.16*4.92</t>
  </si>
  <si>
    <t>Feather  Cloud  Needle</t>
  </si>
  <si>
    <t>11129-7</t>
  </si>
  <si>
    <t>8.1*8.05*4.99</t>
  </si>
  <si>
    <t>11041-8</t>
  </si>
  <si>
    <t>8.04*8.02*5.08</t>
  </si>
  <si>
    <t>11136-53</t>
  </si>
  <si>
    <t>8.04*7.99*5.05</t>
  </si>
  <si>
    <t>Feather  Cloud  Crystal  Needle  Indented Natural</t>
  </si>
  <si>
    <t>11090-10</t>
  </si>
  <si>
    <t>Feather  Cloud  Pinpoint</t>
  </si>
  <si>
    <t>11051-17</t>
  </si>
  <si>
    <t>8.03*7.97*5.01</t>
  </si>
  <si>
    <t>Crystal  Feather  Cloud  Natural</t>
  </si>
  <si>
    <t>142094-58</t>
  </si>
  <si>
    <t>8.14*8.09*5</t>
  </si>
  <si>
    <t>Feather  Crystal  Cloud  Needle</t>
  </si>
  <si>
    <t>142094-87</t>
  </si>
  <si>
    <t>8.06*8.02*5</t>
  </si>
  <si>
    <t>Cloud  Feather  Indented Natural</t>
  </si>
  <si>
    <t>11008-26</t>
  </si>
  <si>
    <t>8.07*8.04*4.98</t>
  </si>
  <si>
    <t>Crystal  Cloud  Pinpoint</t>
  </si>
  <si>
    <t>11136-54</t>
  </si>
  <si>
    <t>8.05*8*4.99</t>
  </si>
  <si>
    <t>11124-13</t>
  </si>
  <si>
    <t>8.05*8*5</t>
  </si>
  <si>
    <t>Twinning Wisp  Feather</t>
  </si>
  <si>
    <t>12037-19</t>
  </si>
  <si>
    <t>8.12*8.08*4.96</t>
  </si>
  <si>
    <t>Feather  Crystal  Needle</t>
  </si>
  <si>
    <t>11140-6</t>
  </si>
  <si>
    <t>8.04*7.99*5.02</t>
  </si>
  <si>
    <t>11136-43</t>
  </si>
  <si>
    <t>8.03*7.98*5.03</t>
  </si>
  <si>
    <t>Cloud  Crystal  Indented Natural  Needle</t>
  </si>
  <si>
    <t>141422-36</t>
  </si>
  <si>
    <t>8.06*8.03*5.04</t>
  </si>
  <si>
    <t>Feather  Twinning Wisp</t>
  </si>
  <si>
    <t>141447-2</t>
  </si>
  <si>
    <t>8.06*8.01*4.99</t>
  </si>
  <si>
    <t>Crystal  Pinpoint  Indented Natural  Natural</t>
  </si>
  <si>
    <t>11087-14</t>
  </si>
  <si>
    <t>8.06*8.02*5.01</t>
  </si>
  <si>
    <t>Cloud  Crystal  Feather  Needle  Natural</t>
  </si>
  <si>
    <t>11118-18</t>
  </si>
  <si>
    <t>8.04*7.98*5.05</t>
  </si>
  <si>
    <t>Feather  Pinpoint  Cloud  Natural</t>
  </si>
  <si>
    <t>142088-7</t>
  </si>
  <si>
    <t>8.21*8.17*4.89</t>
  </si>
  <si>
    <t>Needle</t>
  </si>
  <si>
    <t>141411-2</t>
  </si>
  <si>
    <t>8.1*8.07*5.03</t>
  </si>
  <si>
    <t>11129-4</t>
  </si>
  <si>
    <t>11041-31</t>
  </si>
  <si>
    <t>8.13*8.08*4.99</t>
  </si>
  <si>
    <t>Feather  Cloud</t>
  </si>
  <si>
    <t>141411-3</t>
  </si>
  <si>
    <t>8.11*8.07*4.97</t>
  </si>
  <si>
    <t>11087-6</t>
  </si>
  <si>
    <t>8.06*8.01*5.03</t>
  </si>
  <si>
    <t>Cloud  Crystal  Feather  Needle  Indented Natural  Natural</t>
  </si>
  <si>
    <t>11041-36</t>
  </si>
  <si>
    <t>8.19*8.15*4.9</t>
  </si>
  <si>
    <t>11051-16</t>
  </si>
  <si>
    <t>8.1*8.06*4.93</t>
  </si>
  <si>
    <t>142088-92</t>
  </si>
  <si>
    <t>8.04*8.01*5.03</t>
  </si>
  <si>
    <t>Twinning Wisp  Feather  Indented Natural  Needle  Natural</t>
  </si>
  <si>
    <t>11118-5</t>
  </si>
  <si>
    <t>8.03*7.98*5.01</t>
  </si>
  <si>
    <t>11041-9</t>
  </si>
  <si>
    <t>8.08*8.03*5</t>
  </si>
  <si>
    <t>11124-8</t>
  </si>
  <si>
    <t>8.14*8.1*5</t>
  </si>
  <si>
    <t>Crystal  Feather  Cloud  Pinpoint</t>
  </si>
  <si>
    <t>141445-2</t>
  </si>
  <si>
    <t>8.03*7.98*5.04</t>
  </si>
  <si>
    <t>11129-3</t>
  </si>
  <si>
    <t>8.06*8*5</t>
  </si>
  <si>
    <t>11019-1</t>
  </si>
  <si>
    <t>8.03*7.98*5.06</t>
  </si>
  <si>
    <t>141444-65</t>
  </si>
  <si>
    <t>8.06*8.01*4.98</t>
  </si>
  <si>
    <t>Feather  Cloud  Pinpoint  Needle</t>
  </si>
  <si>
    <t>11121-3</t>
  </si>
  <si>
    <t>8.09*8.04*4.93</t>
  </si>
  <si>
    <t>11090-36</t>
  </si>
  <si>
    <t>8.03*7.98*5.07</t>
  </si>
  <si>
    <t>Feather  Pinpoint  Indented Natural</t>
  </si>
  <si>
    <t>141411-10</t>
  </si>
  <si>
    <t>8.21*8.16*4.84</t>
  </si>
  <si>
    <t>11041-59</t>
  </si>
  <si>
    <t>8.05*8.01*4.97</t>
  </si>
  <si>
    <t>Feather  Crystal  Cloud  Needle  Natural</t>
  </si>
  <si>
    <t>11136-18</t>
  </si>
  <si>
    <t>7.94*7.89*4.92</t>
  </si>
  <si>
    <t>Crystal  Needle  Cloud  Indented Natural  Natural</t>
  </si>
  <si>
    <t>11051-36</t>
  </si>
  <si>
    <t>7.77*7.73*4.85</t>
  </si>
  <si>
    <t>Crystal  Feather  Pinpoint  Cloud</t>
  </si>
  <si>
    <t>11043-60</t>
  </si>
  <si>
    <t>7.74*7.69*4.83</t>
  </si>
  <si>
    <t>Crystal  Feather  Cloud  Pinpoint  Indented Natural  Natural</t>
  </si>
  <si>
    <t>11098-39</t>
  </si>
  <si>
    <t>7.68*7.65*4.8</t>
  </si>
  <si>
    <t>11108-144</t>
  </si>
  <si>
    <t>7.68*7.63*4.8</t>
  </si>
  <si>
    <t>11130-14</t>
  </si>
  <si>
    <t>7.67*7.62*4.79</t>
  </si>
  <si>
    <t>12044-115</t>
  </si>
  <si>
    <t>7.64*7.59*4.73</t>
  </si>
  <si>
    <t>11043-42</t>
  </si>
  <si>
    <t>7.6*7.55*4.73</t>
  </si>
  <si>
    <t>Feather  Needle  Indented Natural  Pinpoint  Natural</t>
  </si>
  <si>
    <t>11140-3</t>
  </si>
  <si>
    <t>7.63*7.58*4.75</t>
  </si>
  <si>
    <t>11051-2</t>
  </si>
  <si>
    <t>7.64*7.59*4.76</t>
  </si>
  <si>
    <t>11097-17</t>
  </si>
  <si>
    <t>7.78*7.75*4.62</t>
  </si>
  <si>
    <t>11042-21</t>
  </si>
  <si>
    <t>7.71*7.69*4.73</t>
  </si>
  <si>
    <t>11046-9</t>
  </si>
  <si>
    <t>7.71*7.67*4.64</t>
  </si>
  <si>
    <t>12044-123</t>
  </si>
  <si>
    <t>7.63*7.59*4.77</t>
  </si>
  <si>
    <t>12040-46</t>
  </si>
  <si>
    <t>7.73*7.68*4.61</t>
  </si>
  <si>
    <t>11016-8</t>
  </si>
  <si>
    <t>7.62*7.57*4.76</t>
  </si>
  <si>
    <t>Cloud  Feather  Needle  Pinpoint</t>
  </si>
  <si>
    <t>11108-49</t>
  </si>
  <si>
    <t>7.61*7.57*4.78</t>
  </si>
  <si>
    <t>11041-56</t>
  </si>
  <si>
    <t>11098-126</t>
  </si>
  <si>
    <t>7.6*7.55*4.77</t>
  </si>
  <si>
    <t>Indented Natural  Pinpoint  Natural</t>
  </si>
  <si>
    <t>141444-3</t>
  </si>
  <si>
    <t>7.63*7.59*4.71</t>
  </si>
  <si>
    <t>Cloud  Feather  Natural</t>
  </si>
  <si>
    <t>11118-41</t>
  </si>
  <si>
    <t>7.69*7.65*4.76</t>
  </si>
  <si>
    <t>11118-42</t>
  </si>
  <si>
    <t>7.72*7.68*4.66</t>
  </si>
  <si>
    <t>Crystal  Feather</t>
  </si>
  <si>
    <t>11118-37</t>
  </si>
  <si>
    <t>7.66*7.61*4.72</t>
  </si>
  <si>
    <t>141285-82</t>
  </si>
  <si>
    <t>7.72*7.67*4.64</t>
  </si>
  <si>
    <t>11071-27</t>
  </si>
  <si>
    <t>Cloud  Crystal  Feather  Indented Natural  Needle  Natural</t>
  </si>
  <si>
    <t>142061-53</t>
  </si>
  <si>
    <t>7.64*7.61*4.76</t>
  </si>
  <si>
    <t>Twinning Wisp  Feather  Crystal  Needle  Indented Natural  Natural</t>
  </si>
  <si>
    <t>NATURAL</t>
  </si>
  <si>
    <t>11115-44</t>
  </si>
  <si>
    <t>7.55*7.5*4.72</t>
  </si>
  <si>
    <t>Crystal  Feather  Pinpoint  Needle</t>
  </si>
  <si>
    <t>12037-35</t>
  </si>
  <si>
    <t>7.64*7.6*4.57</t>
  </si>
  <si>
    <t>Cloud  Crystal  Needle  Feather</t>
  </si>
  <si>
    <t>11076-75</t>
  </si>
  <si>
    <t>7.47*7.44*4.7</t>
  </si>
  <si>
    <t>11108-164</t>
  </si>
  <si>
    <t>7.48*7.43*4.63</t>
  </si>
  <si>
    <t>Twinning Wisp  Crystal  Feather</t>
  </si>
  <si>
    <t>11130-23</t>
  </si>
  <si>
    <t>7.45*7.4*4.66</t>
  </si>
  <si>
    <t>11071-4</t>
  </si>
  <si>
    <t>7.45*7.4*4.65</t>
  </si>
  <si>
    <t>11051-10</t>
  </si>
  <si>
    <t>7.47*7.45*4.57</t>
  </si>
  <si>
    <t>Crystal  Feather  Pinpoint</t>
  </si>
  <si>
    <t>11129-13</t>
  </si>
  <si>
    <t>7.54*7.5*4.54</t>
  </si>
  <si>
    <t>11043-37</t>
  </si>
  <si>
    <t>7.41*7.36*4.62</t>
  </si>
  <si>
    <t>11108-50</t>
  </si>
  <si>
    <t>7.4*7.35*4.6</t>
  </si>
  <si>
    <t>Crystal  Feather  Cloud  Pinpoint  Knot</t>
  </si>
  <si>
    <t>11088-22</t>
  </si>
  <si>
    <t>7.41*7.36*4.63</t>
  </si>
  <si>
    <t>11108-61</t>
  </si>
  <si>
    <t>7.4*7.36*4.62</t>
  </si>
  <si>
    <t>Twinning Wisp  Cloud  Crystal  Feather  Needle</t>
  </si>
  <si>
    <t>141444-61</t>
  </si>
  <si>
    <t>7.41*7.39*4.62</t>
  </si>
  <si>
    <t>11076-30</t>
  </si>
  <si>
    <t>7.46*7.41*4.55</t>
  </si>
  <si>
    <t>11041-33</t>
  </si>
  <si>
    <t>7.41*7.37*4.6</t>
  </si>
  <si>
    <t>Twinning Wisp  Crystal  Feather  Needle</t>
  </si>
  <si>
    <t>11088-48</t>
  </si>
  <si>
    <t>7.35*7.3*4.63</t>
  </si>
  <si>
    <t>11116-37</t>
  </si>
  <si>
    <t>7.35*7.32*4.59</t>
  </si>
  <si>
    <t>11088-53</t>
  </si>
  <si>
    <t>Cloud  Needle</t>
  </si>
  <si>
    <t>141445-44</t>
  </si>
  <si>
    <t>7.38*7.33*4.59</t>
  </si>
  <si>
    <t>11057-42</t>
  </si>
  <si>
    <t>7.4*7.38*4.57</t>
  </si>
  <si>
    <t>141444-17</t>
  </si>
  <si>
    <t>7.41*7.38*4.57</t>
  </si>
  <si>
    <t>11076-86</t>
  </si>
  <si>
    <t>7.32*7.31*4.56</t>
  </si>
  <si>
    <t>Twinning Wisp  Feather  Crystal  Needle</t>
  </si>
  <si>
    <t>11088-75</t>
  </si>
  <si>
    <t>7.34*7.3*4.58</t>
  </si>
  <si>
    <t>11136-3</t>
  </si>
  <si>
    <t>7.36*7.34*4.54</t>
  </si>
  <si>
    <t>Twinning Wisp  Cloud  Feather  Needle</t>
  </si>
  <si>
    <t>11136-17</t>
  </si>
  <si>
    <t>7.46*7.41*4.47</t>
  </si>
  <si>
    <t>141404-16</t>
  </si>
  <si>
    <t>7.33*7.28*4.55</t>
  </si>
  <si>
    <t>12046-30</t>
  </si>
  <si>
    <t>7.44*7.43*4.42</t>
  </si>
  <si>
    <t>11108-130</t>
  </si>
  <si>
    <t>7.44*7.4*4.51</t>
  </si>
  <si>
    <t>11108-78</t>
  </si>
  <si>
    <t>7.32*7.3*4.58</t>
  </si>
  <si>
    <t>11076-101</t>
  </si>
  <si>
    <t>7.35*7.31*4.56</t>
  </si>
  <si>
    <t>12044-158</t>
  </si>
  <si>
    <t>7.45*7.43*4.53</t>
  </si>
  <si>
    <t>11098-51</t>
  </si>
  <si>
    <t>7.31*7.28*4.55</t>
  </si>
  <si>
    <t>11136-4</t>
  </si>
  <si>
    <t>7.41*7.36*4.53</t>
  </si>
  <si>
    <t>11136-11</t>
  </si>
  <si>
    <t>7.32*7.28*4.57</t>
  </si>
  <si>
    <t>11136-1</t>
  </si>
  <si>
    <t>7.37*7.32*4.57</t>
  </si>
  <si>
    <t>12046-52</t>
  </si>
  <si>
    <t>7.35*7.32*4.53</t>
  </si>
  <si>
    <t>11118-20</t>
  </si>
  <si>
    <t>7.39*7.37*4.49</t>
  </si>
  <si>
    <t>Cloud  Feather  Pinpoint</t>
  </si>
  <si>
    <t>11059-90</t>
  </si>
  <si>
    <t>7.29*7.24*4.58</t>
  </si>
  <si>
    <t>Crystal  Natural</t>
  </si>
  <si>
    <t>11059-63</t>
  </si>
  <si>
    <t>7.3*7.26*4.56</t>
  </si>
  <si>
    <t>Needle  Feather  Pinpoint  Indented Natural</t>
  </si>
  <si>
    <t>11116-38</t>
  </si>
  <si>
    <t>7.3*7.26*4.57</t>
  </si>
  <si>
    <t>Cloud  Crystal  Feather  Needle  Indented Natural</t>
  </si>
  <si>
    <t>11136-51</t>
  </si>
  <si>
    <t>7.35*7.3*4.53</t>
  </si>
  <si>
    <t>11023-7</t>
  </si>
  <si>
    <t>7.29*7.24*4.6</t>
  </si>
  <si>
    <t>Crystal  Feather  Indented Natural  Natural</t>
  </si>
  <si>
    <t>11136-20</t>
  </si>
  <si>
    <t>7.49*7.47*4.42</t>
  </si>
  <si>
    <t>141283-17</t>
  </si>
  <si>
    <t>7.5*7.46*4.45</t>
  </si>
  <si>
    <t>11035-4</t>
  </si>
  <si>
    <t>7.29*7.24*4.56</t>
  </si>
  <si>
    <t>Crystal  Knot  Needle</t>
  </si>
  <si>
    <t>11034-3</t>
  </si>
  <si>
    <t>7.39*7.35*4.44</t>
  </si>
  <si>
    <t>Crystal  Cloud  Indented Natural  Natural</t>
  </si>
  <si>
    <t>11017-4</t>
  </si>
  <si>
    <t>7.33*7.28*4.56</t>
  </si>
  <si>
    <t>11023-10</t>
  </si>
  <si>
    <t>7.3*7.26*4.59</t>
  </si>
  <si>
    <t>Crystal  Needle  Feather  Natural</t>
  </si>
  <si>
    <t>141445-35</t>
  </si>
  <si>
    <t>7.35*7.32*4.55</t>
  </si>
  <si>
    <t>Cloud  Crystal  Feather  Pinpoint  Natural</t>
  </si>
  <si>
    <t>141404-30</t>
  </si>
  <si>
    <t>7.3*7.26*4.54</t>
  </si>
  <si>
    <t>11099-16</t>
  </si>
  <si>
    <t>7.33*7.28*4.61</t>
  </si>
  <si>
    <t>11035-7</t>
  </si>
  <si>
    <t>7.28*7.24*4.57</t>
  </si>
  <si>
    <t>Cloud  Crystal  Needle  Indented Natural  Natural</t>
  </si>
  <si>
    <t>11051-62</t>
  </si>
  <si>
    <t>7.33*7.29*4.52</t>
  </si>
  <si>
    <t>142083-25</t>
  </si>
  <si>
    <t>7.29*7.24*4.59</t>
  </si>
  <si>
    <t>12044-120</t>
  </si>
  <si>
    <t>7.31*7.26*4.56</t>
  </si>
  <si>
    <t>11059-110</t>
  </si>
  <si>
    <t>Feather  Crystal  Indented Natural  Pinpoint  Natural</t>
  </si>
  <si>
    <t>142088-28</t>
  </si>
  <si>
    <t>7.31*7.27*4.52</t>
  </si>
  <si>
    <t>11091-7</t>
  </si>
  <si>
    <t>7.37*7.34*4.51</t>
  </si>
  <si>
    <t>11088-23</t>
  </si>
  <si>
    <t>7.32*7.29*4.56</t>
  </si>
  <si>
    <t>Crystal  Needle  Knot</t>
  </si>
  <si>
    <t>11009-99</t>
  </si>
  <si>
    <t>Crystal  Feather  Needle  Natural</t>
  </si>
  <si>
    <t>11009-237</t>
  </si>
  <si>
    <t>7.34*7.3*4.49</t>
  </si>
  <si>
    <t>11097-26</t>
  </si>
  <si>
    <t>7.31*7.27*4.57</t>
  </si>
  <si>
    <t>Feather  Twinning Wisp  Crystal</t>
  </si>
  <si>
    <t>11059-22</t>
  </si>
  <si>
    <t>7.31*7.26*4.53</t>
  </si>
  <si>
    <t>11061-15</t>
  </si>
  <si>
    <t>7.28*7.23*4.58</t>
  </si>
  <si>
    <t>11118-10</t>
  </si>
  <si>
    <t>7.42*7.38*4.53</t>
  </si>
  <si>
    <t>Feather  Needle  Pinpoint</t>
  </si>
  <si>
    <t>11042-2</t>
  </si>
  <si>
    <t>7.39*7.35*4.46</t>
  </si>
  <si>
    <t>11051-68</t>
  </si>
  <si>
    <t>7.48*7.45*4.49</t>
  </si>
  <si>
    <t>141430-21</t>
  </si>
  <si>
    <t>7.42*7.37*4.43</t>
  </si>
  <si>
    <t>11119-46</t>
  </si>
  <si>
    <t>11136-22</t>
  </si>
  <si>
    <t>7.35*7.31*4.51</t>
  </si>
  <si>
    <t>Crystal  Twinning Wisp  Feather  Indented Natural  Natural</t>
  </si>
  <si>
    <t>11118-46</t>
  </si>
  <si>
    <t>7.44*7.4*4.49</t>
  </si>
  <si>
    <t>Feather  Twinning Wisp  Crystal  Cloud  Needle</t>
  </si>
  <si>
    <t>11076-18</t>
  </si>
  <si>
    <t>7.3*7.25*4.59</t>
  </si>
  <si>
    <t>142088-68</t>
  </si>
  <si>
    <t>7.3*7.26*4.55</t>
  </si>
  <si>
    <t>11136-101</t>
  </si>
  <si>
    <t>7.33*7.29*4.53</t>
  </si>
  <si>
    <t>141283-12</t>
  </si>
  <si>
    <t>7.35*7.3*4.52</t>
  </si>
  <si>
    <t>11097-34</t>
  </si>
  <si>
    <t>7.32*7.27*4.57</t>
  </si>
  <si>
    <t>11088-46</t>
  </si>
  <si>
    <t>7.29*7.25*4.57</t>
  </si>
  <si>
    <t>11108-83</t>
  </si>
  <si>
    <t>7.29*7.24*4.55</t>
  </si>
  <si>
    <t>Feather  Crystal  Cloud  Knot  Needle  Indented Natural  Natural</t>
  </si>
  <si>
    <t>11088-9</t>
  </si>
  <si>
    <t>7.34*7.29*4.44</t>
  </si>
  <si>
    <t>12044-122</t>
  </si>
  <si>
    <t>11136-36</t>
  </si>
  <si>
    <t>7.43*7.39*4.45</t>
  </si>
  <si>
    <t>11147-25</t>
  </si>
  <si>
    <t>7.43*7.42*4.47</t>
  </si>
  <si>
    <t>11125-42</t>
  </si>
  <si>
    <t>11118-35</t>
  </si>
  <si>
    <t>7.34*7.31*4.47</t>
  </si>
  <si>
    <t>11129-10</t>
  </si>
  <si>
    <t>7.31*7.27*4.5</t>
  </si>
  <si>
    <t>Feather  Crystal  Indented Natural  Needle  Natural</t>
  </si>
  <si>
    <t>11041-21</t>
  </si>
  <si>
    <t>7.38*7.35*4.5</t>
  </si>
  <si>
    <t>11108-129</t>
  </si>
  <si>
    <t>7.32*7.28*4.58</t>
  </si>
  <si>
    <t>141237-24</t>
  </si>
  <si>
    <t>7.29*7.25*4.56</t>
  </si>
  <si>
    <t>12017-39</t>
  </si>
  <si>
    <t>7.32*7.27*4.59</t>
  </si>
  <si>
    <t>Crystal  Twinning Wisp  Feather  Needle</t>
  </si>
  <si>
    <t>141411-40</t>
  </si>
  <si>
    <t>7.29*7.24*4.57</t>
  </si>
  <si>
    <t>Feather  Crystal  Cloud  Indented Natural  Natural</t>
  </si>
  <si>
    <t>11071-11</t>
  </si>
  <si>
    <t>7.31*7.28*4.59</t>
  </si>
  <si>
    <t>Twinning Wisp  Cloud</t>
  </si>
  <si>
    <t>142071-61</t>
  </si>
  <si>
    <t>7.42*7.4*4.47</t>
  </si>
  <si>
    <t>12037-6</t>
  </si>
  <si>
    <t>7.17*7.12*4.44</t>
  </si>
  <si>
    <t>11057-44</t>
  </si>
  <si>
    <t>7.04*7*4.4</t>
  </si>
  <si>
    <t>11043-47</t>
  </si>
  <si>
    <t>6.95*6.92*4.35</t>
  </si>
  <si>
    <t>Feather  Crystal  Pinpoint  Natural</t>
  </si>
  <si>
    <t>11059-32</t>
  </si>
  <si>
    <t>6.93*6.89*4.35</t>
  </si>
  <si>
    <t>Cloud  Crystal  Feather  Natural  Indented Natural</t>
  </si>
  <si>
    <t>11108-97</t>
  </si>
  <si>
    <t>6.94*6.9*4.38</t>
  </si>
  <si>
    <t>Cloud  Crystal  Indented Natural</t>
  </si>
  <si>
    <t>11088-10</t>
  </si>
  <si>
    <t>6.96*6.92*4.36</t>
  </si>
  <si>
    <t>11059-77</t>
  </si>
  <si>
    <t>6.91*6.87*4.31</t>
  </si>
  <si>
    <t>11009-23</t>
  </si>
  <si>
    <t>6.85*6.82*4.31</t>
  </si>
  <si>
    <t>Cloud  Crystal  Needle  Natural</t>
  </si>
  <si>
    <t>11057-25</t>
  </si>
  <si>
    <t>6.86*6.82*4.31</t>
  </si>
  <si>
    <t>Crystal  Cloud  Feather  Natural</t>
  </si>
  <si>
    <t>11116-45</t>
  </si>
  <si>
    <t>6.86*6.82*4.29</t>
  </si>
  <si>
    <t>11043-6</t>
  </si>
  <si>
    <t>6.85*6.81*4.32</t>
  </si>
  <si>
    <t>12044-83</t>
  </si>
  <si>
    <t>6.82*6.79*4.24</t>
  </si>
  <si>
    <t>Crystal  Feather  Knot  Needle</t>
  </si>
  <si>
    <t>11108-26</t>
  </si>
  <si>
    <t>6.79*6.76*4.25</t>
  </si>
  <si>
    <t>11108-35</t>
  </si>
  <si>
    <t>6.8*6.78*4.22</t>
  </si>
  <si>
    <t>11119-31</t>
  </si>
  <si>
    <t>6.8*6.77*4.24</t>
  </si>
  <si>
    <t>11074-116</t>
  </si>
  <si>
    <t>6.77*6.73*4.27</t>
  </si>
  <si>
    <t>Twinning Wisp  Crystal  Feather  Indented Natural  Natural</t>
  </si>
  <si>
    <t>11139-2</t>
  </si>
  <si>
    <t>6.81*6.79*4.19</t>
  </si>
  <si>
    <t>11115-41</t>
  </si>
  <si>
    <t>6.82*6.79*4.23</t>
  </si>
  <si>
    <t>Crystal  Cloud  Feather</t>
  </si>
  <si>
    <t>11108-66</t>
  </si>
  <si>
    <t>6.76*6.71*4.26</t>
  </si>
  <si>
    <t>Crystal  Cloud  Needle  Indented Natural  Natural</t>
  </si>
  <si>
    <t>11118-30</t>
  </si>
  <si>
    <t>6.9*6.87*4.18</t>
  </si>
  <si>
    <t>11066-13</t>
  </si>
  <si>
    <t>6.77*6.72*4.23</t>
  </si>
  <si>
    <t>Cloud  Crystal  Needle  Indented Natural</t>
  </si>
  <si>
    <t>11059-38</t>
  </si>
  <si>
    <t>6.79*6.74*4.24</t>
  </si>
  <si>
    <t>Cloud  Needle  Feather  Natural</t>
  </si>
  <si>
    <t>11073-9</t>
  </si>
  <si>
    <t>6.75*6.72*4.25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</si>
</sst>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color theme="1"/>
      <family val="2"/>
      <scheme val="minor"/>
      <sz val="11"/>
      <name val="Calibri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b/>
      <color rgb="006AA8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color rgb="283895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3a8ed2"/>
        <bgColor rgb="3a8ed2"/>
      </patternFill>
    </fill>
  </fills>
  <borders count="5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8"/>
  <sheetViews>
    <sheetView workbookViewId="0">
      <pane ySplit="5" topLeftCell="A6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14" customWidth="1"/>
    <col min="3" max="4" width="10" customWidth="1"/>
    <col min="5" max="7" width="6" customWidth="1"/>
    <col min="8" max="9" width="10" customWidth="1"/>
    <col min="10" max="11" width="6" customWidth="1"/>
    <col min="12" max="15" width="10" customWidth="1"/>
    <col min="16" max="16" width="16" customWidth="1"/>
    <col min="17" max="17" width="12" customWidth="1"/>
    <col min="18" max="19" width="6" customWidth="1"/>
    <col min="20" max="20" width="10" customWidth="1"/>
    <col min="21" max="21" width="13" customWidth="1"/>
    <col min="22" max="22" width="30" customWidth="1"/>
    <col min="23" max="23" width="35" customWidth="1"/>
    <col min="24" max="24" width="12" customWidth="1"/>
    <col min="25" max="25" width="10" customWidth="1"/>
    <col min="26" max="30" width="12" customWidth="1"/>
    <col min="31" max="31" width="10" hidden="1" customWidth="1"/>
  </cols>
  <sheetData>
    <row r="1" spans="1:51" x14ac:dyDescent="0.25">
      <c r="A1" s="1" t="s">
        <v>0</v>
      </c>
      <c r="B1" s="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7</v>
      </c>
    </row>
    <row r="2" spans="1:51" x14ac:dyDescent="0.25">
      <c r="A2" s="1"/>
      <c r="B2" s="1"/>
      <c r="C2" s="2" t="s">
        <v>8</v>
      </c>
      <c r="D2" s="3">
        <f>ROUND(COUNTA(D6:D255),2)</f>
      </c>
      <c r="E2" s="3">
        <f>ROUND(SUM(E6:E255),2)</f>
      </c>
      <c r="F2" s="3">
        <f>ROUND(AY2/E2,2)</f>
      </c>
      <c r="G2" s="3">
        <f>ROUND((I2/AY2*100)-100,2)</f>
      </c>
      <c r="H2" s="3">
        <f>ROUND(I2/E2,2)</f>
      </c>
      <c r="I2" s="3">
        <f>ROUND(SUM(O6:O255),2)</f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3">
        <f>ROUND(SUM(AE6:AE255),2)</f>
      </c>
    </row>
    <row r="3" spans="1:51" x14ac:dyDescent="0.25">
      <c r="A3" s="1"/>
      <c r="B3" s="1"/>
      <c r="C3" s="2" t="s">
        <v>9</v>
      </c>
      <c r="D3" s="3">
        <f>ROUND(SUBTOTAL(3,D6:D255),2)</f>
      </c>
      <c r="E3" s="3">
        <f>ROUND(SUBTOTAL(9,E6:E255),2)</f>
      </c>
      <c r="F3" s="3">
        <f>ROUND(AY3/E3,2)</f>
      </c>
      <c r="G3" s="3">
        <f>ROUND((I3/AY3*100)-100,2)</f>
      </c>
      <c r="H3" s="3">
        <f>ROUND(I3/E3,2)</f>
      </c>
      <c r="I3" s="3">
        <f>ROUND(SUBTOTAL(9,O6:O255),2)</f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3">
        <f>ROUND(SUBTOTAL(9,AE6:AE255),2)</f>
      </c>
    </row>
    <row r="5" spans="1:31" x14ac:dyDescent="0.25">
      <c r="A5" s="2" t="s">
        <v>10</v>
      </c>
      <c r="B5" s="2" t="s">
        <v>11</v>
      </c>
      <c r="C5" s="2" t="s">
        <v>12</v>
      </c>
      <c r="D5" s="2" t="s">
        <v>13</v>
      </c>
      <c r="E5" s="2" t="s">
        <v>2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2" t="s">
        <v>28</v>
      </c>
      <c r="Y5" s="2" t="s">
        <v>29</v>
      </c>
      <c r="Z5" s="2" t="s">
        <v>30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7</v>
      </c>
    </row>
    <row r="6" spans="1:31" x14ac:dyDescent="0.25">
      <c r="A6" s="4">
        <v>1</v>
      </c>
      <c r="B6" s="1" t="s">
        <v>35</v>
      </c>
      <c r="C6" s="5">
        <f>HYPERLINK("https://client.unique.diamonds/dna/11016-18","DNA")</f>
      </c>
      <c r="D6" s="1" t="s">
        <v>36</v>
      </c>
      <c r="E6" s="6">
        <v>3.71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4">
        <v>21500</v>
      </c>
      <c r="M6" s="6">
        <v>-15</v>
      </c>
      <c r="N6" s="7">
        <f>IF(AND(L6 &lt;&gt; "-", M6 &lt;&gt; "-"),L6*( 1 + M6%),0)</f>
      </c>
      <c r="O6" s="7">
        <f>( N6 * E6 )</f>
      </c>
      <c r="P6" s="1" t="s">
        <v>41</v>
      </c>
      <c r="Q6" s="6">
        <v>1.01</v>
      </c>
      <c r="R6" s="6">
        <v>62.5</v>
      </c>
      <c r="S6" s="4">
        <v>56</v>
      </c>
      <c r="T6" s="1" t="s">
        <v>42</v>
      </c>
      <c r="U6" s="5">
        <f>HYPERLINK("https://www.gia.edu/report-check?reportno=6421154715","6421154715")</f>
      </c>
      <c r="V6" s="1" t="s">
        <v>43</v>
      </c>
      <c r="W6" s="1" t="s">
        <v>44</v>
      </c>
      <c r="X6" s="1" t="s">
        <v>45</v>
      </c>
      <c r="Y6" s="1" t="s">
        <v>40</v>
      </c>
      <c r="Z6" s="1" t="s">
        <v>46</v>
      </c>
      <c r="AA6" s="1" t="s">
        <v>40</v>
      </c>
      <c r="AB6" s="1" t="s">
        <v>47</v>
      </c>
      <c r="AC6" s="1" t="s">
        <v>48</v>
      </c>
      <c r="AD6" s="1" t="s">
        <v>43</v>
      </c>
      <c r="AE6" s="8">
        <f>IF(L6&lt;&gt;"",L6*E6,0)</f>
      </c>
    </row>
    <row r="7" spans="1:31" x14ac:dyDescent="0.25">
      <c r="A7" s="4">
        <v>2</v>
      </c>
      <c r="B7" s="1" t="s">
        <v>49</v>
      </c>
      <c r="C7" s="5">
        <f>HYPERLINK("https://client.unique.diamonds/dna/11051-75","DNA")</f>
      </c>
      <c r="D7" s="1" t="s">
        <v>36</v>
      </c>
      <c r="E7" s="6">
        <v>3.71</v>
      </c>
      <c r="F7" s="1" t="s">
        <v>50</v>
      </c>
      <c r="G7" s="1" t="s">
        <v>51</v>
      </c>
      <c r="H7" s="1" t="s">
        <v>39</v>
      </c>
      <c r="I7" s="1" t="s">
        <v>39</v>
      </c>
      <c r="J7" s="1" t="s">
        <v>39</v>
      </c>
      <c r="K7" s="1" t="s">
        <v>40</v>
      </c>
      <c r="L7" s="4">
        <v>14000</v>
      </c>
      <c r="M7" s="6">
        <v>-13.5</v>
      </c>
      <c r="N7" s="7">
        <f>IF(AND(L7 &lt;&gt; "-", M7 &lt;&gt; "-"),L7*( 1 + M7%),0)</f>
      </c>
      <c r="O7" s="7">
        <f>( N7 * E7 )</f>
      </c>
      <c r="P7" s="1" t="s">
        <v>52</v>
      </c>
      <c r="Q7" s="6">
        <v>1.01</v>
      </c>
      <c r="R7" s="6">
        <v>61.8</v>
      </c>
      <c r="S7" s="4">
        <v>60</v>
      </c>
      <c r="T7" s="1" t="s">
        <v>42</v>
      </c>
      <c r="U7" s="5">
        <f>HYPERLINK("https://www.gia.edu/report-check?reportno=1423327677","1423327677")</f>
      </c>
      <c r="V7" s="1" t="s">
        <v>43</v>
      </c>
      <c r="W7" s="1" t="s">
        <v>53</v>
      </c>
      <c r="X7" s="1" t="s">
        <v>45</v>
      </c>
      <c r="Y7" s="1" t="s">
        <v>40</v>
      </c>
      <c r="Z7" s="1" t="s">
        <v>54</v>
      </c>
      <c r="AA7" s="1" t="s">
        <v>55</v>
      </c>
      <c r="AB7" s="1" t="s">
        <v>40</v>
      </c>
      <c r="AC7" s="1" t="s">
        <v>48</v>
      </c>
      <c r="AD7" s="1" t="s">
        <v>43</v>
      </c>
      <c r="AE7" s="8">
        <f>IF(L7&lt;&gt;"",L7*E7,0)</f>
      </c>
    </row>
    <row r="8" spans="1:31" x14ac:dyDescent="0.25">
      <c r="A8" s="4">
        <v>3</v>
      </c>
      <c r="B8" s="1" t="s">
        <v>56</v>
      </c>
      <c r="C8" s="5">
        <f>HYPERLINK("https://client.unique.diamonds/dna/11136-83","DNA")</f>
      </c>
      <c r="D8" s="1" t="s">
        <v>36</v>
      </c>
      <c r="E8" s="6">
        <v>3.5</v>
      </c>
      <c r="F8" s="1" t="s">
        <v>37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4">
        <v>21500</v>
      </c>
      <c r="M8" s="6">
        <v>-18.45</v>
      </c>
      <c r="N8" s="7">
        <f>IF(AND(L8 &lt;&gt; "-", M8 &lt;&gt; "-"),L8*( 1 + M8%),0)</f>
      </c>
      <c r="O8" s="7">
        <f>( N8 * E8 )</f>
      </c>
      <c r="P8" s="1" t="s">
        <v>57</v>
      </c>
      <c r="Q8" s="6">
        <v>1.01</v>
      </c>
      <c r="R8" s="6">
        <v>62.6</v>
      </c>
      <c r="S8" s="4">
        <v>60</v>
      </c>
      <c r="T8" s="1" t="s">
        <v>42</v>
      </c>
      <c r="U8" s="5">
        <f>HYPERLINK("https://www.gia.edu/report-check?reportno=6432376000","6432376000")</f>
      </c>
      <c r="V8" s="1" t="s">
        <v>43</v>
      </c>
      <c r="W8" s="1" t="s">
        <v>58</v>
      </c>
      <c r="X8" s="1" t="s">
        <v>59</v>
      </c>
      <c r="Y8" s="1" t="s">
        <v>40</v>
      </c>
      <c r="Z8" s="1" t="s">
        <v>46</v>
      </c>
      <c r="AA8" s="1" t="s">
        <v>55</v>
      </c>
      <c r="AB8" s="1" t="s">
        <v>40</v>
      </c>
      <c r="AC8" s="1" t="s">
        <v>60</v>
      </c>
      <c r="AD8" s="1" t="s">
        <v>43</v>
      </c>
      <c r="AE8" s="8">
        <f>IF(L8&lt;&gt;"",L8*E8,0)</f>
      </c>
    </row>
    <row r="9" spans="1:31" x14ac:dyDescent="0.25">
      <c r="A9" s="4">
        <v>4</v>
      </c>
      <c r="B9" s="1" t="s">
        <v>61</v>
      </c>
      <c r="C9" s="5">
        <f>HYPERLINK("https://client.unique.diamonds/dna/11136-87","DNA")</f>
      </c>
      <c r="D9" s="1" t="s">
        <v>36</v>
      </c>
      <c r="E9" s="6">
        <v>3.09</v>
      </c>
      <c r="F9" s="1" t="s">
        <v>62</v>
      </c>
      <c r="G9" s="1" t="s">
        <v>38</v>
      </c>
      <c r="H9" s="1" t="s">
        <v>39</v>
      </c>
      <c r="I9" s="1" t="s">
        <v>39</v>
      </c>
      <c r="J9" s="1" t="s">
        <v>39</v>
      </c>
      <c r="K9" s="1" t="s">
        <v>63</v>
      </c>
      <c r="L9" s="4">
        <v>18500</v>
      </c>
      <c r="M9" s="6">
        <v>-24.45</v>
      </c>
      <c r="N9" s="7">
        <f>IF(AND(L9 &lt;&gt; "-", M9 &lt;&gt; "-"),L9*( 1 + M9%),0)</f>
      </c>
      <c r="O9" s="7">
        <f>( N9 * E9 )</f>
      </c>
      <c r="P9" s="1" t="s">
        <v>64</v>
      </c>
      <c r="Q9" s="6">
        <v>1.01</v>
      </c>
      <c r="R9" s="6">
        <v>61.8</v>
      </c>
      <c r="S9" s="4">
        <v>59</v>
      </c>
      <c r="T9" s="1" t="s">
        <v>42</v>
      </c>
      <c r="U9" s="5">
        <f>HYPERLINK("https://www.gia.edu/report-check?reportno=6435376139","6435376139")</f>
      </c>
      <c r="V9" s="1" t="s">
        <v>43</v>
      </c>
      <c r="W9" s="1" t="s">
        <v>65</v>
      </c>
      <c r="X9" s="1" t="s">
        <v>59</v>
      </c>
      <c r="Y9" s="1" t="s">
        <v>40</v>
      </c>
      <c r="Z9" s="1" t="s">
        <v>59</v>
      </c>
      <c r="AA9" s="1" t="s">
        <v>66</v>
      </c>
      <c r="AB9" s="1" t="s">
        <v>47</v>
      </c>
      <c r="AC9" s="1" t="s">
        <v>48</v>
      </c>
      <c r="AD9" s="1" t="s">
        <v>43</v>
      </c>
      <c r="AE9" s="8">
        <f>IF(L9&lt;&gt;"",L9*E9,0)</f>
      </c>
    </row>
    <row r="10" spans="1:31" x14ac:dyDescent="0.25">
      <c r="A10" s="4">
        <v>5</v>
      </c>
      <c r="B10" s="1" t="s">
        <v>67</v>
      </c>
      <c r="C10" s="5">
        <f>HYPERLINK("https://client.unique.diamonds/dna/11051-38","DNA")</f>
      </c>
      <c r="D10" s="1" t="s">
        <v>36</v>
      </c>
      <c r="E10" s="6">
        <v>3.05</v>
      </c>
      <c r="F10" s="1" t="s">
        <v>68</v>
      </c>
      <c r="G10" s="1" t="s">
        <v>69</v>
      </c>
      <c r="H10" s="1" t="s">
        <v>39</v>
      </c>
      <c r="I10" s="1" t="s">
        <v>39</v>
      </c>
      <c r="J10" s="1" t="s">
        <v>39</v>
      </c>
      <c r="K10" s="1" t="s">
        <v>40</v>
      </c>
      <c r="L10" s="4">
        <v>41000</v>
      </c>
      <c r="M10" s="6">
        <v>-30</v>
      </c>
      <c r="N10" s="7">
        <f>IF(AND(L10 &lt;&gt; "-", M10 &lt;&gt; "-"),L10*( 1 + M10%),0)</f>
      </c>
      <c r="O10" s="7">
        <f>( N10 * E10 )</f>
      </c>
      <c r="P10" s="1" t="s">
        <v>70</v>
      </c>
      <c r="Q10" s="6">
        <v>1.01</v>
      </c>
      <c r="R10" s="6">
        <v>62.6</v>
      </c>
      <c r="S10" s="4">
        <v>59</v>
      </c>
      <c r="T10" s="1" t="s">
        <v>42</v>
      </c>
      <c r="U10" s="5">
        <f>HYPERLINK("https://www.gia.edu/report-check?reportno=5426240816","5426240816")</f>
      </c>
      <c r="V10" s="1" t="s">
        <v>43</v>
      </c>
      <c r="W10" s="1" t="s">
        <v>71</v>
      </c>
      <c r="X10" s="1" t="s">
        <v>40</v>
      </c>
      <c r="Y10" s="1" t="s">
        <v>40</v>
      </c>
      <c r="Z10" s="1" t="s">
        <v>46</v>
      </c>
      <c r="AA10" s="1" t="s">
        <v>55</v>
      </c>
      <c r="AB10" s="1" t="s">
        <v>47</v>
      </c>
      <c r="AC10" s="1" t="s">
        <v>48</v>
      </c>
      <c r="AD10" s="1" t="s">
        <v>43</v>
      </c>
      <c r="AE10" s="8">
        <f>IF(L10&lt;&gt;"",L10*E10,0)</f>
      </c>
    </row>
    <row r="11" spans="1:31" x14ac:dyDescent="0.25">
      <c r="A11" s="4">
        <v>6</v>
      </c>
      <c r="B11" s="1" t="s">
        <v>72</v>
      </c>
      <c r="C11" s="5">
        <f>HYPERLINK("https://client.unique.diamonds/dna/11001-13","DNA")</f>
      </c>
      <c r="D11" s="1" t="s">
        <v>36</v>
      </c>
      <c r="E11" s="6">
        <v>3.05</v>
      </c>
      <c r="F11" s="1" t="s">
        <v>37</v>
      </c>
      <c r="G11" s="1" t="s">
        <v>69</v>
      </c>
      <c r="H11" s="1" t="s">
        <v>39</v>
      </c>
      <c r="I11" s="1" t="s">
        <v>39</v>
      </c>
      <c r="J11" s="1" t="s">
        <v>39</v>
      </c>
      <c r="K11" s="1" t="s">
        <v>40</v>
      </c>
      <c r="L11" s="4">
        <v>23500</v>
      </c>
      <c r="M11" s="6">
        <v>-25</v>
      </c>
      <c r="N11" s="7">
        <f>IF(AND(L11 &lt;&gt; "-", M11 &lt;&gt; "-"),L11*( 1 + M11%),0)</f>
      </c>
      <c r="O11" s="7">
        <f>( N11 * E11 )</f>
      </c>
      <c r="P11" s="1" t="s">
        <v>73</v>
      </c>
      <c r="Q11" s="6">
        <v>1</v>
      </c>
      <c r="R11" s="6">
        <v>61.9</v>
      </c>
      <c r="S11" s="4">
        <v>59</v>
      </c>
      <c r="T11" s="1" t="s">
        <v>42</v>
      </c>
      <c r="U11" s="5">
        <f>HYPERLINK("https://www.gia.edu/report-check?reportno=6224233974","6224233974")</f>
      </c>
      <c r="V11" s="1" t="s">
        <v>43</v>
      </c>
      <c r="W11" s="1" t="s">
        <v>74</v>
      </c>
      <c r="X11" s="1" t="s">
        <v>75</v>
      </c>
      <c r="Y11" s="1" t="s">
        <v>40</v>
      </c>
      <c r="Z11" s="1" t="s">
        <v>75</v>
      </c>
      <c r="AA11" s="1" t="s">
        <v>55</v>
      </c>
      <c r="AB11" s="1" t="s">
        <v>40</v>
      </c>
      <c r="AC11" s="1" t="s">
        <v>48</v>
      </c>
      <c r="AD11" s="1" t="s">
        <v>43</v>
      </c>
      <c r="AE11" s="8">
        <f>IF(L11&lt;&gt;"",L11*E11,0)</f>
      </c>
    </row>
    <row r="12" spans="1:31" x14ac:dyDescent="0.25">
      <c r="A12" s="4">
        <v>7</v>
      </c>
      <c r="B12" s="1" t="s">
        <v>76</v>
      </c>
      <c r="C12" s="5">
        <f>HYPERLINK("https://client.unique.diamonds/dna/11030-1","DNA")</f>
      </c>
      <c r="D12" s="1" t="s">
        <v>36</v>
      </c>
      <c r="E12" s="6">
        <v>3.04</v>
      </c>
      <c r="F12" s="1" t="s">
        <v>68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40</v>
      </c>
      <c r="L12" s="4">
        <v>35000</v>
      </c>
      <c r="M12" s="6">
        <v>-33</v>
      </c>
      <c r="N12" s="7">
        <f>IF(AND(L12 &lt;&gt; "-", M12 &lt;&gt; "-"),L12*( 1 + M12%),0)</f>
      </c>
      <c r="O12" s="7">
        <f>( N12 * E12 )</f>
      </c>
      <c r="P12" s="1" t="s">
        <v>77</v>
      </c>
      <c r="Q12" s="6">
        <v>1.01</v>
      </c>
      <c r="R12" s="6">
        <v>62.1</v>
      </c>
      <c r="S12" s="4">
        <v>59</v>
      </c>
      <c r="T12" s="1" t="s">
        <v>42</v>
      </c>
      <c r="U12" s="5">
        <f>HYPERLINK("https://www.gia.edu/report-check?reportno=5222241795","5222241795")</f>
      </c>
      <c r="V12" s="1" t="s">
        <v>43</v>
      </c>
      <c r="W12" s="1" t="s">
        <v>78</v>
      </c>
      <c r="X12" s="1" t="s">
        <v>46</v>
      </c>
      <c r="Y12" s="1" t="s">
        <v>40</v>
      </c>
      <c r="Z12" s="1" t="s">
        <v>46</v>
      </c>
      <c r="AA12" s="1" t="s">
        <v>55</v>
      </c>
      <c r="AB12" s="1" t="s">
        <v>40</v>
      </c>
      <c r="AC12" s="1" t="s">
        <v>48</v>
      </c>
      <c r="AD12" s="1" t="s">
        <v>43</v>
      </c>
      <c r="AE12" s="8">
        <f>IF(L12&lt;&gt;"",L12*E12,0)</f>
      </c>
    </row>
    <row r="13" spans="1:31" x14ac:dyDescent="0.25">
      <c r="A13" s="4">
        <v>8</v>
      </c>
      <c r="B13" s="1" t="s">
        <v>79</v>
      </c>
      <c r="C13" s="5">
        <f>HYPERLINK("https://client.unique.diamonds/dna/11010-8","DNA")</f>
      </c>
      <c r="D13" s="1" t="s">
        <v>36</v>
      </c>
      <c r="E13" s="6">
        <v>3.03</v>
      </c>
      <c r="F13" s="1" t="s">
        <v>62</v>
      </c>
      <c r="G13" s="1" t="s">
        <v>69</v>
      </c>
      <c r="H13" s="1" t="s">
        <v>39</v>
      </c>
      <c r="I13" s="1" t="s">
        <v>39</v>
      </c>
      <c r="J13" s="1" t="s">
        <v>39</v>
      </c>
      <c r="K13" s="1" t="s">
        <v>40</v>
      </c>
      <c r="L13" s="4">
        <v>19500</v>
      </c>
      <c r="M13" s="6">
        <v>-19</v>
      </c>
      <c r="N13" s="7">
        <f>IF(AND(L13 &lt;&gt; "-", M13 &lt;&gt; "-"),L13*( 1 + M13%),0)</f>
      </c>
      <c r="O13" s="7">
        <f>( N13 * E13 )</f>
      </c>
      <c r="P13" s="1" t="s">
        <v>80</v>
      </c>
      <c r="Q13" s="6">
        <v>1</v>
      </c>
      <c r="R13" s="6">
        <v>62.2</v>
      </c>
      <c r="S13" s="4">
        <v>58</v>
      </c>
      <c r="T13" s="1" t="s">
        <v>42</v>
      </c>
      <c r="U13" s="5">
        <f>HYPERLINK("https://www.gia.edu/report-check?reportno=6422393112","6422393112")</f>
      </c>
      <c r="V13" s="1" t="s">
        <v>43</v>
      </c>
      <c r="W13" s="1" t="s">
        <v>81</v>
      </c>
      <c r="X13" s="1" t="s">
        <v>46</v>
      </c>
      <c r="Y13" s="1" t="s">
        <v>40</v>
      </c>
      <c r="Z13" s="1" t="s">
        <v>46</v>
      </c>
      <c r="AA13" s="1" t="s">
        <v>66</v>
      </c>
      <c r="AB13" s="1" t="s">
        <v>40</v>
      </c>
      <c r="AC13" s="1" t="s">
        <v>48</v>
      </c>
      <c r="AD13" s="1" t="s">
        <v>43</v>
      </c>
      <c r="AE13" s="8">
        <f>IF(L13&lt;&gt;"",L13*E13,0)</f>
      </c>
    </row>
    <row r="14" spans="1:31" x14ac:dyDescent="0.25">
      <c r="A14" s="4">
        <v>9</v>
      </c>
      <c r="B14" s="1" t="s">
        <v>82</v>
      </c>
      <c r="C14" s="5">
        <f>HYPERLINK("https://client.unique.diamonds/dna/141418-8","DNA")</f>
      </c>
      <c r="D14" s="1" t="s">
        <v>36</v>
      </c>
      <c r="E14" s="6">
        <v>3.02</v>
      </c>
      <c r="F14" s="1" t="s">
        <v>62</v>
      </c>
      <c r="G14" s="1" t="s">
        <v>51</v>
      </c>
      <c r="H14" s="1" t="s">
        <v>39</v>
      </c>
      <c r="I14" s="1" t="s">
        <v>39</v>
      </c>
      <c r="J14" s="1" t="s">
        <v>39</v>
      </c>
      <c r="K14" s="1" t="s">
        <v>40</v>
      </c>
      <c r="L14" s="4">
        <v>17000</v>
      </c>
      <c r="M14" s="6">
        <v>-17</v>
      </c>
      <c r="N14" s="7">
        <f>IF(AND(L14 &lt;&gt; "-", M14 &lt;&gt; "-"),L14*( 1 + M14%),0)</f>
      </c>
      <c r="O14" s="7">
        <f>( N14 * E14 )</f>
      </c>
      <c r="P14" s="1" t="s">
        <v>83</v>
      </c>
      <c r="Q14" s="6">
        <v>1.01</v>
      </c>
      <c r="R14" s="6">
        <v>61.4</v>
      </c>
      <c r="S14" s="4">
        <v>59</v>
      </c>
      <c r="T14" s="1" t="s">
        <v>42</v>
      </c>
      <c r="U14" s="5">
        <f>HYPERLINK("https://www.gia.edu/report-check?reportno=1425004367","1425004367")</f>
      </c>
      <c r="V14" s="1" t="s">
        <v>43</v>
      </c>
      <c r="W14" s="1" t="s">
        <v>84</v>
      </c>
      <c r="X14" s="1" t="s">
        <v>46</v>
      </c>
      <c r="Y14" s="1" t="s">
        <v>40</v>
      </c>
      <c r="Z14" s="1" t="s">
        <v>46</v>
      </c>
      <c r="AA14" s="1" t="s">
        <v>40</v>
      </c>
      <c r="AB14" s="1" t="s">
        <v>40</v>
      </c>
      <c r="AC14" s="1" t="s">
        <v>85</v>
      </c>
      <c r="AD14" s="1" t="s">
        <v>43</v>
      </c>
      <c r="AE14" s="8">
        <f>IF(L14&lt;&gt;"",L14*E14,0)</f>
      </c>
    </row>
    <row r="15" spans="1:31" x14ac:dyDescent="0.25">
      <c r="A15" s="4">
        <v>10</v>
      </c>
      <c r="B15" s="1" t="s">
        <v>86</v>
      </c>
      <c r="C15" s="5">
        <f>HYPERLINK("https://client.unique.diamonds/dna/11042-35","DNA")</f>
      </c>
      <c r="D15" s="1" t="s">
        <v>36</v>
      </c>
      <c r="E15" s="6">
        <v>3.01</v>
      </c>
      <c r="F15" s="1" t="s">
        <v>68</v>
      </c>
      <c r="G15" s="1" t="s">
        <v>87</v>
      </c>
      <c r="H15" s="1" t="s">
        <v>39</v>
      </c>
      <c r="I15" s="1" t="s">
        <v>39</v>
      </c>
      <c r="J15" s="1" t="s">
        <v>39</v>
      </c>
      <c r="K15" s="1" t="s">
        <v>40</v>
      </c>
      <c r="L15" s="4">
        <v>22500</v>
      </c>
      <c r="M15" s="6">
        <v>-20.5</v>
      </c>
      <c r="N15" s="7">
        <f>IF(AND(L15 &lt;&gt; "-", M15 &lt;&gt; "-"),L15*( 1 + M15%),0)</f>
      </c>
      <c r="O15" s="7">
        <f>( N15 * E15 )</f>
      </c>
      <c r="P15" s="1" t="s">
        <v>88</v>
      </c>
      <c r="Q15" s="6">
        <v>1.01</v>
      </c>
      <c r="R15" s="6">
        <v>62.1</v>
      </c>
      <c r="S15" s="4">
        <v>59</v>
      </c>
      <c r="T15" s="1" t="s">
        <v>42</v>
      </c>
      <c r="U15" s="5">
        <f>HYPERLINK("https://www.gia.edu/report-check?reportno=5426463929","5426463929")</f>
      </c>
      <c r="V15" s="1" t="s">
        <v>43</v>
      </c>
      <c r="W15" s="1" t="s">
        <v>89</v>
      </c>
      <c r="X15" s="1" t="s">
        <v>45</v>
      </c>
      <c r="Y15" s="1" t="s">
        <v>40</v>
      </c>
      <c r="Z15" s="1" t="s">
        <v>46</v>
      </c>
      <c r="AA15" s="1" t="s">
        <v>55</v>
      </c>
      <c r="AB15" s="1" t="s">
        <v>40</v>
      </c>
      <c r="AC15" s="1" t="s">
        <v>85</v>
      </c>
      <c r="AD15" s="1" t="s">
        <v>43</v>
      </c>
      <c r="AE15" s="8">
        <f>IF(L15&lt;&gt;"",L15*E15,0)</f>
      </c>
    </row>
    <row r="16" spans="1:31" x14ac:dyDescent="0.25">
      <c r="A16" s="4">
        <v>11</v>
      </c>
      <c r="B16" s="1" t="s">
        <v>90</v>
      </c>
      <c r="C16" s="5">
        <f>HYPERLINK("https://client.unique.diamonds/dna/11034-18","DNA")</f>
      </c>
      <c r="D16" s="1" t="s">
        <v>36</v>
      </c>
      <c r="E16" s="6">
        <v>3.01</v>
      </c>
      <c r="F16" s="1" t="s">
        <v>91</v>
      </c>
      <c r="G16" s="1" t="s">
        <v>51</v>
      </c>
      <c r="H16" s="1" t="s">
        <v>39</v>
      </c>
      <c r="I16" s="1" t="s">
        <v>39</v>
      </c>
      <c r="J16" s="1" t="s">
        <v>39</v>
      </c>
      <c r="K16" s="1" t="s">
        <v>40</v>
      </c>
      <c r="L16" s="4">
        <v>23000</v>
      </c>
      <c r="M16" s="6">
        <v>-20</v>
      </c>
      <c r="N16" s="7">
        <f>IF(AND(L16 &lt;&gt; "-", M16 &lt;&gt; "-"),L16*( 1 + M16%),0)</f>
      </c>
      <c r="O16" s="7">
        <f>( N16 * E16 )</f>
      </c>
      <c r="P16" s="1" t="s">
        <v>92</v>
      </c>
      <c r="Q16" s="6">
        <v>1.01</v>
      </c>
      <c r="R16" s="6">
        <v>61.9</v>
      </c>
      <c r="S16" s="4">
        <v>60</v>
      </c>
      <c r="T16" s="1" t="s">
        <v>42</v>
      </c>
      <c r="U16" s="5">
        <f>HYPERLINK("https://www.gia.edu/report-check?reportno=6425319252","6425319252")</f>
      </c>
      <c r="V16" s="1" t="s">
        <v>43</v>
      </c>
      <c r="W16" s="1" t="s">
        <v>93</v>
      </c>
      <c r="X16" s="1" t="s">
        <v>45</v>
      </c>
      <c r="Y16" s="1" t="s">
        <v>40</v>
      </c>
      <c r="Z16" s="1" t="s">
        <v>46</v>
      </c>
      <c r="AA16" s="1" t="s">
        <v>40</v>
      </c>
      <c r="AB16" s="1" t="s">
        <v>40</v>
      </c>
      <c r="AC16" s="1" t="s">
        <v>48</v>
      </c>
      <c r="AD16" s="1" t="s">
        <v>43</v>
      </c>
      <c r="AE16" s="8">
        <f>IF(L16&lt;&gt;"",L16*E16,0)</f>
      </c>
    </row>
    <row r="17" spans="1:31" x14ac:dyDescent="0.25">
      <c r="A17" s="4">
        <v>12</v>
      </c>
      <c r="B17" s="1" t="s">
        <v>94</v>
      </c>
      <c r="C17" s="5">
        <f>HYPERLINK("https://client.unique.diamonds/dna/12044-128","DNA")</f>
      </c>
      <c r="D17" s="1" t="s">
        <v>36</v>
      </c>
      <c r="E17" s="6">
        <v>3.01</v>
      </c>
      <c r="F17" s="1" t="s">
        <v>91</v>
      </c>
      <c r="G17" s="1" t="s">
        <v>87</v>
      </c>
      <c r="H17" s="1" t="s">
        <v>39</v>
      </c>
      <c r="I17" s="1" t="s">
        <v>39</v>
      </c>
      <c r="J17" s="1" t="s">
        <v>39</v>
      </c>
      <c r="K17" s="1" t="s">
        <v>40</v>
      </c>
      <c r="L17" s="4">
        <v>19500</v>
      </c>
      <c r="M17" s="6">
        <v>-23.5</v>
      </c>
      <c r="N17" s="7">
        <f>IF(AND(L17 &lt;&gt; "-", M17 &lt;&gt; "-"),L17*( 1 + M17%),0)</f>
      </c>
      <c r="O17" s="7">
        <f>( N17 * E17 )</f>
      </c>
      <c r="P17" s="1" t="s">
        <v>95</v>
      </c>
      <c r="Q17" s="6">
        <v>1.01</v>
      </c>
      <c r="R17" s="6">
        <v>62.3</v>
      </c>
      <c r="S17" s="4">
        <v>57</v>
      </c>
      <c r="T17" s="1" t="s">
        <v>42</v>
      </c>
      <c r="U17" s="5">
        <f>HYPERLINK("https://www.gia.edu/report-check?reportno=5433430398","5433430398")</f>
      </c>
      <c r="V17" s="1" t="s">
        <v>43</v>
      </c>
      <c r="W17" s="1" t="s">
        <v>65</v>
      </c>
      <c r="X17" s="1" t="s">
        <v>45</v>
      </c>
      <c r="Y17" s="1" t="s">
        <v>40</v>
      </c>
      <c r="Z17" s="1" t="s">
        <v>46</v>
      </c>
      <c r="AA17" s="1" t="s">
        <v>55</v>
      </c>
      <c r="AB17" s="1" t="s">
        <v>96</v>
      </c>
      <c r="AC17" s="1" t="s">
        <v>85</v>
      </c>
      <c r="AD17" s="1" t="s">
        <v>43</v>
      </c>
      <c r="AE17" s="8">
        <f>IF(L17&lt;&gt;"",L17*E17,0)</f>
      </c>
    </row>
    <row r="18" spans="1:31" x14ac:dyDescent="0.25">
      <c r="A18" s="4">
        <v>13</v>
      </c>
      <c r="B18" s="1" t="s">
        <v>97</v>
      </c>
      <c r="C18" s="5">
        <f>HYPERLINK("https://client.unique.diamonds/dna/11051-102","DNA")</f>
      </c>
      <c r="D18" s="1" t="s">
        <v>36</v>
      </c>
      <c r="E18" s="6">
        <v>3.01</v>
      </c>
      <c r="F18" s="1" t="s">
        <v>98</v>
      </c>
      <c r="G18" s="1" t="s">
        <v>69</v>
      </c>
      <c r="H18" s="1" t="s">
        <v>39</v>
      </c>
      <c r="I18" s="1" t="s">
        <v>39</v>
      </c>
      <c r="J18" s="1" t="s">
        <v>39</v>
      </c>
      <c r="K18" s="1" t="s">
        <v>40</v>
      </c>
      <c r="L18" s="4">
        <v>29000</v>
      </c>
      <c r="M18" s="6">
        <v>-22</v>
      </c>
      <c r="N18" s="7">
        <f>IF(AND(L18 &lt;&gt; "-", M18 &lt;&gt; "-"),L18*( 1 + M18%),0)</f>
      </c>
      <c r="O18" s="7">
        <f>( N18 * E18 )</f>
      </c>
      <c r="P18" s="1" t="s">
        <v>99</v>
      </c>
      <c r="Q18" s="6">
        <v>1</v>
      </c>
      <c r="R18" s="6">
        <v>62.5</v>
      </c>
      <c r="S18" s="4">
        <v>56</v>
      </c>
      <c r="T18" s="1" t="s">
        <v>42</v>
      </c>
      <c r="U18" s="5">
        <f>HYPERLINK("https://www.gia.edu/report-check?reportno=5423443134","5423443134")</f>
      </c>
      <c r="V18" s="1" t="s">
        <v>43</v>
      </c>
      <c r="W18" s="1" t="s">
        <v>84</v>
      </c>
      <c r="X18" s="1" t="s">
        <v>75</v>
      </c>
      <c r="Y18" s="1" t="s">
        <v>40</v>
      </c>
      <c r="Z18" s="1" t="s">
        <v>46</v>
      </c>
      <c r="AA18" s="1" t="s">
        <v>40</v>
      </c>
      <c r="AB18" s="1" t="s">
        <v>40</v>
      </c>
      <c r="AC18" s="1" t="s">
        <v>48</v>
      </c>
      <c r="AD18" s="1" t="s">
        <v>43</v>
      </c>
      <c r="AE18" s="8">
        <f>IF(L18&lt;&gt;"",L18*E18,0)</f>
      </c>
    </row>
    <row r="19" spans="1:31" x14ac:dyDescent="0.25">
      <c r="A19" s="4">
        <v>14</v>
      </c>
      <c r="B19" s="1" t="s">
        <v>100</v>
      </c>
      <c r="C19" s="5">
        <f>HYPERLINK("https://client.unique.diamonds/dna/12037-29","DNA")</f>
      </c>
      <c r="D19" s="1" t="s">
        <v>36</v>
      </c>
      <c r="E19" s="6">
        <v>3.01</v>
      </c>
      <c r="F19" s="1" t="s">
        <v>62</v>
      </c>
      <c r="G19" s="1" t="s">
        <v>51</v>
      </c>
      <c r="H19" s="1" t="s">
        <v>39</v>
      </c>
      <c r="I19" s="1" t="s">
        <v>39</v>
      </c>
      <c r="J19" s="1" t="s">
        <v>39</v>
      </c>
      <c r="K19" s="1" t="s">
        <v>40</v>
      </c>
      <c r="L19" s="4">
        <v>17000</v>
      </c>
      <c r="M19" s="6">
        <v>-22.5</v>
      </c>
      <c r="N19" s="7">
        <f>IF(AND(L19 &lt;&gt; "-", M19 &lt;&gt; "-"),L19*( 1 + M19%),0)</f>
      </c>
      <c r="O19" s="7">
        <f>( N19 * E19 )</f>
      </c>
      <c r="P19" s="1" t="s">
        <v>101</v>
      </c>
      <c r="Q19" s="6">
        <v>1</v>
      </c>
      <c r="R19" s="6">
        <v>61.2</v>
      </c>
      <c r="S19" s="4">
        <v>57</v>
      </c>
      <c r="T19" s="1" t="s">
        <v>42</v>
      </c>
      <c r="U19" s="5">
        <f>HYPERLINK("https://www.gia.edu/report-check?reportno=1439350936","1439350936")</f>
      </c>
      <c r="V19" s="1" t="s">
        <v>43</v>
      </c>
      <c r="W19" s="1" t="s">
        <v>102</v>
      </c>
      <c r="X19" s="1" t="s">
        <v>45</v>
      </c>
      <c r="Y19" s="1" t="s">
        <v>40</v>
      </c>
      <c r="Z19" s="1" t="s">
        <v>59</v>
      </c>
      <c r="AA19" s="1" t="s">
        <v>55</v>
      </c>
      <c r="AB19" s="1" t="s">
        <v>55</v>
      </c>
      <c r="AC19" s="1" t="s">
        <v>48</v>
      </c>
      <c r="AD19" s="1" t="s">
        <v>43</v>
      </c>
      <c r="AE19" s="8">
        <f>IF(L19&lt;&gt;"",L19*E19,0)</f>
      </c>
    </row>
    <row r="20" spans="1:31" x14ac:dyDescent="0.25">
      <c r="A20" s="4">
        <v>15</v>
      </c>
      <c r="B20" s="1" t="s">
        <v>103</v>
      </c>
      <c r="C20" s="5">
        <f>HYPERLINK("https://client.unique.diamonds/dna/11118-33","DNA")</f>
      </c>
      <c r="D20" s="1" t="s">
        <v>36</v>
      </c>
      <c r="E20" s="6">
        <v>3.01</v>
      </c>
      <c r="F20" s="1" t="s">
        <v>104</v>
      </c>
      <c r="G20" s="1" t="s">
        <v>69</v>
      </c>
      <c r="H20" s="1" t="s">
        <v>39</v>
      </c>
      <c r="I20" s="1" t="s">
        <v>39</v>
      </c>
      <c r="J20" s="1" t="s">
        <v>39</v>
      </c>
      <c r="K20" s="1" t="s">
        <v>40</v>
      </c>
      <c r="L20" s="4">
        <v>13500</v>
      </c>
      <c r="M20" s="6">
        <v>-19.75</v>
      </c>
      <c r="N20" s="7">
        <f>IF(AND(L20 &lt;&gt; "-", M20 &lt;&gt; "-"),L20*( 1 + M20%),0)</f>
      </c>
      <c r="O20" s="7">
        <f>( N20 * E20 )</f>
      </c>
      <c r="P20" s="1" t="s">
        <v>105</v>
      </c>
      <c r="Q20" s="6">
        <v>1.01</v>
      </c>
      <c r="R20" s="6">
        <v>62.2</v>
      </c>
      <c r="S20" s="4">
        <v>59</v>
      </c>
      <c r="T20" s="1" t="s">
        <v>42</v>
      </c>
      <c r="U20" s="5">
        <f>HYPERLINK("https://www.gia.edu/report-check?reportno=6432205769","6432205769")</f>
      </c>
      <c r="V20" s="1" t="s">
        <v>43</v>
      </c>
      <c r="W20" s="1" t="s">
        <v>106</v>
      </c>
      <c r="X20" s="1" t="s">
        <v>75</v>
      </c>
      <c r="Y20" s="1" t="s">
        <v>40</v>
      </c>
      <c r="Z20" s="1" t="s">
        <v>46</v>
      </c>
      <c r="AA20" s="1" t="s">
        <v>55</v>
      </c>
      <c r="AB20" s="1" t="s">
        <v>47</v>
      </c>
      <c r="AC20" s="1" t="s">
        <v>48</v>
      </c>
      <c r="AD20" s="1" t="s">
        <v>43</v>
      </c>
      <c r="AE20" s="8">
        <f>IF(L20&lt;&gt;"",L20*E20,0)</f>
      </c>
    </row>
    <row r="21" spans="1:31" x14ac:dyDescent="0.25">
      <c r="A21" s="4">
        <v>16</v>
      </c>
      <c r="B21" s="1" t="s">
        <v>107</v>
      </c>
      <c r="C21" s="5">
        <f>HYPERLINK("https://client.unique.diamonds/dna/141411-15","DNA")</f>
      </c>
      <c r="D21" s="1" t="s">
        <v>36</v>
      </c>
      <c r="E21" s="6">
        <v>3.01</v>
      </c>
      <c r="F21" s="1" t="s">
        <v>104</v>
      </c>
      <c r="G21" s="1" t="s">
        <v>38</v>
      </c>
      <c r="H21" s="1" t="s">
        <v>39</v>
      </c>
      <c r="I21" s="1" t="s">
        <v>39</v>
      </c>
      <c r="J21" s="1" t="s">
        <v>39</v>
      </c>
      <c r="K21" s="1" t="s">
        <v>40</v>
      </c>
      <c r="L21" s="4">
        <v>12500</v>
      </c>
      <c r="M21" s="6">
        <v>-26.5</v>
      </c>
      <c r="N21" s="7">
        <f>IF(AND(L21 &lt;&gt; "-", M21 &lt;&gt; "-"),L21*( 1 + M21%),0)</f>
      </c>
      <c r="O21" s="7">
        <f>( N21 * E21 )</f>
      </c>
      <c r="P21" s="1" t="s">
        <v>108</v>
      </c>
      <c r="Q21" s="6">
        <v>1.01</v>
      </c>
      <c r="R21" s="6">
        <v>62.3</v>
      </c>
      <c r="S21" s="4">
        <v>59</v>
      </c>
      <c r="T21" s="1" t="s">
        <v>42</v>
      </c>
      <c r="U21" s="5">
        <f>HYPERLINK("https://www.gia.edu/report-check?reportno=5413018714","5413018714")</f>
      </c>
      <c r="V21" s="1" t="s">
        <v>43</v>
      </c>
      <c r="W21" s="1" t="s">
        <v>109</v>
      </c>
      <c r="X21" s="1" t="s">
        <v>45</v>
      </c>
      <c r="Y21" s="1" t="s">
        <v>40</v>
      </c>
      <c r="Z21" s="1" t="s">
        <v>46</v>
      </c>
      <c r="AA21" s="1" t="s">
        <v>55</v>
      </c>
      <c r="AB21" s="1" t="s">
        <v>40</v>
      </c>
      <c r="AC21" s="1" t="s">
        <v>48</v>
      </c>
      <c r="AD21" s="1" t="s">
        <v>43</v>
      </c>
      <c r="AE21" s="8">
        <f>IF(L21&lt;&gt;"",L21*E21,0)</f>
      </c>
    </row>
    <row r="22" spans="1:31" x14ac:dyDescent="0.25">
      <c r="A22" s="4">
        <v>17</v>
      </c>
      <c r="B22" s="1" t="s">
        <v>110</v>
      </c>
      <c r="C22" s="5">
        <f>HYPERLINK("https://client.unique.diamonds/dna/DB007-27","DNA")</f>
      </c>
      <c r="D22" s="1" t="s">
        <v>36</v>
      </c>
      <c r="E22" s="6">
        <v>2.7</v>
      </c>
      <c r="F22" s="1" t="s">
        <v>98</v>
      </c>
      <c r="G22" s="1" t="s">
        <v>69</v>
      </c>
      <c r="H22" s="1" t="s">
        <v>39</v>
      </c>
      <c r="I22" s="1" t="s">
        <v>39</v>
      </c>
      <c r="J22" s="1" t="s">
        <v>39</v>
      </c>
      <c r="K22" s="1" t="s">
        <v>40</v>
      </c>
      <c r="L22" s="4">
        <v>20000</v>
      </c>
      <c r="M22" s="6">
        <v>-7.25</v>
      </c>
      <c r="N22" s="7">
        <f>IF(AND(L22 &lt;&gt; "-", M22 &lt;&gt; "-"),L22*( 1 + M22%),0)</f>
      </c>
      <c r="O22" s="7">
        <f>( N22 * E22 )</f>
      </c>
      <c r="P22" s="1" t="s">
        <v>111</v>
      </c>
      <c r="Q22" s="6">
        <v>1.01</v>
      </c>
      <c r="R22" s="6">
        <v>63.2</v>
      </c>
      <c r="S22" s="4">
        <v>57</v>
      </c>
      <c r="T22" s="1" t="s">
        <v>42</v>
      </c>
      <c r="U22" s="5">
        <f>HYPERLINK("https://www.gia.edu/report-check?reportno=2426982452","2426982452")</f>
      </c>
      <c r="V22" s="1" t="s">
        <v>43</v>
      </c>
      <c r="W22" s="1" t="s">
        <v>112</v>
      </c>
      <c r="X22" s="1" t="s">
        <v>59</v>
      </c>
      <c r="Y22" s="1" t="s">
        <v>40</v>
      </c>
      <c r="Z22" s="1" t="s">
        <v>46</v>
      </c>
      <c r="AA22" s="1" t="s">
        <v>66</v>
      </c>
      <c r="AB22" s="1" t="s">
        <v>40</v>
      </c>
      <c r="AC22" s="1" t="s">
        <v>48</v>
      </c>
      <c r="AD22" s="1" t="s">
        <v>43</v>
      </c>
      <c r="AE22" s="8">
        <f>IF(L22&lt;&gt;"",L22*E22,0)</f>
      </c>
    </row>
    <row r="23" spans="1:31" x14ac:dyDescent="0.25">
      <c r="A23" s="4">
        <v>18</v>
      </c>
      <c r="B23" s="1" t="s">
        <v>113</v>
      </c>
      <c r="C23" s="5">
        <f>HYPERLINK("https://client.unique.diamonds/dna/11123-4","DNA")</f>
      </c>
      <c r="D23" s="1" t="s">
        <v>36</v>
      </c>
      <c r="E23" s="6">
        <v>2.55</v>
      </c>
      <c r="F23" s="1" t="s">
        <v>68</v>
      </c>
      <c r="G23" s="1" t="s">
        <v>51</v>
      </c>
      <c r="H23" s="1" t="s">
        <v>39</v>
      </c>
      <c r="I23" s="1" t="s">
        <v>39</v>
      </c>
      <c r="J23" s="1" t="s">
        <v>39</v>
      </c>
      <c r="K23" s="1" t="s">
        <v>114</v>
      </c>
      <c r="L23" s="4">
        <v>18500</v>
      </c>
      <c r="M23" s="6">
        <v>-17.25</v>
      </c>
      <c r="N23" s="7">
        <f>IF(AND(L23 &lt;&gt; "-", M23 &lt;&gt; "-"),L23*( 1 + M23%),0)</f>
      </c>
      <c r="O23" s="7">
        <f>( N23 * E23 )</f>
      </c>
      <c r="P23" s="1" t="s">
        <v>115</v>
      </c>
      <c r="Q23" s="6">
        <v>1.01</v>
      </c>
      <c r="R23" s="6">
        <v>62.7</v>
      </c>
      <c r="S23" s="4">
        <v>59</v>
      </c>
      <c r="T23" s="1" t="s">
        <v>42</v>
      </c>
      <c r="U23" s="5">
        <f>HYPERLINK("https://www.gia.edu/report-check?reportno=5436064717","5436064717")</f>
      </c>
      <c r="V23" s="1" t="s">
        <v>43</v>
      </c>
      <c r="W23" s="1" t="s">
        <v>116</v>
      </c>
      <c r="X23" s="1" t="s">
        <v>45</v>
      </c>
      <c r="Y23" s="1" t="s">
        <v>40</v>
      </c>
      <c r="Z23" s="1" t="s">
        <v>45</v>
      </c>
      <c r="AA23" s="1" t="s">
        <v>40</v>
      </c>
      <c r="AB23" s="1" t="s">
        <v>55</v>
      </c>
      <c r="AC23" s="1" t="s">
        <v>48</v>
      </c>
      <c r="AD23" s="1" t="s">
        <v>43</v>
      </c>
      <c r="AE23" s="8">
        <f>IF(L23&lt;&gt;"",L23*E23,0)</f>
      </c>
    </row>
    <row r="24" spans="1:31" x14ac:dyDescent="0.25">
      <c r="A24" s="4">
        <v>19</v>
      </c>
      <c r="B24" s="1" t="s">
        <v>117</v>
      </c>
      <c r="C24" s="5">
        <f>HYPERLINK("https://client.unique.diamonds/dna/11041-13","DNA")</f>
      </c>
      <c r="D24" s="1" t="s">
        <v>36</v>
      </c>
      <c r="E24" s="6">
        <v>2.53</v>
      </c>
      <c r="F24" s="1" t="s">
        <v>50</v>
      </c>
      <c r="G24" s="1" t="s">
        <v>69</v>
      </c>
      <c r="H24" s="1" t="s">
        <v>39</v>
      </c>
      <c r="I24" s="1" t="s">
        <v>39</v>
      </c>
      <c r="J24" s="1" t="s">
        <v>39</v>
      </c>
      <c r="K24" s="1" t="s">
        <v>40</v>
      </c>
      <c r="L24" s="4">
        <v>11800</v>
      </c>
      <c r="M24" s="6">
        <v>-5</v>
      </c>
      <c r="N24" s="7">
        <f>IF(AND(L24 &lt;&gt; "-", M24 &lt;&gt; "-"),L24*( 1 + M24%),0)</f>
      </c>
      <c r="O24" s="7">
        <f>( N24 * E24 )</f>
      </c>
      <c r="P24" s="1" t="s">
        <v>118</v>
      </c>
      <c r="Q24" s="6">
        <v>1</v>
      </c>
      <c r="R24" s="6">
        <v>61.5</v>
      </c>
      <c r="S24" s="4">
        <v>59</v>
      </c>
      <c r="T24" s="1" t="s">
        <v>42</v>
      </c>
      <c r="U24" s="5">
        <f>HYPERLINK("https://www.gia.edu/report-check?reportno=1429240470","1429240470")</f>
      </c>
      <c r="V24" s="1" t="s">
        <v>43</v>
      </c>
      <c r="W24" s="1" t="s">
        <v>78</v>
      </c>
      <c r="X24" s="1" t="s">
        <v>59</v>
      </c>
      <c r="Y24" s="1" t="s">
        <v>40</v>
      </c>
      <c r="Z24" s="1" t="s">
        <v>46</v>
      </c>
      <c r="AA24" s="1" t="s">
        <v>55</v>
      </c>
      <c r="AB24" s="1" t="s">
        <v>55</v>
      </c>
      <c r="AC24" s="1" t="s">
        <v>48</v>
      </c>
      <c r="AD24" s="1" t="s">
        <v>43</v>
      </c>
      <c r="AE24" s="8">
        <f>IF(L24&lt;&gt;"",L24*E24,0)</f>
      </c>
    </row>
    <row r="25" spans="1:31" x14ac:dyDescent="0.25">
      <c r="A25" s="4">
        <v>20</v>
      </c>
      <c r="B25" s="1" t="s">
        <v>119</v>
      </c>
      <c r="C25" s="5">
        <f>HYPERLINK("https://client.unique.diamonds/dna/141441-18","DNA")</f>
      </c>
      <c r="D25" s="1" t="s">
        <v>36</v>
      </c>
      <c r="E25" s="6">
        <v>2.51</v>
      </c>
      <c r="F25" s="1" t="s">
        <v>98</v>
      </c>
      <c r="G25" s="1" t="s">
        <v>38</v>
      </c>
      <c r="H25" s="1" t="s">
        <v>39</v>
      </c>
      <c r="I25" s="1" t="s">
        <v>39</v>
      </c>
      <c r="J25" s="1" t="s">
        <v>39</v>
      </c>
      <c r="K25" s="1" t="s">
        <v>40</v>
      </c>
      <c r="L25" s="4">
        <v>18000</v>
      </c>
      <c r="M25" s="6">
        <v>-14.25</v>
      </c>
      <c r="N25" s="7">
        <f>IF(AND(L25 &lt;&gt; "-", M25 &lt;&gt; "-"),L25*( 1 + M25%),0)</f>
      </c>
      <c r="O25" s="7">
        <f>( N25 * E25 )</f>
      </c>
      <c r="P25" s="1" t="s">
        <v>120</v>
      </c>
      <c r="Q25" s="6">
        <v>1.01</v>
      </c>
      <c r="R25" s="6">
        <v>61.2</v>
      </c>
      <c r="S25" s="4">
        <v>59</v>
      </c>
      <c r="T25" s="1" t="s">
        <v>42</v>
      </c>
      <c r="U25" s="5">
        <f>HYPERLINK("https://www.gia.edu/report-check?reportno=2418643579","2418643579")</f>
      </c>
      <c r="V25" s="1" t="s">
        <v>43</v>
      </c>
      <c r="W25" s="1" t="s">
        <v>78</v>
      </c>
      <c r="X25" s="1" t="s">
        <v>46</v>
      </c>
      <c r="Y25" s="1" t="s">
        <v>40</v>
      </c>
      <c r="Z25" s="1" t="s">
        <v>46</v>
      </c>
      <c r="AA25" s="1" t="s">
        <v>55</v>
      </c>
      <c r="AB25" s="1" t="s">
        <v>55</v>
      </c>
      <c r="AC25" s="1" t="s">
        <v>85</v>
      </c>
      <c r="AD25" s="1" t="s">
        <v>43</v>
      </c>
      <c r="AE25" s="8">
        <f>IF(L25&lt;&gt;"",L25*E25,0)</f>
      </c>
    </row>
    <row r="26" spans="1:31" x14ac:dyDescent="0.25">
      <c r="A26" s="4">
        <v>21</v>
      </c>
      <c r="B26" s="1" t="s">
        <v>121</v>
      </c>
      <c r="C26" s="5">
        <f>HYPERLINK("https://client.unique.diamonds/dna/11051-30","DNA")</f>
      </c>
      <c r="D26" s="1" t="s">
        <v>36</v>
      </c>
      <c r="E26" s="6">
        <v>2.5</v>
      </c>
      <c r="F26" s="1" t="s">
        <v>37</v>
      </c>
      <c r="G26" s="1" t="s">
        <v>69</v>
      </c>
      <c r="H26" s="1" t="s">
        <v>39</v>
      </c>
      <c r="I26" s="1" t="s">
        <v>39</v>
      </c>
      <c r="J26" s="1" t="s">
        <v>39</v>
      </c>
      <c r="K26" s="1" t="s">
        <v>40</v>
      </c>
      <c r="L26" s="4">
        <v>17500</v>
      </c>
      <c r="M26" s="6">
        <v>-9</v>
      </c>
      <c r="N26" s="7">
        <f>IF(AND(L26 &lt;&gt; "-", M26 &lt;&gt; "-"),L26*( 1 + M26%),0)</f>
      </c>
      <c r="O26" s="7">
        <f>( N26 * E26 )</f>
      </c>
      <c r="P26" s="1" t="s">
        <v>122</v>
      </c>
      <c r="Q26" s="6">
        <v>1</v>
      </c>
      <c r="R26" s="6">
        <v>62.4</v>
      </c>
      <c r="S26" s="4">
        <v>58</v>
      </c>
      <c r="T26" s="1" t="s">
        <v>42</v>
      </c>
      <c r="U26" s="5">
        <f>HYPERLINK("https://www.gia.edu/report-check?reportno=7428091270","7428091270")</f>
      </c>
      <c r="V26" s="1" t="s">
        <v>43</v>
      </c>
      <c r="W26" s="1" t="s">
        <v>84</v>
      </c>
      <c r="X26" s="1" t="s">
        <v>75</v>
      </c>
      <c r="Y26" s="1" t="s">
        <v>40</v>
      </c>
      <c r="Z26" s="1" t="s">
        <v>46</v>
      </c>
      <c r="AA26" s="1" t="s">
        <v>40</v>
      </c>
      <c r="AB26" s="1" t="s">
        <v>47</v>
      </c>
      <c r="AC26" s="1" t="s">
        <v>48</v>
      </c>
      <c r="AD26" s="1" t="s">
        <v>43</v>
      </c>
      <c r="AE26" s="8">
        <f>IF(L26&lt;&gt;"",L26*E26,0)</f>
      </c>
    </row>
    <row r="27" spans="1:31" x14ac:dyDescent="0.25">
      <c r="A27" s="4">
        <v>22</v>
      </c>
      <c r="B27" s="1" t="s">
        <v>123</v>
      </c>
      <c r="C27" s="5">
        <f>HYPERLINK("https://client.unique.diamonds/dna/141445-31","DNA")</f>
      </c>
      <c r="D27" s="1" t="s">
        <v>36</v>
      </c>
      <c r="E27" s="6">
        <v>2.5</v>
      </c>
      <c r="F27" s="1" t="s">
        <v>37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40</v>
      </c>
      <c r="L27" s="4">
        <v>16000</v>
      </c>
      <c r="M27" s="6">
        <v>-11.25</v>
      </c>
      <c r="N27" s="7">
        <f>IF(AND(L27 &lt;&gt; "-", M27 &lt;&gt; "-"),L27*( 1 + M27%),0)</f>
      </c>
      <c r="O27" s="7">
        <f>( N27 * E27 )</f>
      </c>
      <c r="P27" s="1" t="s">
        <v>124</v>
      </c>
      <c r="Q27" s="6">
        <v>1.01</v>
      </c>
      <c r="R27" s="6">
        <v>62.8</v>
      </c>
      <c r="S27" s="4">
        <v>54</v>
      </c>
      <c r="T27" s="1" t="s">
        <v>42</v>
      </c>
      <c r="U27" s="5">
        <f>HYPERLINK("https://www.gia.edu/report-check?reportno=1415863918","1415863918")</f>
      </c>
      <c r="V27" s="1" t="s">
        <v>43</v>
      </c>
      <c r="W27" s="1" t="s">
        <v>125</v>
      </c>
      <c r="X27" s="1" t="s">
        <v>46</v>
      </c>
      <c r="Y27" s="1" t="s">
        <v>40</v>
      </c>
      <c r="Z27" s="1" t="s">
        <v>46</v>
      </c>
      <c r="AA27" s="1" t="s">
        <v>66</v>
      </c>
      <c r="AB27" s="1" t="s">
        <v>40</v>
      </c>
      <c r="AC27" s="1" t="s">
        <v>48</v>
      </c>
      <c r="AD27" s="1" t="s">
        <v>43</v>
      </c>
      <c r="AE27" s="8">
        <f>IF(L27&lt;&gt;"",L27*E27,0)</f>
      </c>
    </row>
    <row r="28" spans="1:31" x14ac:dyDescent="0.25">
      <c r="A28" s="4">
        <v>23</v>
      </c>
      <c r="B28" s="1" t="s">
        <v>126</v>
      </c>
      <c r="C28" s="5">
        <f>HYPERLINK("https://client.unique.diamonds/dna/11016-19","DNA")</f>
      </c>
      <c r="D28" s="1" t="s">
        <v>36</v>
      </c>
      <c r="E28" s="6">
        <v>2.5</v>
      </c>
      <c r="F28" s="1" t="s">
        <v>37</v>
      </c>
      <c r="G28" s="1" t="s">
        <v>38</v>
      </c>
      <c r="H28" s="1" t="s">
        <v>39</v>
      </c>
      <c r="I28" s="1" t="s">
        <v>39</v>
      </c>
      <c r="J28" s="1" t="s">
        <v>39</v>
      </c>
      <c r="K28" s="1" t="s">
        <v>40</v>
      </c>
      <c r="L28" s="4">
        <v>16000</v>
      </c>
      <c r="M28" s="6">
        <v>-11</v>
      </c>
      <c r="N28" s="7">
        <f>IF(AND(L28 &lt;&gt; "-", M28 &lt;&gt; "-"),L28*( 1 + M28%),0)</f>
      </c>
      <c r="O28" s="7">
        <f>( N28 * E28 )</f>
      </c>
      <c r="P28" s="1" t="s">
        <v>127</v>
      </c>
      <c r="Q28" s="6">
        <v>1.01</v>
      </c>
      <c r="R28" s="6">
        <v>62.1</v>
      </c>
      <c r="S28" s="4">
        <v>60</v>
      </c>
      <c r="T28" s="1" t="s">
        <v>42</v>
      </c>
      <c r="U28" s="5">
        <f>HYPERLINK("https://www.gia.edu/report-check?reportno=2426154049","2426154049")</f>
      </c>
      <c r="V28" s="1" t="s">
        <v>43</v>
      </c>
      <c r="W28" s="1" t="s">
        <v>128</v>
      </c>
      <c r="X28" s="1" t="s">
        <v>46</v>
      </c>
      <c r="Y28" s="1" t="s">
        <v>40</v>
      </c>
      <c r="Z28" s="1" t="s">
        <v>46</v>
      </c>
      <c r="AA28" s="1" t="s">
        <v>40</v>
      </c>
      <c r="AB28" s="1" t="s">
        <v>40</v>
      </c>
      <c r="AC28" s="1" t="s">
        <v>48</v>
      </c>
      <c r="AD28" s="1" t="s">
        <v>43</v>
      </c>
      <c r="AE28" s="8">
        <f>IF(L28&lt;&gt;"",L28*E28,0)</f>
      </c>
    </row>
    <row r="29" spans="1:31" x14ac:dyDescent="0.25">
      <c r="A29" s="4">
        <v>24</v>
      </c>
      <c r="B29" s="1" t="s">
        <v>129</v>
      </c>
      <c r="C29" s="5">
        <f>HYPERLINK("https://client.unique.diamonds/dna/11136-44","DNA")</f>
      </c>
      <c r="D29" s="1" t="s">
        <v>36</v>
      </c>
      <c r="E29" s="6">
        <v>2.5</v>
      </c>
      <c r="F29" s="1" t="s">
        <v>62</v>
      </c>
      <c r="G29" s="1" t="s">
        <v>51</v>
      </c>
      <c r="H29" s="1" t="s">
        <v>39</v>
      </c>
      <c r="I29" s="1" t="s">
        <v>39</v>
      </c>
      <c r="J29" s="1" t="s">
        <v>39</v>
      </c>
      <c r="K29" s="1" t="s">
        <v>40</v>
      </c>
      <c r="L29" s="4">
        <v>12300</v>
      </c>
      <c r="M29" s="6">
        <v>-8.5</v>
      </c>
      <c r="N29" s="7">
        <f>IF(AND(L29 &lt;&gt; "-", M29 &lt;&gt; "-"),L29*( 1 + M29%),0)</f>
      </c>
      <c r="O29" s="7">
        <f>( N29 * E29 )</f>
      </c>
      <c r="P29" s="1" t="s">
        <v>130</v>
      </c>
      <c r="Q29" s="6">
        <v>1.01</v>
      </c>
      <c r="R29" s="6">
        <v>62.8</v>
      </c>
      <c r="S29" s="4">
        <v>58</v>
      </c>
      <c r="T29" s="1" t="s">
        <v>42</v>
      </c>
      <c r="U29" s="5">
        <f>HYPERLINK("https://www.gia.edu/report-check?reportno=7431372891","7431372891")</f>
      </c>
      <c r="V29" s="1" t="s">
        <v>43</v>
      </c>
      <c r="W29" s="1" t="s">
        <v>131</v>
      </c>
      <c r="X29" s="1" t="s">
        <v>59</v>
      </c>
      <c r="Y29" s="1" t="s">
        <v>40</v>
      </c>
      <c r="Z29" s="1" t="s">
        <v>46</v>
      </c>
      <c r="AA29" s="1" t="s">
        <v>55</v>
      </c>
      <c r="AB29" s="1" t="s">
        <v>55</v>
      </c>
      <c r="AC29" s="1" t="s">
        <v>48</v>
      </c>
      <c r="AD29" s="1" t="s">
        <v>43</v>
      </c>
      <c r="AE29" s="8">
        <f>IF(L29&lt;&gt;"",L29*E29,0)</f>
      </c>
    </row>
    <row r="30" spans="1:31" x14ac:dyDescent="0.25">
      <c r="A30" s="4">
        <v>25</v>
      </c>
      <c r="B30" s="1" t="s">
        <v>132</v>
      </c>
      <c r="C30" s="5">
        <f>HYPERLINK("https://client.unique.diamonds/dna/141411-63","DNA")</f>
      </c>
      <c r="D30" s="1" t="s">
        <v>36</v>
      </c>
      <c r="E30" s="6">
        <v>2.5</v>
      </c>
      <c r="F30" s="1" t="s">
        <v>50</v>
      </c>
      <c r="G30" s="1" t="s">
        <v>69</v>
      </c>
      <c r="H30" s="1" t="s">
        <v>39</v>
      </c>
      <c r="I30" s="1" t="s">
        <v>39</v>
      </c>
      <c r="J30" s="1" t="s">
        <v>39</v>
      </c>
      <c r="K30" s="1" t="s">
        <v>40</v>
      </c>
      <c r="L30" s="4">
        <v>11800</v>
      </c>
      <c r="M30" s="6">
        <v>-11.5</v>
      </c>
      <c r="N30" s="7">
        <f>IF(AND(L30 &lt;&gt; "-", M30 &lt;&gt; "-"),L30*( 1 + M30%),0)</f>
      </c>
      <c r="O30" s="7">
        <f>( N30 * E30 )</f>
      </c>
      <c r="P30" s="1" t="s">
        <v>133</v>
      </c>
      <c r="Q30" s="6">
        <v>1</v>
      </c>
      <c r="R30" s="6">
        <v>61.6</v>
      </c>
      <c r="S30" s="4">
        <v>60</v>
      </c>
      <c r="T30" s="1" t="s">
        <v>42</v>
      </c>
      <c r="U30" s="5">
        <f>HYPERLINK("https://www.gia.edu/report-check?reportno=2416126085","2416126085")</f>
      </c>
      <c r="V30" s="1" t="s">
        <v>43</v>
      </c>
      <c r="W30" s="1" t="s">
        <v>71</v>
      </c>
      <c r="X30" s="1" t="s">
        <v>45</v>
      </c>
      <c r="Y30" s="1" t="s">
        <v>40</v>
      </c>
      <c r="Z30" s="1" t="s">
        <v>46</v>
      </c>
      <c r="AA30" s="1" t="s">
        <v>66</v>
      </c>
      <c r="AB30" s="1" t="s">
        <v>47</v>
      </c>
      <c r="AC30" s="1" t="s">
        <v>48</v>
      </c>
      <c r="AD30" s="1" t="s">
        <v>43</v>
      </c>
      <c r="AE30" s="8">
        <f>IF(L30&lt;&gt;"",L30*E30,0)</f>
      </c>
    </row>
    <row r="31" spans="1:31" x14ac:dyDescent="0.25">
      <c r="A31" s="4">
        <v>26</v>
      </c>
      <c r="B31" s="1" t="s">
        <v>134</v>
      </c>
      <c r="C31" s="5">
        <f>HYPERLINK("https://client.unique.diamonds/dna/11090-33","DNA")</f>
      </c>
      <c r="D31" s="1" t="s">
        <v>36</v>
      </c>
      <c r="E31" s="6">
        <v>2.5</v>
      </c>
      <c r="F31" s="1" t="s">
        <v>104</v>
      </c>
      <c r="G31" s="1" t="s">
        <v>69</v>
      </c>
      <c r="H31" s="1" t="s">
        <v>39</v>
      </c>
      <c r="I31" s="1" t="s">
        <v>39</v>
      </c>
      <c r="J31" s="1" t="s">
        <v>39</v>
      </c>
      <c r="K31" s="1" t="s">
        <v>40</v>
      </c>
      <c r="L31" s="4">
        <v>9400</v>
      </c>
      <c r="M31" s="6">
        <v>-8.75</v>
      </c>
      <c r="N31" s="7">
        <f>IF(AND(L31 &lt;&gt; "-", M31 &lt;&gt; "-"),L31*( 1 + M31%),0)</f>
      </c>
      <c r="O31" s="7">
        <f>( N31 * E31 )</f>
      </c>
      <c r="P31" s="1" t="s">
        <v>135</v>
      </c>
      <c r="Q31" s="6">
        <v>1</v>
      </c>
      <c r="R31" s="6">
        <v>61.2</v>
      </c>
      <c r="S31" s="4">
        <v>59</v>
      </c>
      <c r="T31" s="1" t="s">
        <v>42</v>
      </c>
      <c r="U31" s="5">
        <f>HYPERLINK("https://www.gia.edu/report-check?reportno=1425883120","1425883120")</f>
      </c>
      <c r="V31" s="1" t="s">
        <v>43</v>
      </c>
      <c r="W31" s="1" t="s">
        <v>136</v>
      </c>
      <c r="X31" s="1" t="s">
        <v>59</v>
      </c>
      <c r="Y31" s="1" t="s">
        <v>40</v>
      </c>
      <c r="Z31" s="1" t="s">
        <v>40</v>
      </c>
      <c r="AA31" s="1" t="s">
        <v>66</v>
      </c>
      <c r="AB31" s="1" t="s">
        <v>40</v>
      </c>
      <c r="AC31" s="1" t="s">
        <v>85</v>
      </c>
      <c r="AD31" s="1" t="s">
        <v>43</v>
      </c>
      <c r="AE31" s="8">
        <f>IF(L31&lt;&gt;"",L31*E31,0)</f>
      </c>
    </row>
    <row r="32" spans="1:31" x14ac:dyDescent="0.25">
      <c r="A32" s="4">
        <v>27</v>
      </c>
      <c r="B32" s="1" t="s">
        <v>137</v>
      </c>
      <c r="C32" s="5">
        <f>HYPERLINK("https://client.unique.diamonds/dna/11008-20","DNA")</f>
      </c>
      <c r="D32" s="1" t="s">
        <v>36</v>
      </c>
      <c r="E32" s="6">
        <v>2.5</v>
      </c>
      <c r="F32" s="1" t="s">
        <v>104</v>
      </c>
      <c r="G32" s="1" t="s">
        <v>87</v>
      </c>
      <c r="H32" s="1" t="s">
        <v>39</v>
      </c>
      <c r="I32" s="1" t="s">
        <v>39</v>
      </c>
      <c r="J32" s="1" t="s">
        <v>39</v>
      </c>
      <c r="K32" s="1" t="s">
        <v>63</v>
      </c>
      <c r="L32" s="4">
        <v>7700</v>
      </c>
      <c r="M32" s="6">
        <v>-6</v>
      </c>
      <c r="N32" s="7">
        <f>IF(AND(L32 &lt;&gt; "-", M32 &lt;&gt; "-"),L32*( 1 + M32%),0)</f>
      </c>
      <c r="O32" s="7">
        <f>( N32 * E32 )</f>
      </c>
      <c r="P32" s="1" t="s">
        <v>138</v>
      </c>
      <c r="Q32" s="6">
        <v>1.01</v>
      </c>
      <c r="R32" s="6">
        <v>61.9</v>
      </c>
      <c r="S32" s="4">
        <v>61</v>
      </c>
      <c r="T32" s="1" t="s">
        <v>42</v>
      </c>
      <c r="U32" s="5">
        <f>HYPERLINK("https://www.gia.edu/report-check?reportno=6421004428","6421004428")</f>
      </c>
      <c r="V32" s="1" t="s">
        <v>43</v>
      </c>
      <c r="W32" s="1" t="s">
        <v>139</v>
      </c>
      <c r="X32" s="1" t="s">
        <v>46</v>
      </c>
      <c r="Y32" s="1" t="s">
        <v>40</v>
      </c>
      <c r="Z32" s="1" t="s">
        <v>140</v>
      </c>
      <c r="AA32" s="1" t="s">
        <v>55</v>
      </c>
      <c r="AB32" s="1" t="s">
        <v>40</v>
      </c>
      <c r="AC32" s="1" t="s">
        <v>48</v>
      </c>
      <c r="AD32" s="1" t="s">
        <v>43</v>
      </c>
      <c r="AE32" s="8">
        <f>IF(L32&lt;&gt;"",L32*E32,0)</f>
      </c>
    </row>
    <row r="33" spans="1:31" x14ac:dyDescent="0.25">
      <c r="A33" s="4">
        <v>28</v>
      </c>
      <c r="B33" s="1" t="s">
        <v>141</v>
      </c>
      <c r="C33" s="5">
        <f>HYPERLINK("https://client.unique.diamonds/dna/11090-14","DNA")</f>
      </c>
      <c r="D33" s="1" t="s">
        <v>36</v>
      </c>
      <c r="E33" s="6">
        <v>2.37</v>
      </c>
      <c r="F33" s="1" t="s">
        <v>98</v>
      </c>
      <c r="G33" s="1" t="s">
        <v>69</v>
      </c>
      <c r="H33" s="1" t="s">
        <v>39</v>
      </c>
      <c r="I33" s="1" t="s">
        <v>39</v>
      </c>
      <c r="J33" s="1" t="s">
        <v>39</v>
      </c>
      <c r="K33" s="1" t="s">
        <v>40</v>
      </c>
      <c r="L33" s="4">
        <v>20000</v>
      </c>
      <c r="M33" s="6">
        <v>-23.25</v>
      </c>
      <c r="N33" s="7">
        <f>IF(AND(L33 &lt;&gt; "-", M33 &lt;&gt; "-"),L33*( 1 + M33%),0)</f>
      </c>
      <c r="O33" s="7">
        <f>( N33 * E33 )</f>
      </c>
      <c r="P33" s="1" t="s">
        <v>142</v>
      </c>
      <c r="Q33" s="6">
        <v>1.01</v>
      </c>
      <c r="R33" s="6">
        <v>60.4</v>
      </c>
      <c r="S33" s="4">
        <v>59</v>
      </c>
      <c r="T33" s="1" t="s">
        <v>42</v>
      </c>
      <c r="U33" s="5">
        <f>HYPERLINK("https://www.gia.edu/report-check?reportno=6432105039","6432105039")</f>
      </c>
      <c r="V33" s="1" t="s">
        <v>43</v>
      </c>
      <c r="W33" s="1" t="s">
        <v>143</v>
      </c>
      <c r="X33" s="1" t="s">
        <v>46</v>
      </c>
      <c r="Y33" s="1" t="s">
        <v>40</v>
      </c>
      <c r="Z33" s="1" t="s">
        <v>46</v>
      </c>
      <c r="AA33" s="1" t="s">
        <v>55</v>
      </c>
      <c r="AB33" s="1" t="s">
        <v>40</v>
      </c>
      <c r="AC33" s="1" t="s">
        <v>48</v>
      </c>
      <c r="AD33" s="1" t="s">
        <v>43</v>
      </c>
      <c r="AE33" s="8">
        <f>IF(L33&lt;&gt;"",L33*E33,0)</f>
      </c>
    </row>
    <row r="34" spans="1:31" x14ac:dyDescent="0.25">
      <c r="A34" s="4">
        <v>29</v>
      </c>
      <c r="B34" s="1" t="s">
        <v>144</v>
      </c>
      <c r="C34" s="5">
        <f>HYPERLINK("https://client.unique.diamonds/dna/141441-28","DNA")</f>
      </c>
      <c r="D34" s="1" t="s">
        <v>36</v>
      </c>
      <c r="E34" s="6">
        <v>2.26</v>
      </c>
      <c r="F34" s="1" t="s">
        <v>91</v>
      </c>
      <c r="G34" s="1" t="s">
        <v>51</v>
      </c>
      <c r="H34" s="1" t="s">
        <v>39</v>
      </c>
      <c r="I34" s="1" t="s">
        <v>39</v>
      </c>
      <c r="J34" s="1" t="s">
        <v>39</v>
      </c>
      <c r="K34" s="1" t="s">
        <v>63</v>
      </c>
      <c r="L34" s="4">
        <v>16300</v>
      </c>
      <c r="M34" s="6">
        <v>-24</v>
      </c>
      <c r="N34" s="7">
        <f>IF(AND(L34 &lt;&gt; "-", M34 &lt;&gt; "-"),L34*( 1 + M34%),0)</f>
      </c>
      <c r="O34" s="7">
        <f>( N34 * E34 )</f>
      </c>
      <c r="P34" s="1" t="s">
        <v>145</v>
      </c>
      <c r="Q34" s="6">
        <v>1.01</v>
      </c>
      <c r="R34" s="6">
        <v>62.6</v>
      </c>
      <c r="S34" s="4">
        <v>58</v>
      </c>
      <c r="T34" s="1" t="s">
        <v>42</v>
      </c>
      <c r="U34" s="5">
        <f>HYPERLINK("https://www.gia.edu/report-check?reportno=6227200607","6227200607")</f>
      </c>
      <c r="V34" s="1" t="s">
        <v>43</v>
      </c>
      <c r="W34" s="1" t="s">
        <v>146</v>
      </c>
      <c r="X34" s="1" t="s">
        <v>59</v>
      </c>
      <c r="Y34" s="1" t="s">
        <v>40</v>
      </c>
      <c r="Z34" s="1" t="s">
        <v>46</v>
      </c>
      <c r="AA34" s="1" t="s">
        <v>55</v>
      </c>
      <c r="AB34" s="1" t="s">
        <v>55</v>
      </c>
      <c r="AC34" s="1" t="s">
        <v>48</v>
      </c>
      <c r="AD34" s="1" t="s">
        <v>43</v>
      </c>
      <c r="AE34" s="8">
        <f>IF(L34&lt;&gt;"",L34*E34,0)</f>
      </c>
    </row>
    <row r="35" spans="1:31" x14ac:dyDescent="0.25">
      <c r="A35" s="4">
        <v>30</v>
      </c>
      <c r="B35" s="1" t="s">
        <v>147</v>
      </c>
      <c r="C35" s="5">
        <f>HYPERLINK("https://client.unique.diamonds/dna/11118-3","DNA")</f>
      </c>
      <c r="D35" s="1" t="s">
        <v>36</v>
      </c>
      <c r="E35" s="6">
        <v>2.22</v>
      </c>
      <c r="F35" s="1" t="s">
        <v>62</v>
      </c>
      <c r="G35" s="1" t="s">
        <v>51</v>
      </c>
      <c r="H35" s="1" t="s">
        <v>39</v>
      </c>
      <c r="I35" s="1" t="s">
        <v>39</v>
      </c>
      <c r="J35" s="1" t="s">
        <v>39</v>
      </c>
      <c r="K35" s="1" t="s">
        <v>40</v>
      </c>
      <c r="L35" s="4">
        <v>12300</v>
      </c>
      <c r="M35" s="6">
        <v>-17.25</v>
      </c>
      <c r="N35" s="7">
        <f>IF(AND(L35 &lt;&gt; "-", M35 &lt;&gt; "-"),L35*( 1 + M35%),0)</f>
      </c>
      <c r="O35" s="7">
        <f>( N35 * E35 )</f>
      </c>
      <c r="P35" s="1" t="s">
        <v>148</v>
      </c>
      <c r="Q35" s="6">
        <v>1</v>
      </c>
      <c r="R35" s="6">
        <v>61.9</v>
      </c>
      <c r="S35" s="4">
        <v>59</v>
      </c>
      <c r="T35" s="1" t="s">
        <v>42</v>
      </c>
      <c r="U35" s="5">
        <f>HYPERLINK("https://www.gia.edu/report-check?reportno=6432013706","6432013706")</f>
      </c>
      <c r="V35" s="1" t="s">
        <v>43</v>
      </c>
      <c r="W35" s="1" t="s">
        <v>78</v>
      </c>
      <c r="X35" s="1" t="s">
        <v>45</v>
      </c>
      <c r="Y35" s="1" t="s">
        <v>40</v>
      </c>
      <c r="Z35" s="1" t="s">
        <v>46</v>
      </c>
      <c r="AA35" s="1" t="s">
        <v>66</v>
      </c>
      <c r="AB35" s="1" t="s">
        <v>40</v>
      </c>
      <c r="AC35" s="1" t="s">
        <v>48</v>
      </c>
      <c r="AD35" s="1" t="s">
        <v>43</v>
      </c>
      <c r="AE35" s="8">
        <f>IF(L35&lt;&gt;"",L35*E35,0)</f>
      </c>
    </row>
    <row r="36" spans="1:31" x14ac:dyDescent="0.25">
      <c r="A36" s="4">
        <v>31</v>
      </c>
      <c r="B36" s="1" t="s">
        <v>149</v>
      </c>
      <c r="C36" s="5">
        <f>HYPERLINK("https://client.unique.diamonds/dna/11034-2","DNA")</f>
      </c>
      <c r="D36" s="1" t="s">
        <v>36</v>
      </c>
      <c r="E36" s="6">
        <v>2.16</v>
      </c>
      <c r="F36" s="1" t="s">
        <v>62</v>
      </c>
      <c r="G36" s="1" t="s">
        <v>51</v>
      </c>
      <c r="H36" s="1" t="s">
        <v>39</v>
      </c>
      <c r="I36" s="1" t="s">
        <v>39</v>
      </c>
      <c r="J36" s="1" t="s">
        <v>39</v>
      </c>
      <c r="K36" s="1" t="s">
        <v>63</v>
      </c>
      <c r="L36" s="4">
        <v>12300</v>
      </c>
      <c r="M36" s="6">
        <v>-22</v>
      </c>
      <c r="N36" s="7">
        <f>IF(AND(L36 &lt;&gt; "-", M36 &lt;&gt; "-"),L36*( 1 + M36%),0)</f>
      </c>
      <c r="O36" s="7">
        <f>( N36 * E36 )</f>
      </c>
      <c r="P36" s="1" t="s">
        <v>150</v>
      </c>
      <c r="Q36" s="6">
        <v>1</v>
      </c>
      <c r="R36" s="6">
        <v>62.5</v>
      </c>
      <c r="S36" s="4">
        <v>57</v>
      </c>
      <c r="T36" s="1" t="s">
        <v>42</v>
      </c>
      <c r="U36" s="5">
        <f>HYPERLINK("https://www.gia.edu/report-check?reportno=6425004073","6425004073")</f>
      </c>
      <c r="V36" s="1" t="s">
        <v>43</v>
      </c>
      <c r="W36" s="1" t="s">
        <v>151</v>
      </c>
      <c r="X36" s="1" t="s">
        <v>45</v>
      </c>
      <c r="Y36" s="1" t="s">
        <v>40</v>
      </c>
      <c r="Z36" s="1" t="s">
        <v>59</v>
      </c>
      <c r="AA36" s="1" t="s">
        <v>55</v>
      </c>
      <c r="AB36" s="1" t="s">
        <v>40</v>
      </c>
      <c r="AC36" s="1" t="s">
        <v>48</v>
      </c>
      <c r="AD36" s="1" t="s">
        <v>43</v>
      </c>
      <c r="AE36" s="8">
        <f>IF(L36&lt;&gt;"",L36*E36,0)</f>
      </c>
    </row>
    <row r="37" spans="1:31" x14ac:dyDescent="0.25">
      <c r="A37" s="4">
        <v>32</v>
      </c>
      <c r="B37" s="1" t="s">
        <v>152</v>
      </c>
      <c r="C37" s="5">
        <f>HYPERLINK("https://client.unique.diamonds/dna/141444-101","DNA")</f>
      </c>
      <c r="D37" s="1" t="s">
        <v>36</v>
      </c>
      <c r="E37" s="6">
        <v>2.15</v>
      </c>
      <c r="F37" s="1" t="s">
        <v>37</v>
      </c>
      <c r="G37" s="1" t="s">
        <v>69</v>
      </c>
      <c r="H37" s="1" t="s">
        <v>39</v>
      </c>
      <c r="I37" s="1" t="s">
        <v>39</v>
      </c>
      <c r="J37" s="1" t="s">
        <v>39</v>
      </c>
      <c r="K37" s="1" t="s">
        <v>40</v>
      </c>
      <c r="L37" s="4">
        <v>17500</v>
      </c>
      <c r="M37" s="6">
        <v>-19.75</v>
      </c>
      <c r="N37" s="7">
        <f>IF(AND(L37 &lt;&gt; "-", M37 &lt;&gt; "-"),L37*( 1 + M37%),0)</f>
      </c>
      <c r="O37" s="7">
        <f>( N37 * E37 )</f>
      </c>
      <c r="P37" s="1" t="s">
        <v>153</v>
      </c>
      <c r="Q37" s="6">
        <v>1</v>
      </c>
      <c r="R37" s="6">
        <v>62.2</v>
      </c>
      <c r="S37" s="4">
        <v>56</v>
      </c>
      <c r="T37" s="1" t="s">
        <v>42</v>
      </c>
      <c r="U37" s="5">
        <f>HYPERLINK("https://www.gia.edu/report-check?reportno=5221243600","5221243600")</f>
      </c>
      <c r="V37" s="1" t="s">
        <v>43</v>
      </c>
      <c r="W37" s="1" t="s">
        <v>154</v>
      </c>
      <c r="X37" s="1" t="s">
        <v>59</v>
      </c>
      <c r="Y37" s="1" t="s">
        <v>40</v>
      </c>
      <c r="Z37" s="1" t="s">
        <v>46</v>
      </c>
      <c r="AA37" s="1" t="s">
        <v>55</v>
      </c>
      <c r="AB37" s="1" t="s">
        <v>40</v>
      </c>
      <c r="AC37" s="1" t="s">
        <v>48</v>
      </c>
      <c r="AD37" s="1" t="s">
        <v>43</v>
      </c>
      <c r="AE37" s="8">
        <f>IF(L37&lt;&gt;"",L37*E37,0)</f>
      </c>
    </row>
    <row r="38" spans="1:31" x14ac:dyDescent="0.25">
      <c r="A38" s="4">
        <v>33</v>
      </c>
      <c r="B38" s="1" t="s">
        <v>155</v>
      </c>
      <c r="C38" s="5">
        <f>HYPERLINK("https://client.unique.diamonds/dna/11124-3","DNA")</f>
      </c>
      <c r="D38" s="1" t="s">
        <v>36</v>
      </c>
      <c r="E38" s="6">
        <v>2.11</v>
      </c>
      <c r="F38" s="1" t="s">
        <v>37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63</v>
      </c>
      <c r="L38" s="4">
        <v>16000</v>
      </c>
      <c r="M38" s="6">
        <v>-24.25</v>
      </c>
      <c r="N38" s="7">
        <f>IF(AND(L38 &lt;&gt; "-", M38 &lt;&gt; "-"),L38*( 1 + M38%),0)</f>
      </c>
      <c r="O38" s="7">
        <f>( N38 * E38 )</f>
      </c>
      <c r="P38" s="1" t="s">
        <v>156</v>
      </c>
      <c r="Q38" s="6">
        <v>1</v>
      </c>
      <c r="R38" s="6">
        <v>61.7</v>
      </c>
      <c r="S38" s="4">
        <v>59</v>
      </c>
      <c r="T38" s="1" t="s">
        <v>42</v>
      </c>
      <c r="U38" s="5">
        <f>HYPERLINK("https://www.gia.edu/report-check?reportno=1438107033","1438107033")</f>
      </c>
      <c r="V38" s="1" t="s">
        <v>43</v>
      </c>
      <c r="W38" s="1" t="s">
        <v>157</v>
      </c>
      <c r="X38" s="1" t="s">
        <v>59</v>
      </c>
      <c r="Y38" s="1" t="s">
        <v>40</v>
      </c>
      <c r="Z38" s="1" t="s">
        <v>46</v>
      </c>
      <c r="AA38" s="1" t="s">
        <v>66</v>
      </c>
      <c r="AB38" s="1" t="s">
        <v>40</v>
      </c>
      <c r="AC38" s="1" t="s">
        <v>48</v>
      </c>
      <c r="AD38" s="1" t="s">
        <v>43</v>
      </c>
      <c r="AE38" s="8">
        <f>IF(L38&lt;&gt;"",L38*E38,0)</f>
      </c>
    </row>
    <row r="39" spans="1:31" x14ac:dyDescent="0.25">
      <c r="A39" s="4">
        <v>34</v>
      </c>
      <c r="B39" s="1" t="s">
        <v>158</v>
      </c>
      <c r="C39" s="5">
        <f>HYPERLINK("https://client.unique.diamonds/dna/11141-9","DNA")</f>
      </c>
      <c r="D39" s="1" t="s">
        <v>36</v>
      </c>
      <c r="E39" s="6">
        <v>2.11</v>
      </c>
      <c r="F39" s="1" t="s">
        <v>37</v>
      </c>
      <c r="G39" s="1" t="s">
        <v>51</v>
      </c>
      <c r="H39" s="1" t="s">
        <v>39</v>
      </c>
      <c r="I39" s="1" t="s">
        <v>39</v>
      </c>
      <c r="J39" s="1" t="s">
        <v>39</v>
      </c>
      <c r="K39" s="1" t="s">
        <v>40</v>
      </c>
      <c r="L39" s="4">
        <v>13900</v>
      </c>
      <c r="M39" s="6">
        <v>-26.45</v>
      </c>
      <c r="N39" s="7">
        <f>IF(AND(L39 &lt;&gt; "-", M39 &lt;&gt; "-"),L39*( 1 + M39%),0)</f>
      </c>
      <c r="O39" s="7">
        <f>( N39 * E39 )</f>
      </c>
      <c r="P39" s="1" t="s">
        <v>159</v>
      </c>
      <c r="Q39" s="6">
        <v>1</v>
      </c>
      <c r="R39" s="6">
        <v>62.6</v>
      </c>
      <c r="S39" s="4">
        <v>59</v>
      </c>
      <c r="T39" s="1" t="s">
        <v>42</v>
      </c>
      <c r="U39" s="5">
        <f>HYPERLINK("https://www.gia.edu/report-check?reportno=5436347676","5436347676")</f>
      </c>
      <c r="V39" s="1" t="s">
        <v>43</v>
      </c>
      <c r="W39" s="1" t="s">
        <v>160</v>
      </c>
      <c r="X39" s="1" t="s">
        <v>45</v>
      </c>
      <c r="Y39" s="1" t="s">
        <v>40</v>
      </c>
      <c r="Z39" s="1" t="s">
        <v>40</v>
      </c>
      <c r="AA39" s="1" t="s">
        <v>96</v>
      </c>
      <c r="AB39" s="1" t="s">
        <v>40</v>
      </c>
      <c r="AC39" s="1" t="s">
        <v>48</v>
      </c>
      <c r="AD39" s="1" t="s">
        <v>43</v>
      </c>
      <c r="AE39" s="8">
        <f>IF(L39&lt;&gt;"",L39*E39,0)</f>
      </c>
    </row>
    <row r="40" spans="1:31" x14ac:dyDescent="0.25">
      <c r="A40" s="4">
        <v>35</v>
      </c>
      <c r="B40" s="1" t="s">
        <v>161</v>
      </c>
      <c r="C40" s="5">
        <f>HYPERLINK("https://client.unique.diamonds/dna/141419-4","DNA")</f>
      </c>
      <c r="D40" s="1" t="s">
        <v>36</v>
      </c>
      <c r="E40" s="6">
        <v>2.09</v>
      </c>
      <c r="F40" s="1" t="s">
        <v>98</v>
      </c>
      <c r="G40" s="1" t="s">
        <v>51</v>
      </c>
      <c r="H40" s="1" t="s">
        <v>39</v>
      </c>
      <c r="I40" s="1" t="s">
        <v>39</v>
      </c>
      <c r="J40" s="1" t="s">
        <v>39</v>
      </c>
      <c r="K40" s="1" t="s">
        <v>40</v>
      </c>
      <c r="L40" s="4">
        <v>15000</v>
      </c>
      <c r="M40" s="6">
        <v>-22.75</v>
      </c>
      <c r="N40" s="7">
        <f>IF(AND(L40 &lt;&gt; "-", M40 &lt;&gt; "-"),L40*( 1 + M40%),0)</f>
      </c>
      <c r="O40" s="7">
        <f>( N40 * E40 )</f>
      </c>
      <c r="P40" s="1" t="s">
        <v>162</v>
      </c>
      <c r="Q40" s="6">
        <v>1.01</v>
      </c>
      <c r="R40" s="6">
        <v>62.6</v>
      </c>
      <c r="S40" s="4">
        <v>59</v>
      </c>
      <c r="T40" s="1" t="s">
        <v>42</v>
      </c>
      <c r="U40" s="5">
        <f>HYPERLINK("https://www.gia.edu/report-check?reportno=6412126074","6412126074")</f>
      </c>
      <c r="V40" s="1" t="s">
        <v>43</v>
      </c>
      <c r="W40" s="1" t="s">
        <v>163</v>
      </c>
      <c r="X40" s="1" t="s">
        <v>59</v>
      </c>
      <c r="Y40" s="1" t="s">
        <v>40</v>
      </c>
      <c r="Z40" s="1" t="s">
        <v>46</v>
      </c>
      <c r="AA40" s="1" t="s">
        <v>66</v>
      </c>
      <c r="AB40" s="1" t="s">
        <v>40</v>
      </c>
      <c r="AC40" s="1" t="s">
        <v>48</v>
      </c>
      <c r="AD40" s="1" t="s">
        <v>43</v>
      </c>
      <c r="AE40" s="8">
        <f>IF(L40&lt;&gt;"",L40*E40,0)</f>
      </c>
    </row>
    <row r="41" spans="1:31" x14ac:dyDescent="0.25">
      <c r="A41" s="4">
        <v>36</v>
      </c>
      <c r="B41" s="1" t="s">
        <v>164</v>
      </c>
      <c r="C41" s="5">
        <f>HYPERLINK("https://client.unique.diamonds/dna/11136-30","DNA")</f>
      </c>
      <c r="D41" s="1" t="s">
        <v>36</v>
      </c>
      <c r="E41" s="6">
        <v>2.09</v>
      </c>
      <c r="F41" s="1" t="s">
        <v>50</v>
      </c>
      <c r="G41" s="1" t="s">
        <v>69</v>
      </c>
      <c r="H41" s="1" t="s">
        <v>39</v>
      </c>
      <c r="I41" s="1" t="s">
        <v>39</v>
      </c>
      <c r="J41" s="1" t="s">
        <v>39</v>
      </c>
      <c r="K41" s="1" t="s">
        <v>40</v>
      </c>
      <c r="L41" s="4">
        <v>11800</v>
      </c>
      <c r="M41" s="6">
        <v>-20.25</v>
      </c>
      <c r="N41" s="7">
        <f>IF(AND(L41 &lt;&gt; "-", M41 &lt;&gt; "-"),L41*( 1 + M41%),0)</f>
      </c>
      <c r="O41" s="7">
        <f>( N41 * E41 )</f>
      </c>
      <c r="P41" s="1" t="s">
        <v>165</v>
      </c>
      <c r="Q41" s="6">
        <v>1</v>
      </c>
      <c r="R41" s="6">
        <v>62.2</v>
      </c>
      <c r="S41" s="4">
        <v>58</v>
      </c>
      <c r="T41" s="1" t="s">
        <v>42</v>
      </c>
      <c r="U41" s="5">
        <f>HYPERLINK("https://www.gia.edu/report-check?reportno=1438327636","1438327636")</f>
      </c>
      <c r="V41" s="1" t="s">
        <v>43</v>
      </c>
      <c r="W41" s="1" t="s">
        <v>166</v>
      </c>
      <c r="X41" s="1" t="s">
        <v>45</v>
      </c>
      <c r="Y41" s="1" t="s">
        <v>40</v>
      </c>
      <c r="Z41" s="1" t="s">
        <v>59</v>
      </c>
      <c r="AA41" s="1" t="s">
        <v>66</v>
      </c>
      <c r="AB41" s="1" t="s">
        <v>47</v>
      </c>
      <c r="AC41" s="1" t="s">
        <v>48</v>
      </c>
      <c r="AD41" s="1" t="s">
        <v>43</v>
      </c>
      <c r="AE41" s="8">
        <f>IF(L41&lt;&gt;"",L41*E41,0)</f>
      </c>
    </row>
    <row r="42" spans="1:31" x14ac:dyDescent="0.25">
      <c r="A42" s="4">
        <v>37</v>
      </c>
      <c r="B42" s="1" t="s">
        <v>167</v>
      </c>
      <c r="C42" s="5">
        <f>HYPERLINK("https://client.unique.diamonds/dna/12017-70","DNA")</f>
      </c>
      <c r="D42" s="1" t="s">
        <v>36</v>
      </c>
      <c r="E42" s="6">
        <v>2.09</v>
      </c>
      <c r="F42" s="1" t="s">
        <v>50</v>
      </c>
      <c r="G42" s="1" t="s">
        <v>51</v>
      </c>
      <c r="H42" s="1" t="s">
        <v>39</v>
      </c>
      <c r="I42" s="1" t="s">
        <v>39</v>
      </c>
      <c r="J42" s="1" t="s">
        <v>39</v>
      </c>
      <c r="K42" s="1" t="s">
        <v>63</v>
      </c>
      <c r="L42" s="4">
        <v>10500</v>
      </c>
      <c r="M42" s="6">
        <v>-23.5</v>
      </c>
      <c r="N42" s="7">
        <f>IF(AND(L42 &lt;&gt; "-", M42 &lt;&gt; "-"),L42*( 1 + M42%),0)</f>
      </c>
      <c r="O42" s="7">
        <f>( N42 * E42 )</f>
      </c>
      <c r="P42" s="1" t="s">
        <v>168</v>
      </c>
      <c r="Q42" s="6">
        <v>1.01</v>
      </c>
      <c r="R42" s="6">
        <v>62.6</v>
      </c>
      <c r="S42" s="4">
        <v>59</v>
      </c>
      <c r="T42" s="1" t="s">
        <v>42</v>
      </c>
      <c r="U42" s="5">
        <f>HYPERLINK("https://www.gia.edu/report-check?reportno=6425679588","6425679588")</f>
      </c>
      <c r="V42" s="1" t="s">
        <v>43</v>
      </c>
      <c r="W42" s="1" t="s">
        <v>78</v>
      </c>
      <c r="X42" s="1" t="s">
        <v>59</v>
      </c>
      <c r="Y42" s="1" t="s">
        <v>40</v>
      </c>
      <c r="Z42" s="1" t="s">
        <v>46</v>
      </c>
      <c r="AA42" s="1" t="s">
        <v>55</v>
      </c>
      <c r="AB42" s="1" t="s">
        <v>96</v>
      </c>
      <c r="AC42" s="1" t="s">
        <v>48</v>
      </c>
      <c r="AD42" s="1" t="s">
        <v>43</v>
      </c>
      <c r="AE42" s="8">
        <f>IF(L42&lt;&gt;"",L42*E42,0)</f>
      </c>
    </row>
    <row r="43" spans="1:31" x14ac:dyDescent="0.25">
      <c r="A43" s="4">
        <v>38</v>
      </c>
      <c r="B43" s="1" t="s">
        <v>169</v>
      </c>
      <c r="C43" s="5">
        <f>HYPERLINK("https://client.unique.diamonds/dna/11136-52","DNA")</f>
      </c>
      <c r="D43" s="1" t="s">
        <v>36</v>
      </c>
      <c r="E43" s="6">
        <v>2.07</v>
      </c>
      <c r="F43" s="1" t="s">
        <v>50</v>
      </c>
      <c r="G43" s="1" t="s">
        <v>87</v>
      </c>
      <c r="H43" s="1" t="s">
        <v>39</v>
      </c>
      <c r="I43" s="1" t="s">
        <v>39</v>
      </c>
      <c r="J43" s="1" t="s">
        <v>39</v>
      </c>
      <c r="K43" s="1" t="s">
        <v>40</v>
      </c>
      <c r="L43" s="4">
        <v>9500</v>
      </c>
      <c r="M43" s="6">
        <v>-21.5</v>
      </c>
      <c r="N43" s="7">
        <f>IF(AND(L43 &lt;&gt; "-", M43 &lt;&gt; "-"),L43*( 1 + M43%),0)</f>
      </c>
      <c r="O43" s="7">
        <f>( N43 * E43 )</f>
      </c>
      <c r="P43" s="1" t="s">
        <v>170</v>
      </c>
      <c r="Q43" s="6">
        <v>1.01</v>
      </c>
      <c r="R43" s="6">
        <v>62.4</v>
      </c>
      <c r="S43" s="4">
        <v>59</v>
      </c>
      <c r="T43" s="1" t="s">
        <v>42</v>
      </c>
      <c r="U43" s="5">
        <f>HYPERLINK("https://www.gia.edu/report-check?reportno=1438335378","1438335378")</f>
      </c>
      <c r="V43" s="1" t="s">
        <v>43</v>
      </c>
      <c r="W43" s="1" t="s">
        <v>171</v>
      </c>
      <c r="X43" s="1" t="s">
        <v>59</v>
      </c>
      <c r="Y43" s="1" t="s">
        <v>40</v>
      </c>
      <c r="Z43" s="1" t="s">
        <v>54</v>
      </c>
      <c r="AA43" s="1" t="s">
        <v>66</v>
      </c>
      <c r="AB43" s="1" t="s">
        <v>47</v>
      </c>
      <c r="AC43" s="1" t="s">
        <v>48</v>
      </c>
      <c r="AD43" s="1" t="s">
        <v>43</v>
      </c>
      <c r="AE43" s="8">
        <f>IF(L43&lt;&gt;"",L43*E43,0)</f>
      </c>
    </row>
    <row r="44" spans="1:31" x14ac:dyDescent="0.25">
      <c r="A44" s="4">
        <v>39</v>
      </c>
      <c r="B44" s="1" t="s">
        <v>172</v>
      </c>
      <c r="C44" s="5">
        <f>HYPERLINK("https://client.unique.diamonds/dna/11008-15","DNA")</f>
      </c>
      <c r="D44" s="1" t="s">
        <v>36</v>
      </c>
      <c r="E44" s="6">
        <v>2.04</v>
      </c>
      <c r="F44" s="1" t="s">
        <v>173</v>
      </c>
      <c r="G44" s="1" t="s">
        <v>51</v>
      </c>
      <c r="H44" s="1" t="s">
        <v>39</v>
      </c>
      <c r="I44" s="1" t="s">
        <v>39</v>
      </c>
      <c r="J44" s="1" t="s">
        <v>39</v>
      </c>
      <c r="K44" s="1" t="s">
        <v>114</v>
      </c>
      <c r="L44" s="4">
        <v>17500</v>
      </c>
      <c r="M44" s="6">
        <v>-35.25</v>
      </c>
      <c r="N44" s="7">
        <f>IF(AND(L44 &lt;&gt; "-", M44 &lt;&gt; "-"),L44*( 1 + M44%),0)</f>
      </c>
      <c r="O44" s="7">
        <f>( N44 * E44 )</f>
      </c>
      <c r="P44" s="1" t="s">
        <v>174</v>
      </c>
      <c r="Q44" s="6">
        <v>1</v>
      </c>
      <c r="R44" s="6">
        <v>63.3</v>
      </c>
      <c r="S44" s="4">
        <v>57</v>
      </c>
      <c r="T44" s="1" t="s">
        <v>42</v>
      </c>
      <c r="U44" s="5">
        <f>HYPERLINK("https://www.gia.edu/report-check?reportno=6425069555","6425069555")</f>
      </c>
      <c r="V44" s="1" t="s">
        <v>43</v>
      </c>
      <c r="W44" s="1" t="s">
        <v>143</v>
      </c>
      <c r="X44" s="1" t="s">
        <v>75</v>
      </c>
      <c r="Y44" s="1" t="s">
        <v>40</v>
      </c>
      <c r="Z44" s="1" t="s">
        <v>46</v>
      </c>
      <c r="AA44" s="1" t="s">
        <v>66</v>
      </c>
      <c r="AB44" s="1" t="s">
        <v>96</v>
      </c>
      <c r="AC44" s="1" t="s">
        <v>48</v>
      </c>
      <c r="AD44" s="1" t="s">
        <v>43</v>
      </c>
      <c r="AE44" s="8">
        <f>IF(L44&lt;&gt;"",L44*E44,0)</f>
      </c>
    </row>
    <row r="45" spans="1:31" x14ac:dyDescent="0.25">
      <c r="A45" s="4">
        <v>40</v>
      </c>
      <c r="B45" s="1" t="s">
        <v>175</v>
      </c>
      <c r="C45" s="5">
        <f>HYPERLINK("https://client.unique.diamonds/dna/11042-15","DNA")</f>
      </c>
      <c r="D45" s="1" t="s">
        <v>36</v>
      </c>
      <c r="E45" s="6">
        <v>2.04</v>
      </c>
      <c r="F45" s="1" t="s">
        <v>91</v>
      </c>
      <c r="G45" s="1" t="s">
        <v>87</v>
      </c>
      <c r="H45" s="1" t="s">
        <v>39</v>
      </c>
      <c r="I45" s="1" t="s">
        <v>39</v>
      </c>
      <c r="J45" s="1" t="s">
        <v>39</v>
      </c>
      <c r="K45" s="1" t="s">
        <v>114</v>
      </c>
      <c r="L45" s="4">
        <v>13200</v>
      </c>
      <c r="M45" s="6">
        <v>-28</v>
      </c>
      <c r="N45" s="7">
        <f>IF(AND(L45 &lt;&gt; "-", M45 &lt;&gt; "-"),L45*( 1 + M45%),0)</f>
      </c>
      <c r="O45" s="7">
        <f>( N45 * E45 )</f>
      </c>
      <c r="P45" s="1" t="s">
        <v>176</v>
      </c>
      <c r="Q45" s="6">
        <v>1</v>
      </c>
      <c r="R45" s="6">
        <v>62.5</v>
      </c>
      <c r="S45" s="4">
        <v>58</v>
      </c>
      <c r="T45" s="1" t="s">
        <v>42</v>
      </c>
      <c r="U45" s="5">
        <f>HYPERLINK("https://www.gia.edu/report-check?reportno=3425347264","3425347264")</f>
      </c>
      <c r="V45" s="1" t="s">
        <v>43</v>
      </c>
      <c r="W45" s="1" t="s">
        <v>171</v>
      </c>
      <c r="X45" s="1" t="s">
        <v>59</v>
      </c>
      <c r="Y45" s="1" t="s">
        <v>40</v>
      </c>
      <c r="Z45" s="1" t="s">
        <v>177</v>
      </c>
      <c r="AA45" s="1" t="s">
        <v>55</v>
      </c>
      <c r="AB45" s="1" t="s">
        <v>55</v>
      </c>
      <c r="AC45" s="1" t="s">
        <v>48</v>
      </c>
      <c r="AD45" s="1" t="s">
        <v>43</v>
      </c>
      <c r="AE45" s="8">
        <f>IF(L45&lt;&gt;"",L45*E45,0)</f>
      </c>
    </row>
    <row r="46" spans="1:31" x14ac:dyDescent="0.25">
      <c r="A46" s="4">
        <v>41</v>
      </c>
      <c r="B46" s="1" t="s">
        <v>178</v>
      </c>
      <c r="C46" s="5">
        <f>HYPERLINK("https://client.unique.diamonds/dna/11060-40","DNA")</f>
      </c>
      <c r="D46" s="1" t="s">
        <v>36</v>
      </c>
      <c r="E46" s="6">
        <v>2.04</v>
      </c>
      <c r="F46" s="1" t="s">
        <v>37</v>
      </c>
      <c r="G46" s="1" t="s">
        <v>51</v>
      </c>
      <c r="H46" s="1" t="s">
        <v>39</v>
      </c>
      <c r="I46" s="1" t="s">
        <v>39</v>
      </c>
      <c r="J46" s="1" t="s">
        <v>39</v>
      </c>
      <c r="K46" s="1" t="s">
        <v>40</v>
      </c>
      <c r="L46" s="4">
        <v>13900</v>
      </c>
      <c r="M46" s="6">
        <v>-20</v>
      </c>
      <c r="N46" s="7">
        <f>IF(AND(L46 &lt;&gt; "-", M46 &lt;&gt; "-"),L46*( 1 + M46%),0)</f>
      </c>
      <c r="O46" s="7">
        <f>( N46 * E46 )</f>
      </c>
      <c r="P46" s="1" t="s">
        <v>179</v>
      </c>
      <c r="Q46" s="6">
        <v>1.01</v>
      </c>
      <c r="R46" s="6">
        <v>61.1</v>
      </c>
      <c r="S46" s="4">
        <v>57</v>
      </c>
      <c r="T46" s="1" t="s">
        <v>42</v>
      </c>
      <c r="U46" s="5">
        <f>HYPERLINK("https://www.gia.edu/report-check?reportno=2426804526","2426804526")</f>
      </c>
      <c r="V46" s="1" t="s">
        <v>43</v>
      </c>
      <c r="W46" s="1" t="s">
        <v>180</v>
      </c>
      <c r="X46" s="1" t="s">
        <v>46</v>
      </c>
      <c r="Y46" s="1" t="s">
        <v>40</v>
      </c>
      <c r="Z46" s="1" t="s">
        <v>46</v>
      </c>
      <c r="AA46" s="1" t="s">
        <v>55</v>
      </c>
      <c r="AB46" s="1" t="s">
        <v>55</v>
      </c>
      <c r="AC46" s="1" t="s">
        <v>48</v>
      </c>
      <c r="AD46" s="1" t="s">
        <v>43</v>
      </c>
      <c r="AE46" s="8">
        <f>IF(L46&lt;&gt;"",L46*E46,0)</f>
      </c>
    </row>
    <row r="47" spans="1:31" x14ac:dyDescent="0.25">
      <c r="A47" s="4">
        <v>42</v>
      </c>
      <c r="B47" s="1" t="s">
        <v>181</v>
      </c>
      <c r="C47" s="5">
        <f>HYPERLINK("https://client.unique.diamonds/dna/11046-4","DNA")</f>
      </c>
      <c r="D47" s="1" t="s">
        <v>36</v>
      </c>
      <c r="E47" s="6">
        <v>2.03</v>
      </c>
      <c r="F47" s="1" t="s">
        <v>98</v>
      </c>
      <c r="G47" s="1" t="s">
        <v>69</v>
      </c>
      <c r="H47" s="1" t="s">
        <v>39</v>
      </c>
      <c r="I47" s="1" t="s">
        <v>39</v>
      </c>
      <c r="J47" s="1" t="s">
        <v>39</v>
      </c>
      <c r="K47" s="1" t="s">
        <v>63</v>
      </c>
      <c r="L47" s="4">
        <v>20000</v>
      </c>
      <c r="M47" s="6">
        <v>-26</v>
      </c>
      <c r="N47" s="7">
        <f>IF(AND(L47 &lt;&gt; "-", M47 &lt;&gt; "-"),L47*( 1 + M47%),0)</f>
      </c>
      <c r="O47" s="7">
        <f>( N47 * E47 )</f>
      </c>
      <c r="P47" s="1" t="s">
        <v>182</v>
      </c>
      <c r="Q47" s="6">
        <v>1.01</v>
      </c>
      <c r="R47" s="6">
        <v>61.8</v>
      </c>
      <c r="S47" s="4">
        <v>59</v>
      </c>
      <c r="T47" s="1" t="s">
        <v>42</v>
      </c>
      <c r="U47" s="5">
        <f>HYPERLINK("https://www.gia.edu/report-check?reportno=2424154120","2424154120")</f>
      </c>
      <c r="V47" s="1" t="s">
        <v>43</v>
      </c>
      <c r="W47" s="1" t="s">
        <v>78</v>
      </c>
      <c r="X47" s="1" t="s">
        <v>40</v>
      </c>
      <c r="Y47" s="1" t="s">
        <v>40</v>
      </c>
      <c r="Z47" s="1" t="s">
        <v>46</v>
      </c>
      <c r="AA47" s="1" t="s">
        <v>66</v>
      </c>
      <c r="AB47" s="1" t="s">
        <v>55</v>
      </c>
      <c r="AC47" s="1" t="s">
        <v>48</v>
      </c>
      <c r="AD47" s="1" t="s">
        <v>43</v>
      </c>
      <c r="AE47" s="8">
        <f>IF(L47&lt;&gt;"",L47*E47,0)</f>
      </c>
    </row>
    <row r="48" spans="1:31" x14ac:dyDescent="0.25">
      <c r="A48" s="4">
        <v>43</v>
      </c>
      <c r="B48" s="1" t="s">
        <v>183</v>
      </c>
      <c r="C48" s="5">
        <f>HYPERLINK("https://client.unique.diamonds/dna/11136-63","DNA")</f>
      </c>
      <c r="D48" s="1" t="s">
        <v>36</v>
      </c>
      <c r="E48" s="6">
        <v>2.03</v>
      </c>
      <c r="F48" s="1" t="s">
        <v>62</v>
      </c>
      <c r="G48" s="1" t="s">
        <v>69</v>
      </c>
      <c r="H48" s="1" t="s">
        <v>39</v>
      </c>
      <c r="I48" s="1" t="s">
        <v>39</v>
      </c>
      <c r="J48" s="1" t="s">
        <v>39</v>
      </c>
      <c r="K48" s="1" t="s">
        <v>40</v>
      </c>
      <c r="L48" s="4">
        <v>14500</v>
      </c>
      <c r="M48" s="6">
        <v>-20.45</v>
      </c>
      <c r="N48" s="7">
        <f>IF(AND(L48 &lt;&gt; "-", M48 &lt;&gt; "-"),L48*( 1 + M48%),0)</f>
      </c>
      <c r="O48" s="7">
        <f>( N48 * E48 )</f>
      </c>
      <c r="P48" s="1" t="s">
        <v>184</v>
      </c>
      <c r="Q48" s="6">
        <v>1</v>
      </c>
      <c r="R48" s="6">
        <v>59.9</v>
      </c>
      <c r="S48" s="4">
        <v>58</v>
      </c>
      <c r="T48" s="1" t="s">
        <v>42</v>
      </c>
      <c r="U48" s="5">
        <f>HYPERLINK("https://www.gia.edu/report-check?reportno=7431363118","7431363118")</f>
      </c>
      <c r="V48" s="1" t="s">
        <v>43</v>
      </c>
      <c r="W48" s="1" t="s">
        <v>160</v>
      </c>
      <c r="X48" s="1" t="s">
        <v>40</v>
      </c>
      <c r="Y48" s="1" t="s">
        <v>40</v>
      </c>
      <c r="Z48" s="1" t="s">
        <v>46</v>
      </c>
      <c r="AA48" s="1" t="s">
        <v>40</v>
      </c>
      <c r="AB48" s="1" t="s">
        <v>47</v>
      </c>
      <c r="AC48" s="1" t="s">
        <v>48</v>
      </c>
      <c r="AD48" s="1" t="s">
        <v>43</v>
      </c>
      <c r="AE48" s="8">
        <f>IF(L48&lt;&gt;"",L48*E48,0)</f>
      </c>
    </row>
    <row r="49" spans="1:31" x14ac:dyDescent="0.25">
      <c r="A49" s="4">
        <v>44</v>
      </c>
      <c r="B49" s="1" t="s">
        <v>185</v>
      </c>
      <c r="C49" s="5">
        <f>HYPERLINK("https://client.unique.diamonds/dna/12040-11","DNA")</f>
      </c>
      <c r="D49" s="1" t="s">
        <v>36</v>
      </c>
      <c r="E49" s="6">
        <v>2.02</v>
      </c>
      <c r="F49" s="1" t="s">
        <v>68</v>
      </c>
      <c r="G49" s="1" t="s">
        <v>38</v>
      </c>
      <c r="H49" s="1" t="s">
        <v>39</v>
      </c>
      <c r="I49" s="1" t="s">
        <v>39</v>
      </c>
      <c r="J49" s="1" t="s">
        <v>39</v>
      </c>
      <c r="K49" s="1" t="s">
        <v>40</v>
      </c>
      <c r="L49" s="4">
        <v>22500</v>
      </c>
      <c r="M49" s="6">
        <v>-23.25</v>
      </c>
      <c r="N49" s="7">
        <f>IF(AND(L49 &lt;&gt; "-", M49 &lt;&gt; "-"),L49*( 1 + M49%),0)</f>
      </c>
      <c r="O49" s="7">
        <f>( N49 * E49 )</f>
      </c>
      <c r="P49" s="1" t="s">
        <v>186</v>
      </c>
      <c r="Q49" s="6">
        <v>1.01</v>
      </c>
      <c r="R49" s="6">
        <v>62.2</v>
      </c>
      <c r="S49" s="4">
        <v>57</v>
      </c>
      <c r="T49" s="1" t="s">
        <v>42</v>
      </c>
      <c r="U49" s="5">
        <f>HYPERLINK("https://www.gia.edu/report-check?reportno=7431252257","7431252257")</f>
      </c>
      <c r="V49" s="1" t="s">
        <v>43</v>
      </c>
      <c r="W49" s="1" t="s">
        <v>74</v>
      </c>
      <c r="X49" s="1" t="s">
        <v>45</v>
      </c>
      <c r="Y49" s="1" t="s">
        <v>40</v>
      </c>
      <c r="Z49" s="1" t="s">
        <v>45</v>
      </c>
      <c r="AA49" s="1" t="s">
        <v>40</v>
      </c>
      <c r="AB49" s="1" t="s">
        <v>40</v>
      </c>
      <c r="AC49" s="1" t="s">
        <v>48</v>
      </c>
      <c r="AD49" s="1" t="s">
        <v>43</v>
      </c>
      <c r="AE49" s="8">
        <f>IF(L49&lt;&gt;"",L49*E49,0)</f>
      </c>
    </row>
    <row r="50" spans="1:31" x14ac:dyDescent="0.25">
      <c r="A50" s="4">
        <v>45</v>
      </c>
      <c r="B50" s="1" t="s">
        <v>187</v>
      </c>
      <c r="C50" s="5">
        <f>HYPERLINK("https://client.unique.diamonds/dna/141444-10","DNA")</f>
      </c>
      <c r="D50" s="1" t="s">
        <v>36</v>
      </c>
      <c r="E50" s="6">
        <v>2.02</v>
      </c>
      <c r="F50" s="1" t="s">
        <v>173</v>
      </c>
      <c r="G50" s="1" t="s">
        <v>69</v>
      </c>
      <c r="H50" s="1" t="s">
        <v>39</v>
      </c>
      <c r="I50" s="1" t="s">
        <v>39</v>
      </c>
      <c r="J50" s="1" t="s">
        <v>39</v>
      </c>
      <c r="K50" s="1" t="s">
        <v>40</v>
      </c>
      <c r="L50" s="4">
        <v>24000</v>
      </c>
      <c r="M50" s="6">
        <v>-26</v>
      </c>
      <c r="N50" s="7">
        <f>IF(AND(L50 &lt;&gt; "-", M50 &lt;&gt; "-"),L50*( 1 + M50%),0)</f>
      </c>
      <c r="O50" s="7">
        <f>( N50 * E50 )</f>
      </c>
      <c r="P50" s="1" t="s">
        <v>188</v>
      </c>
      <c r="Q50" s="6">
        <v>1</v>
      </c>
      <c r="R50" s="6">
        <v>61.7</v>
      </c>
      <c r="S50" s="4">
        <v>59</v>
      </c>
      <c r="T50" s="1" t="s">
        <v>42</v>
      </c>
      <c r="U50" s="5">
        <f>HYPERLINK("https://www.gia.edu/report-check?reportno=1418640579","1418640579")</f>
      </c>
      <c r="V50" s="1" t="s">
        <v>43</v>
      </c>
      <c r="W50" s="1" t="s">
        <v>189</v>
      </c>
      <c r="X50" s="1" t="s">
        <v>59</v>
      </c>
      <c r="Y50" s="1" t="s">
        <v>40</v>
      </c>
      <c r="Z50" s="1" t="s">
        <v>46</v>
      </c>
      <c r="AA50" s="1" t="s">
        <v>55</v>
      </c>
      <c r="AB50" s="1" t="s">
        <v>55</v>
      </c>
      <c r="AC50" s="1" t="s">
        <v>48</v>
      </c>
      <c r="AD50" s="1" t="s">
        <v>43</v>
      </c>
      <c r="AE50" s="8">
        <f>IF(L50&lt;&gt;"",L50*E50,0)</f>
      </c>
    </row>
    <row r="51" spans="1:31" x14ac:dyDescent="0.25">
      <c r="A51" s="4">
        <v>46</v>
      </c>
      <c r="B51" s="1" t="s">
        <v>190</v>
      </c>
      <c r="C51" s="5">
        <f>HYPERLINK("https://client.unique.diamonds/dna/142088-45","DNA")</f>
      </c>
      <c r="D51" s="1" t="s">
        <v>36</v>
      </c>
      <c r="E51" s="6">
        <v>2.02</v>
      </c>
      <c r="F51" s="1" t="s">
        <v>173</v>
      </c>
      <c r="G51" s="1" t="s">
        <v>87</v>
      </c>
      <c r="H51" s="1" t="s">
        <v>39</v>
      </c>
      <c r="I51" s="1" t="s">
        <v>39</v>
      </c>
      <c r="J51" s="1" t="s">
        <v>39</v>
      </c>
      <c r="K51" s="1" t="s">
        <v>114</v>
      </c>
      <c r="L51" s="4">
        <v>14100</v>
      </c>
      <c r="M51" s="6">
        <v>-32.5</v>
      </c>
      <c r="N51" s="7">
        <f>IF(AND(L51 &lt;&gt; "-", M51 &lt;&gt; "-"),L51*( 1 + M51%),0)</f>
      </c>
      <c r="O51" s="7">
        <f>( N51 * E51 )</f>
      </c>
      <c r="P51" s="1" t="s">
        <v>191</v>
      </c>
      <c r="Q51" s="6">
        <v>1</v>
      </c>
      <c r="R51" s="6">
        <v>62.1</v>
      </c>
      <c r="S51" s="4">
        <v>58</v>
      </c>
      <c r="T51" s="1" t="s">
        <v>42</v>
      </c>
      <c r="U51" s="5">
        <f>HYPERLINK("https://www.gia.edu/report-check?reportno=5416540302","5416540302")</f>
      </c>
      <c r="V51" s="1" t="s">
        <v>43</v>
      </c>
      <c r="W51" s="1" t="s">
        <v>109</v>
      </c>
      <c r="X51" s="1" t="s">
        <v>46</v>
      </c>
      <c r="Y51" s="1" t="s">
        <v>40</v>
      </c>
      <c r="Z51" s="1" t="s">
        <v>54</v>
      </c>
      <c r="AA51" s="1" t="s">
        <v>55</v>
      </c>
      <c r="AB51" s="1" t="s">
        <v>55</v>
      </c>
      <c r="AC51" s="1" t="s">
        <v>48</v>
      </c>
      <c r="AD51" s="1" t="s">
        <v>43</v>
      </c>
      <c r="AE51" s="8">
        <f>IF(L51&lt;&gt;"",L51*E51,0)</f>
      </c>
    </row>
    <row r="52" spans="1:31" x14ac:dyDescent="0.25">
      <c r="A52" s="4">
        <v>47</v>
      </c>
      <c r="B52" s="1" t="s">
        <v>192</v>
      </c>
      <c r="C52" s="5">
        <f>HYPERLINK("https://client.unique.diamonds/dna/12044-82","DNA")</f>
      </c>
      <c r="D52" s="1" t="s">
        <v>36</v>
      </c>
      <c r="E52" s="6">
        <v>2.02</v>
      </c>
      <c r="F52" s="1" t="s">
        <v>173</v>
      </c>
      <c r="G52" s="1" t="s">
        <v>87</v>
      </c>
      <c r="H52" s="1" t="s">
        <v>39</v>
      </c>
      <c r="I52" s="1" t="s">
        <v>39</v>
      </c>
      <c r="J52" s="1" t="s">
        <v>39</v>
      </c>
      <c r="K52" s="1" t="s">
        <v>40</v>
      </c>
      <c r="L52" s="4">
        <v>14100</v>
      </c>
      <c r="M52" s="6">
        <v>-18.45</v>
      </c>
      <c r="N52" s="7">
        <f>IF(AND(L52 &lt;&gt; "-", M52 &lt;&gt; "-"),L52*( 1 + M52%),0)</f>
      </c>
      <c r="O52" s="7">
        <f>( N52 * E52 )</f>
      </c>
      <c r="P52" s="1" t="s">
        <v>193</v>
      </c>
      <c r="Q52" s="6">
        <v>1</v>
      </c>
      <c r="R52" s="6">
        <v>61.8</v>
      </c>
      <c r="S52" s="4">
        <v>56</v>
      </c>
      <c r="T52" s="1" t="s">
        <v>42</v>
      </c>
      <c r="U52" s="5">
        <f>HYPERLINK("https://www.gia.edu/report-check?reportno=1435373487","1435373487")</f>
      </c>
      <c r="V52" s="1" t="s">
        <v>43</v>
      </c>
      <c r="W52" s="1" t="s">
        <v>194</v>
      </c>
      <c r="X52" s="1" t="s">
        <v>59</v>
      </c>
      <c r="Y52" s="1" t="s">
        <v>40</v>
      </c>
      <c r="Z52" s="1" t="s">
        <v>54</v>
      </c>
      <c r="AA52" s="1" t="s">
        <v>55</v>
      </c>
      <c r="AB52" s="1" t="s">
        <v>55</v>
      </c>
      <c r="AC52" s="1" t="s">
        <v>48</v>
      </c>
      <c r="AD52" s="1" t="s">
        <v>43</v>
      </c>
      <c r="AE52" s="8">
        <f>IF(L52&lt;&gt;"",L52*E52,0)</f>
      </c>
    </row>
    <row r="53" spans="1:31" x14ac:dyDescent="0.25">
      <c r="A53" s="4">
        <v>48</v>
      </c>
      <c r="B53" s="1" t="s">
        <v>195</v>
      </c>
      <c r="C53" s="5">
        <f>HYPERLINK("https://client.unique.diamonds/dna/11116-42","DNA")</f>
      </c>
      <c r="D53" s="1" t="s">
        <v>36</v>
      </c>
      <c r="E53" s="6">
        <v>2.02</v>
      </c>
      <c r="F53" s="1" t="s">
        <v>98</v>
      </c>
      <c r="G53" s="1" t="s">
        <v>69</v>
      </c>
      <c r="H53" s="1" t="s">
        <v>39</v>
      </c>
      <c r="I53" s="1" t="s">
        <v>39</v>
      </c>
      <c r="J53" s="1" t="s">
        <v>39</v>
      </c>
      <c r="K53" s="1" t="s">
        <v>40</v>
      </c>
      <c r="L53" s="4">
        <v>20000</v>
      </c>
      <c r="M53" s="6">
        <v>-20.25</v>
      </c>
      <c r="N53" s="7">
        <f>IF(AND(L53 &lt;&gt; "-", M53 &lt;&gt; "-"),L53*( 1 + M53%),0)</f>
      </c>
      <c r="O53" s="7">
        <f>( N53 * E53 )</f>
      </c>
      <c r="P53" s="1" t="s">
        <v>196</v>
      </c>
      <c r="Q53" s="6">
        <v>1.01</v>
      </c>
      <c r="R53" s="6">
        <v>62.6</v>
      </c>
      <c r="S53" s="4">
        <v>57</v>
      </c>
      <c r="T53" s="1" t="s">
        <v>42</v>
      </c>
      <c r="U53" s="5">
        <f>HYPERLINK("https://www.gia.edu/report-check?reportno=1433063231","1433063231")</f>
      </c>
      <c r="V53" s="1" t="s">
        <v>43</v>
      </c>
      <c r="W53" s="1" t="s">
        <v>166</v>
      </c>
      <c r="X53" s="1" t="s">
        <v>45</v>
      </c>
      <c r="Y53" s="1" t="s">
        <v>40</v>
      </c>
      <c r="Z53" s="1" t="s">
        <v>59</v>
      </c>
      <c r="AA53" s="1" t="s">
        <v>40</v>
      </c>
      <c r="AB53" s="1" t="s">
        <v>47</v>
      </c>
      <c r="AC53" s="1" t="s">
        <v>48</v>
      </c>
      <c r="AD53" s="1" t="s">
        <v>43</v>
      </c>
      <c r="AE53" s="8">
        <f>IF(L53&lt;&gt;"",L53*E53,0)</f>
      </c>
    </row>
    <row r="54" spans="1:31" x14ac:dyDescent="0.25">
      <c r="A54" s="4">
        <v>49</v>
      </c>
      <c r="B54" s="1" t="s">
        <v>197</v>
      </c>
      <c r="C54" s="5">
        <f>HYPERLINK("https://client.unique.diamonds/dna/11059-101","DNA")</f>
      </c>
      <c r="D54" s="1" t="s">
        <v>36</v>
      </c>
      <c r="E54" s="6">
        <v>2.02</v>
      </c>
      <c r="F54" s="1" t="s">
        <v>98</v>
      </c>
      <c r="G54" s="1" t="s">
        <v>51</v>
      </c>
      <c r="H54" s="1" t="s">
        <v>39</v>
      </c>
      <c r="I54" s="1" t="s">
        <v>39</v>
      </c>
      <c r="J54" s="1" t="s">
        <v>39</v>
      </c>
      <c r="K54" s="1" t="s">
        <v>40</v>
      </c>
      <c r="L54" s="4">
        <v>15000</v>
      </c>
      <c r="M54" s="6">
        <v>-20.5</v>
      </c>
      <c r="N54" s="7">
        <f>IF(AND(L54 &lt;&gt; "-", M54 &lt;&gt; "-"),L54*( 1 + M54%),0)</f>
      </c>
      <c r="O54" s="7">
        <f>( N54 * E54 )</f>
      </c>
      <c r="P54" s="1" t="s">
        <v>198</v>
      </c>
      <c r="Q54" s="6">
        <v>1</v>
      </c>
      <c r="R54" s="6">
        <v>60.8</v>
      </c>
      <c r="S54" s="4">
        <v>59</v>
      </c>
      <c r="T54" s="1" t="s">
        <v>42</v>
      </c>
      <c r="U54" s="5">
        <f>HYPERLINK("https://www.gia.edu/report-check?reportno=7426520767","7426520767")</f>
      </c>
      <c r="V54" s="1" t="s">
        <v>43</v>
      </c>
      <c r="W54" s="1" t="s">
        <v>189</v>
      </c>
      <c r="X54" s="1" t="s">
        <v>59</v>
      </c>
      <c r="Y54" s="1" t="s">
        <v>40</v>
      </c>
      <c r="Z54" s="1" t="s">
        <v>46</v>
      </c>
      <c r="AA54" s="1" t="s">
        <v>55</v>
      </c>
      <c r="AB54" s="1" t="s">
        <v>55</v>
      </c>
      <c r="AC54" s="1" t="s">
        <v>48</v>
      </c>
      <c r="AD54" s="1" t="s">
        <v>43</v>
      </c>
      <c r="AE54" s="8">
        <f>IF(L54&lt;&gt;"",L54*E54,0)</f>
      </c>
    </row>
    <row r="55" spans="1:31" x14ac:dyDescent="0.25">
      <c r="A55" s="4">
        <v>50</v>
      </c>
      <c r="B55" s="1" t="s">
        <v>199</v>
      </c>
      <c r="C55" s="5">
        <f>HYPERLINK("https://client.unique.diamonds/dna/11136-79","DNA")</f>
      </c>
      <c r="D55" s="1" t="s">
        <v>36</v>
      </c>
      <c r="E55" s="6">
        <v>2.02</v>
      </c>
      <c r="F55" s="1" t="s">
        <v>62</v>
      </c>
      <c r="G55" s="1" t="s">
        <v>69</v>
      </c>
      <c r="H55" s="1" t="s">
        <v>39</v>
      </c>
      <c r="I55" s="1" t="s">
        <v>39</v>
      </c>
      <c r="J55" s="1" t="s">
        <v>39</v>
      </c>
      <c r="K55" s="1" t="s">
        <v>40</v>
      </c>
      <c r="L55" s="4">
        <v>14500</v>
      </c>
      <c r="M55" s="6">
        <v>-19.45</v>
      </c>
      <c r="N55" s="7">
        <f>IF(AND(L55 &lt;&gt; "-", M55 &lt;&gt; "-"),L55*( 1 + M55%),0)</f>
      </c>
      <c r="O55" s="7">
        <f>( N55 * E55 )</f>
      </c>
      <c r="P55" s="1" t="s">
        <v>191</v>
      </c>
      <c r="Q55" s="6">
        <v>1</v>
      </c>
      <c r="R55" s="6">
        <v>62</v>
      </c>
      <c r="S55" s="4">
        <v>58</v>
      </c>
      <c r="T55" s="1" t="s">
        <v>42</v>
      </c>
      <c r="U55" s="5">
        <f>HYPERLINK("https://www.gia.edu/report-check?reportno=6431376123","6431376123")</f>
      </c>
      <c r="V55" s="1" t="s">
        <v>43</v>
      </c>
      <c r="W55" s="1" t="s">
        <v>163</v>
      </c>
      <c r="X55" s="1" t="s">
        <v>59</v>
      </c>
      <c r="Y55" s="1" t="s">
        <v>40</v>
      </c>
      <c r="Z55" s="1" t="s">
        <v>59</v>
      </c>
      <c r="AA55" s="1" t="s">
        <v>40</v>
      </c>
      <c r="AB55" s="1" t="s">
        <v>40</v>
      </c>
      <c r="AC55" s="1" t="s">
        <v>48</v>
      </c>
      <c r="AD55" s="1" t="s">
        <v>43</v>
      </c>
      <c r="AE55" s="8">
        <f>IF(L55&lt;&gt;"",L55*E55,0)</f>
      </c>
    </row>
    <row r="56" spans="1:31" x14ac:dyDescent="0.25">
      <c r="A56" s="4">
        <v>51</v>
      </c>
      <c r="B56" s="1" t="s">
        <v>200</v>
      </c>
      <c r="C56" s="5">
        <f>HYPERLINK("https://client.unique.diamonds/dna/12044-105","DNA")</f>
      </c>
      <c r="D56" s="1" t="s">
        <v>36</v>
      </c>
      <c r="E56" s="6">
        <v>2.02</v>
      </c>
      <c r="F56" s="1" t="s">
        <v>50</v>
      </c>
      <c r="G56" s="1" t="s">
        <v>51</v>
      </c>
      <c r="H56" s="1" t="s">
        <v>39</v>
      </c>
      <c r="I56" s="1" t="s">
        <v>39</v>
      </c>
      <c r="J56" s="1" t="s">
        <v>39</v>
      </c>
      <c r="K56" s="1" t="s">
        <v>63</v>
      </c>
      <c r="L56" s="4">
        <v>10500</v>
      </c>
      <c r="M56" s="6">
        <v>-20.45</v>
      </c>
      <c r="N56" s="7">
        <f>IF(AND(L56 &lt;&gt; "-", M56 &lt;&gt; "-"),L56*( 1 + M56%),0)</f>
      </c>
      <c r="O56" s="7">
        <f>( N56 * E56 )</f>
      </c>
      <c r="P56" s="1" t="s">
        <v>201</v>
      </c>
      <c r="Q56" s="6">
        <v>1.01</v>
      </c>
      <c r="R56" s="6">
        <v>61.3</v>
      </c>
      <c r="S56" s="4">
        <v>58</v>
      </c>
      <c r="T56" s="1" t="s">
        <v>42</v>
      </c>
      <c r="U56" s="5">
        <f>HYPERLINK("https://www.gia.edu/report-check?reportno=7433363149","7433363149")</f>
      </c>
      <c r="V56" s="1" t="s">
        <v>43</v>
      </c>
      <c r="W56" s="1" t="s">
        <v>202</v>
      </c>
      <c r="X56" s="1" t="s">
        <v>46</v>
      </c>
      <c r="Y56" s="1" t="s">
        <v>40</v>
      </c>
      <c r="Z56" s="1" t="s">
        <v>46</v>
      </c>
      <c r="AA56" s="1" t="s">
        <v>66</v>
      </c>
      <c r="AB56" s="1" t="s">
        <v>55</v>
      </c>
      <c r="AC56" s="1" t="s">
        <v>85</v>
      </c>
      <c r="AD56" s="1" t="s">
        <v>43</v>
      </c>
      <c r="AE56" s="8">
        <f>IF(L56&lt;&gt;"",L56*E56,0)</f>
      </c>
    </row>
    <row r="57" spans="1:31" x14ac:dyDescent="0.25">
      <c r="A57" s="4">
        <v>52</v>
      </c>
      <c r="B57" s="1" t="s">
        <v>203</v>
      </c>
      <c r="C57" s="5">
        <f>HYPERLINK("https://client.unique.diamonds/dna/11090-32","DNA")</f>
      </c>
      <c r="D57" s="1" t="s">
        <v>36</v>
      </c>
      <c r="E57" s="6">
        <v>2.02</v>
      </c>
      <c r="F57" s="1" t="s">
        <v>104</v>
      </c>
      <c r="G57" s="1" t="s">
        <v>87</v>
      </c>
      <c r="H57" s="1" t="s">
        <v>39</v>
      </c>
      <c r="I57" s="1" t="s">
        <v>39</v>
      </c>
      <c r="J57" s="1" t="s">
        <v>39</v>
      </c>
      <c r="K57" s="1" t="s">
        <v>40</v>
      </c>
      <c r="L57" s="4">
        <v>7700</v>
      </c>
      <c r="M57" s="6">
        <v>-21</v>
      </c>
      <c r="N57" s="7">
        <f>IF(AND(L57 &lt;&gt; "-", M57 &lt;&gt; "-"),L57*( 1 + M57%),0)</f>
      </c>
      <c r="O57" s="7">
        <f>( N57 * E57 )</f>
      </c>
      <c r="P57" s="1" t="s">
        <v>204</v>
      </c>
      <c r="Q57" s="6">
        <v>1.01</v>
      </c>
      <c r="R57" s="6">
        <v>61.7</v>
      </c>
      <c r="S57" s="4">
        <v>59</v>
      </c>
      <c r="T57" s="1" t="s">
        <v>42</v>
      </c>
      <c r="U57" s="5">
        <f>HYPERLINK("https://www.gia.edu/report-check?reportno=1423845903","1423845903")</f>
      </c>
      <c r="V57" s="1" t="s">
        <v>43</v>
      </c>
      <c r="W57" s="1" t="s">
        <v>205</v>
      </c>
      <c r="X57" s="1" t="s">
        <v>140</v>
      </c>
      <c r="Y57" s="1" t="s">
        <v>40</v>
      </c>
      <c r="Z57" s="1" t="s">
        <v>46</v>
      </c>
      <c r="AA57" s="1" t="s">
        <v>66</v>
      </c>
      <c r="AB57" s="1" t="s">
        <v>40</v>
      </c>
      <c r="AC57" s="1" t="s">
        <v>48</v>
      </c>
      <c r="AD57" s="1" t="s">
        <v>43</v>
      </c>
      <c r="AE57" s="8">
        <f>IF(L57&lt;&gt;"",L57*E57,0)</f>
      </c>
    </row>
    <row r="58" spans="1:31" x14ac:dyDescent="0.25">
      <c r="A58" s="4">
        <v>53</v>
      </c>
      <c r="B58" s="1" t="s">
        <v>206</v>
      </c>
      <c r="C58" s="5">
        <f>HYPERLINK("https://client.unique.diamonds/dna/141446-8","DNA")</f>
      </c>
      <c r="D58" s="1" t="s">
        <v>36</v>
      </c>
      <c r="E58" s="6">
        <v>2.01</v>
      </c>
      <c r="F58" s="1" t="s">
        <v>68</v>
      </c>
      <c r="G58" s="1" t="s">
        <v>69</v>
      </c>
      <c r="H58" s="1" t="s">
        <v>39</v>
      </c>
      <c r="I58" s="1" t="s">
        <v>39</v>
      </c>
      <c r="J58" s="1" t="s">
        <v>39</v>
      </c>
      <c r="K58" s="1" t="s">
        <v>40</v>
      </c>
      <c r="L58" s="4">
        <v>26000</v>
      </c>
      <c r="M58" s="6">
        <v>-23</v>
      </c>
      <c r="N58" s="7">
        <f>IF(AND(L58 &lt;&gt; "-", M58 &lt;&gt; "-"),L58*( 1 + M58%),0)</f>
      </c>
      <c r="O58" s="7">
        <f>( N58 * E58 )</f>
      </c>
      <c r="P58" s="1" t="s">
        <v>207</v>
      </c>
      <c r="Q58" s="6">
        <v>1.01</v>
      </c>
      <c r="R58" s="6">
        <v>62.8</v>
      </c>
      <c r="S58" s="4">
        <v>59</v>
      </c>
      <c r="T58" s="1" t="s">
        <v>42</v>
      </c>
      <c r="U58" s="5">
        <f>HYPERLINK("https://www.gia.edu/report-check?reportno=1413915577","1413915577")</f>
      </c>
      <c r="V58" s="1" t="s">
        <v>43</v>
      </c>
      <c r="W58" s="1" t="s">
        <v>74</v>
      </c>
      <c r="X58" s="1" t="s">
        <v>45</v>
      </c>
      <c r="Y58" s="1" t="s">
        <v>40</v>
      </c>
      <c r="Z58" s="1" t="s">
        <v>40</v>
      </c>
      <c r="AA58" s="1" t="s">
        <v>40</v>
      </c>
      <c r="AB58" s="1" t="s">
        <v>40</v>
      </c>
      <c r="AC58" s="1" t="s">
        <v>48</v>
      </c>
      <c r="AD58" s="1" t="s">
        <v>43</v>
      </c>
      <c r="AE58" s="8">
        <f>IF(L58&lt;&gt;"",L58*E58,0)</f>
      </c>
    </row>
    <row r="59" spans="1:31" x14ac:dyDescent="0.25">
      <c r="A59" s="4">
        <v>54</v>
      </c>
      <c r="B59" s="1" t="s">
        <v>208</v>
      </c>
      <c r="C59" s="5">
        <f>HYPERLINK("https://client.unique.diamonds/dna/DB007-32","DNA")</f>
      </c>
      <c r="D59" s="1" t="s">
        <v>36</v>
      </c>
      <c r="E59" s="6">
        <v>2.01</v>
      </c>
      <c r="F59" s="1" t="s">
        <v>68</v>
      </c>
      <c r="G59" s="1" t="s">
        <v>87</v>
      </c>
      <c r="H59" s="1" t="s">
        <v>39</v>
      </c>
      <c r="I59" s="1" t="s">
        <v>39</v>
      </c>
      <c r="J59" s="1" t="s">
        <v>39</v>
      </c>
      <c r="K59" s="1" t="s">
        <v>40</v>
      </c>
      <c r="L59" s="4">
        <v>15100</v>
      </c>
      <c r="M59" s="6">
        <v>-23.25</v>
      </c>
      <c r="N59" s="7">
        <f>IF(AND(L59 &lt;&gt; "-", M59 &lt;&gt; "-"),L59*( 1 + M59%),0)</f>
      </c>
      <c r="O59" s="7">
        <f>( N59 * E59 )</f>
      </c>
      <c r="P59" s="1" t="s">
        <v>209</v>
      </c>
      <c r="Q59" s="6">
        <v>1</v>
      </c>
      <c r="R59" s="6">
        <v>60.5</v>
      </c>
      <c r="S59" s="4">
        <v>60</v>
      </c>
      <c r="T59" s="1" t="s">
        <v>42</v>
      </c>
      <c r="U59" s="5">
        <f>HYPERLINK("https://www.gia.edu/report-check?reportno=1433063065","1433063065")</f>
      </c>
      <c r="V59" s="1" t="s">
        <v>43</v>
      </c>
      <c r="W59" s="1" t="s">
        <v>210</v>
      </c>
      <c r="X59" s="1" t="s">
        <v>59</v>
      </c>
      <c r="Y59" s="1" t="s">
        <v>40</v>
      </c>
      <c r="Z59" s="1" t="s">
        <v>46</v>
      </c>
      <c r="AA59" s="1" t="s">
        <v>55</v>
      </c>
      <c r="AB59" s="1" t="s">
        <v>40</v>
      </c>
      <c r="AC59" s="1" t="s">
        <v>48</v>
      </c>
      <c r="AD59" s="1" t="s">
        <v>43</v>
      </c>
      <c r="AE59" s="8">
        <f>IF(L59&lt;&gt;"",L59*E59,0)</f>
      </c>
    </row>
    <row r="60" spans="1:31" x14ac:dyDescent="0.25">
      <c r="A60" s="4">
        <v>55</v>
      </c>
      <c r="B60" s="1" t="s">
        <v>211</v>
      </c>
      <c r="C60" s="5">
        <f>HYPERLINK("https://client.unique.diamonds/dna/11041-16","DNA")</f>
      </c>
      <c r="D60" s="1" t="s">
        <v>36</v>
      </c>
      <c r="E60" s="6">
        <v>2.01</v>
      </c>
      <c r="F60" s="1" t="s">
        <v>173</v>
      </c>
      <c r="G60" s="1" t="s">
        <v>69</v>
      </c>
      <c r="H60" s="1" t="s">
        <v>39</v>
      </c>
      <c r="I60" s="1" t="s">
        <v>39</v>
      </c>
      <c r="J60" s="1" t="s">
        <v>39</v>
      </c>
      <c r="K60" s="1" t="s">
        <v>63</v>
      </c>
      <c r="L60" s="4">
        <v>24000</v>
      </c>
      <c r="M60" s="6">
        <v>-35</v>
      </c>
      <c r="N60" s="7">
        <f>IF(AND(L60 &lt;&gt; "-", M60 &lt;&gt; "-"),L60*( 1 + M60%),0)</f>
      </c>
      <c r="O60" s="7">
        <f>( N60 * E60 )</f>
      </c>
      <c r="P60" s="1" t="s">
        <v>212</v>
      </c>
      <c r="Q60" s="6">
        <v>1.01</v>
      </c>
      <c r="R60" s="6">
        <v>61.5</v>
      </c>
      <c r="S60" s="4">
        <v>60</v>
      </c>
      <c r="T60" s="1" t="s">
        <v>42</v>
      </c>
      <c r="U60" s="5">
        <f>HYPERLINK("https://www.gia.edu/report-check?reportno=1425240633","1425240633")</f>
      </c>
      <c r="V60" s="1" t="s">
        <v>43</v>
      </c>
      <c r="W60" s="1" t="s">
        <v>213</v>
      </c>
      <c r="X60" s="1" t="s">
        <v>59</v>
      </c>
      <c r="Y60" s="1" t="s">
        <v>40</v>
      </c>
      <c r="Z60" s="1" t="s">
        <v>46</v>
      </c>
      <c r="AA60" s="1" t="s">
        <v>66</v>
      </c>
      <c r="AB60" s="1" t="s">
        <v>40</v>
      </c>
      <c r="AC60" s="1" t="s">
        <v>48</v>
      </c>
      <c r="AD60" s="1" t="s">
        <v>43</v>
      </c>
      <c r="AE60" s="8">
        <f>IF(L60&lt;&gt;"",L60*E60,0)</f>
      </c>
    </row>
    <row r="61" spans="1:31" x14ac:dyDescent="0.25">
      <c r="A61" s="4">
        <v>56</v>
      </c>
      <c r="B61" s="1" t="s">
        <v>214</v>
      </c>
      <c r="C61" s="5">
        <f>HYPERLINK("https://client.unique.diamonds/dna/11051-88","DNA")</f>
      </c>
      <c r="D61" s="1" t="s">
        <v>36</v>
      </c>
      <c r="E61" s="6">
        <v>2.01</v>
      </c>
      <c r="F61" s="1" t="s">
        <v>173</v>
      </c>
      <c r="G61" s="1" t="s">
        <v>69</v>
      </c>
      <c r="H61" s="1" t="s">
        <v>39</v>
      </c>
      <c r="I61" s="1" t="s">
        <v>39</v>
      </c>
      <c r="J61" s="1" t="s">
        <v>39</v>
      </c>
      <c r="K61" s="1" t="s">
        <v>40</v>
      </c>
      <c r="L61" s="4">
        <v>24000</v>
      </c>
      <c r="M61" s="6">
        <v>-24.5</v>
      </c>
      <c r="N61" s="7">
        <f>IF(AND(L61 &lt;&gt; "-", M61 &lt;&gt; "-"),L61*( 1 + M61%),0)</f>
      </c>
      <c r="O61" s="7">
        <f>( N61 * E61 )</f>
      </c>
      <c r="P61" s="1" t="s">
        <v>215</v>
      </c>
      <c r="Q61" s="6">
        <v>1.01</v>
      </c>
      <c r="R61" s="6">
        <v>61.6</v>
      </c>
      <c r="S61" s="4">
        <v>59</v>
      </c>
      <c r="T61" s="1" t="s">
        <v>42</v>
      </c>
      <c r="U61" s="5">
        <f>HYPERLINK("https://www.gia.edu/report-check?reportno=2424413216","2424413216")</f>
      </c>
      <c r="V61" s="1" t="s">
        <v>43</v>
      </c>
      <c r="W61" s="1" t="s">
        <v>216</v>
      </c>
      <c r="X61" s="1" t="s">
        <v>59</v>
      </c>
      <c r="Y61" s="1" t="s">
        <v>40</v>
      </c>
      <c r="Z61" s="1" t="s">
        <v>46</v>
      </c>
      <c r="AA61" s="1" t="s">
        <v>40</v>
      </c>
      <c r="AB61" s="1" t="s">
        <v>40</v>
      </c>
      <c r="AC61" s="1" t="s">
        <v>48</v>
      </c>
      <c r="AD61" s="1" t="s">
        <v>43</v>
      </c>
      <c r="AE61" s="8">
        <f>IF(L61&lt;&gt;"",L61*E61,0)</f>
      </c>
    </row>
    <row r="62" spans="1:31" x14ac:dyDescent="0.25">
      <c r="A62" s="4">
        <v>57</v>
      </c>
      <c r="B62" s="1" t="s">
        <v>217</v>
      </c>
      <c r="C62" s="5">
        <f>HYPERLINK("https://client.unique.diamonds/dna/142094-88","DNA")</f>
      </c>
      <c r="D62" s="1" t="s">
        <v>36</v>
      </c>
      <c r="E62" s="6">
        <v>2.01</v>
      </c>
      <c r="F62" s="1" t="s">
        <v>173</v>
      </c>
      <c r="G62" s="1" t="s">
        <v>38</v>
      </c>
      <c r="H62" s="1" t="s">
        <v>39</v>
      </c>
      <c r="I62" s="1" t="s">
        <v>39</v>
      </c>
      <c r="J62" s="1" t="s">
        <v>39</v>
      </c>
      <c r="K62" s="1" t="s">
        <v>63</v>
      </c>
      <c r="L62" s="4">
        <v>21000</v>
      </c>
      <c r="M62" s="6">
        <v>-30</v>
      </c>
      <c r="N62" s="7">
        <f>IF(AND(L62 &lt;&gt; "-", M62 &lt;&gt; "-"),L62*( 1 + M62%),0)</f>
      </c>
      <c r="O62" s="7">
        <f>( N62 * E62 )</f>
      </c>
      <c r="P62" s="1" t="s">
        <v>218</v>
      </c>
      <c r="Q62" s="6">
        <v>1.01</v>
      </c>
      <c r="R62" s="6">
        <v>61.8</v>
      </c>
      <c r="S62" s="4">
        <v>60</v>
      </c>
      <c r="T62" s="1" t="s">
        <v>42</v>
      </c>
      <c r="U62" s="5">
        <f>HYPERLINK("https://www.gia.edu/report-check?reportno=1425459864","1425459864")</f>
      </c>
      <c r="V62" s="1" t="s">
        <v>43</v>
      </c>
      <c r="W62" s="1" t="s">
        <v>219</v>
      </c>
      <c r="X62" s="1" t="s">
        <v>45</v>
      </c>
      <c r="Y62" s="1" t="s">
        <v>40</v>
      </c>
      <c r="Z62" s="1" t="s">
        <v>46</v>
      </c>
      <c r="AA62" s="1" t="s">
        <v>66</v>
      </c>
      <c r="AB62" s="1" t="s">
        <v>55</v>
      </c>
      <c r="AC62" s="1" t="s">
        <v>48</v>
      </c>
      <c r="AD62" s="1" t="s">
        <v>43</v>
      </c>
      <c r="AE62" s="8">
        <f>IF(L62&lt;&gt;"",L62*E62,0)</f>
      </c>
    </row>
    <row r="63" spans="1:31" x14ac:dyDescent="0.25">
      <c r="A63" s="4">
        <v>58</v>
      </c>
      <c r="B63" s="1" t="s">
        <v>220</v>
      </c>
      <c r="C63" s="5">
        <f>HYPERLINK("https://client.unique.diamonds/dna/12022-13","DNA")</f>
      </c>
      <c r="D63" s="1" t="s">
        <v>36</v>
      </c>
      <c r="E63" s="6">
        <v>2.01</v>
      </c>
      <c r="F63" s="1" t="s">
        <v>173</v>
      </c>
      <c r="G63" s="1" t="s">
        <v>87</v>
      </c>
      <c r="H63" s="1" t="s">
        <v>39</v>
      </c>
      <c r="I63" s="1" t="s">
        <v>39</v>
      </c>
      <c r="J63" s="1" t="s">
        <v>39</v>
      </c>
      <c r="K63" s="1" t="s">
        <v>40</v>
      </c>
      <c r="L63" s="4">
        <v>14100</v>
      </c>
      <c r="M63" s="6">
        <v>-29.5</v>
      </c>
      <c r="N63" s="7">
        <f>IF(AND(L63 &lt;&gt; "-", M63 &lt;&gt; "-"),L63*( 1 + M63%),0)</f>
      </c>
      <c r="O63" s="7">
        <f>( N63 * E63 )</f>
      </c>
      <c r="P63" s="1" t="s">
        <v>221</v>
      </c>
      <c r="Q63" s="6">
        <v>1.01</v>
      </c>
      <c r="R63" s="6">
        <v>63.2</v>
      </c>
      <c r="S63" s="4">
        <v>55</v>
      </c>
      <c r="T63" s="1" t="s">
        <v>42</v>
      </c>
      <c r="U63" s="5">
        <f>HYPERLINK("https://www.gia.edu/report-check?reportno=6422635447","6422635447")</f>
      </c>
      <c r="V63" s="1" t="s">
        <v>43</v>
      </c>
      <c r="W63" s="1" t="s">
        <v>222</v>
      </c>
      <c r="X63" s="1" t="s">
        <v>59</v>
      </c>
      <c r="Y63" s="1" t="s">
        <v>40</v>
      </c>
      <c r="Z63" s="1" t="s">
        <v>54</v>
      </c>
      <c r="AA63" s="1" t="s">
        <v>55</v>
      </c>
      <c r="AB63" s="1" t="s">
        <v>96</v>
      </c>
      <c r="AC63" s="1" t="s">
        <v>48</v>
      </c>
      <c r="AD63" s="1" t="s">
        <v>43</v>
      </c>
      <c r="AE63" s="8">
        <f>IF(L63&lt;&gt;"",L63*E63,0)</f>
      </c>
    </row>
    <row r="64" spans="1:31" x14ac:dyDescent="0.25">
      <c r="A64" s="4">
        <v>59</v>
      </c>
      <c r="B64" s="1" t="s">
        <v>223</v>
      </c>
      <c r="C64" s="5">
        <f>HYPERLINK("https://client.unique.diamonds/dna/11051-77","DNA")</f>
      </c>
      <c r="D64" s="1" t="s">
        <v>36</v>
      </c>
      <c r="E64" s="6">
        <v>2.01</v>
      </c>
      <c r="F64" s="1" t="s">
        <v>91</v>
      </c>
      <c r="G64" s="1" t="s">
        <v>69</v>
      </c>
      <c r="H64" s="1" t="s">
        <v>39</v>
      </c>
      <c r="I64" s="1" t="s">
        <v>39</v>
      </c>
      <c r="J64" s="1" t="s">
        <v>39</v>
      </c>
      <c r="K64" s="1" t="s">
        <v>40</v>
      </c>
      <c r="L64" s="4">
        <v>22500</v>
      </c>
      <c r="M64" s="6">
        <v>-20.75</v>
      </c>
      <c r="N64" s="7">
        <f>IF(AND(L64 &lt;&gt; "-", M64 &lt;&gt; "-"),L64*( 1 + M64%),0)</f>
      </c>
      <c r="O64" s="7">
        <f>( N64 * E64 )</f>
      </c>
      <c r="P64" s="1" t="s">
        <v>224</v>
      </c>
      <c r="Q64" s="6">
        <v>1.01</v>
      </c>
      <c r="R64" s="6">
        <v>62.1</v>
      </c>
      <c r="S64" s="4">
        <v>60</v>
      </c>
      <c r="T64" s="1" t="s">
        <v>42</v>
      </c>
      <c r="U64" s="5">
        <f>HYPERLINK("https://www.gia.edu/report-check?reportno=6421327520","6421327520")</f>
      </c>
      <c r="V64" s="1" t="s">
        <v>43</v>
      </c>
      <c r="W64" s="1" t="s">
        <v>225</v>
      </c>
      <c r="X64" s="1" t="s">
        <v>75</v>
      </c>
      <c r="Y64" s="1" t="s">
        <v>40</v>
      </c>
      <c r="Z64" s="1" t="s">
        <v>46</v>
      </c>
      <c r="AA64" s="1" t="s">
        <v>40</v>
      </c>
      <c r="AB64" s="1" t="s">
        <v>40</v>
      </c>
      <c r="AC64" s="1" t="s">
        <v>48</v>
      </c>
      <c r="AD64" s="1" t="s">
        <v>43</v>
      </c>
      <c r="AE64" s="8">
        <f>IF(L64&lt;&gt;"",L64*E64,0)</f>
      </c>
    </row>
    <row r="65" spans="1:31" x14ac:dyDescent="0.25">
      <c r="A65" s="4">
        <v>60</v>
      </c>
      <c r="B65" s="1" t="s">
        <v>226</v>
      </c>
      <c r="C65" s="5">
        <f>HYPERLINK("https://client.unique.diamonds/dna/142094-34","DNA")</f>
      </c>
      <c r="D65" s="1" t="s">
        <v>36</v>
      </c>
      <c r="E65" s="6">
        <v>2.01</v>
      </c>
      <c r="F65" s="1" t="s">
        <v>91</v>
      </c>
      <c r="G65" s="1" t="s">
        <v>38</v>
      </c>
      <c r="H65" s="1" t="s">
        <v>39</v>
      </c>
      <c r="I65" s="1" t="s">
        <v>39</v>
      </c>
      <c r="J65" s="1" t="s">
        <v>39</v>
      </c>
      <c r="K65" s="1" t="s">
        <v>63</v>
      </c>
      <c r="L65" s="4">
        <v>19500</v>
      </c>
      <c r="M65" s="6">
        <v>-26.75</v>
      </c>
      <c r="N65" s="7">
        <f>IF(AND(L65 &lt;&gt; "-", M65 &lt;&gt; "-"),L65*( 1 + M65%),0)</f>
      </c>
      <c r="O65" s="7">
        <f>( N65 * E65 )</f>
      </c>
      <c r="P65" s="1" t="s">
        <v>227</v>
      </c>
      <c r="Q65" s="6">
        <v>1.01</v>
      </c>
      <c r="R65" s="6">
        <v>62.2</v>
      </c>
      <c r="S65" s="4">
        <v>59</v>
      </c>
      <c r="T65" s="1" t="s">
        <v>42</v>
      </c>
      <c r="U65" s="5">
        <f>HYPERLINK("https://www.gia.edu/report-check?reportno=7421393072","7421393072")</f>
      </c>
      <c r="V65" s="1" t="s">
        <v>43</v>
      </c>
      <c r="W65" s="1" t="s">
        <v>180</v>
      </c>
      <c r="X65" s="1" t="s">
        <v>59</v>
      </c>
      <c r="Y65" s="1" t="s">
        <v>40</v>
      </c>
      <c r="Z65" s="1" t="s">
        <v>46</v>
      </c>
      <c r="AA65" s="1" t="s">
        <v>40</v>
      </c>
      <c r="AB65" s="1" t="s">
        <v>47</v>
      </c>
      <c r="AC65" s="1" t="s">
        <v>48</v>
      </c>
      <c r="AD65" s="1" t="s">
        <v>43</v>
      </c>
      <c r="AE65" s="8">
        <f>IF(L65&lt;&gt;"",L65*E65,0)</f>
      </c>
    </row>
    <row r="66" spans="1:31" x14ac:dyDescent="0.25">
      <c r="A66" s="4">
        <v>61</v>
      </c>
      <c r="B66" s="1" t="s">
        <v>228</v>
      </c>
      <c r="C66" s="5">
        <f>HYPERLINK("https://client.unique.diamonds/dna/11042-13","DNA")</f>
      </c>
      <c r="D66" s="1" t="s">
        <v>36</v>
      </c>
      <c r="E66" s="6">
        <v>2.01</v>
      </c>
      <c r="F66" s="1" t="s">
        <v>91</v>
      </c>
      <c r="G66" s="1" t="s">
        <v>38</v>
      </c>
      <c r="H66" s="1" t="s">
        <v>39</v>
      </c>
      <c r="I66" s="1" t="s">
        <v>39</v>
      </c>
      <c r="J66" s="1" t="s">
        <v>39</v>
      </c>
      <c r="K66" s="1" t="s">
        <v>40</v>
      </c>
      <c r="L66" s="4">
        <v>19500</v>
      </c>
      <c r="M66" s="6">
        <v>-21.75</v>
      </c>
      <c r="N66" s="7">
        <f>IF(AND(L66 &lt;&gt; "-", M66 &lt;&gt; "-"),L66*( 1 + M66%),0)</f>
      </c>
      <c r="O66" s="7">
        <f>( N66 * E66 )</f>
      </c>
      <c r="P66" s="1" t="s">
        <v>229</v>
      </c>
      <c r="Q66" s="6">
        <v>1.01</v>
      </c>
      <c r="R66" s="6">
        <v>61.4</v>
      </c>
      <c r="S66" s="4">
        <v>59</v>
      </c>
      <c r="T66" s="1" t="s">
        <v>42</v>
      </c>
      <c r="U66" s="5">
        <f>HYPERLINK("https://www.gia.edu/report-check?reportno=7422319593","7422319593")</f>
      </c>
      <c r="V66" s="1" t="s">
        <v>43</v>
      </c>
      <c r="W66" s="1" t="s">
        <v>78</v>
      </c>
      <c r="X66" s="1" t="s">
        <v>46</v>
      </c>
      <c r="Y66" s="1" t="s">
        <v>40</v>
      </c>
      <c r="Z66" s="1" t="s">
        <v>46</v>
      </c>
      <c r="AA66" s="1" t="s">
        <v>55</v>
      </c>
      <c r="AB66" s="1" t="s">
        <v>40</v>
      </c>
      <c r="AC66" s="1" t="s">
        <v>48</v>
      </c>
      <c r="AD66" s="1" t="s">
        <v>43</v>
      </c>
      <c r="AE66" s="8">
        <f>IF(L66&lt;&gt;"",L66*E66,0)</f>
      </c>
    </row>
    <row r="67" spans="1:31" x14ac:dyDescent="0.25">
      <c r="A67" s="4">
        <v>62</v>
      </c>
      <c r="B67" s="1" t="s">
        <v>230</v>
      </c>
      <c r="C67" s="5">
        <f>HYPERLINK("https://client.unique.diamonds/dna/141444-9","DNA")</f>
      </c>
      <c r="D67" s="1" t="s">
        <v>36</v>
      </c>
      <c r="E67" s="6">
        <v>2.01</v>
      </c>
      <c r="F67" s="1" t="s">
        <v>91</v>
      </c>
      <c r="G67" s="1" t="s">
        <v>38</v>
      </c>
      <c r="H67" s="1" t="s">
        <v>39</v>
      </c>
      <c r="I67" s="1" t="s">
        <v>39</v>
      </c>
      <c r="J67" s="1" t="s">
        <v>39</v>
      </c>
      <c r="K67" s="1" t="s">
        <v>40</v>
      </c>
      <c r="L67" s="4">
        <v>19500</v>
      </c>
      <c r="M67" s="6">
        <v>-22</v>
      </c>
      <c r="N67" s="7">
        <f>IF(AND(L67 &lt;&gt; "-", M67 &lt;&gt; "-"),L67*( 1 + M67%),0)</f>
      </c>
      <c r="O67" s="7">
        <f>( N67 * E67 )</f>
      </c>
      <c r="P67" s="1" t="s">
        <v>231</v>
      </c>
      <c r="Q67" s="6">
        <v>1.01</v>
      </c>
      <c r="R67" s="6">
        <v>62.8</v>
      </c>
      <c r="S67" s="4">
        <v>59</v>
      </c>
      <c r="T67" s="1" t="s">
        <v>42</v>
      </c>
      <c r="U67" s="5">
        <f>HYPERLINK("https://www.gia.edu/report-check?reportno=6415643537","6415643537")</f>
      </c>
      <c r="V67" s="1" t="s">
        <v>43</v>
      </c>
      <c r="W67" s="1" t="s">
        <v>232</v>
      </c>
      <c r="X67" s="1" t="s">
        <v>59</v>
      </c>
      <c r="Y67" s="1" t="s">
        <v>40</v>
      </c>
      <c r="Z67" s="1" t="s">
        <v>46</v>
      </c>
      <c r="AA67" s="1" t="s">
        <v>40</v>
      </c>
      <c r="AB67" s="1" t="s">
        <v>40</v>
      </c>
      <c r="AC67" s="1" t="s">
        <v>48</v>
      </c>
      <c r="AD67" s="1" t="s">
        <v>43</v>
      </c>
      <c r="AE67" s="8">
        <f>IF(L67&lt;&gt;"",L67*E67,0)</f>
      </c>
    </row>
    <row r="68" spans="1:31" x14ac:dyDescent="0.25">
      <c r="A68" s="4">
        <v>63</v>
      </c>
      <c r="B68" s="1" t="s">
        <v>233</v>
      </c>
      <c r="C68" s="5">
        <f>HYPERLINK("https://client.unique.diamonds/dna/11041-45","DNA")</f>
      </c>
      <c r="D68" s="1" t="s">
        <v>36</v>
      </c>
      <c r="E68" s="6">
        <v>2.01</v>
      </c>
      <c r="F68" s="1" t="s">
        <v>91</v>
      </c>
      <c r="G68" s="1" t="s">
        <v>51</v>
      </c>
      <c r="H68" s="1" t="s">
        <v>39</v>
      </c>
      <c r="I68" s="1" t="s">
        <v>39</v>
      </c>
      <c r="J68" s="1" t="s">
        <v>39</v>
      </c>
      <c r="K68" s="1" t="s">
        <v>40</v>
      </c>
      <c r="L68" s="4">
        <v>16300</v>
      </c>
      <c r="M68" s="6">
        <v>-19.75</v>
      </c>
      <c r="N68" s="7">
        <f>IF(AND(L68 &lt;&gt; "-", M68 &lt;&gt; "-"),L68*( 1 + M68%),0)</f>
      </c>
      <c r="O68" s="7">
        <f>( N68 * E68 )</f>
      </c>
      <c r="P68" s="1" t="s">
        <v>234</v>
      </c>
      <c r="Q68" s="6">
        <v>1.01</v>
      </c>
      <c r="R68" s="6">
        <v>62.6</v>
      </c>
      <c r="S68" s="4">
        <v>58</v>
      </c>
      <c r="T68" s="1" t="s">
        <v>42</v>
      </c>
      <c r="U68" s="5">
        <f>HYPERLINK("https://www.gia.edu/report-check?reportno=1429387552","1429387552")</f>
      </c>
      <c r="V68" s="1" t="s">
        <v>43</v>
      </c>
      <c r="W68" s="1" t="s">
        <v>235</v>
      </c>
      <c r="X68" s="1" t="s">
        <v>46</v>
      </c>
      <c r="Y68" s="1" t="s">
        <v>40</v>
      </c>
      <c r="Z68" s="1" t="s">
        <v>46</v>
      </c>
      <c r="AA68" s="1" t="s">
        <v>55</v>
      </c>
      <c r="AB68" s="1" t="s">
        <v>40</v>
      </c>
      <c r="AC68" s="1" t="s">
        <v>85</v>
      </c>
      <c r="AD68" s="1" t="s">
        <v>43</v>
      </c>
      <c r="AE68" s="8">
        <f>IF(L68&lt;&gt;"",L68*E68,0)</f>
      </c>
    </row>
    <row r="69" spans="1:31" x14ac:dyDescent="0.25">
      <c r="A69" s="4">
        <v>64</v>
      </c>
      <c r="B69" s="1" t="s">
        <v>236</v>
      </c>
      <c r="C69" s="5">
        <f>HYPERLINK("https://client.unique.diamonds/dna/11051-45","DNA")</f>
      </c>
      <c r="D69" s="1" t="s">
        <v>36</v>
      </c>
      <c r="E69" s="6">
        <v>2.01</v>
      </c>
      <c r="F69" s="1" t="s">
        <v>98</v>
      </c>
      <c r="G69" s="1" t="s">
        <v>38</v>
      </c>
      <c r="H69" s="1" t="s">
        <v>39</v>
      </c>
      <c r="I69" s="1" t="s">
        <v>39</v>
      </c>
      <c r="J69" s="1" t="s">
        <v>39</v>
      </c>
      <c r="K69" s="1" t="s">
        <v>40</v>
      </c>
      <c r="L69" s="4">
        <v>18000</v>
      </c>
      <c r="M69" s="6">
        <v>-20.75</v>
      </c>
      <c r="N69" s="7">
        <f>IF(AND(L69 &lt;&gt; "-", M69 &lt;&gt; "-"),L69*( 1 + M69%),0)</f>
      </c>
      <c r="O69" s="7">
        <f>( N69 * E69 )</f>
      </c>
      <c r="P69" s="1" t="s">
        <v>207</v>
      </c>
      <c r="Q69" s="6">
        <v>1.01</v>
      </c>
      <c r="R69" s="6">
        <v>62.8</v>
      </c>
      <c r="S69" s="4">
        <v>59</v>
      </c>
      <c r="T69" s="1" t="s">
        <v>42</v>
      </c>
      <c r="U69" s="5">
        <f>HYPERLINK("https://www.gia.edu/report-check?reportno=6425234123","6425234123")</f>
      </c>
      <c r="V69" s="1" t="s">
        <v>43</v>
      </c>
      <c r="W69" s="1" t="s">
        <v>237</v>
      </c>
      <c r="X69" s="1" t="s">
        <v>59</v>
      </c>
      <c r="Y69" s="1" t="s">
        <v>40</v>
      </c>
      <c r="Z69" s="1" t="s">
        <v>46</v>
      </c>
      <c r="AA69" s="1" t="s">
        <v>66</v>
      </c>
      <c r="AB69" s="1" t="s">
        <v>40</v>
      </c>
      <c r="AC69" s="1" t="s">
        <v>48</v>
      </c>
      <c r="AD69" s="1" t="s">
        <v>43</v>
      </c>
      <c r="AE69" s="8">
        <f>IF(L69&lt;&gt;"",L69*E69,0)</f>
      </c>
    </row>
    <row r="70" spans="1:31" x14ac:dyDescent="0.25">
      <c r="A70" s="4">
        <v>65</v>
      </c>
      <c r="B70" s="1" t="s">
        <v>238</v>
      </c>
      <c r="C70" s="5">
        <f>HYPERLINK("https://client.unique.diamonds/dna/11051-105","DNA")</f>
      </c>
      <c r="D70" s="1" t="s">
        <v>36</v>
      </c>
      <c r="E70" s="6">
        <v>2.01</v>
      </c>
      <c r="F70" s="1" t="s">
        <v>98</v>
      </c>
      <c r="G70" s="1" t="s">
        <v>38</v>
      </c>
      <c r="H70" s="1" t="s">
        <v>39</v>
      </c>
      <c r="I70" s="1" t="s">
        <v>39</v>
      </c>
      <c r="J70" s="1" t="s">
        <v>39</v>
      </c>
      <c r="K70" s="1" t="s">
        <v>40</v>
      </c>
      <c r="L70" s="4">
        <v>18000</v>
      </c>
      <c r="M70" s="6">
        <v>-20.5</v>
      </c>
      <c r="N70" s="7">
        <f>IF(AND(L70 &lt;&gt; "-", M70 &lt;&gt; "-"),L70*( 1 + M70%),0)</f>
      </c>
      <c r="O70" s="7">
        <f>( N70 * E70 )</f>
      </c>
      <c r="P70" s="1" t="s">
        <v>239</v>
      </c>
      <c r="Q70" s="6">
        <v>1</v>
      </c>
      <c r="R70" s="6">
        <v>61.7</v>
      </c>
      <c r="S70" s="4">
        <v>57</v>
      </c>
      <c r="T70" s="1" t="s">
        <v>42</v>
      </c>
      <c r="U70" s="5">
        <f>HYPERLINK("https://www.gia.edu/report-check?reportno=3425459886","3425459886")</f>
      </c>
      <c r="V70" s="1" t="s">
        <v>43</v>
      </c>
      <c r="W70" s="1" t="s">
        <v>240</v>
      </c>
      <c r="X70" s="1" t="s">
        <v>59</v>
      </c>
      <c r="Y70" s="1" t="s">
        <v>40</v>
      </c>
      <c r="Z70" s="1" t="s">
        <v>59</v>
      </c>
      <c r="AA70" s="1" t="s">
        <v>55</v>
      </c>
      <c r="AB70" s="1" t="s">
        <v>40</v>
      </c>
      <c r="AC70" s="1" t="s">
        <v>48</v>
      </c>
      <c r="AD70" s="1" t="s">
        <v>43</v>
      </c>
      <c r="AE70" s="8">
        <f>IF(L70&lt;&gt;"",L70*E70,0)</f>
      </c>
    </row>
    <row r="71" spans="1:31" x14ac:dyDescent="0.25">
      <c r="A71" s="4">
        <v>66</v>
      </c>
      <c r="B71" s="1" t="s">
        <v>241</v>
      </c>
      <c r="C71" s="5">
        <f>HYPERLINK("https://client.unique.diamonds/dna/11136-58","DNA")</f>
      </c>
      <c r="D71" s="1" t="s">
        <v>36</v>
      </c>
      <c r="E71" s="6">
        <v>2.01</v>
      </c>
      <c r="F71" s="1" t="s">
        <v>98</v>
      </c>
      <c r="G71" s="1" t="s">
        <v>51</v>
      </c>
      <c r="H71" s="1" t="s">
        <v>39</v>
      </c>
      <c r="I71" s="1" t="s">
        <v>39</v>
      </c>
      <c r="J71" s="1" t="s">
        <v>39</v>
      </c>
      <c r="K71" s="1" t="s">
        <v>40</v>
      </c>
      <c r="L71" s="4">
        <v>15000</v>
      </c>
      <c r="M71" s="6">
        <v>-20.45</v>
      </c>
      <c r="N71" s="7">
        <f>IF(AND(L71 &lt;&gt; "-", M71 &lt;&gt; "-"),L71*( 1 + M71%),0)</f>
      </c>
      <c r="O71" s="7">
        <f>( N71 * E71 )</f>
      </c>
      <c r="P71" s="1" t="s">
        <v>242</v>
      </c>
      <c r="Q71" s="6">
        <v>1.01</v>
      </c>
      <c r="R71" s="6">
        <v>62.7</v>
      </c>
      <c r="S71" s="4">
        <v>59</v>
      </c>
      <c r="T71" s="1" t="s">
        <v>42</v>
      </c>
      <c r="U71" s="5">
        <f>HYPERLINK("https://www.gia.edu/report-check?reportno=2437363076","2437363076")</f>
      </c>
      <c r="V71" s="1" t="s">
        <v>43</v>
      </c>
      <c r="W71" s="1" t="s">
        <v>125</v>
      </c>
      <c r="X71" s="1" t="s">
        <v>59</v>
      </c>
      <c r="Y71" s="1" t="s">
        <v>40</v>
      </c>
      <c r="Z71" s="1" t="s">
        <v>177</v>
      </c>
      <c r="AA71" s="1" t="s">
        <v>66</v>
      </c>
      <c r="AB71" s="1" t="s">
        <v>47</v>
      </c>
      <c r="AC71" s="1" t="s">
        <v>48</v>
      </c>
      <c r="AD71" s="1" t="s">
        <v>43</v>
      </c>
      <c r="AE71" s="8">
        <f>IF(L71&lt;&gt;"",L71*E71,0)</f>
      </c>
    </row>
    <row r="72" spans="1:31" x14ac:dyDescent="0.25">
      <c r="A72" s="4">
        <v>67</v>
      </c>
      <c r="B72" s="1" t="s">
        <v>243</v>
      </c>
      <c r="C72" s="5">
        <f>HYPERLINK("https://client.unique.diamonds/dna/11136-65","DNA")</f>
      </c>
      <c r="D72" s="1" t="s">
        <v>36</v>
      </c>
      <c r="E72" s="6">
        <v>2.01</v>
      </c>
      <c r="F72" s="1" t="s">
        <v>98</v>
      </c>
      <c r="G72" s="1" t="s">
        <v>51</v>
      </c>
      <c r="H72" s="1" t="s">
        <v>39</v>
      </c>
      <c r="I72" s="1" t="s">
        <v>39</v>
      </c>
      <c r="J72" s="1" t="s">
        <v>39</v>
      </c>
      <c r="K72" s="1" t="s">
        <v>40</v>
      </c>
      <c r="L72" s="4">
        <v>15000</v>
      </c>
      <c r="M72" s="6">
        <v>-20.45</v>
      </c>
      <c r="N72" s="7">
        <f>IF(AND(L72 &lt;&gt; "-", M72 &lt;&gt; "-"),L72*( 1 + M72%),0)</f>
      </c>
      <c r="O72" s="7">
        <f>( N72 * E72 )</f>
      </c>
      <c r="P72" s="1" t="s">
        <v>244</v>
      </c>
      <c r="Q72" s="6">
        <v>1</v>
      </c>
      <c r="R72" s="6">
        <v>61.7</v>
      </c>
      <c r="S72" s="4">
        <v>59</v>
      </c>
      <c r="T72" s="1" t="s">
        <v>42</v>
      </c>
      <c r="U72" s="5">
        <f>HYPERLINK("https://www.gia.edu/report-check?reportno=5433363121","5433363121")</f>
      </c>
      <c r="V72" s="1" t="s">
        <v>43</v>
      </c>
      <c r="W72" s="1" t="s">
        <v>157</v>
      </c>
      <c r="X72" s="1" t="s">
        <v>45</v>
      </c>
      <c r="Y72" s="1" t="s">
        <v>40</v>
      </c>
      <c r="Z72" s="1" t="s">
        <v>59</v>
      </c>
      <c r="AA72" s="1" t="s">
        <v>40</v>
      </c>
      <c r="AB72" s="1" t="s">
        <v>47</v>
      </c>
      <c r="AC72" s="1" t="s">
        <v>48</v>
      </c>
      <c r="AD72" s="1" t="s">
        <v>43</v>
      </c>
      <c r="AE72" s="8">
        <f>IF(L72&lt;&gt;"",L72*E72,0)</f>
      </c>
    </row>
    <row r="73" spans="1:31" x14ac:dyDescent="0.25">
      <c r="A73" s="4">
        <v>68</v>
      </c>
      <c r="B73" s="1" t="s">
        <v>245</v>
      </c>
      <c r="C73" s="5">
        <f>HYPERLINK("https://client.unique.diamonds/dna/11051-49","DNA")</f>
      </c>
      <c r="D73" s="1" t="s">
        <v>36</v>
      </c>
      <c r="E73" s="6">
        <v>2.01</v>
      </c>
      <c r="F73" s="1" t="s">
        <v>37</v>
      </c>
      <c r="G73" s="1" t="s">
        <v>69</v>
      </c>
      <c r="H73" s="1" t="s">
        <v>39</v>
      </c>
      <c r="I73" s="1" t="s">
        <v>39</v>
      </c>
      <c r="J73" s="1" t="s">
        <v>39</v>
      </c>
      <c r="K73" s="1" t="s">
        <v>40</v>
      </c>
      <c r="L73" s="4">
        <v>17500</v>
      </c>
      <c r="M73" s="6">
        <v>-18.75</v>
      </c>
      <c r="N73" s="7">
        <f>IF(AND(L73 &lt;&gt; "-", M73 &lt;&gt; "-"),L73*( 1 + M73%),0)</f>
      </c>
      <c r="O73" s="7">
        <f>( N73 * E73 )</f>
      </c>
      <c r="P73" s="1" t="s">
        <v>246</v>
      </c>
      <c r="Q73" s="6">
        <v>1.01</v>
      </c>
      <c r="R73" s="6">
        <v>61</v>
      </c>
      <c r="S73" s="4">
        <v>60</v>
      </c>
      <c r="T73" s="1" t="s">
        <v>42</v>
      </c>
      <c r="U73" s="5">
        <f>HYPERLINK("https://www.gia.edu/report-check?reportno=2427234112","2427234112")</f>
      </c>
      <c r="V73" s="1" t="s">
        <v>43</v>
      </c>
      <c r="W73" s="1" t="s">
        <v>247</v>
      </c>
      <c r="X73" s="1" t="s">
        <v>46</v>
      </c>
      <c r="Y73" s="1" t="s">
        <v>40</v>
      </c>
      <c r="Z73" s="1" t="s">
        <v>46</v>
      </c>
      <c r="AA73" s="1" t="s">
        <v>40</v>
      </c>
      <c r="AB73" s="1" t="s">
        <v>40</v>
      </c>
      <c r="AC73" s="1" t="s">
        <v>48</v>
      </c>
      <c r="AD73" s="1" t="s">
        <v>43</v>
      </c>
      <c r="AE73" s="8">
        <f>IF(L73&lt;&gt;"",L73*E73,0)</f>
      </c>
    </row>
    <row r="74" spans="1:31" x14ac:dyDescent="0.25">
      <c r="A74" s="4">
        <v>69</v>
      </c>
      <c r="B74" s="1" t="s">
        <v>248</v>
      </c>
      <c r="C74" s="5">
        <f>HYPERLINK("https://client.unique.diamonds/dna/11051-59","DNA")</f>
      </c>
      <c r="D74" s="1" t="s">
        <v>36</v>
      </c>
      <c r="E74" s="6">
        <v>2.01</v>
      </c>
      <c r="F74" s="1" t="s">
        <v>37</v>
      </c>
      <c r="G74" s="1" t="s">
        <v>69</v>
      </c>
      <c r="H74" s="1" t="s">
        <v>39</v>
      </c>
      <c r="I74" s="1" t="s">
        <v>39</v>
      </c>
      <c r="J74" s="1" t="s">
        <v>39</v>
      </c>
      <c r="K74" s="1" t="s">
        <v>40</v>
      </c>
      <c r="L74" s="4">
        <v>17500</v>
      </c>
      <c r="M74" s="6">
        <v>-18.75</v>
      </c>
      <c r="N74" s="7">
        <f>IF(AND(L74 &lt;&gt; "-", M74 &lt;&gt; "-"),L74*( 1 + M74%),0)</f>
      </c>
      <c r="O74" s="7">
        <f>( N74 * E74 )</f>
      </c>
      <c r="P74" s="1" t="s">
        <v>249</v>
      </c>
      <c r="Q74" s="6">
        <v>1</v>
      </c>
      <c r="R74" s="6">
        <v>62.6</v>
      </c>
      <c r="S74" s="4">
        <v>60</v>
      </c>
      <c r="T74" s="1" t="s">
        <v>42</v>
      </c>
      <c r="U74" s="5">
        <f>HYPERLINK("https://www.gia.edu/report-check?reportno=2424155093","2424155093")</f>
      </c>
      <c r="V74" s="1" t="s">
        <v>43</v>
      </c>
      <c r="W74" s="1" t="s">
        <v>250</v>
      </c>
      <c r="X74" s="1" t="s">
        <v>59</v>
      </c>
      <c r="Y74" s="1" t="s">
        <v>40</v>
      </c>
      <c r="Z74" s="1" t="s">
        <v>46</v>
      </c>
      <c r="AA74" s="1" t="s">
        <v>40</v>
      </c>
      <c r="AB74" s="1" t="s">
        <v>40</v>
      </c>
      <c r="AC74" s="1" t="s">
        <v>48</v>
      </c>
      <c r="AD74" s="1" t="s">
        <v>43</v>
      </c>
      <c r="AE74" s="8">
        <f>IF(L74&lt;&gt;"",L74*E74,0)</f>
      </c>
    </row>
    <row r="75" spans="1:31" x14ac:dyDescent="0.25">
      <c r="A75" s="4">
        <v>70</v>
      </c>
      <c r="B75" s="1" t="s">
        <v>251</v>
      </c>
      <c r="C75" s="5">
        <f>HYPERLINK("https://client.unique.diamonds/dna/11051-14","DNA")</f>
      </c>
      <c r="D75" s="1" t="s">
        <v>36</v>
      </c>
      <c r="E75" s="6">
        <v>2.01</v>
      </c>
      <c r="F75" s="1" t="s">
        <v>37</v>
      </c>
      <c r="G75" s="1" t="s">
        <v>69</v>
      </c>
      <c r="H75" s="1" t="s">
        <v>39</v>
      </c>
      <c r="I75" s="1" t="s">
        <v>39</v>
      </c>
      <c r="J75" s="1" t="s">
        <v>39</v>
      </c>
      <c r="K75" s="1" t="s">
        <v>40</v>
      </c>
      <c r="L75" s="4">
        <v>17500</v>
      </c>
      <c r="M75" s="6">
        <v>-20.75</v>
      </c>
      <c r="N75" s="7">
        <f>IF(AND(L75 &lt;&gt; "-", M75 &lt;&gt; "-"),L75*( 1 + M75%),0)</f>
      </c>
      <c r="O75" s="7">
        <f>( N75 * E75 )</f>
      </c>
      <c r="P75" s="1" t="s">
        <v>252</v>
      </c>
      <c r="Q75" s="6">
        <v>1.01</v>
      </c>
      <c r="R75" s="6">
        <v>61.7</v>
      </c>
      <c r="S75" s="4">
        <v>59</v>
      </c>
      <c r="T75" s="1" t="s">
        <v>42</v>
      </c>
      <c r="U75" s="5">
        <f>HYPERLINK("https://www.gia.edu/report-check?reportno=6422004323","6422004323")</f>
      </c>
      <c r="V75" s="1" t="s">
        <v>43</v>
      </c>
      <c r="W75" s="1" t="s">
        <v>253</v>
      </c>
      <c r="X75" s="1" t="s">
        <v>59</v>
      </c>
      <c r="Y75" s="1" t="s">
        <v>40</v>
      </c>
      <c r="Z75" s="1" t="s">
        <v>46</v>
      </c>
      <c r="AA75" s="1" t="s">
        <v>66</v>
      </c>
      <c r="AB75" s="1" t="s">
        <v>40</v>
      </c>
      <c r="AC75" s="1" t="s">
        <v>48</v>
      </c>
      <c r="AD75" s="1" t="s">
        <v>43</v>
      </c>
      <c r="AE75" s="8">
        <f>IF(L75&lt;&gt;"",L75*E75,0)</f>
      </c>
    </row>
    <row r="76" spans="1:31" x14ac:dyDescent="0.25">
      <c r="A76" s="4">
        <v>71</v>
      </c>
      <c r="B76" s="1" t="s">
        <v>254</v>
      </c>
      <c r="C76" s="5">
        <f>HYPERLINK("https://client.unique.diamonds/dna/11042-10","DNA")</f>
      </c>
      <c r="D76" s="1" t="s">
        <v>36</v>
      </c>
      <c r="E76" s="6">
        <v>2.01</v>
      </c>
      <c r="F76" s="1" t="s">
        <v>37</v>
      </c>
      <c r="G76" s="1" t="s">
        <v>38</v>
      </c>
      <c r="H76" s="1" t="s">
        <v>39</v>
      </c>
      <c r="I76" s="1" t="s">
        <v>39</v>
      </c>
      <c r="J76" s="1" t="s">
        <v>39</v>
      </c>
      <c r="K76" s="1" t="s">
        <v>40</v>
      </c>
      <c r="L76" s="4">
        <v>16000</v>
      </c>
      <c r="M76" s="6">
        <v>-18.75</v>
      </c>
      <c r="N76" s="7">
        <f>IF(AND(L76 &lt;&gt; "-", M76 &lt;&gt; "-"),L76*( 1 + M76%),0)</f>
      </c>
      <c r="O76" s="7">
        <f>( N76 * E76 )</f>
      </c>
      <c r="P76" s="1" t="s">
        <v>255</v>
      </c>
      <c r="Q76" s="6">
        <v>1.01</v>
      </c>
      <c r="R76" s="6">
        <v>61.2</v>
      </c>
      <c r="S76" s="4">
        <v>61</v>
      </c>
      <c r="T76" s="1" t="s">
        <v>42</v>
      </c>
      <c r="U76" s="5">
        <f>HYPERLINK("https://www.gia.edu/report-check?reportno=7428319550","7428319550")</f>
      </c>
      <c r="V76" s="1" t="s">
        <v>43</v>
      </c>
      <c r="W76" s="1" t="s">
        <v>194</v>
      </c>
      <c r="X76" s="1" t="s">
        <v>59</v>
      </c>
      <c r="Y76" s="1" t="s">
        <v>40</v>
      </c>
      <c r="Z76" s="1" t="s">
        <v>46</v>
      </c>
      <c r="AA76" s="1" t="s">
        <v>55</v>
      </c>
      <c r="AB76" s="1" t="s">
        <v>40</v>
      </c>
      <c r="AC76" s="1" t="s">
        <v>48</v>
      </c>
      <c r="AD76" s="1" t="s">
        <v>43</v>
      </c>
      <c r="AE76" s="8">
        <f>IF(L76&lt;&gt;"",L76*E76,0)</f>
      </c>
    </row>
    <row r="77" spans="1:31" x14ac:dyDescent="0.25">
      <c r="A77" s="4">
        <v>72</v>
      </c>
      <c r="B77" s="1" t="s">
        <v>256</v>
      </c>
      <c r="C77" s="5">
        <f>HYPERLINK("https://client.unique.diamonds/dna/11136-21","DNA")</f>
      </c>
      <c r="D77" s="1" t="s">
        <v>36</v>
      </c>
      <c r="E77" s="6">
        <v>2.01</v>
      </c>
      <c r="F77" s="1" t="s">
        <v>37</v>
      </c>
      <c r="G77" s="1" t="s">
        <v>38</v>
      </c>
      <c r="H77" s="1" t="s">
        <v>39</v>
      </c>
      <c r="I77" s="1" t="s">
        <v>39</v>
      </c>
      <c r="J77" s="1" t="s">
        <v>39</v>
      </c>
      <c r="K77" s="1" t="s">
        <v>40</v>
      </c>
      <c r="L77" s="4">
        <v>16000</v>
      </c>
      <c r="M77" s="6">
        <v>-20.25</v>
      </c>
      <c r="N77" s="7">
        <f>IF(AND(L77 &lt;&gt; "-", M77 &lt;&gt; "-"),L77*( 1 + M77%),0)</f>
      </c>
      <c r="O77" s="7">
        <f>( N77 * E77 )</f>
      </c>
      <c r="P77" s="1" t="s">
        <v>257</v>
      </c>
      <c r="Q77" s="6">
        <v>1</v>
      </c>
      <c r="R77" s="6">
        <v>60.2</v>
      </c>
      <c r="S77" s="4">
        <v>59</v>
      </c>
      <c r="T77" s="1" t="s">
        <v>42</v>
      </c>
      <c r="U77" s="5">
        <f>HYPERLINK("https://www.gia.edu/report-check?reportno=2436291657","2436291657")</f>
      </c>
      <c r="V77" s="1" t="s">
        <v>43</v>
      </c>
      <c r="W77" s="1" t="s">
        <v>258</v>
      </c>
      <c r="X77" s="1" t="s">
        <v>59</v>
      </c>
      <c r="Y77" s="1" t="s">
        <v>40</v>
      </c>
      <c r="Z77" s="1" t="s">
        <v>46</v>
      </c>
      <c r="AA77" s="1" t="s">
        <v>40</v>
      </c>
      <c r="AB77" s="1" t="s">
        <v>40</v>
      </c>
      <c r="AC77" s="1" t="s">
        <v>48</v>
      </c>
      <c r="AD77" s="1" t="s">
        <v>43</v>
      </c>
      <c r="AE77" s="8">
        <f>IF(L77&lt;&gt;"",L77*E77,0)</f>
      </c>
    </row>
    <row r="78" spans="1:31" x14ac:dyDescent="0.25">
      <c r="A78" s="4">
        <v>73</v>
      </c>
      <c r="B78" s="1" t="s">
        <v>259</v>
      </c>
      <c r="C78" s="5">
        <f>HYPERLINK("https://client.unique.diamonds/dna/11129-7","DNA")</f>
      </c>
      <c r="D78" s="1" t="s">
        <v>36</v>
      </c>
      <c r="E78" s="6">
        <v>2.01</v>
      </c>
      <c r="F78" s="1" t="s">
        <v>37</v>
      </c>
      <c r="G78" s="1" t="s">
        <v>38</v>
      </c>
      <c r="H78" s="1" t="s">
        <v>39</v>
      </c>
      <c r="I78" s="1" t="s">
        <v>39</v>
      </c>
      <c r="J78" s="1" t="s">
        <v>39</v>
      </c>
      <c r="K78" s="1" t="s">
        <v>40</v>
      </c>
      <c r="L78" s="4">
        <v>16000</v>
      </c>
      <c r="M78" s="6">
        <v>-21.25</v>
      </c>
      <c r="N78" s="7">
        <f>IF(AND(L78 &lt;&gt; "-", M78 &lt;&gt; "-"),L78*( 1 + M78%),0)</f>
      </c>
      <c r="O78" s="7">
        <f>( N78 * E78 )</f>
      </c>
      <c r="P78" s="1" t="s">
        <v>260</v>
      </c>
      <c r="Q78" s="6">
        <v>1.01</v>
      </c>
      <c r="R78" s="6">
        <v>61.8</v>
      </c>
      <c r="S78" s="4">
        <v>60</v>
      </c>
      <c r="T78" s="1" t="s">
        <v>42</v>
      </c>
      <c r="U78" s="5">
        <f>HYPERLINK("https://www.gia.edu/report-check?reportno=6435252349","6435252349")</f>
      </c>
      <c r="V78" s="1" t="s">
        <v>43</v>
      </c>
      <c r="W78" s="1" t="s">
        <v>189</v>
      </c>
      <c r="X78" s="1" t="s">
        <v>59</v>
      </c>
      <c r="Y78" s="1" t="s">
        <v>40</v>
      </c>
      <c r="Z78" s="1" t="s">
        <v>46</v>
      </c>
      <c r="AA78" s="1" t="s">
        <v>55</v>
      </c>
      <c r="AB78" s="1" t="s">
        <v>40</v>
      </c>
      <c r="AC78" s="1" t="s">
        <v>48</v>
      </c>
      <c r="AD78" s="1" t="s">
        <v>43</v>
      </c>
      <c r="AE78" s="8">
        <f>IF(L78&lt;&gt;"",L78*E78,0)</f>
      </c>
    </row>
    <row r="79" spans="1:31" x14ac:dyDescent="0.25">
      <c r="A79" s="4">
        <v>74</v>
      </c>
      <c r="B79" s="1" t="s">
        <v>261</v>
      </c>
      <c r="C79" s="5">
        <f>HYPERLINK("https://client.unique.diamonds/dna/11041-8","DNA")</f>
      </c>
      <c r="D79" s="1" t="s">
        <v>36</v>
      </c>
      <c r="E79" s="6">
        <v>2.01</v>
      </c>
      <c r="F79" s="1" t="s">
        <v>37</v>
      </c>
      <c r="G79" s="1" t="s">
        <v>38</v>
      </c>
      <c r="H79" s="1" t="s">
        <v>39</v>
      </c>
      <c r="I79" s="1" t="s">
        <v>39</v>
      </c>
      <c r="J79" s="1" t="s">
        <v>39</v>
      </c>
      <c r="K79" s="1" t="s">
        <v>40</v>
      </c>
      <c r="L79" s="4">
        <v>16000</v>
      </c>
      <c r="M79" s="6">
        <v>-20.75</v>
      </c>
      <c r="N79" s="7">
        <f>IF(AND(L79 &lt;&gt; "-", M79 &lt;&gt; "-"),L79*( 1 + M79%),0)</f>
      </c>
      <c r="O79" s="7">
        <f>( N79 * E79 )</f>
      </c>
      <c r="P79" s="1" t="s">
        <v>262</v>
      </c>
      <c r="Q79" s="6">
        <v>1</v>
      </c>
      <c r="R79" s="6">
        <v>63.3</v>
      </c>
      <c r="S79" s="4">
        <v>57</v>
      </c>
      <c r="T79" s="1" t="s">
        <v>42</v>
      </c>
      <c r="U79" s="5">
        <f>HYPERLINK("https://www.gia.edu/report-check?reportno=2223329818","2223329818")</f>
      </c>
      <c r="V79" s="1" t="s">
        <v>43</v>
      </c>
      <c r="W79" s="1" t="s">
        <v>78</v>
      </c>
      <c r="X79" s="1" t="s">
        <v>59</v>
      </c>
      <c r="Y79" s="1" t="s">
        <v>40</v>
      </c>
      <c r="Z79" s="1" t="s">
        <v>46</v>
      </c>
      <c r="AA79" s="1" t="s">
        <v>55</v>
      </c>
      <c r="AB79" s="1" t="s">
        <v>40</v>
      </c>
      <c r="AC79" s="1" t="s">
        <v>48</v>
      </c>
      <c r="AD79" s="1" t="s">
        <v>43</v>
      </c>
      <c r="AE79" s="8">
        <f>IF(L79&lt;&gt;"",L79*E79,0)</f>
      </c>
    </row>
    <row r="80" spans="1:31" x14ac:dyDescent="0.25">
      <c r="A80" s="4">
        <v>75</v>
      </c>
      <c r="B80" s="1" t="s">
        <v>263</v>
      </c>
      <c r="C80" s="5">
        <f>HYPERLINK("https://client.unique.diamonds/dna/11136-53","DNA")</f>
      </c>
      <c r="D80" s="1" t="s">
        <v>36</v>
      </c>
      <c r="E80" s="6">
        <v>2.01</v>
      </c>
      <c r="F80" s="1" t="s">
        <v>37</v>
      </c>
      <c r="G80" s="1" t="s">
        <v>51</v>
      </c>
      <c r="H80" s="1" t="s">
        <v>39</v>
      </c>
      <c r="I80" s="1" t="s">
        <v>39</v>
      </c>
      <c r="J80" s="1" t="s">
        <v>39</v>
      </c>
      <c r="K80" s="1" t="s">
        <v>40</v>
      </c>
      <c r="L80" s="4">
        <v>13900</v>
      </c>
      <c r="M80" s="6">
        <v>-20.45</v>
      </c>
      <c r="N80" s="7">
        <f>IF(AND(L80 &lt;&gt; "-", M80 &lt;&gt; "-"),L80*( 1 + M80%),0)</f>
      </c>
      <c r="O80" s="7">
        <f>( N80 * E80 )</f>
      </c>
      <c r="P80" s="1" t="s">
        <v>264</v>
      </c>
      <c r="Q80" s="6">
        <v>1.01</v>
      </c>
      <c r="R80" s="6">
        <v>63</v>
      </c>
      <c r="S80" s="4">
        <v>59</v>
      </c>
      <c r="T80" s="1" t="s">
        <v>42</v>
      </c>
      <c r="U80" s="5">
        <f>HYPERLINK("https://www.gia.edu/report-check?reportno=6432347846","6432347846")</f>
      </c>
      <c r="V80" s="1" t="s">
        <v>43</v>
      </c>
      <c r="W80" s="1" t="s">
        <v>265</v>
      </c>
      <c r="X80" s="1" t="s">
        <v>46</v>
      </c>
      <c r="Y80" s="1" t="s">
        <v>40</v>
      </c>
      <c r="Z80" s="1" t="s">
        <v>59</v>
      </c>
      <c r="AA80" s="1" t="s">
        <v>66</v>
      </c>
      <c r="AB80" s="1" t="s">
        <v>55</v>
      </c>
      <c r="AC80" s="1" t="s">
        <v>48</v>
      </c>
      <c r="AD80" s="1" t="s">
        <v>43</v>
      </c>
      <c r="AE80" s="8">
        <f>IF(L80&lt;&gt;"",L80*E80,0)</f>
      </c>
    </row>
    <row r="81" spans="1:31" x14ac:dyDescent="0.25">
      <c r="A81" s="4">
        <v>76</v>
      </c>
      <c r="B81" s="1" t="s">
        <v>266</v>
      </c>
      <c r="C81" s="5">
        <f>HYPERLINK("https://client.unique.diamonds/dna/11090-10","DNA")</f>
      </c>
      <c r="D81" s="1" t="s">
        <v>36</v>
      </c>
      <c r="E81" s="6">
        <v>2.01</v>
      </c>
      <c r="F81" s="1" t="s">
        <v>62</v>
      </c>
      <c r="G81" s="1" t="s">
        <v>69</v>
      </c>
      <c r="H81" s="1" t="s">
        <v>39</v>
      </c>
      <c r="I81" s="1" t="s">
        <v>39</v>
      </c>
      <c r="J81" s="1" t="s">
        <v>39</v>
      </c>
      <c r="K81" s="1" t="s">
        <v>40</v>
      </c>
      <c r="L81" s="4">
        <v>14500</v>
      </c>
      <c r="M81" s="6">
        <v>-19.25</v>
      </c>
      <c r="N81" s="7">
        <f>IF(AND(L81 &lt;&gt; "-", M81 &lt;&gt; "-"),L81*( 1 + M81%),0)</f>
      </c>
      <c r="O81" s="7">
        <f>( N81 * E81 )</f>
      </c>
      <c r="P81" s="1" t="s">
        <v>191</v>
      </c>
      <c r="Q81" s="6">
        <v>1</v>
      </c>
      <c r="R81" s="6">
        <v>62.1</v>
      </c>
      <c r="S81" s="4">
        <v>59</v>
      </c>
      <c r="T81" s="1" t="s">
        <v>42</v>
      </c>
      <c r="U81" s="5">
        <f>HYPERLINK("https://www.gia.edu/report-check?reportno=7428753390","7428753390")</f>
      </c>
      <c r="V81" s="1" t="s">
        <v>43</v>
      </c>
      <c r="W81" s="1" t="s">
        <v>267</v>
      </c>
      <c r="X81" s="1" t="s">
        <v>59</v>
      </c>
      <c r="Y81" s="1" t="s">
        <v>40</v>
      </c>
      <c r="Z81" s="1" t="s">
        <v>46</v>
      </c>
      <c r="AA81" s="1" t="s">
        <v>40</v>
      </c>
      <c r="AB81" s="1" t="s">
        <v>40</v>
      </c>
      <c r="AC81" s="1" t="s">
        <v>48</v>
      </c>
      <c r="AD81" s="1" t="s">
        <v>43</v>
      </c>
      <c r="AE81" s="8">
        <f>IF(L81&lt;&gt;"",L81*E81,0)</f>
      </c>
    </row>
    <row r="82" spans="1:31" x14ac:dyDescent="0.25">
      <c r="A82" s="4">
        <v>77</v>
      </c>
      <c r="B82" s="1" t="s">
        <v>268</v>
      </c>
      <c r="C82" s="5">
        <f>HYPERLINK("https://client.unique.diamonds/dna/11051-17","DNA")</f>
      </c>
      <c r="D82" s="1" t="s">
        <v>36</v>
      </c>
      <c r="E82" s="6">
        <v>2.01</v>
      </c>
      <c r="F82" s="1" t="s">
        <v>62</v>
      </c>
      <c r="G82" s="1" t="s">
        <v>69</v>
      </c>
      <c r="H82" s="1" t="s">
        <v>39</v>
      </c>
      <c r="I82" s="1" t="s">
        <v>39</v>
      </c>
      <c r="J82" s="1" t="s">
        <v>39</v>
      </c>
      <c r="K82" s="1" t="s">
        <v>40</v>
      </c>
      <c r="L82" s="4">
        <v>14500</v>
      </c>
      <c r="M82" s="6">
        <v>-19.75</v>
      </c>
      <c r="N82" s="7">
        <f>IF(AND(L82 &lt;&gt; "-", M82 &lt;&gt; "-"),L82*( 1 + M82%),0)</f>
      </c>
      <c r="O82" s="7">
        <f>( N82 * E82 )</f>
      </c>
      <c r="P82" s="1" t="s">
        <v>269</v>
      </c>
      <c r="Q82" s="6">
        <v>1.01</v>
      </c>
      <c r="R82" s="6">
        <v>62.6</v>
      </c>
      <c r="S82" s="4">
        <v>59</v>
      </c>
      <c r="T82" s="1" t="s">
        <v>42</v>
      </c>
      <c r="U82" s="5">
        <f>HYPERLINK("https://www.gia.edu/report-check?reportno=1423057493","1423057493")</f>
      </c>
      <c r="V82" s="1" t="s">
        <v>43</v>
      </c>
      <c r="W82" s="1" t="s">
        <v>270</v>
      </c>
      <c r="X82" s="1" t="s">
        <v>59</v>
      </c>
      <c r="Y82" s="1" t="s">
        <v>40</v>
      </c>
      <c r="Z82" s="1" t="s">
        <v>46</v>
      </c>
      <c r="AA82" s="1" t="s">
        <v>40</v>
      </c>
      <c r="AB82" s="1" t="s">
        <v>40</v>
      </c>
      <c r="AC82" s="1" t="s">
        <v>48</v>
      </c>
      <c r="AD82" s="1" t="s">
        <v>43</v>
      </c>
      <c r="AE82" s="8">
        <f>IF(L82&lt;&gt;"",L82*E82,0)</f>
      </c>
    </row>
    <row r="83" spans="1:31" x14ac:dyDescent="0.25">
      <c r="A83" s="4">
        <v>78</v>
      </c>
      <c r="B83" s="1" t="s">
        <v>271</v>
      </c>
      <c r="C83" s="5">
        <f>HYPERLINK("https://client.unique.diamonds/dna/142094-58","DNA")</f>
      </c>
      <c r="D83" s="1" t="s">
        <v>36</v>
      </c>
      <c r="E83" s="6">
        <v>2.01</v>
      </c>
      <c r="F83" s="1" t="s">
        <v>62</v>
      </c>
      <c r="G83" s="1" t="s">
        <v>38</v>
      </c>
      <c r="H83" s="1" t="s">
        <v>39</v>
      </c>
      <c r="I83" s="1" t="s">
        <v>39</v>
      </c>
      <c r="J83" s="1" t="s">
        <v>39</v>
      </c>
      <c r="K83" s="1" t="s">
        <v>63</v>
      </c>
      <c r="L83" s="4">
        <v>13600</v>
      </c>
      <c r="M83" s="6">
        <v>-26.25</v>
      </c>
      <c r="N83" s="7">
        <f>IF(AND(L83 &lt;&gt; "-", M83 &lt;&gt; "-"),L83*( 1 + M83%),0)</f>
      </c>
      <c r="O83" s="7">
        <f>( N83 * E83 )</f>
      </c>
      <c r="P83" s="1" t="s">
        <v>272</v>
      </c>
      <c r="Q83" s="6">
        <v>1.01</v>
      </c>
      <c r="R83" s="6">
        <v>61.6</v>
      </c>
      <c r="S83" s="4">
        <v>59</v>
      </c>
      <c r="T83" s="1" t="s">
        <v>42</v>
      </c>
      <c r="U83" s="5">
        <f>HYPERLINK("https://www.gia.edu/report-check?reportno=2426062152","2426062152")</f>
      </c>
      <c r="V83" s="1" t="s">
        <v>43</v>
      </c>
      <c r="W83" s="1" t="s">
        <v>273</v>
      </c>
      <c r="X83" s="1" t="s">
        <v>46</v>
      </c>
      <c r="Y83" s="1" t="s">
        <v>40</v>
      </c>
      <c r="Z83" s="1" t="s">
        <v>46</v>
      </c>
      <c r="AA83" s="1" t="s">
        <v>55</v>
      </c>
      <c r="AB83" s="1" t="s">
        <v>40</v>
      </c>
      <c r="AC83" s="1" t="s">
        <v>85</v>
      </c>
      <c r="AD83" s="1" t="s">
        <v>43</v>
      </c>
      <c r="AE83" s="8">
        <f>IF(L83&lt;&gt;"",L83*E83,0)</f>
      </c>
    </row>
    <row r="84" spans="1:31" x14ac:dyDescent="0.25">
      <c r="A84" s="4">
        <v>79</v>
      </c>
      <c r="B84" s="1" t="s">
        <v>274</v>
      </c>
      <c r="C84" s="5">
        <f>HYPERLINK("https://client.unique.diamonds/dna/142094-87","DNA")</f>
      </c>
      <c r="D84" s="1" t="s">
        <v>36</v>
      </c>
      <c r="E84" s="6">
        <v>2.01</v>
      </c>
      <c r="F84" s="1" t="s">
        <v>62</v>
      </c>
      <c r="G84" s="1" t="s">
        <v>38</v>
      </c>
      <c r="H84" s="1" t="s">
        <v>39</v>
      </c>
      <c r="I84" s="1" t="s">
        <v>39</v>
      </c>
      <c r="J84" s="1" t="s">
        <v>39</v>
      </c>
      <c r="K84" s="1" t="s">
        <v>63</v>
      </c>
      <c r="L84" s="4">
        <v>13600</v>
      </c>
      <c r="M84" s="6">
        <v>-24</v>
      </c>
      <c r="N84" s="7">
        <f>IF(AND(L84 &lt;&gt; "-", M84 &lt;&gt; "-"),L84*( 1 + M84%),0)</f>
      </c>
      <c r="O84" s="7">
        <f>( N84 * E84 )</f>
      </c>
      <c r="P84" s="1" t="s">
        <v>275</v>
      </c>
      <c r="Q84" s="6">
        <v>1</v>
      </c>
      <c r="R84" s="6">
        <v>62.2</v>
      </c>
      <c r="S84" s="4">
        <v>58</v>
      </c>
      <c r="T84" s="1" t="s">
        <v>42</v>
      </c>
      <c r="U84" s="5">
        <f>HYPERLINK("https://www.gia.edu/report-check?reportno=6421443648","6421443648")</f>
      </c>
      <c r="V84" s="1" t="s">
        <v>43</v>
      </c>
      <c r="W84" s="1" t="s">
        <v>276</v>
      </c>
      <c r="X84" s="1" t="s">
        <v>46</v>
      </c>
      <c r="Y84" s="1" t="s">
        <v>40</v>
      </c>
      <c r="Z84" s="1" t="s">
        <v>59</v>
      </c>
      <c r="AA84" s="1" t="s">
        <v>40</v>
      </c>
      <c r="AB84" s="1" t="s">
        <v>40</v>
      </c>
      <c r="AC84" s="1" t="s">
        <v>48</v>
      </c>
      <c r="AD84" s="1" t="s">
        <v>43</v>
      </c>
      <c r="AE84" s="8">
        <f>IF(L84&lt;&gt;"",L84*E84,0)</f>
      </c>
    </row>
    <row r="85" spans="1:31" x14ac:dyDescent="0.25">
      <c r="A85" s="4">
        <v>80</v>
      </c>
      <c r="B85" s="1" t="s">
        <v>277</v>
      </c>
      <c r="C85" s="5">
        <f>HYPERLINK("https://client.unique.diamonds/dna/11008-26","DNA")</f>
      </c>
      <c r="D85" s="1" t="s">
        <v>36</v>
      </c>
      <c r="E85" s="6">
        <v>2.01</v>
      </c>
      <c r="F85" s="1" t="s">
        <v>62</v>
      </c>
      <c r="G85" s="1" t="s">
        <v>38</v>
      </c>
      <c r="H85" s="1" t="s">
        <v>39</v>
      </c>
      <c r="I85" s="1" t="s">
        <v>39</v>
      </c>
      <c r="J85" s="1" t="s">
        <v>39</v>
      </c>
      <c r="K85" s="1" t="s">
        <v>40</v>
      </c>
      <c r="L85" s="4">
        <v>13600</v>
      </c>
      <c r="M85" s="6">
        <v>-19.75</v>
      </c>
      <c r="N85" s="7">
        <f>IF(AND(L85 &lt;&gt; "-", M85 &lt;&gt; "-"),L85*( 1 + M85%),0)</f>
      </c>
      <c r="O85" s="7">
        <f>( N85 * E85 )</f>
      </c>
      <c r="P85" s="1" t="s">
        <v>278</v>
      </c>
      <c r="Q85" s="6">
        <v>1</v>
      </c>
      <c r="R85" s="6">
        <v>61.8</v>
      </c>
      <c r="S85" s="4">
        <v>58</v>
      </c>
      <c r="T85" s="1" t="s">
        <v>42</v>
      </c>
      <c r="U85" s="5">
        <f>HYPERLINK("https://www.gia.edu/report-check?reportno=2426057632","2426057632")</f>
      </c>
      <c r="V85" s="1" t="s">
        <v>43</v>
      </c>
      <c r="W85" s="1" t="s">
        <v>279</v>
      </c>
      <c r="X85" s="1" t="s">
        <v>45</v>
      </c>
      <c r="Y85" s="1" t="s">
        <v>40</v>
      </c>
      <c r="Z85" s="1" t="s">
        <v>75</v>
      </c>
      <c r="AA85" s="1" t="s">
        <v>66</v>
      </c>
      <c r="AB85" s="1" t="s">
        <v>40</v>
      </c>
      <c r="AC85" s="1" t="s">
        <v>48</v>
      </c>
      <c r="AD85" s="1" t="s">
        <v>43</v>
      </c>
      <c r="AE85" s="8">
        <f>IF(L85&lt;&gt;"",L85*E85,0)</f>
      </c>
    </row>
    <row r="86" spans="1:31" x14ac:dyDescent="0.25">
      <c r="A86" s="4">
        <v>81</v>
      </c>
      <c r="B86" s="1" t="s">
        <v>280</v>
      </c>
      <c r="C86" s="5">
        <f>HYPERLINK("https://client.unique.diamonds/dna/11136-54","DNA")</f>
      </c>
      <c r="D86" s="1" t="s">
        <v>36</v>
      </c>
      <c r="E86" s="6">
        <v>2.01</v>
      </c>
      <c r="F86" s="1" t="s">
        <v>62</v>
      </c>
      <c r="G86" s="1" t="s">
        <v>38</v>
      </c>
      <c r="H86" s="1" t="s">
        <v>39</v>
      </c>
      <c r="I86" s="1" t="s">
        <v>39</v>
      </c>
      <c r="J86" s="1" t="s">
        <v>39</v>
      </c>
      <c r="K86" s="1" t="s">
        <v>40</v>
      </c>
      <c r="L86" s="4">
        <v>13600</v>
      </c>
      <c r="M86" s="6">
        <v>-21.45</v>
      </c>
      <c r="N86" s="7">
        <f>IF(AND(L86 &lt;&gt; "-", M86 &lt;&gt; "-"),L86*( 1 + M86%),0)</f>
      </c>
      <c r="O86" s="7">
        <f>( N86 * E86 )</f>
      </c>
      <c r="P86" s="1" t="s">
        <v>281</v>
      </c>
      <c r="Q86" s="6">
        <v>1.01</v>
      </c>
      <c r="R86" s="6">
        <v>62.1</v>
      </c>
      <c r="S86" s="4">
        <v>59</v>
      </c>
      <c r="T86" s="1" t="s">
        <v>42</v>
      </c>
      <c r="U86" s="5">
        <f>HYPERLINK("https://www.gia.edu/report-check?reportno=2436347839","2436347839")</f>
      </c>
      <c r="V86" s="1" t="s">
        <v>43</v>
      </c>
      <c r="W86" s="1" t="s">
        <v>160</v>
      </c>
      <c r="X86" s="1" t="s">
        <v>59</v>
      </c>
      <c r="Y86" s="1" t="s">
        <v>40</v>
      </c>
      <c r="Z86" s="1" t="s">
        <v>45</v>
      </c>
      <c r="AA86" s="1" t="s">
        <v>55</v>
      </c>
      <c r="AB86" s="1" t="s">
        <v>40</v>
      </c>
      <c r="AC86" s="1" t="s">
        <v>48</v>
      </c>
      <c r="AD86" s="1" t="s">
        <v>43</v>
      </c>
      <c r="AE86" s="8">
        <f>IF(L86&lt;&gt;"",L86*E86,0)</f>
      </c>
    </row>
    <row r="87" spans="1:31" x14ac:dyDescent="0.25">
      <c r="A87" s="4">
        <v>82</v>
      </c>
      <c r="B87" s="1" t="s">
        <v>282</v>
      </c>
      <c r="C87" s="5">
        <f>HYPERLINK("https://client.unique.diamonds/dna/11124-13","DNA")</f>
      </c>
      <c r="D87" s="1" t="s">
        <v>36</v>
      </c>
      <c r="E87" s="6">
        <v>2.01</v>
      </c>
      <c r="F87" s="1" t="s">
        <v>62</v>
      </c>
      <c r="G87" s="1" t="s">
        <v>51</v>
      </c>
      <c r="H87" s="1" t="s">
        <v>39</v>
      </c>
      <c r="I87" s="1" t="s">
        <v>39</v>
      </c>
      <c r="J87" s="1" t="s">
        <v>39</v>
      </c>
      <c r="K87" s="1" t="s">
        <v>63</v>
      </c>
      <c r="L87" s="4">
        <v>12300</v>
      </c>
      <c r="M87" s="6">
        <v>-21.25</v>
      </c>
      <c r="N87" s="7">
        <f>IF(AND(L87 &lt;&gt; "-", M87 &lt;&gt; "-"),L87*( 1 + M87%),0)</f>
      </c>
      <c r="O87" s="7">
        <f>( N87 * E87 )</f>
      </c>
      <c r="P87" s="1" t="s">
        <v>283</v>
      </c>
      <c r="Q87" s="6">
        <v>1.01</v>
      </c>
      <c r="R87" s="6">
        <v>62.3</v>
      </c>
      <c r="S87" s="4">
        <v>59</v>
      </c>
      <c r="T87" s="1" t="s">
        <v>42</v>
      </c>
      <c r="U87" s="5">
        <f>HYPERLINK("https://www.gia.edu/report-check?reportno=6432253798","6432253798")</f>
      </c>
      <c r="V87" s="1" t="s">
        <v>43</v>
      </c>
      <c r="W87" s="1" t="s">
        <v>284</v>
      </c>
      <c r="X87" s="1" t="s">
        <v>46</v>
      </c>
      <c r="Y87" s="1" t="s">
        <v>40</v>
      </c>
      <c r="Z87" s="1" t="s">
        <v>177</v>
      </c>
      <c r="AA87" s="1" t="s">
        <v>55</v>
      </c>
      <c r="AB87" s="1" t="s">
        <v>47</v>
      </c>
      <c r="AC87" s="1" t="s">
        <v>48</v>
      </c>
      <c r="AD87" s="1" t="s">
        <v>43</v>
      </c>
      <c r="AE87" s="8">
        <f>IF(L87&lt;&gt;"",L87*E87,0)</f>
      </c>
    </row>
    <row r="88" spans="1:31" x14ac:dyDescent="0.25">
      <c r="A88" s="4">
        <v>83</v>
      </c>
      <c r="B88" s="1" t="s">
        <v>285</v>
      </c>
      <c r="C88" s="5">
        <f>HYPERLINK("https://client.unique.diamonds/dna/12037-19","DNA")</f>
      </c>
      <c r="D88" s="1" t="s">
        <v>36</v>
      </c>
      <c r="E88" s="6">
        <v>2.01</v>
      </c>
      <c r="F88" s="1" t="s">
        <v>62</v>
      </c>
      <c r="G88" s="1" t="s">
        <v>51</v>
      </c>
      <c r="H88" s="1" t="s">
        <v>39</v>
      </c>
      <c r="I88" s="1" t="s">
        <v>39</v>
      </c>
      <c r="J88" s="1" t="s">
        <v>39</v>
      </c>
      <c r="K88" s="1" t="s">
        <v>40</v>
      </c>
      <c r="L88" s="4">
        <v>12300</v>
      </c>
      <c r="M88" s="6">
        <v>-19.25</v>
      </c>
      <c r="N88" s="7">
        <f>IF(AND(L88 &lt;&gt; "-", M88 &lt;&gt; "-"),L88*( 1 + M88%),0)</f>
      </c>
      <c r="O88" s="7">
        <f>( N88 * E88 )</f>
      </c>
      <c r="P88" s="1" t="s">
        <v>286</v>
      </c>
      <c r="Q88" s="6">
        <v>1</v>
      </c>
      <c r="R88" s="6">
        <v>61.2</v>
      </c>
      <c r="S88" s="4">
        <v>57</v>
      </c>
      <c r="T88" s="1" t="s">
        <v>42</v>
      </c>
      <c r="U88" s="5">
        <f>HYPERLINK("https://www.gia.edu/report-check?reportno=1439269429","1439269429")</f>
      </c>
      <c r="V88" s="1" t="s">
        <v>43</v>
      </c>
      <c r="W88" s="1" t="s">
        <v>287</v>
      </c>
      <c r="X88" s="1" t="s">
        <v>46</v>
      </c>
      <c r="Y88" s="1" t="s">
        <v>40</v>
      </c>
      <c r="Z88" s="1" t="s">
        <v>54</v>
      </c>
      <c r="AA88" s="1" t="s">
        <v>55</v>
      </c>
      <c r="AB88" s="1" t="s">
        <v>55</v>
      </c>
      <c r="AC88" s="1" t="s">
        <v>85</v>
      </c>
      <c r="AD88" s="1" t="s">
        <v>43</v>
      </c>
      <c r="AE88" s="8">
        <f>IF(L88&lt;&gt;"",L88*E88,0)</f>
      </c>
    </row>
    <row r="89" spans="1:31" x14ac:dyDescent="0.25">
      <c r="A89" s="4">
        <v>84</v>
      </c>
      <c r="B89" s="1" t="s">
        <v>288</v>
      </c>
      <c r="C89" s="5">
        <f>HYPERLINK("https://client.unique.diamonds/dna/11140-6","DNA")</f>
      </c>
      <c r="D89" s="1" t="s">
        <v>36</v>
      </c>
      <c r="E89" s="6">
        <v>2.01</v>
      </c>
      <c r="F89" s="1" t="s">
        <v>62</v>
      </c>
      <c r="G89" s="1" t="s">
        <v>51</v>
      </c>
      <c r="H89" s="1" t="s">
        <v>39</v>
      </c>
      <c r="I89" s="1" t="s">
        <v>39</v>
      </c>
      <c r="J89" s="1" t="s">
        <v>39</v>
      </c>
      <c r="K89" s="1" t="s">
        <v>40</v>
      </c>
      <c r="L89" s="4">
        <v>12300</v>
      </c>
      <c r="M89" s="6">
        <v>-18.25</v>
      </c>
      <c r="N89" s="7">
        <f>IF(AND(L89 &lt;&gt; "-", M89 &lt;&gt; "-"),L89*( 1 + M89%),0)</f>
      </c>
      <c r="O89" s="7">
        <f>( N89 * E89 )</f>
      </c>
      <c r="P89" s="1" t="s">
        <v>289</v>
      </c>
      <c r="Q89" s="6">
        <v>1.01</v>
      </c>
      <c r="R89" s="6">
        <v>62.6</v>
      </c>
      <c r="S89" s="4">
        <v>59</v>
      </c>
      <c r="T89" s="1" t="s">
        <v>42</v>
      </c>
      <c r="U89" s="5">
        <f>HYPERLINK("https://www.gia.edu/report-check?reportno=7431349108","7431349108")</f>
      </c>
      <c r="V89" s="1" t="s">
        <v>43</v>
      </c>
      <c r="W89" s="1" t="s">
        <v>84</v>
      </c>
      <c r="X89" s="1" t="s">
        <v>46</v>
      </c>
      <c r="Y89" s="1" t="s">
        <v>40</v>
      </c>
      <c r="Z89" s="1" t="s">
        <v>46</v>
      </c>
      <c r="AA89" s="1" t="s">
        <v>40</v>
      </c>
      <c r="AB89" s="1" t="s">
        <v>40</v>
      </c>
      <c r="AC89" s="1" t="s">
        <v>48</v>
      </c>
      <c r="AD89" s="1" t="s">
        <v>43</v>
      </c>
      <c r="AE89" s="8">
        <f>IF(L89&lt;&gt;"",L89*E89,0)</f>
      </c>
    </row>
    <row r="90" spans="1:31" x14ac:dyDescent="0.25">
      <c r="A90" s="4">
        <v>85</v>
      </c>
      <c r="B90" s="1" t="s">
        <v>290</v>
      </c>
      <c r="C90" s="5">
        <f>HYPERLINK("https://client.unique.diamonds/dna/11136-43","DNA")</f>
      </c>
      <c r="D90" s="1" t="s">
        <v>36</v>
      </c>
      <c r="E90" s="6">
        <v>2.01</v>
      </c>
      <c r="F90" s="1" t="s">
        <v>62</v>
      </c>
      <c r="G90" s="1" t="s">
        <v>51</v>
      </c>
      <c r="H90" s="1" t="s">
        <v>39</v>
      </c>
      <c r="I90" s="1" t="s">
        <v>39</v>
      </c>
      <c r="J90" s="1" t="s">
        <v>39</v>
      </c>
      <c r="K90" s="1" t="s">
        <v>40</v>
      </c>
      <c r="L90" s="4">
        <v>12300</v>
      </c>
      <c r="M90" s="6">
        <v>-22.5</v>
      </c>
      <c r="N90" s="7">
        <f>IF(AND(L90 &lt;&gt; "-", M90 &lt;&gt; "-"),L90*( 1 + M90%),0)</f>
      </c>
      <c r="O90" s="7">
        <f>( N90 * E90 )</f>
      </c>
      <c r="P90" s="1" t="s">
        <v>291</v>
      </c>
      <c r="Q90" s="6">
        <v>1.01</v>
      </c>
      <c r="R90" s="6">
        <v>62.8</v>
      </c>
      <c r="S90" s="4">
        <v>59</v>
      </c>
      <c r="T90" s="1" t="s">
        <v>42</v>
      </c>
      <c r="U90" s="5">
        <f>HYPERLINK("https://www.gia.edu/report-check?reportno=6435372860","6435372860")</f>
      </c>
      <c r="V90" s="1" t="s">
        <v>43</v>
      </c>
      <c r="W90" s="1" t="s">
        <v>292</v>
      </c>
      <c r="X90" s="1" t="s">
        <v>59</v>
      </c>
      <c r="Y90" s="1" t="s">
        <v>40</v>
      </c>
      <c r="Z90" s="1" t="s">
        <v>59</v>
      </c>
      <c r="AA90" s="1" t="s">
        <v>55</v>
      </c>
      <c r="AB90" s="1" t="s">
        <v>55</v>
      </c>
      <c r="AC90" s="1" t="s">
        <v>48</v>
      </c>
      <c r="AD90" s="1" t="s">
        <v>43</v>
      </c>
      <c r="AE90" s="8">
        <f>IF(L90&lt;&gt;"",L90*E90,0)</f>
      </c>
    </row>
    <row r="91" spans="1:31" x14ac:dyDescent="0.25">
      <c r="A91" s="4">
        <v>86</v>
      </c>
      <c r="B91" s="1" t="s">
        <v>293</v>
      </c>
      <c r="C91" s="5">
        <f>HYPERLINK("https://client.unique.diamonds/dna/141422-36","DNA")</f>
      </c>
      <c r="D91" s="1" t="s">
        <v>36</v>
      </c>
      <c r="E91" s="6">
        <v>2.01</v>
      </c>
      <c r="F91" s="1" t="s">
        <v>62</v>
      </c>
      <c r="G91" s="1" t="s">
        <v>87</v>
      </c>
      <c r="H91" s="1" t="s">
        <v>39</v>
      </c>
      <c r="I91" s="1" t="s">
        <v>39</v>
      </c>
      <c r="J91" s="1" t="s">
        <v>39</v>
      </c>
      <c r="K91" s="1" t="s">
        <v>40</v>
      </c>
      <c r="L91" s="4">
        <v>10900</v>
      </c>
      <c r="M91" s="6">
        <v>-33</v>
      </c>
      <c r="N91" s="7">
        <f>IF(AND(L91 &lt;&gt; "-", M91 &lt;&gt; "-"),L91*( 1 + M91%),0)</f>
      </c>
      <c r="O91" s="7">
        <f>( N91 * E91 )</f>
      </c>
      <c r="P91" s="1" t="s">
        <v>294</v>
      </c>
      <c r="Q91" s="6">
        <v>1</v>
      </c>
      <c r="R91" s="6">
        <v>62.7</v>
      </c>
      <c r="S91" s="4">
        <v>59</v>
      </c>
      <c r="T91" s="1" t="s">
        <v>42</v>
      </c>
      <c r="U91" s="5">
        <f>HYPERLINK("https://www.gia.edu/report-check?reportno=2416209048","2416209048")</f>
      </c>
      <c r="V91" s="1" t="s">
        <v>43</v>
      </c>
      <c r="W91" s="1" t="s">
        <v>295</v>
      </c>
      <c r="X91" s="1" t="s">
        <v>54</v>
      </c>
      <c r="Y91" s="1" t="s">
        <v>40</v>
      </c>
      <c r="Z91" s="1" t="s">
        <v>59</v>
      </c>
      <c r="AA91" s="1" t="s">
        <v>96</v>
      </c>
      <c r="AB91" s="1" t="s">
        <v>55</v>
      </c>
      <c r="AC91" s="1" t="s">
        <v>48</v>
      </c>
      <c r="AD91" s="1" t="s">
        <v>43</v>
      </c>
      <c r="AE91" s="8">
        <f>IF(L91&lt;&gt;"",L91*E91,0)</f>
      </c>
    </row>
    <row r="92" spans="1:31" x14ac:dyDescent="0.25">
      <c r="A92" s="4">
        <v>87</v>
      </c>
      <c r="B92" s="1" t="s">
        <v>296</v>
      </c>
      <c r="C92" s="5">
        <f>HYPERLINK("https://client.unique.diamonds/dna/141447-2","DNA")</f>
      </c>
      <c r="D92" s="1" t="s">
        <v>36</v>
      </c>
      <c r="E92" s="6">
        <v>2.01</v>
      </c>
      <c r="F92" s="1" t="s">
        <v>50</v>
      </c>
      <c r="G92" s="1" t="s">
        <v>69</v>
      </c>
      <c r="H92" s="1" t="s">
        <v>39</v>
      </c>
      <c r="I92" s="1" t="s">
        <v>39</v>
      </c>
      <c r="J92" s="1" t="s">
        <v>39</v>
      </c>
      <c r="K92" s="1" t="s">
        <v>63</v>
      </c>
      <c r="L92" s="4">
        <v>11800</v>
      </c>
      <c r="M92" s="6">
        <v>-25.75</v>
      </c>
      <c r="N92" s="7">
        <f>IF(AND(L92 &lt;&gt; "-", M92 &lt;&gt; "-"),L92*( 1 + M92%),0)</f>
      </c>
      <c r="O92" s="7">
        <f>( N92 * E92 )</f>
      </c>
      <c r="P92" s="1" t="s">
        <v>297</v>
      </c>
      <c r="Q92" s="6">
        <v>1.01</v>
      </c>
      <c r="R92" s="6">
        <v>62.1</v>
      </c>
      <c r="S92" s="4">
        <v>60</v>
      </c>
      <c r="T92" s="1" t="s">
        <v>42</v>
      </c>
      <c r="U92" s="5">
        <f>HYPERLINK("https://www.gia.edu/report-check?reportno=7416639905","7416639905")</f>
      </c>
      <c r="V92" s="1" t="s">
        <v>43</v>
      </c>
      <c r="W92" s="1" t="s">
        <v>298</v>
      </c>
      <c r="X92" s="1" t="s">
        <v>75</v>
      </c>
      <c r="Y92" s="1" t="s">
        <v>40</v>
      </c>
      <c r="Z92" s="1" t="s">
        <v>46</v>
      </c>
      <c r="AA92" s="1" t="s">
        <v>66</v>
      </c>
      <c r="AB92" s="1" t="s">
        <v>47</v>
      </c>
      <c r="AC92" s="1" t="s">
        <v>48</v>
      </c>
      <c r="AD92" s="1" t="s">
        <v>43</v>
      </c>
      <c r="AE92" s="8">
        <f>IF(L92&lt;&gt;"",L92*E92,0)</f>
      </c>
    </row>
    <row r="93" spans="1:31" x14ac:dyDescent="0.25">
      <c r="A93" s="4">
        <v>88</v>
      </c>
      <c r="B93" s="1" t="s">
        <v>299</v>
      </c>
      <c r="C93" s="5">
        <f>HYPERLINK("https://client.unique.diamonds/dna/11087-14","DNA")</f>
      </c>
      <c r="D93" s="1" t="s">
        <v>36</v>
      </c>
      <c r="E93" s="6">
        <v>2.01</v>
      </c>
      <c r="F93" s="1" t="s">
        <v>50</v>
      </c>
      <c r="G93" s="1" t="s">
        <v>69</v>
      </c>
      <c r="H93" s="1" t="s">
        <v>39</v>
      </c>
      <c r="I93" s="1" t="s">
        <v>39</v>
      </c>
      <c r="J93" s="1" t="s">
        <v>39</v>
      </c>
      <c r="K93" s="1" t="s">
        <v>63</v>
      </c>
      <c r="L93" s="4">
        <v>11800</v>
      </c>
      <c r="M93" s="6">
        <v>-24.5</v>
      </c>
      <c r="N93" s="7">
        <f>IF(AND(L93 &lt;&gt; "-", M93 &lt;&gt; "-"),L93*( 1 + M93%),0)</f>
      </c>
      <c r="O93" s="7">
        <f>( N93 * E93 )</f>
      </c>
      <c r="P93" s="1" t="s">
        <v>300</v>
      </c>
      <c r="Q93" s="6">
        <v>1</v>
      </c>
      <c r="R93" s="6">
        <v>62.3</v>
      </c>
      <c r="S93" s="4">
        <v>60</v>
      </c>
      <c r="T93" s="1" t="s">
        <v>42</v>
      </c>
      <c r="U93" s="5">
        <f>HYPERLINK("https://www.gia.edu/report-check?reportno=1425753364","1425753364")</f>
      </c>
      <c r="V93" s="1" t="s">
        <v>43</v>
      </c>
      <c r="W93" s="1" t="s">
        <v>301</v>
      </c>
      <c r="X93" s="1" t="s">
        <v>59</v>
      </c>
      <c r="Y93" s="1" t="s">
        <v>40</v>
      </c>
      <c r="Z93" s="1" t="s">
        <v>46</v>
      </c>
      <c r="AA93" s="1" t="s">
        <v>55</v>
      </c>
      <c r="AB93" s="1" t="s">
        <v>40</v>
      </c>
      <c r="AC93" s="1" t="s">
        <v>48</v>
      </c>
      <c r="AD93" s="1" t="s">
        <v>43</v>
      </c>
      <c r="AE93" s="8">
        <f>IF(L93&lt;&gt;"",L93*E93,0)</f>
      </c>
    </row>
    <row r="94" spans="1:31" x14ac:dyDescent="0.25">
      <c r="A94" s="4">
        <v>89</v>
      </c>
      <c r="B94" s="1" t="s">
        <v>302</v>
      </c>
      <c r="C94" s="5">
        <f>HYPERLINK("https://client.unique.diamonds/dna/11118-18","DNA")</f>
      </c>
      <c r="D94" s="1" t="s">
        <v>36</v>
      </c>
      <c r="E94" s="6">
        <v>2.01</v>
      </c>
      <c r="F94" s="1" t="s">
        <v>50</v>
      </c>
      <c r="G94" s="1" t="s">
        <v>69</v>
      </c>
      <c r="H94" s="1" t="s">
        <v>39</v>
      </c>
      <c r="I94" s="1" t="s">
        <v>39</v>
      </c>
      <c r="J94" s="1" t="s">
        <v>39</v>
      </c>
      <c r="K94" s="1" t="s">
        <v>114</v>
      </c>
      <c r="L94" s="4">
        <v>11800</v>
      </c>
      <c r="M94" s="6">
        <v>-30.25</v>
      </c>
      <c r="N94" s="7">
        <f>IF(AND(L94 &lt;&gt; "-", M94 &lt;&gt; "-"),L94*( 1 + M94%),0)</f>
      </c>
      <c r="O94" s="7">
        <f>( N94 * E94 )</f>
      </c>
      <c r="P94" s="1" t="s">
        <v>303</v>
      </c>
      <c r="Q94" s="6">
        <v>1.01</v>
      </c>
      <c r="R94" s="6">
        <v>63</v>
      </c>
      <c r="S94" s="4">
        <v>56</v>
      </c>
      <c r="T94" s="1" t="s">
        <v>42</v>
      </c>
      <c r="U94" s="5">
        <f>HYPERLINK("https://www.gia.edu/report-check?reportno=6435107151","6435107151")</f>
      </c>
      <c r="V94" s="1" t="s">
        <v>43</v>
      </c>
      <c r="W94" s="1" t="s">
        <v>304</v>
      </c>
      <c r="X94" s="1" t="s">
        <v>46</v>
      </c>
      <c r="Y94" s="1" t="s">
        <v>40</v>
      </c>
      <c r="Z94" s="1" t="s">
        <v>46</v>
      </c>
      <c r="AA94" s="1" t="s">
        <v>40</v>
      </c>
      <c r="AB94" s="1" t="s">
        <v>40</v>
      </c>
      <c r="AC94" s="1" t="s">
        <v>48</v>
      </c>
      <c r="AD94" s="1" t="s">
        <v>43</v>
      </c>
      <c r="AE94" s="8">
        <f>IF(L94&lt;&gt;"",L94*E94,0)</f>
      </c>
    </row>
    <row r="95" spans="1:31" x14ac:dyDescent="0.25">
      <c r="A95" s="4">
        <v>90</v>
      </c>
      <c r="B95" s="1" t="s">
        <v>305</v>
      </c>
      <c r="C95" s="5">
        <f>HYPERLINK("https://client.unique.diamonds/dna/142088-7","DNA")</f>
      </c>
      <c r="D95" s="1" t="s">
        <v>36</v>
      </c>
      <c r="E95" s="6">
        <v>2.01</v>
      </c>
      <c r="F95" s="1" t="s">
        <v>50</v>
      </c>
      <c r="G95" s="1" t="s">
        <v>69</v>
      </c>
      <c r="H95" s="1" t="s">
        <v>39</v>
      </c>
      <c r="I95" s="1" t="s">
        <v>39</v>
      </c>
      <c r="J95" s="1" t="s">
        <v>39</v>
      </c>
      <c r="K95" s="1" t="s">
        <v>40</v>
      </c>
      <c r="L95" s="4">
        <v>11800</v>
      </c>
      <c r="M95" s="6">
        <v>-22.5</v>
      </c>
      <c r="N95" s="7">
        <f>IF(AND(L95 &lt;&gt; "-", M95 &lt;&gt; "-"),L95*( 1 + M95%),0)</f>
      </c>
      <c r="O95" s="7">
        <f>( N95 * E95 )</f>
      </c>
      <c r="P95" s="1" t="s">
        <v>306</v>
      </c>
      <c r="Q95" s="6">
        <v>1</v>
      </c>
      <c r="R95" s="6">
        <v>59.7</v>
      </c>
      <c r="S95" s="4">
        <v>59</v>
      </c>
      <c r="T95" s="1" t="s">
        <v>42</v>
      </c>
      <c r="U95" s="5">
        <f>HYPERLINK("https://www.gia.edu/report-check?reportno=7411508383","7411508383")</f>
      </c>
      <c r="V95" s="1" t="s">
        <v>43</v>
      </c>
      <c r="W95" s="1" t="s">
        <v>307</v>
      </c>
      <c r="X95" s="1" t="s">
        <v>46</v>
      </c>
      <c r="Y95" s="1" t="s">
        <v>40</v>
      </c>
      <c r="Z95" s="1" t="s">
        <v>46</v>
      </c>
      <c r="AA95" s="1" t="s">
        <v>40</v>
      </c>
      <c r="AB95" s="1" t="s">
        <v>55</v>
      </c>
      <c r="AC95" s="1" t="s">
        <v>48</v>
      </c>
      <c r="AD95" s="1" t="s">
        <v>43</v>
      </c>
      <c r="AE95" s="8">
        <f>IF(L95&lt;&gt;"",L95*E95,0)</f>
      </c>
    </row>
    <row r="96" spans="1:31" x14ac:dyDescent="0.25">
      <c r="A96" s="4">
        <v>91</v>
      </c>
      <c r="B96" s="1" t="s">
        <v>308</v>
      </c>
      <c r="C96" s="5">
        <f>HYPERLINK("https://client.unique.diamonds/dna/141411-2","DNA")</f>
      </c>
      <c r="D96" s="1" t="s">
        <v>36</v>
      </c>
      <c r="E96" s="6">
        <v>2.01</v>
      </c>
      <c r="F96" s="1" t="s">
        <v>50</v>
      </c>
      <c r="G96" s="1" t="s">
        <v>69</v>
      </c>
      <c r="H96" s="1" t="s">
        <v>39</v>
      </c>
      <c r="I96" s="1" t="s">
        <v>39</v>
      </c>
      <c r="J96" s="1" t="s">
        <v>39</v>
      </c>
      <c r="K96" s="1" t="s">
        <v>40</v>
      </c>
      <c r="L96" s="4">
        <v>11800</v>
      </c>
      <c r="M96" s="6">
        <v>-20.25</v>
      </c>
      <c r="N96" s="7">
        <f>IF(AND(L96 &lt;&gt; "-", M96 &lt;&gt; "-"),L96*( 1 + M96%),0)</f>
      </c>
      <c r="O96" s="7">
        <f>( N96 * E96 )</f>
      </c>
      <c r="P96" s="1" t="s">
        <v>309</v>
      </c>
      <c r="Q96" s="6">
        <v>1</v>
      </c>
      <c r="R96" s="6">
        <v>62.2</v>
      </c>
      <c r="S96" s="4">
        <v>59</v>
      </c>
      <c r="T96" s="1" t="s">
        <v>42</v>
      </c>
      <c r="U96" s="5">
        <f>HYPERLINK("https://www.gia.edu/report-check?reportno=6402923675","6402923675")</f>
      </c>
      <c r="V96" s="1" t="s">
        <v>43</v>
      </c>
      <c r="W96" s="1" t="s">
        <v>74</v>
      </c>
      <c r="X96" s="1" t="s">
        <v>46</v>
      </c>
      <c r="Y96" s="1" t="s">
        <v>40</v>
      </c>
      <c r="Z96" s="1" t="s">
        <v>46</v>
      </c>
      <c r="AA96" s="1" t="s">
        <v>55</v>
      </c>
      <c r="AB96" s="1" t="s">
        <v>40</v>
      </c>
      <c r="AC96" s="1" t="s">
        <v>48</v>
      </c>
      <c r="AD96" s="1" t="s">
        <v>43</v>
      </c>
      <c r="AE96" s="8">
        <f>IF(L96&lt;&gt;"",L96*E96,0)</f>
      </c>
    </row>
    <row r="97" spans="1:31" x14ac:dyDescent="0.25">
      <c r="A97" s="4">
        <v>92</v>
      </c>
      <c r="B97" s="1" t="s">
        <v>310</v>
      </c>
      <c r="C97" s="5">
        <f>HYPERLINK("https://client.unique.diamonds/dna/11129-4","DNA")</f>
      </c>
      <c r="D97" s="1" t="s">
        <v>36</v>
      </c>
      <c r="E97" s="6">
        <v>2.01</v>
      </c>
      <c r="F97" s="1" t="s">
        <v>50</v>
      </c>
      <c r="G97" s="1" t="s">
        <v>38</v>
      </c>
      <c r="H97" s="1" t="s">
        <v>39</v>
      </c>
      <c r="I97" s="1" t="s">
        <v>39</v>
      </c>
      <c r="J97" s="1" t="s">
        <v>39</v>
      </c>
      <c r="K97" s="1" t="s">
        <v>114</v>
      </c>
      <c r="L97" s="4">
        <v>11200</v>
      </c>
      <c r="M97" s="6">
        <v>-27.25</v>
      </c>
      <c r="N97" s="7">
        <f>IF(AND(L97 &lt;&gt; "-", M97 &lt;&gt; "-"),L97*( 1 + M97%),0)</f>
      </c>
      <c r="O97" s="7">
        <f>( N97 * E97 )</f>
      </c>
      <c r="P97" s="1" t="s">
        <v>283</v>
      </c>
      <c r="Q97" s="6">
        <v>1.01</v>
      </c>
      <c r="R97" s="6">
        <v>62.4</v>
      </c>
      <c r="S97" s="4">
        <v>58</v>
      </c>
      <c r="T97" s="1" t="s">
        <v>42</v>
      </c>
      <c r="U97" s="5">
        <f>HYPERLINK("https://www.gia.edu/report-check?reportno=2438168178","2438168178")</f>
      </c>
      <c r="V97" s="1" t="s">
        <v>43</v>
      </c>
      <c r="W97" s="1" t="s">
        <v>84</v>
      </c>
      <c r="X97" s="1" t="s">
        <v>46</v>
      </c>
      <c r="Y97" s="1" t="s">
        <v>40</v>
      </c>
      <c r="Z97" s="1" t="s">
        <v>46</v>
      </c>
      <c r="AA97" s="1" t="s">
        <v>40</v>
      </c>
      <c r="AB97" s="1" t="s">
        <v>40</v>
      </c>
      <c r="AC97" s="1" t="s">
        <v>48</v>
      </c>
      <c r="AD97" s="1" t="s">
        <v>43</v>
      </c>
      <c r="AE97" s="8">
        <f>IF(L97&lt;&gt;"",L97*E97,0)</f>
      </c>
    </row>
    <row r="98" spans="1:31" x14ac:dyDescent="0.25">
      <c r="A98" s="4">
        <v>93</v>
      </c>
      <c r="B98" s="1" t="s">
        <v>311</v>
      </c>
      <c r="C98" s="5">
        <f>HYPERLINK("https://client.unique.diamonds/dna/11041-31","DNA")</f>
      </c>
      <c r="D98" s="1" t="s">
        <v>36</v>
      </c>
      <c r="E98" s="6">
        <v>2.01</v>
      </c>
      <c r="F98" s="1" t="s">
        <v>50</v>
      </c>
      <c r="G98" s="1" t="s">
        <v>38</v>
      </c>
      <c r="H98" s="1" t="s">
        <v>39</v>
      </c>
      <c r="I98" s="1" t="s">
        <v>39</v>
      </c>
      <c r="J98" s="1" t="s">
        <v>39</v>
      </c>
      <c r="K98" s="1" t="s">
        <v>40</v>
      </c>
      <c r="L98" s="4">
        <v>11200</v>
      </c>
      <c r="M98" s="6">
        <v>-17.75</v>
      </c>
      <c r="N98" s="7">
        <f>IF(AND(L98 &lt;&gt; "-", M98 &lt;&gt; "-"),L98*( 1 + M98%),0)</f>
      </c>
      <c r="O98" s="7">
        <f>( N98 * E98 )</f>
      </c>
      <c r="P98" s="1" t="s">
        <v>312</v>
      </c>
      <c r="Q98" s="6">
        <v>1.01</v>
      </c>
      <c r="R98" s="6">
        <v>61.6</v>
      </c>
      <c r="S98" s="4">
        <v>60</v>
      </c>
      <c r="T98" s="1" t="s">
        <v>42</v>
      </c>
      <c r="U98" s="5">
        <f>HYPERLINK("https://www.gia.edu/report-check?reportno=2424319582","2424319582")</f>
      </c>
      <c r="V98" s="1" t="s">
        <v>43</v>
      </c>
      <c r="W98" s="1" t="s">
        <v>313</v>
      </c>
      <c r="X98" s="1" t="s">
        <v>46</v>
      </c>
      <c r="Y98" s="1" t="s">
        <v>40</v>
      </c>
      <c r="Z98" s="1" t="s">
        <v>46</v>
      </c>
      <c r="AA98" s="1" t="s">
        <v>40</v>
      </c>
      <c r="AB98" s="1" t="s">
        <v>40</v>
      </c>
      <c r="AC98" s="1" t="s">
        <v>48</v>
      </c>
      <c r="AD98" s="1" t="s">
        <v>43</v>
      </c>
      <c r="AE98" s="8">
        <f>IF(L98&lt;&gt;"",L98*E98,0)</f>
      </c>
    </row>
    <row r="99" spans="1:31" x14ac:dyDescent="0.25">
      <c r="A99" s="4">
        <v>94</v>
      </c>
      <c r="B99" s="1" t="s">
        <v>314</v>
      </c>
      <c r="C99" s="5">
        <f>HYPERLINK("https://client.unique.diamonds/dna/141411-3","DNA")</f>
      </c>
      <c r="D99" s="1" t="s">
        <v>36</v>
      </c>
      <c r="E99" s="6">
        <v>2.01</v>
      </c>
      <c r="F99" s="1" t="s">
        <v>50</v>
      </c>
      <c r="G99" s="1" t="s">
        <v>38</v>
      </c>
      <c r="H99" s="1" t="s">
        <v>39</v>
      </c>
      <c r="I99" s="1" t="s">
        <v>39</v>
      </c>
      <c r="J99" s="1" t="s">
        <v>39</v>
      </c>
      <c r="K99" s="1" t="s">
        <v>40</v>
      </c>
      <c r="L99" s="4">
        <v>11200</v>
      </c>
      <c r="M99" s="6">
        <v>-21.25</v>
      </c>
      <c r="N99" s="7">
        <f>IF(AND(L99 &lt;&gt; "-", M99 &lt;&gt; "-"),L99*( 1 + M99%),0)</f>
      </c>
      <c r="O99" s="7">
        <f>( N99 * E99 )</f>
      </c>
      <c r="P99" s="1" t="s">
        <v>315</v>
      </c>
      <c r="Q99" s="6">
        <v>1</v>
      </c>
      <c r="R99" s="6">
        <v>61.4</v>
      </c>
      <c r="S99" s="4">
        <v>61</v>
      </c>
      <c r="T99" s="1" t="s">
        <v>42</v>
      </c>
      <c r="U99" s="5">
        <f>HYPERLINK("https://www.gia.edu/report-check?reportno=7406923663","7406923663")</f>
      </c>
      <c r="V99" s="1" t="s">
        <v>43</v>
      </c>
      <c r="W99" s="1" t="s">
        <v>116</v>
      </c>
      <c r="X99" s="1" t="s">
        <v>46</v>
      </c>
      <c r="Y99" s="1" t="s">
        <v>40</v>
      </c>
      <c r="Z99" s="1" t="s">
        <v>46</v>
      </c>
      <c r="AA99" s="1" t="s">
        <v>55</v>
      </c>
      <c r="AB99" s="1" t="s">
        <v>40</v>
      </c>
      <c r="AC99" s="1" t="s">
        <v>48</v>
      </c>
      <c r="AD99" s="1" t="s">
        <v>43</v>
      </c>
      <c r="AE99" s="8">
        <f>IF(L99&lt;&gt;"",L99*E99,0)</f>
      </c>
    </row>
    <row r="100" spans="1:31" x14ac:dyDescent="0.25">
      <c r="A100" s="4">
        <v>95</v>
      </c>
      <c r="B100" s="1" t="s">
        <v>316</v>
      </c>
      <c r="C100" s="5">
        <f>HYPERLINK("https://client.unique.diamonds/dna/11087-6","DNA")</f>
      </c>
      <c r="D100" s="1" t="s">
        <v>36</v>
      </c>
      <c r="E100" s="6">
        <v>2.01</v>
      </c>
      <c r="F100" s="1" t="s">
        <v>50</v>
      </c>
      <c r="G100" s="1" t="s">
        <v>51</v>
      </c>
      <c r="H100" s="1" t="s">
        <v>39</v>
      </c>
      <c r="I100" s="1" t="s">
        <v>39</v>
      </c>
      <c r="J100" s="1" t="s">
        <v>39</v>
      </c>
      <c r="K100" s="1" t="s">
        <v>63</v>
      </c>
      <c r="L100" s="4">
        <v>10500</v>
      </c>
      <c r="M100" s="6">
        <v>-19.5</v>
      </c>
      <c r="N100" s="7">
        <f>IF(AND(L100 &lt;&gt; "-", M100 &lt;&gt; "-"),L100*( 1 + M100%),0)</f>
      </c>
      <c r="O100" s="7">
        <f>( N100 * E100 )</f>
      </c>
      <c r="P100" s="1" t="s">
        <v>317</v>
      </c>
      <c r="Q100" s="6">
        <v>1.01</v>
      </c>
      <c r="R100" s="6">
        <v>62.6</v>
      </c>
      <c r="S100" s="4">
        <v>59</v>
      </c>
      <c r="T100" s="1" t="s">
        <v>42</v>
      </c>
      <c r="U100" s="5">
        <f>HYPERLINK("https://www.gia.edu/report-check?reportno=3425707446","3425707446")</f>
      </c>
      <c r="V100" s="1" t="s">
        <v>43</v>
      </c>
      <c r="W100" s="1" t="s">
        <v>318</v>
      </c>
      <c r="X100" s="1" t="s">
        <v>45</v>
      </c>
      <c r="Y100" s="1" t="s">
        <v>40</v>
      </c>
      <c r="Z100" s="1" t="s">
        <v>46</v>
      </c>
      <c r="AA100" s="1" t="s">
        <v>55</v>
      </c>
      <c r="AB100" s="1" t="s">
        <v>55</v>
      </c>
      <c r="AC100" s="1" t="s">
        <v>48</v>
      </c>
      <c r="AD100" s="1" t="s">
        <v>43</v>
      </c>
      <c r="AE100" s="8">
        <f>IF(L100&lt;&gt;"",L100*E100,0)</f>
      </c>
    </row>
    <row r="101" spans="1:31" x14ac:dyDescent="0.25">
      <c r="A101" s="4">
        <v>96</v>
      </c>
      <c r="B101" s="1" t="s">
        <v>319</v>
      </c>
      <c r="C101" s="5">
        <f>HYPERLINK("https://client.unique.diamonds/dna/11041-36","DNA")</f>
      </c>
      <c r="D101" s="1" t="s">
        <v>36</v>
      </c>
      <c r="E101" s="6">
        <v>2.01</v>
      </c>
      <c r="F101" s="1" t="s">
        <v>50</v>
      </c>
      <c r="G101" s="1" t="s">
        <v>51</v>
      </c>
      <c r="H101" s="1" t="s">
        <v>39</v>
      </c>
      <c r="I101" s="1" t="s">
        <v>39</v>
      </c>
      <c r="J101" s="1" t="s">
        <v>39</v>
      </c>
      <c r="K101" s="1" t="s">
        <v>40</v>
      </c>
      <c r="L101" s="4">
        <v>10500</v>
      </c>
      <c r="M101" s="6">
        <v>-15.75</v>
      </c>
      <c r="N101" s="7">
        <f>IF(AND(L101 &lt;&gt; "-", M101 &lt;&gt; "-"),L101*( 1 + M101%),0)</f>
      </c>
      <c r="O101" s="7">
        <f>( N101 * E101 )</f>
      </c>
      <c r="P101" s="1" t="s">
        <v>320</v>
      </c>
      <c r="Q101" s="6">
        <v>1</v>
      </c>
      <c r="R101" s="6">
        <v>60</v>
      </c>
      <c r="S101" s="4">
        <v>59</v>
      </c>
      <c r="T101" s="1" t="s">
        <v>42</v>
      </c>
      <c r="U101" s="5">
        <f>HYPERLINK("https://www.gia.edu/report-check?reportno=6421360816","6421360816")</f>
      </c>
      <c r="V101" s="1" t="s">
        <v>43</v>
      </c>
      <c r="W101" s="1" t="s">
        <v>225</v>
      </c>
      <c r="X101" s="1" t="s">
        <v>46</v>
      </c>
      <c r="Y101" s="1" t="s">
        <v>40</v>
      </c>
      <c r="Z101" s="1" t="s">
        <v>54</v>
      </c>
      <c r="AA101" s="1" t="s">
        <v>40</v>
      </c>
      <c r="AB101" s="1" t="s">
        <v>40</v>
      </c>
      <c r="AC101" s="1" t="s">
        <v>48</v>
      </c>
      <c r="AD101" s="1" t="s">
        <v>43</v>
      </c>
      <c r="AE101" s="8">
        <f>IF(L101&lt;&gt;"",L101*E101,0)</f>
      </c>
    </row>
    <row r="102" spans="1:31" x14ac:dyDescent="0.25">
      <c r="A102" s="4">
        <v>97</v>
      </c>
      <c r="B102" s="1" t="s">
        <v>321</v>
      </c>
      <c r="C102" s="5">
        <f>HYPERLINK("https://client.unique.diamonds/dna/11051-16","DNA")</f>
      </c>
      <c r="D102" s="1" t="s">
        <v>36</v>
      </c>
      <c r="E102" s="6">
        <v>2.01</v>
      </c>
      <c r="F102" s="1" t="s">
        <v>50</v>
      </c>
      <c r="G102" s="1" t="s">
        <v>51</v>
      </c>
      <c r="H102" s="1" t="s">
        <v>39</v>
      </c>
      <c r="I102" s="1" t="s">
        <v>39</v>
      </c>
      <c r="J102" s="1" t="s">
        <v>39</v>
      </c>
      <c r="K102" s="1" t="s">
        <v>40</v>
      </c>
      <c r="L102" s="4">
        <v>10500</v>
      </c>
      <c r="M102" s="6">
        <v>-21</v>
      </c>
      <c r="N102" s="7">
        <f>IF(AND(L102 &lt;&gt; "-", M102 &lt;&gt; "-"),L102*( 1 + M102%),0)</f>
      </c>
      <c r="O102" s="7">
        <f>( N102 * E102 )</f>
      </c>
      <c r="P102" s="1" t="s">
        <v>322</v>
      </c>
      <c r="Q102" s="6">
        <v>1</v>
      </c>
      <c r="R102" s="6">
        <v>61</v>
      </c>
      <c r="S102" s="4">
        <v>61</v>
      </c>
      <c r="T102" s="1" t="s">
        <v>42</v>
      </c>
      <c r="U102" s="5">
        <f>HYPERLINK("https://www.gia.edu/report-check?reportno=7421057436","7421057436")</f>
      </c>
      <c r="V102" s="1" t="s">
        <v>43</v>
      </c>
      <c r="W102" s="1" t="s">
        <v>287</v>
      </c>
      <c r="X102" s="1" t="s">
        <v>46</v>
      </c>
      <c r="Y102" s="1" t="s">
        <v>40</v>
      </c>
      <c r="Z102" s="1" t="s">
        <v>46</v>
      </c>
      <c r="AA102" s="1" t="s">
        <v>55</v>
      </c>
      <c r="AB102" s="1" t="s">
        <v>40</v>
      </c>
      <c r="AC102" s="1" t="s">
        <v>48</v>
      </c>
      <c r="AD102" s="1" t="s">
        <v>43</v>
      </c>
      <c r="AE102" s="8">
        <f>IF(L102&lt;&gt;"",L102*E102,0)</f>
      </c>
    </row>
    <row r="103" spans="1:31" x14ac:dyDescent="0.25">
      <c r="A103" s="4">
        <v>98</v>
      </c>
      <c r="B103" s="1" t="s">
        <v>323</v>
      </c>
      <c r="C103" s="5">
        <f>HYPERLINK("https://client.unique.diamonds/dna/142088-92","DNA")</f>
      </c>
      <c r="D103" s="1" t="s">
        <v>36</v>
      </c>
      <c r="E103" s="6">
        <v>2.01</v>
      </c>
      <c r="F103" s="1" t="s">
        <v>50</v>
      </c>
      <c r="G103" s="1" t="s">
        <v>87</v>
      </c>
      <c r="H103" s="1" t="s">
        <v>39</v>
      </c>
      <c r="I103" s="1" t="s">
        <v>39</v>
      </c>
      <c r="J103" s="1" t="s">
        <v>39</v>
      </c>
      <c r="K103" s="1" t="s">
        <v>40</v>
      </c>
      <c r="L103" s="4">
        <v>9500</v>
      </c>
      <c r="M103" s="6">
        <v>-23</v>
      </c>
      <c r="N103" s="7">
        <f>IF(AND(L103 &lt;&gt; "-", M103 &lt;&gt; "-"),L103*( 1 + M103%),0)</f>
      </c>
      <c r="O103" s="7">
        <f>( N103 * E103 )</f>
      </c>
      <c r="P103" s="1" t="s">
        <v>324</v>
      </c>
      <c r="Q103" s="6">
        <v>1</v>
      </c>
      <c r="R103" s="6">
        <v>62.7</v>
      </c>
      <c r="S103" s="4">
        <v>59</v>
      </c>
      <c r="T103" s="1" t="s">
        <v>42</v>
      </c>
      <c r="U103" s="5">
        <f>HYPERLINK("https://www.gia.edu/report-check?reportno=5222200626","5222200626")</f>
      </c>
      <c r="V103" s="1" t="s">
        <v>43</v>
      </c>
      <c r="W103" s="1" t="s">
        <v>325</v>
      </c>
      <c r="X103" s="1" t="s">
        <v>46</v>
      </c>
      <c r="Y103" s="1" t="s">
        <v>40</v>
      </c>
      <c r="Z103" s="1" t="s">
        <v>46</v>
      </c>
      <c r="AA103" s="1" t="s">
        <v>55</v>
      </c>
      <c r="AB103" s="1" t="s">
        <v>55</v>
      </c>
      <c r="AC103" s="1" t="s">
        <v>48</v>
      </c>
      <c r="AD103" s="1" t="s">
        <v>43</v>
      </c>
      <c r="AE103" s="8">
        <f>IF(L103&lt;&gt;"",L103*E103,0)</f>
      </c>
    </row>
    <row r="104" spans="1:31" x14ac:dyDescent="0.25">
      <c r="A104" s="4">
        <v>99</v>
      </c>
      <c r="B104" s="1" t="s">
        <v>326</v>
      </c>
      <c r="C104" s="5">
        <f>HYPERLINK("https://client.unique.diamonds/dna/11118-5","DNA")</f>
      </c>
      <c r="D104" s="1" t="s">
        <v>36</v>
      </c>
      <c r="E104" s="6">
        <v>2.01</v>
      </c>
      <c r="F104" s="1" t="s">
        <v>50</v>
      </c>
      <c r="G104" s="1" t="s">
        <v>87</v>
      </c>
      <c r="H104" s="1" t="s">
        <v>39</v>
      </c>
      <c r="I104" s="1" t="s">
        <v>39</v>
      </c>
      <c r="J104" s="1" t="s">
        <v>39</v>
      </c>
      <c r="K104" s="1" t="s">
        <v>40</v>
      </c>
      <c r="L104" s="4">
        <v>9500</v>
      </c>
      <c r="M104" s="6">
        <v>-23.25</v>
      </c>
      <c r="N104" s="7">
        <f>IF(AND(L104 &lt;&gt; "-", M104 &lt;&gt; "-"),L104*( 1 + M104%),0)</f>
      </c>
      <c r="O104" s="7">
        <f>( N104 * E104 )</f>
      </c>
      <c r="P104" s="1" t="s">
        <v>327</v>
      </c>
      <c r="Q104" s="6">
        <v>1.01</v>
      </c>
      <c r="R104" s="6">
        <v>62.6</v>
      </c>
      <c r="S104" s="4">
        <v>57</v>
      </c>
      <c r="T104" s="1" t="s">
        <v>42</v>
      </c>
      <c r="U104" s="5">
        <f>HYPERLINK("https://www.gia.edu/report-check?reportno=1439013708","1439013708")</f>
      </c>
      <c r="V104" s="1" t="s">
        <v>43</v>
      </c>
      <c r="W104" s="1" t="s">
        <v>112</v>
      </c>
      <c r="X104" s="1" t="s">
        <v>45</v>
      </c>
      <c r="Y104" s="1" t="s">
        <v>40</v>
      </c>
      <c r="Z104" s="1" t="s">
        <v>46</v>
      </c>
      <c r="AA104" s="1" t="s">
        <v>55</v>
      </c>
      <c r="AB104" s="1" t="s">
        <v>47</v>
      </c>
      <c r="AC104" s="1" t="s">
        <v>48</v>
      </c>
      <c r="AD104" s="1" t="s">
        <v>43</v>
      </c>
      <c r="AE104" s="8">
        <f>IF(L104&lt;&gt;"",L104*E104,0)</f>
      </c>
    </row>
    <row r="105" spans="1:31" x14ac:dyDescent="0.25">
      <c r="A105" s="4">
        <v>100</v>
      </c>
      <c r="B105" s="1" t="s">
        <v>328</v>
      </c>
      <c r="C105" s="5">
        <f>HYPERLINK("https://client.unique.diamonds/dna/11041-9","DNA")</f>
      </c>
      <c r="D105" s="1" t="s">
        <v>36</v>
      </c>
      <c r="E105" s="6">
        <v>2.01</v>
      </c>
      <c r="F105" s="1" t="s">
        <v>50</v>
      </c>
      <c r="G105" s="1" t="s">
        <v>87</v>
      </c>
      <c r="H105" s="1" t="s">
        <v>39</v>
      </c>
      <c r="I105" s="1" t="s">
        <v>39</v>
      </c>
      <c r="J105" s="1" t="s">
        <v>39</v>
      </c>
      <c r="K105" s="1" t="s">
        <v>40</v>
      </c>
      <c r="L105" s="4">
        <v>9500</v>
      </c>
      <c r="M105" s="6">
        <v>-28.75</v>
      </c>
      <c r="N105" s="7">
        <f>IF(AND(L105 &lt;&gt; "-", M105 &lt;&gt; "-"),L105*( 1 + M105%),0)</f>
      </c>
      <c r="O105" s="7">
        <f>( N105 * E105 )</f>
      </c>
      <c r="P105" s="1" t="s">
        <v>329</v>
      </c>
      <c r="Q105" s="6">
        <v>1.01</v>
      </c>
      <c r="R105" s="6">
        <v>62</v>
      </c>
      <c r="S105" s="4">
        <v>61</v>
      </c>
      <c r="T105" s="1" t="s">
        <v>42</v>
      </c>
      <c r="U105" s="5">
        <f>HYPERLINK("https://www.gia.edu/report-check?reportno=3425117671","3425117671")</f>
      </c>
      <c r="V105" s="1" t="s">
        <v>43</v>
      </c>
      <c r="W105" s="1" t="s">
        <v>189</v>
      </c>
      <c r="X105" s="1" t="s">
        <v>59</v>
      </c>
      <c r="Y105" s="1" t="s">
        <v>40</v>
      </c>
      <c r="Z105" s="1" t="s">
        <v>46</v>
      </c>
      <c r="AA105" s="1" t="s">
        <v>96</v>
      </c>
      <c r="AB105" s="1" t="s">
        <v>40</v>
      </c>
      <c r="AC105" s="1" t="s">
        <v>48</v>
      </c>
      <c r="AD105" s="1" t="s">
        <v>43</v>
      </c>
      <c r="AE105" s="8">
        <f>IF(L105&lt;&gt;"",L105*E105,0)</f>
      </c>
    </row>
    <row r="106" spans="1:31" x14ac:dyDescent="0.25">
      <c r="A106" s="4">
        <v>101</v>
      </c>
      <c r="B106" s="1" t="s">
        <v>330</v>
      </c>
      <c r="C106" s="5">
        <f>HYPERLINK("https://client.unique.diamonds/dna/11124-8","DNA")</f>
      </c>
      <c r="D106" s="1" t="s">
        <v>36</v>
      </c>
      <c r="E106" s="6">
        <v>2.01</v>
      </c>
      <c r="F106" s="1" t="s">
        <v>104</v>
      </c>
      <c r="G106" s="1" t="s">
        <v>69</v>
      </c>
      <c r="H106" s="1" t="s">
        <v>39</v>
      </c>
      <c r="I106" s="1" t="s">
        <v>39</v>
      </c>
      <c r="J106" s="1" t="s">
        <v>39</v>
      </c>
      <c r="K106" s="1" t="s">
        <v>63</v>
      </c>
      <c r="L106" s="4">
        <v>9400</v>
      </c>
      <c r="M106" s="6">
        <v>-19.25</v>
      </c>
      <c r="N106" s="7">
        <f>IF(AND(L106 &lt;&gt; "-", M106 &lt;&gt; "-"),L106*( 1 + M106%),0)</f>
      </c>
      <c r="O106" s="7">
        <f>( N106 * E106 )</f>
      </c>
      <c r="P106" s="1" t="s">
        <v>331</v>
      </c>
      <c r="Q106" s="6">
        <v>1</v>
      </c>
      <c r="R106" s="6">
        <v>61.6</v>
      </c>
      <c r="S106" s="4">
        <v>55</v>
      </c>
      <c r="T106" s="1" t="s">
        <v>42</v>
      </c>
      <c r="U106" s="5">
        <f>HYPERLINK("https://www.gia.edu/report-check?reportno=6432205681","6432205681")</f>
      </c>
      <c r="V106" s="1" t="s">
        <v>43</v>
      </c>
      <c r="W106" s="1" t="s">
        <v>332</v>
      </c>
      <c r="X106" s="1" t="s">
        <v>59</v>
      </c>
      <c r="Y106" s="1" t="s">
        <v>40</v>
      </c>
      <c r="Z106" s="1" t="s">
        <v>46</v>
      </c>
      <c r="AA106" s="1" t="s">
        <v>55</v>
      </c>
      <c r="AB106" s="1" t="s">
        <v>40</v>
      </c>
      <c r="AC106" s="1" t="s">
        <v>48</v>
      </c>
      <c r="AD106" s="1" t="s">
        <v>43</v>
      </c>
      <c r="AE106" s="8">
        <f>IF(L106&lt;&gt;"",L106*E106,0)</f>
      </c>
    </row>
    <row r="107" spans="1:31" x14ac:dyDescent="0.25">
      <c r="A107" s="4">
        <v>102</v>
      </c>
      <c r="B107" s="1" t="s">
        <v>333</v>
      </c>
      <c r="C107" s="5">
        <f>HYPERLINK("https://client.unique.diamonds/dna/141445-2","DNA")</f>
      </c>
      <c r="D107" s="1" t="s">
        <v>36</v>
      </c>
      <c r="E107" s="6">
        <v>2.01</v>
      </c>
      <c r="F107" s="1" t="s">
        <v>104</v>
      </c>
      <c r="G107" s="1" t="s">
        <v>51</v>
      </c>
      <c r="H107" s="1" t="s">
        <v>39</v>
      </c>
      <c r="I107" s="1" t="s">
        <v>39</v>
      </c>
      <c r="J107" s="1" t="s">
        <v>39</v>
      </c>
      <c r="K107" s="1" t="s">
        <v>114</v>
      </c>
      <c r="L107" s="4">
        <v>8300</v>
      </c>
      <c r="M107" s="6">
        <v>-32.25</v>
      </c>
      <c r="N107" s="7">
        <f>IF(AND(L107 &lt;&gt; "-", M107 &lt;&gt; "-"),L107*( 1 + M107%),0)</f>
      </c>
      <c r="O107" s="7">
        <f>( N107 * E107 )</f>
      </c>
      <c r="P107" s="1" t="s">
        <v>334</v>
      </c>
      <c r="Q107" s="6">
        <v>1.01</v>
      </c>
      <c r="R107" s="6">
        <v>62.9</v>
      </c>
      <c r="S107" s="4">
        <v>56</v>
      </c>
      <c r="T107" s="1" t="s">
        <v>42</v>
      </c>
      <c r="U107" s="5">
        <f>HYPERLINK("https://www.gia.edu/report-check?reportno=2416694561","2416694561")</f>
      </c>
      <c r="V107" s="1" t="s">
        <v>43</v>
      </c>
      <c r="W107" s="1" t="s">
        <v>202</v>
      </c>
      <c r="X107" s="1" t="s">
        <v>46</v>
      </c>
      <c r="Y107" s="1" t="s">
        <v>40</v>
      </c>
      <c r="Z107" s="1" t="s">
        <v>46</v>
      </c>
      <c r="AA107" s="1" t="s">
        <v>96</v>
      </c>
      <c r="AB107" s="1" t="s">
        <v>40</v>
      </c>
      <c r="AC107" s="1" t="s">
        <v>48</v>
      </c>
      <c r="AD107" s="1" t="s">
        <v>43</v>
      </c>
      <c r="AE107" s="8">
        <f>IF(L107&lt;&gt;"",L107*E107,0)</f>
      </c>
    </row>
    <row r="108" spans="1:31" x14ac:dyDescent="0.25">
      <c r="A108" s="4">
        <v>103</v>
      </c>
      <c r="B108" s="1" t="s">
        <v>335</v>
      </c>
      <c r="C108" s="5">
        <f>HYPERLINK("https://client.unique.diamonds/dna/11129-3","DNA")</f>
      </c>
      <c r="D108" s="1" t="s">
        <v>36</v>
      </c>
      <c r="E108" s="6">
        <v>2.01</v>
      </c>
      <c r="F108" s="1" t="s">
        <v>104</v>
      </c>
      <c r="G108" s="1" t="s">
        <v>51</v>
      </c>
      <c r="H108" s="1" t="s">
        <v>39</v>
      </c>
      <c r="I108" s="1" t="s">
        <v>39</v>
      </c>
      <c r="J108" s="1" t="s">
        <v>39</v>
      </c>
      <c r="K108" s="1" t="s">
        <v>40</v>
      </c>
      <c r="L108" s="4">
        <v>8300</v>
      </c>
      <c r="M108" s="6">
        <v>-22.25</v>
      </c>
      <c r="N108" s="7">
        <f>IF(AND(L108 &lt;&gt; "-", M108 &lt;&gt; "-"),L108*( 1 + M108%),0)</f>
      </c>
      <c r="O108" s="7">
        <f>( N108 * E108 )</f>
      </c>
      <c r="P108" s="1" t="s">
        <v>336</v>
      </c>
      <c r="Q108" s="6">
        <v>1.01</v>
      </c>
      <c r="R108" s="6">
        <v>62.3</v>
      </c>
      <c r="S108" s="4">
        <v>59</v>
      </c>
      <c r="T108" s="1" t="s">
        <v>42</v>
      </c>
      <c r="U108" s="5">
        <f>HYPERLINK("https://www.gia.edu/report-check?reportno=6432168123","6432168123")</f>
      </c>
      <c r="V108" s="1" t="s">
        <v>43</v>
      </c>
      <c r="W108" s="1" t="s">
        <v>166</v>
      </c>
      <c r="X108" s="1" t="s">
        <v>45</v>
      </c>
      <c r="Y108" s="1" t="s">
        <v>40</v>
      </c>
      <c r="Z108" s="1" t="s">
        <v>40</v>
      </c>
      <c r="AA108" s="1" t="s">
        <v>96</v>
      </c>
      <c r="AB108" s="1" t="s">
        <v>40</v>
      </c>
      <c r="AC108" s="1" t="s">
        <v>48</v>
      </c>
      <c r="AD108" s="1" t="s">
        <v>43</v>
      </c>
      <c r="AE108" s="8">
        <f>IF(L108&lt;&gt;"",L108*E108,0)</f>
      </c>
    </row>
    <row r="109" spans="1:31" x14ac:dyDescent="0.25">
      <c r="A109" s="4">
        <v>104</v>
      </c>
      <c r="B109" s="1" t="s">
        <v>337</v>
      </c>
      <c r="C109" s="5">
        <f>HYPERLINK("https://client.unique.diamonds/dna/11019-1","DNA")</f>
      </c>
      <c r="D109" s="1" t="s">
        <v>36</v>
      </c>
      <c r="E109" s="6">
        <v>2.01</v>
      </c>
      <c r="F109" s="1" t="s">
        <v>104</v>
      </c>
      <c r="G109" s="1" t="s">
        <v>51</v>
      </c>
      <c r="H109" s="1" t="s">
        <v>39</v>
      </c>
      <c r="I109" s="1" t="s">
        <v>39</v>
      </c>
      <c r="J109" s="1" t="s">
        <v>39</v>
      </c>
      <c r="K109" s="1" t="s">
        <v>40</v>
      </c>
      <c r="L109" s="4">
        <v>8300</v>
      </c>
      <c r="M109" s="6">
        <v>-18</v>
      </c>
      <c r="N109" s="7">
        <f>IF(AND(L109 &lt;&gt; "-", M109 &lt;&gt; "-"),L109*( 1 + M109%),0)</f>
      </c>
      <c r="O109" s="7">
        <f>( N109 * E109 )</f>
      </c>
      <c r="P109" s="1" t="s">
        <v>338</v>
      </c>
      <c r="Q109" s="6">
        <v>1.01</v>
      </c>
      <c r="R109" s="6">
        <v>63.2</v>
      </c>
      <c r="S109" s="4">
        <v>57</v>
      </c>
      <c r="T109" s="1" t="s">
        <v>42</v>
      </c>
      <c r="U109" s="5">
        <f>HYPERLINK("https://www.gia.edu/report-check?reportno=2221243603","2221243603")</f>
      </c>
      <c r="V109" s="1" t="s">
        <v>43</v>
      </c>
      <c r="W109" s="1" t="s">
        <v>213</v>
      </c>
      <c r="X109" s="1" t="s">
        <v>59</v>
      </c>
      <c r="Y109" s="1" t="s">
        <v>40</v>
      </c>
      <c r="Z109" s="1" t="s">
        <v>46</v>
      </c>
      <c r="AA109" s="1" t="s">
        <v>40</v>
      </c>
      <c r="AB109" s="1" t="s">
        <v>40</v>
      </c>
      <c r="AC109" s="1" t="s">
        <v>48</v>
      </c>
      <c r="AD109" s="1" t="s">
        <v>43</v>
      </c>
      <c r="AE109" s="8">
        <f>IF(L109&lt;&gt;"",L109*E109,0)</f>
      </c>
    </row>
    <row r="110" spans="1:31" x14ac:dyDescent="0.25">
      <c r="A110" s="4">
        <v>105</v>
      </c>
      <c r="B110" s="1" t="s">
        <v>339</v>
      </c>
      <c r="C110" s="5">
        <f>HYPERLINK("https://client.unique.diamonds/dna/141444-65","DNA")</f>
      </c>
      <c r="D110" s="1" t="s">
        <v>36</v>
      </c>
      <c r="E110" s="6">
        <v>2</v>
      </c>
      <c r="F110" s="1" t="s">
        <v>68</v>
      </c>
      <c r="G110" s="1" t="s">
        <v>38</v>
      </c>
      <c r="H110" s="1" t="s">
        <v>39</v>
      </c>
      <c r="I110" s="1" t="s">
        <v>39</v>
      </c>
      <c r="J110" s="1" t="s">
        <v>39</v>
      </c>
      <c r="K110" s="1" t="s">
        <v>40</v>
      </c>
      <c r="L110" s="4">
        <v>22500</v>
      </c>
      <c r="M110" s="6">
        <v>-23.75</v>
      </c>
      <c r="N110" s="7">
        <f>IF(AND(L110 &lt;&gt; "-", M110 &lt;&gt; "-"),L110*( 1 + M110%),0)</f>
      </c>
      <c r="O110" s="7">
        <f>( N110 * E110 )</f>
      </c>
      <c r="P110" s="1" t="s">
        <v>340</v>
      </c>
      <c r="Q110" s="6">
        <v>1.01</v>
      </c>
      <c r="R110" s="6">
        <v>62</v>
      </c>
      <c r="S110" s="4">
        <v>59</v>
      </c>
      <c r="T110" s="1" t="s">
        <v>42</v>
      </c>
      <c r="U110" s="5">
        <f>HYPERLINK("https://www.gia.edu/report-check?reportno=6412915611","6412915611")</f>
      </c>
      <c r="V110" s="1" t="s">
        <v>43</v>
      </c>
      <c r="W110" s="1" t="s">
        <v>341</v>
      </c>
      <c r="X110" s="1" t="s">
        <v>46</v>
      </c>
      <c r="Y110" s="1" t="s">
        <v>40</v>
      </c>
      <c r="Z110" s="1" t="s">
        <v>46</v>
      </c>
      <c r="AA110" s="1" t="s">
        <v>66</v>
      </c>
      <c r="AB110" s="1" t="s">
        <v>40</v>
      </c>
      <c r="AC110" s="1" t="s">
        <v>48</v>
      </c>
      <c r="AD110" s="1" t="s">
        <v>43</v>
      </c>
      <c r="AE110" s="8">
        <f>IF(L110&lt;&gt;"",L110*E110,0)</f>
      </c>
    </row>
    <row r="111" spans="1:31" x14ac:dyDescent="0.25">
      <c r="A111" s="4">
        <v>106</v>
      </c>
      <c r="B111" s="1" t="s">
        <v>342</v>
      </c>
      <c r="C111" s="5">
        <f>HYPERLINK("https://client.unique.diamonds/dna/11121-3","DNA")</f>
      </c>
      <c r="D111" s="1" t="s">
        <v>36</v>
      </c>
      <c r="E111" s="6">
        <v>2</v>
      </c>
      <c r="F111" s="1" t="s">
        <v>173</v>
      </c>
      <c r="G111" s="1" t="s">
        <v>51</v>
      </c>
      <c r="H111" s="1" t="s">
        <v>39</v>
      </c>
      <c r="I111" s="1" t="s">
        <v>39</v>
      </c>
      <c r="J111" s="1" t="s">
        <v>39</v>
      </c>
      <c r="K111" s="1" t="s">
        <v>40</v>
      </c>
      <c r="L111" s="4">
        <v>17500</v>
      </c>
      <c r="M111" s="6">
        <v>-19.25</v>
      </c>
      <c r="N111" s="7">
        <f>IF(AND(L111 &lt;&gt; "-", M111 &lt;&gt; "-"),L111*( 1 + M111%),0)</f>
      </c>
      <c r="O111" s="7">
        <f>( N111 * E111 )</f>
      </c>
      <c r="P111" s="1" t="s">
        <v>343</v>
      </c>
      <c r="Q111" s="6">
        <v>1.01</v>
      </c>
      <c r="R111" s="6">
        <v>61.1</v>
      </c>
      <c r="S111" s="4">
        <v>59</v>
      </c>
      <c r="T111" s="1" t="s">
        <v>42</v>
      </c>
      <c r="U111" s="5">
        <f>HYPERLINK("https://www.gia.edu/report-check?reportno=7438252271","7438252271")</f>
      </c>
      <c r="V111" s="1" t="s">
        <v>43</v>
      </c>
      <c r="W111" s="1" t="s">
        <v>78</v>
      </c>
      <c r="X111" s="1" t="s">
        <v>46</v>
      </c>
      <c r="Y111" s="1" t="s">
        <v>40</v>
      </c>
      <c r="Z111" s="1" t="s">
        <v>140</v>
      </c>
      <c r="AA111" s="1" t="s">
        <v>55</v>
      </c>
      <c r="AB111" s="1" t="s">
        <v>55</v>
      </c>
      <c r="AC111" s="1" t="s">
        <v>48</v>
      </c>
      <c r="AD111" s="1" t="s">
        <v>43</v>
      </c>
      <c r="AE111" s="8">
        <f>IF(L111&lt;&gt;"",L111*E111,0)</f>
      </c>
    </row>
    <row r="112" spans="1:31" x14ac:dyDescent="0.25">
      <c r="A112" s="4">
        <v>107</v>
      </c>
      <c r="B112" s="1" t="s">
        <v>344</v>
      </c>
      <c r="C112" s="5">
        <f>HYPERLINK("https://client.unique.diamonds/dna/11090-36","DNA")</f>
      </c>
      <c r="D112" s="1" t="s">
        <v>36</v>
      </c>
      <c r="E112" s="6">
        <v>2</v>
      </c>
      <c r="F112" s="1" t="s">
        <v>91</v>
      </c>
      <c r="G112" s="1" t="s">
        <v>38</v>
      </c>
      <c r="H112" s="1" t="s">
        <v>39</v>
      </c>
      <c r="I112" s="1" t="s">
        <v>39</v>
      </c>
      <c r="J112" s="1" t="s">
        <v>39</v>
      </c>
      <c r="K112" s="1" t="s">
        <v>40</v>
      </c>
      <c r="L112" s="4">
        <v>19500</v>
      </c>
      <c r="M112" s="6">
        <v>-22.5</v>
      </c>
      <c r="N112" s="7">
        <f>IF(AND(L112 &lt;&gt; "-", M112 &lt;&gt; "-"),L112*( 1 + M112%),0)</f>
      </c>
      <c r="O112" s="7">
        <f>( N112 * E112 )</f>
      </c>
      <c r="P112" s="1" t="s">
        <v>345</v>
      </c>
      <c r="Q112" s="6">
        <v>1.01</v>
      </c>
      <c r="R112" s="6">
        <v>63.3</v>
      </c>
      <c r="S112" s="4">
        <v>56</v>
      </c>
      <c r="T112" s="1" t="s">
        <v>42</v>
      </c>
      <c r="U112" s="5">
        <f>HYPERLINK("https://www.gia.edu/report-check?reportno=2427929877","2427929877")</f>
      </c>
      <c r="V112" s="1" t="s">
        <v>43</v>
      </c>
      <c r="W112" s="1" t="s">
        <v>346</v>
      </c>
      <c r="X112" s="1" t="s">
        <v>46</v>
      </c>
      <c r="Y112" s="1" t="s">
        <v>40</v>
      </c>
      <c r="Z112" s="1" t="s">
        <v>46</v>
      </c>
      <c r="AA112" s="1" t="s">
        <v>40</v>
      </c>
      <c r="AB112" s="1" t="s">
        <v>40</v>
      </c>
      <c r="AC112" s="1" t="s">
        <v>48</v>
      </c>
      <c r="AD112" s="1" t="s">
        <v>43</v>
      </c>
      <c r="AE112" s="8">
        <f>IF(L112&lt;&gt;"",L112*E112,0)</f>
      </c>
    </row>
    <row r="113" spans="1:31" x14ac:dyDescent="0.25">
      <c r="A113" s="4">
        <v>108</v>
      </c>
      <c r="B113" s="1" t="s">
        <v>347</v>
      </c>
      <c r="C113" s="5">
        <f>HYPERLINK("https://client.unique.diamonds/dna/141411-10","DNA")</f>
      </c>
      <c r="D113" s="1" t="s">
        <v>36</v>
      </c>
      <c r="E113" s="6">
        <v>2</v>
      </c>
      <c r="F113" s="1" t="s">
        <v>50</v>
      </c>
      <c r="G113" s="1" t="s">
        <v>69</v>
      </c>
      <c r="H113" s="1" t="s">
        <v>39</v>
      </c>
      <c r="I113" s="1" t="s">
        <v>39</v>
      </c>
      <c r="J113" s="1" t="s">
        <v>39</v>
      </c>
      <c r="K113" s="1" t="s">
        <v>40</v>
      </c>
      <c r="L113" s="4">
        <v>11800</v>
      </c>
      <c r="M113" s="6">
        <v>-20.25</v>
      </c>
      <c r="N113" s="7">
        <f>IF(AND(L113 &lt;&gt; "-", M113 &lt;&gt; "-"),L113*( 1 + M113%),0)</f>
      </c>
      <c r="O113" s="7">
        <f>( N113 * E113 )</f>
      </c>
      <c r="P113" s="1" t="s">
        <v>348</v>
      </c>
      <c r="Q113" s="6">
        <v>1</v>
      </c>
      <c r="R113" s="6">
        <v>59.2</v>
      </c>
      <c r="S113" s="4">
        <v>61</v>
      </c>
      <c r="T113" s="1" t="s">
        <v>42</v>
      </c>
      <c r="U113" s="5">
        <f>HYPERLINK("https://www.gia.edu/report-check?reportno=5221181825","5221181825")</f>
      </c>
      <c r="V113" s="1" t="s">
        <v>43</v>
      </c>
      <c r="W113" s="1" t="s">
        <v>240</v>
      </c>
      <c r="X113" s="1" t="s">
        <v>59</v>
      </c>
      <c r="Y113" s="1" t="s">
        <v>40</v>
      </c>
      <c r="Z113" s="1" t="s">
        <v>46</v>
      </c>
      <c r="AA113" s="1" t="s">
        <v>66</v>
      </c>
      <c r="AB113" s="1" t="s">
        <v>40</v>
      </c>
      <c r="AC113" s="1" t="s">
        <v>48</v>
      </c>
      <c r="AD113" s="1" t="s">
        <v>43</v>
      </c>
      <c r="AE113" s="8">
        <f>IF(L113&lt;&gt;"",L113*E113,0)</f>
      </c>
    </row>
    <row r="114" spans="1:31" x14ac:dyDescent="0.25">
      <c r="A114" s="4">
        <v>109</v>
      </c>
      <c r="B114" s="1" t="s">
        <v>349</v>
      </c>
      <c r="C114" s="5">
        <f>HYPERLINK("https://client.unique.diamonds/dna/11041-59","DNA")</f>
      </c>
      <c r="D114" s="1" t="s">
        <v>36</v>
      </c>
      <c r="E114" s="6">
        <v>2</v>
      </c>
      <c r="F114" s="1" t="s">
        <v>104</v>
      </c>
      <c r="G114" s="1" t="s">
        <v>87</v>
      </c>
      <c r="H114" s="1" t="s">
        <v>39</v>
      </c>
      <c r="I114" s="1" t="s">
        <v>39</v>
      </c>
      <c r="J114" s="1" t="s">
        <v>39</v>
      </c>
      <c r="K114" s="1" t="s">
        <v>40</v>
      </c>
      <c r="L114" s="4">
        <v>7700</v>
      </c>
      <c r="M114" s="6">
        <v>-17.75</v>
      </c>
      <c r="N114" s="7">
        <f>IF(AND(L114 &lt;&gt; "-", M114 &lt;&gt; "-"),L114*( 1 + M114%),0)</f>
      </c>
      <c r="O114" s="7">
        <f>( N114 * E114 )</f>
      </c>
      <c r="P114" s="1" t="s">
        <v>350</v>
      </c>
      <c r="Q114" s="6">
        <v>1</v>
      </c>
      <c r="R114" s="6">
        <v>61.9</v>
      </c>
      <c r="S114" s="4">
        <v>59</v>
      </c>
      <c r="T114" s="1" t="s">
        <v>42</v>
      </c>
      <c r="U114" s="5">
        <f>HYPERLINK("https://www.gia.edu/report-check?reportno=6425469596","6425469596")</f>
      </c>
      <c r="V114" s="1" t="s">
        <v>43</v>
      </c>
      <c r="W114" s="1" t="s">
        <v>351</v>
      </c>
      <c r="X114" s="1" t="s">
        <v>46</v>
      </c>
      <c r="Y114" s="1" t="s">
        <v>40</v>
      </c>
      <c r="Z114" s="1" t="s">
        <v>54</v>
      </c>
      <c r="AA114" s="1" t="s">
        <v>55</v>
      </c>
      <c r="AB114" s="1" t="s">
        <v>40</v>
      </c>
      <c r="AC114" s="1" t="s">
        <v>85</v>
      </c>
      <c r="AD114" s="1" t="s">
        <v>43</v>
      </c>
      <c r="AE114" s="8">
        <f>IF(L114&lt;&gt;"",L114*E114,0)</f>
      </c>
    </row>
    <row r="115" spans="1:31" x14ac:dyDescent="0.25">
      <c r="A115" s="4">
        <v>110</v>
      </c>
      <c r="B115" s="1" t="s">
        <v>352</v>
      </c>
      <c r="C115" s="5">
        <f>HYPERLINK("https://client.unique.diamonds/dna/11136-18","DNA")</f>
      </c>
      <c r="D115" s="1" t="s">
        <v>36</v>
      </c>
      <c r="E115" s="6">
        <v>1.9</v>
      </c>
      <c r="F115" s="1" t="s">
        <v>173</v>
      </c>
      <c r="G115" s="1" t="s">
        <v>38</v>
      </c>
      <c r="H115" s="1" t="s">
        <v>39</v>
      </c>
      <c r="I115" s="1" t="s">
        <v>39</v>
      </c>
      <c r="J115" s="1" t="s">
        <v>39</v>
      </c>
      <c r="K115" s="1" t="s">
        <v>114</v>
      </c>
      <c r="L115" s="4">
        <v>15500</v>
      </c>
      <c r="M115" s="6">
        <v>-26.25</v>
      </c>
      <c r="N115" s="7">
        <f>IF(AND(L115 &lt;&gt; "-", M115 &lt;&gt; "-"),L115*( 1 + M115%),0)</f>
      </c>
      <c r="O115" s="7">
        <f>( N115 * E115 )</f>
      </c>
      <c r="P115" s="1" t="s">
        <v>353</v>
      </c>
      <c r="Q115" s="6">
        <v>1.01</v>
      </c>
      <c r="R115" s="6">
        <v>62.2</v>
      </c>
      <c r="S115" s="4">
        <v>59</v>
      </c>
      <c r="T115" s="1" t="s">
        <v>42</v>
      </c>
      <c r="U115" s="5">
        <f>HYPERLINK("https://www.gia.edu/report-check?reportno=1433300233","1433300233")</f>
      </c>
      <c r="V115" s="1" t="s">
        <v>43</v>
      </c>
      <c r="W115" s="1" t="s">
        <v>354</v>
      </c>
      <c r="X115" s="1" t="s">
        <v>45</v>
      </c>
      <c r="Y115" s="1" t="s">
        <v>40</v>
      </c>
      <c r="Z115" s="1" t="s">
        <v>59</v>
      </c>
      <c r="AA115" s="1" t="s">
        <v>55</v>
      </c>
      <c r="AB115" s="1" t="s">
        <v>40</v>
      </c>
      <c r="AC115" s="1" t="s">
        <v>48</v>
      </c>
      <c r="AD115" s="1" t="s">
        <v>43</v>
      </c>
      <c r="AE115" s="8">
        <f>IF(L115&lt;&gt;"",L115*E115,0)</f>
      </c>
    </row>
    <row r="116" spans="1:31" x14ac:dyDescent="0.25">
      <c r="A116" s="4">
        <v>111</v>
      </c>
      <c r="B116" s="1" t="s">
        <v>355</v>
      </c>
      <c r="C116" s="5">
        <f>HYPERLINK("https://client.unique.diamonds/dna/11051-36","DNA")</f>
      </c>
      <c r="D116" s="1" t="s">
        <v>36</v>
      </c>
      <c r="E116" s="6">
        <v>1.8</v>
      </c>
      <c r="F116" s="1" t="s">
        <v>68</v>
      </c>
      <c r="G116" s="1" t="s">
        <v>69</v>
      </c>
      <c r="H116" s="1" t="s">
        <v>39</v>
      </c>
      <c r="I116" s="1" t="s">
        <v>39</v>
      </c>
      <c r="J116" s="1" t="s">
        <v>39</v>
      </c>
      <c r="K116" s="1" t="s">
        <v>40</v>
      </c>
      <c r="L116" s="4">
        <v>19100</v>
      </c>
      <c r="M116" s="6">
        <v>-16.75</v>
      </c>
      <c r="N116" s="7">
        <f>IF(AND(L116 &lt;&gt; "-", M116 &lt;&gt; "-"),L116*( 1 + M116%),0)</f>
      </c>
      <c r="O116" s="7">
        <f>( N116 * E116 )</f>
      </c>
      <c r="P116" s="1" t="s">
        <v>356</v>
      </c>
      <c r="Q116" s="6">
        <v>1.01</v>
      </c>
      <c r="R116" s="6">
        <v>62.5</v>
      </c>
      <c r="S116" s="4">
        <v>58</v>
      </c>
      <c r="T116" s="1" t="s">
        <v>42</v>
      </c>
      <c r="U116" s="5">
        <f>HYPERLINK("https://www.gia.edu/report-check?reportno=5423118848","5423118848")</f>
      </c>
      <c r="V116" s="1" t="s">
        <v>43</v>
      </c>
      <c r="W116" s="1" t="s">
        <v>357</v>
      </c>
      <c r="X116" s="1" t="s">
        <v>75</v>
      </c>
      <c r="Y116" s="1" t="s">
        <v>40</v>
      </c>
      <c r="Z116" s="1" t="s">
        <v>46</v>
      </c>
      <c r="AA116" s="1" t="s">
        <v>55</v>
      </c>
      <c r="AB116" s="1" t="s">
        <v>40</v>
      </c>
      <c r="AC116" s="1" t="s">
        <v>48</v>
      </c>
      <c r="AD116" s="1" t="s">
        <v>43</v>
      </c>
      <c r="AE116" s="8">
        <f>IF(L116&lt;&gt;"",L116*E116,0)</f>
      </c>
    </row>
    <row r="117" spans="1:31" x14ac:dyDescent="0.25">
      <c r="A117" s="4">
        <v>112</v>
      </c>
      <c r="B117" s="1" t="s">
        <v>358</v>
      </c>
      <c r="C117" s="5">
        <f>HYPERLINK("https://client.unique.diamonds/dna/11043-60","DNA")</f>
      </c>
      <c r="D117" s="1" t="s">
        <v>36</v>
      </c>
      <c r="E117" s="6">
        <v>1.8</v>
      </c>
      <c r="F117" s="1" t="s">
        <v>91</v>
      </c>
      <c r="G117" s="1" t="s">
        <v>69</v>
      </c>
      <c r="H117" s="1" t="s">
        <v>39</v>
      </c>
      <c r="I117" s="1" t="s">
        <v>39</v>
      </c>
      <c r="J117" s="1" t="s">
        <v>39</v>
      </c>
      <c r="K117" s="1" t="s">
        <v>40</v>
      </c>
      <c r="L117" s="4">
        <v>16200</v>
      </c>
      <c r="M117" s="6">
        <v>-13.75</v>
      </c>
      <c r="N117" s="7">
        <f>IF(AND(L117 &lt;&gt; "-", M117 &lt;&gt; "-"),L117*( 1 + M117%),0)</f>
      </c>
      <c r="O117" s="7">
        <f>( N117 * E117 )</f>
      </c>
      <c r="P117" s="1" t="s">
        <v>359</v>
      </c>
      <c r="Q117" s="6">
        <v>1.01</v>
      </c>
      <c r="R117" s="6">
        <v>62.5</v>
      </c>
      <c r="S117" s="4">
        <v>59</v>
      </c>
      <c r="T117" s="1" t="s">
        <v>42</v>
      </c>
      <c r="U117" s="5">
        <f>HYPERLINK("https://www.gia.edu/report-check?reportno=5423461071","5423461071")</f>
      </c>
      <c r="V117" s="1" t="s">
        <v>43</v>
      </c>
      <c r="W117" s="1" t="s">
        <v>360</v>
      </c>
      <c r="X117" s="1" t="s">
        <v>59</v>
      </c>
      <c r="Y117" s="1" t="s">
        <v>40</v>
      </c>
      <c r="Z117" s="1" t="s">
        <v>46</v>
      </c>
      <c r="AA117" s="1" t="s">
        <v>66</v>
      </c>
      <c r="AB117" s="1" t="s">
        <v>40</v>
      </c>
      <c r="AC117" s="1" t="s">
        <v>48</v>
      </c>
      <c r="AD117" s="1" t="s">
        <v>43</v>
      </c>
      <c r="AE117" s="8">
        <f>IF(L117&lt;&gt;"",L117*E117,0)</f>
      </c>
    </row>
    <row r="118" spans="1:31" x14ac:dyDescent="0.25">
      <c r="A118" s="4">
        <v>113</v>
      </c>
      <c r="B118" s="1" t="s">
        <v>361</v>
      </c>
      <c r="C118" s="5">
        <f>HYPERLINK("https://client.unique.diamonds/dna/11098-39","DNA")</f>
      </c>
      <c r="D118" s="1" t="s">
        <v>36</v>
      </c>
      <c r="E118" s="6">
        <v>1.75</v>
      </c>
      <c r="F118" s="1" t="s">
        <v>68</v>
      </c>
      <c r="G118" s="1" t="s">
        <v>38</v>
      </c>
      <c r="H118" s="1" t="s">
        <v>39</v>
      </c>
      <c r="I118" s="1" t="s">
        <v>39</v>
      </c>
      <c r="J118" s="1" t="s">
        <v>39</v>
      </c>
      <c r="K118" s="1" t="s">
        <v>63</v>
      </c>
      <c r="L118" s="4">
        <v>16600</v>
      </c>
      <c r="M118" s="6">
        <v>-26.75</v>
      </c>
      <c r="N118" s="7">
        <f>IF(AND(L118 &lt;&gt; "-", M118 &lt;&gt; "-"),L118*( 1 + M118%),0)</f>
      </c>
      <c r="O118" s="7">
        <f>( N118 * E118 )</f>
      </c>
      <c r="P118" s="1" t="s">
        <v>362</v>
      </c>
      <c r="Q118" s="6">
        <v>1</v>
      </c>
      <c r="R118" s="6">
        <v>62.7</v>
      </c>
      <c r="S118" s="4">
        <v>57</v>
      </c>
      <c r="T118" s="1" t="s">
        <v>42</v>
      </c>
      <c r="U118" s="5">
        <f>HYPERLINK("https://www.gia.edu/report-check?reportno=7422786475","7422786475")</f>
      </c>
      <c r="V118" s="1" t="s">
        <v>43</v>
      </c>
      <c r="W118" s="1" t="s">
        <v>78</v>
      </c>
      <c r="X118" s="1" t="s">
        <v>45</v>
      </c>
      <c r="Y118" s="1" t="s">
        <v>40</v>
      </c>
      <c r="Z118" s="1" t="s">
        <v>46</v>
      </c>
      <c r="AA118" s="1" t="s">
        <v>55</v>
      </c>
      <c r="AB118" s="1" t="s">
        <v>55</v>
      </c>
      <c r="AC118" s="1" t="s">
        <v>48</v>
      </c>
      <c r="AD118" s="1" t="s">
        <v>43</v>
      </c>
      <c r="AE118" s="8">
        <f>IF(L118&lt;&gt;"",L118*E118,0)</f>
      </c>
    </row>
    <row r="119" spans="1:31" x14ac:dyDescent="0.25">
      <c r="A119" s="4">
        <v>114</v>
      </c>
      <c r="B119" s="1" t="s">
        <v>363</v>
      </c>
      <c r="C119" s="5">
        <f>HYPERLINK("https://client.unique.diamonds/dna/11108-144","DNA")</f>
      </c>
      <c r="D119" s="1" t="s">
        <v>36</v>
      </c>
      <c r="E119" s="6">
        <v>1.75</v>
      </c>
      <c r="F119" s="1" t="s">
        <v>62</v>
      </c>
      <c r="G119" s="1" t="s">
        <v>38</v>
      </c>
      <c r="H119" s="1" t="s">
        <v>39</v>
      </c>
      <c r="I119" s="1" t="s">
        <v>39</v>
      </c>
      <c r="J119" s="1" t="s">
        <v>39</v>
      </c>
      <c r="K119" s="1" t="s">
        <v>40</v>
      </c>
      <c r="L119" s="4">
        <v>9900</v>
      </c>
      <c r="M119" s="6">
        <v>-13.25</v>
      </c>
      <c r="N119" s="7">
        <f>IF(AND(L119 &lt;&gt; "-", M119 &lt;&gt; "-"),L119*( 1 + M119%),0)</f>
      </c>
      <c r="O119" s="7">
        <f>( N119 * E119 )</f>
      </c>
      <c r="P119" s="1" t="s">
        <v>364</v>
      </c>
      <c r="Q119" s="6">
        <v>1.01</v>
      </c>
      <c r="R119" s="6">
        <v>62.7</v>
      </c>
      <c r="S119" s="4">
        <v>58</v>
      </c>
      <c r="T119" s="1" t="s">
        <v>42</v>
      </c>
      <c r="U119" s="5">
        <f>HYPERLINK("https://www.gia.edu/report-check?reportno=2437093620","2437093620")</f>
      </c>
      <c r="V119" s="1" t="s">
        <v>43</v>
      </c>
      <c r="W119" s="1" t="s">
        <v>157</v>
      </c>
      <c r="X119" s="1" t="s">
        <v>59</v>
      </c>
      <c r="Y119" s="1" t="s">
        <v>40</v>
      </c>
      <c r="Z119" s="1" t="s">
        <v>59</v>
      </c>
      <c r="AA119" s="1" t="s">
        <v>66</v>
      </c>
      <c r="AB119" s="1" t="s">
        <v>40</v>
      </c>
      <c r="AC119" s="1" t="s">
        <v>48</v>
      </c>
      <c r="AD119" s="1" t="s">
        <v>43</v>
      </c>
      <c r="AE119" s="8">
        <f>IF(L119&lt;&gt;"",L119*E119,0)</f>
      </c>
    </row>
    <row r="120" spans="1:31" x14ac:dyDescent="0.25">
      <c r="A120" s="4">
        <v>115</v>
      </c>
      <c r="B120" s="1" t="s">
        <v>365</v>
      </c>
      <c r="C120" s="5">
        <f>HYPERLINK("https://client.unique.diamonds/dna/11130-14","DNA")</f>
      </c>
      <c r="D120" s="1" t="s">
        <v>36</v>
      </c>
      <c r="E120" s="6">
        <v>1.74</v>
      </c>
      <c r="F120" s="1" t="s">
        <v>62</v>
      </c>
      <c r="G120" s="1" t="s">
        <v>69</v>
      </c>
      <c r="H120" s="1" t="s">
        <v>39</v>
      </c>
      <c r="I120" s="1" t="s">
        <v>39</v>
      </c>
      <c r="J120" s="1" t="s">
        <v>39</v>
      </c>
      <c r="K120" s="1" t="s">
        <v>40</v>
      </c>
      <c r="L120" s="4">
        <v>10500</v>
      </c>
      <c r="M120" s="6">
        <v>-15.75</v>
      </c>
      <c r="N120" s="7">
        <f>IF(AND(L120 &lt;&gt; "-", M120 &lt;&gt; "-"),L120*( 1 + M120%),0)</f>
      </c>
      <c r="O120" s="7">
        <f>( N120 * E120 )</f>
      </c>
      <c r="P120" s="1" t="s">
        <v>366</v>
      </c>
      <c r="Q120" s="6">
        <v>1.01</v>
      </c>
      <c r="R120" s="6">
        <v>62.6</v>
      </c>
      <c r="S120" s="4">
        <v>58</v>
      </c>
      <c r="T120" s="1" t="s">
        <v>42</v>
      </c>
      <c r="U120" s="5">
        <f>HYPERLINK("https://www.gia.edu/report-check?reportno=6432190876","6432190876")</f>
      </c>
      <c r="V120" s="1" t="s">
        <v>43</v>
      </c>
      <c r="W120" s="1" t="s">
        <v>160</v>
      </c>
      <c r="X120" s="1" t="s">
        <v>40</v>
      </c>
      <c r="Y120" s="1" t="s">
        <v>40</v>
      </c>
      <c r="Z120" s="1" t="s">
        <v>46</v>
      </c>
      <c r="AA120" s="1" t="s">
        <v>55</v>
      </c>
      <c r="AB120" s="1" t="s">
        <v>40</v>
      </c>
      <c r="AC120" s="1" t="s">
        <v>48</v>
      </c>
      <c r="AD120" s="1" t="s">
        <v>43</v>
      </c>
      <c r="AE120" s="8">
        <f>IF(L120&lt;&gt;"",L120*E120,0)</f>
      </c>
    </row>
    <row r="121" spans="1:31" x14ac:dyDescent="0.25">
      <c r="A121" s="4">
        <v>116</v>
      </c>
      <c r="B121" s="1" t="s">
        <v>367</v>
      </c>
      <c r="C121" s="5">
        <f>HYPERLINK("https://client.unique.diamonds/dna/12044-115","DNA")</f>
      </c>
      <c r="D121" s="1" t="s">
        <v>36</v>
      </c>
      <c r="E121" s="6">
        <v>1.71</v>
      </c>
      <c r="F121" s="1" t="s">
        <v>62</v>
      </c>
      <c r="G121" s="1" t="s">
        <v>51</v>
      </c>
      <c r="H121" s="1" t="s">
        <v>39</v>
      </c>
      <c r="I121" s="1" t="s">
        <v>39</v>
      </c>
      <c r="J121" s="1" t="s">
        <v>39</v>
      </c>
      <c r="K121" s="1" t="s">
        <v>63</v>
      </c>
      <c r="L121" s="4">
        <v>9100</v>
      </c>
      <c r="M121" s="6">
        <v>-14.45</v>
      </c>
      <c r="N121" s="7">
        <f>IF(AND(L121 &lt;&gt; "-", M121 &lt;&gt; "-"),L121*( 1 + M121%),0)</f>
      </c>
      <c r="O121" s="7">
        <f>( N121 * E121 )</f>
      </c>
      <c r="P121" s="1" t="s">
        <v>368</v>
      </c>
      <c r="Q121" s="6">
        <v>1.01</v>
      </c>
      <c r="R121" s="6">
        <v>62.2</v>
      </c>
      <c r="S121" s="4">
        <v>56</v>
      </c>
      <c r="T121" s="1" t="s">
        <v>42</v>
      </c>
      <c r="U121" s="5">
        <f>HYPERLINK("https://www.gia.edu/report-check?reportno=6435377928","6435377928")</f>
      </c>
      <c r="V121" s="1" t="s">
        <v>43</v>
      </c>
      <c r="W121" s="1" t="s">
        <v>125</v>
      </c>
      <c r="X121" s="1" t="s">
        <v>46</v>
      </c>
      <c r="Y121" s="1" t="s">
        <v>40</v>
      </c>
      <c r="Z121" s="1" t="s">
        <v>46</v>
      </c>
      <c r="AA121" s="1" t="s">
        <v>66</v>
      </c>
      <c r="AB121" s="1" t="s">
        <v>40</v>
      </c>
      <c r="AC121" s="1" t="s">
        <v>48</v>
      </c>
      <c r="AD121" s="1" t="s">
        <v>43</v>
      </c>
      <c r="AE121" s="8">
        <f>IF(L121&lt;&gt;"",L121*E121,0)</f>
      </c>
    </row>
    <row r="122" spans="1:31" x14ac:dyDescent="0.25">
      <c r="A122" s="4">
        <v>117</v>
      </c>
      <c r="B122" s="1" t="s">
        <v>369</v>
      </c>
      <c r="C122" s="5">
        <f>HYPERLINK("https://client.unique.diamonds/dna/11043-42","DNA")</f>
      </c>
      <c r="D122" s="1" t="s">
        <v>36</v>
      </c>
      <c r="E122" s="6">
        <v>1.7</v>
      </c>
      <c r="F122" s="1" t="s">
        <v>173</v>
      </c>
      <c r="G122" s="1" t="s">
        <v>38</v>
      </c>
      <c r="H122" s="1" t="s">
        <v>39</v>
      </c>
      <c r="I122" s="1" t="s">
        <v>39</v>
      </c>
      <c r="J122" s="1" t="s">
        <v>39</v>
      </c>
      <c r="K122" s="1" t="s">
        <v>40</v>
      </c>
      <c r="L122" s="4">
        <v>15500</v>
      </c>
      <c r="M122" s="6">
        <v>-17.25</v>
      </c>
      <c r="N122" s="7">
        <f>IF(AND(L122 &lt;&gt; "-", M122 &lt;&gt; "-"),L122*( 1 + M122%),0)</f>
      </c>
      <c r="O122" s="7">
        <f>( N122 * E122 )</f>
      </c>
      <c r="P122" s="1" t="s">
        <v>370</v>
      </c>
      <c r="Q122" s="6">
        <v>1.01</v>
      </c>
      <c r="R122" s="6">
        <v>62.4</v>
      </c>
      <c r="S122" s="4">
        <v>58</v>
      </c>
      <c r="T122" s="1" t="s">
        <v>42</v>
      </c>
      <c r="U122" s="5">
        <f>HYPERLINK("https://www.gia.edu/report-check?reportno=2426379511","2426379511")</f>
      </c>
      <c r="V122" s="1" t="s">
        <v>43</v>
      </c>
      <c r="W122" s="1" t="s">
        <v>371</v>
      </c>
      <c r="X122" s="1" t="s">
        <v>46</v>
      </c>
      <c r="Y122" s="1" t="s">
        <v>40</v>
      </c>
      <c r="Z122" s="1" t="s">
        <v>46</v>
      </c>
      <c r="AA122" s="1" t="s">
        <v>55</v>
      </c>
      <c r="AB122" s="1" t="s">
        <v>40</v>
      </c>
      <c r="AC122" s="1" t="s">
        <v>48</v>
      </c>
      <c r="AD122" s="1" t="s">
        <v>43</v>
      </c>
      <c r="AE122" s="8">
        <f>IF(L122&lt;&gt;"",L122*E122,0)</f>
      </c>
    </row>
    <row r="123" spans="1:31" x14ac:dyDescent="0.25">
      <c r="A123" s="4">
        <v>118</v>
      </c>
      <c r="B123" s="1" t="s">
        <v>372</v>
      </c>
      <c r="C123" s="5">
        <f>HYPERLINK("https://client.unique.diamonds/dna/11140-3","DNA")</f>
      </c>
      <c r="D123" s="1" t="s">
        <v>36</v>
      </c>
      <c r="E123" s="6">
        <v>1.7</v>
      </c>
      <c r="F123" s="1" t="s">
        <v>173</v>
      </c>
      <c r="G123" s="1" t="s">
        <v>51</v>
      </c>
      <c r="H123" s="1" t="s">
        <v>39</v>
      </c>
      <c r="I123" s="1" t="s">
        <v>39</v>
      </c>
      <c r="J123" s="1" t="s">
        <v>39</v>
      </c>
      <c r="K123" s="1" t="s">
        <v>40</v>
      </c>
      <c r="L123" s="4">
        <v>12700</v>
      </c>
      <c r="M123" s="6">
        <v>-18.5</v>
      </c>
      <c r="N123" s="7">
        <f>IF(AND(L123 &lt;&gt; "-", M123 &lt;&gt; "-"),L123*( 1 + M123%),0)</f>
      </c>
      <c r="O123" s="7">
        <f>( N123 * E123 )</f>
      </c>
      <c r="P123" s="1" t="s">
        <v>373</v>
      </c>
      <c r="Q123" s="6">
        <v>1.01</v>
      </c>
      <c r="R123" s="6">
        <v>62.5</v>
      </c>
      <c r="S123" s="4">
        <v>60</v>
      </c>
      <c r="T123" s="1" t="s">
        <v>42</v>
      </c>
      <c r="U123" s="5">
        <f>HYPERLINK("https://www.gia.edu/report-check?reportno=1438273459","1438273459")</f>
      </c>
      <c r="V123" s="1" t="s">
        <v>43</v>
      </c>
      <c r="W123" s="1" t="s">
        <v>58</v>
      </c>
      <c r="X123" s="1" t="s">
        <v>45</v>
      </c>
      <c r="Y123" s="1" t="s">
        <v>40</v>
      </c>
      <c r="Z123" s="1" t="s">
        <v>46</v>
      </c>
      <c r="AA123" s="1" t="s">
        <v>55</v>
      </c>
      <c r="AB123" s="1" t="s">
        <v>40</v>
      </c>
      <c r="AC123" s="1" t="s">
        <v>48</v>
      </c>
      <c r="AD123" s="1" t="s">
        <v>43</v>
      </c>
      <c r="AE123" s="8">
        <f>IF(L123&lt;&gt;"",L123*E123,0)</f>
      </c>
    </row>
    <row r="124" spans="1:31" x14ac:dyDescent="0.25">
      <c r="A124" s="4">
        <v>119</v>
      </c>
      <c r="B124" s="1" t="s">
        <v>374</v>
      </c>
      <c r="C124" s="5">
        <f>HYPERLINK("https://client.unique.diamonds/dna/11051-2","DNA")</f>
      </c>
      <c r="D124" s="1" t="s">
        <v>36</v>
      </c>
      <c r="E124" s="6">
        <v>1.7</v>
      </c>
      <c r="F124" s="1" t="s">
        <v>91</v>
      </c>
      <c r="G124" s="1" t="s">
        <v>69</v>
      </c>
      <c r="H124" s="1" t="s">
        <v>39</v>
      </c>
      <c r="I124" s="1" t="s">
        <v>39</v>
      </c>
      <c r="J124" s="1" t="s">
        <v>39</v>
      </c>
      <c r="K124" s="1" t="s">
        <v>40</v>
      </c>
      <c r="L124" s="4">
        <v>16200</v>
      </c>
      <c r="M124" s="6">
        <v>-18</v>
      </c>
      <c r="N124" s="7">
        <f>IF(AND(L124 &lt;&gt; "-", M124 &lt;&gt; "-"),L124*( 1 + M124%),0)</f>
      </c>
      <c r="O124" s="7">
        <f>( N124 * E124 )</f>
      </c>
      <c r="P124" s="1" t="s">
        <v>375</v>
      </c>
      <c r="Q124" s="6">
        <v>1.01</v>
      </c>
      <c r="R124" s="6">
        <v>62.5</v>
      </c>
      <c r="S124" s="4">
        <v>56</v>
      </c>
      <c r="T124" s="1" t="s">
        <v>42</v>
      </c>
      <c r="U124" s="5">
        <f>HYPERLINK("https://www.gia.edu/report-check?reportno=2417880331","2417880331")</f>
      </c>
      <c r="V124" s="1" t="s">
        <v>43</v>
      </c>
      <c r="W124" s="1" t="s">
        <v>128</v>
      </c>
      <c r="X124" s="1" t="s">
        <v>75</v>
      </c>
      <c r="Y124" s="1" t="s">
        <v>40</v>
      </c>
      <c r="Z124" s="1" t="s">
        <v>46</v>
      </c>
      <c r="AA124" s="1" t="s">
        <v>40</v>
      </c>
      <c r="AB124" s="1" t="s">
        <v>40</v>
      </c>
      <c r="AC124" s="1" t="s">
        <v>48</v>
      </c>
      <c r="AD124" s="1" t="s">
        <v>43</v>
      </c>
      <c r="AE124" s="8">
        <f>IF(L124&lt;&gt;"",L124*E124,0)</f>
      </c>
    </row>
    <row r="125" spans="1:31" x14ac:dyDescent="0.25">
      <c r="A125" s="4">
        <v>120</v>
      </c>
      <c r="B125" s="1" t="s">
        <v>376</v>
      </c>
      <c r="C125" s="5">
        <f>HYPERLINK("https://client.unique.diamonds/dna/11097-17","DNA")</f>
      </c>
      <c r="D125" s="1" t="s">
        <v>36</v>
      </c>
      <c r="E125" s="6">
        <v>1.7</v>
      </c>
      <c r="F125" s="1" t="s">
        <v>91</v>
      </c>
      <c r="G125" s="1" t="s">
        <v>69</v>
      </c>
      <c r="H125" s="1" t="s">
        <v>39</v>
      </c>
      <c r="I125" s="1" t="s">
        <v>39</v>
      </c>
      <c r="J125" s="1" t="s">
        <v>39</v>
      </c>
      <c r="K125" s="1" t="s">
        <v>40</v>
      </c>
      <c r="L125" s="4">
        <v>16200</v>
      </c>
      <c r="M125" s="6">
        <v>-19.5</v>
      </c>
      <c r="N125" s="7">
        <f>IF(AND(L125 &lt;&gt; "-", M125 &lt;&gt; "-"),L125*( 1 + M125%),0)</f>
      </c>
      <c r="O125" s="7">
        <f>( N125 * E125 )</f>
      </c>
      <c r="P125" s="1" t="s">
        <v>377</v>
      </c>
      <c r="Q125" s="6">
        <v>1</v>
      </c>
      <c r="R125" s="6">
        <v>59.5</v>
      </c>
      <c r="S125" s="4">
        <v>60</v>
      </c>
      <c r="T125" s="1" t="s">
        <v>42</v>
      </c>
      <c r="U125" s="5">
        <f>HYPERLINK("https://www.gia.edu/report-check?reportno=1429889394","1429889394")</f>
      </c>
      <c r="V125" s="1" t="s">
        <v>43</v>
      </c>
      <c r="W125" s="1" t="s">
        <v>154</v>
      </c>
      <c r="X125" s="1" t="s">
        <v>45</v>
      </c>
      <c r="Y125" s="1" t="s">
        <v>40</v>
      </c>
      <c r="Z125" s="1" t="s">
        <v>40</v>
      </c>
      <c r="AA125" s="1" t="s">
        <v>55</v>
      </c>
      <c r="AB125" s="1" t="s">
        <v>40</v>
      </c>
      <c r="AC125" s="1" t="s">
        <v>48</v>
      </c>
      <c r="AD125" s="1" t="s">
        <v>43</v>
      </c>
      <c r="AE125" s="8">
        <f>IF(L125&lt;&gt;"",L125*E125,0)</f>
      </c>
    </row>
    <row r="126" spans="1:31" x14ac:dyDescent="0.25">
      <c r="A126" s="4">
        <v>121</v>
      </c>
      <c r="B126" s="1" t="s">
        <v>378</v>
      </c>
      <c r="C126" s="5">
        <f>HYPERLINK("https://client.unique.diamonds/dna/11042-21","DNA")</f>
      </c>
      <c r="D126" s="1" t="s">
        <v>36</v>
      </c>
      <c r="E126" s="6">
        <v>1.7</v>
      </c>
      <c r="F126" s="1" t="s">
        <v>91</v>
      </c>
      <c r="G126" s="1" t="s">
        <v>38</v>
      </c>
      <c r="H126" s="1" t="s">
        <v>39</v>
      </c>
      <c r="I126" s="1" t="s">
        <v>39</v>
      </c>
      <c r="J126" s="1" t="s">
        <v>39</v>
      </c>
      <c r="K126" s="1" t="s">
        <v>40</v>
      </c>
      <c r="L126" s="4">
        <v>14500</v>
      </c>
      <c r="M126" s="6">
        <v>-16.75</v>
      </c>
      <c r="N126" s="7">
        <f>IF(AND(L126 &lt;&gt; "-", M126 &lt;&gt; "-"),L126*( 1 + M126%),0)</f>
      </c>
      <c r="O126" s="7">
        <f>( N126 * E126 )</f>
      </c>
      <c r="P126" s="1" t="s">
        <v>379</v>
      </c>
      <c r="Q126" s="6">
        <v>1</v>
      </c>
      <c r="R126" s="6">
        <v>61.4</v>
      </c>
      <c r="S126" s="4">
        <v>60</v>
      </c>
      <c r="T126" s="1" t="s">
        <v>42</v>
      </c>
      <c r="U126" s="5">
        <f>HYPERLINK("https://www.gia.edu/report-check?reportno=1427426296","1427426296")</f>
      </c>
      <c r="V126" s="1" t="s">
        <v>43</v>
      </c>
      <c r="W126" s="1" t="s">
        <v>78</v>
      </c>
      <c r="X126" s="1" t="s">
        <v>46</v>
      </c>
      <c r="Y126" s="1" t="s">
        <v>40</v>
      </c>
      <c r="Z126" s="1" t="s">
        <v>40</v>
      </c>
      <c r="AA126" s="1" t="s">
        <v>55</v>
      </c>
      <c r="AB126" s="1" t="s">
        <v>55</v>
      </c>
      <c r="AC126" s="1" t="s">
        <v>85</v>
      </c>
      <c r="AD126" s="1" t="s">
        <v>43</v>
      </c>
      <c r="AE126" s="8">
        <f>IF(L126&lt;&gt;"",L126*E126,0)</f>
      </c>
    </row>
    <row r="127" spans="1:31" x14ac:dyDescent="0.25">
      <c r="A127" s="4">
        <v>122</v>
      </c>
      <c r="B127" s="1" t="s">
        <v>380</v>
      </c>
      <c r="C127" s="5">
        <f>HYPERLINK("https://client.unique.diamonds/dna/11046-9","DNA")</f>
      </c>
      <c r="D127" s="1" t="s">
        <v>36</v>
      </c>
      <c r="E127" s="6">
        <v>1.7</v>
      </c>
      <c r="F127" s="1" t="s">
        <v>91</v>
      </c>
      <c r="G127" s="1" t="s">
        <v>38</v>
      </c>
      <c r="H127" s="1" t="s">
        <v>39</v>
      </c>
      <c r="I127" s="1" t="s">
        <v>39</v>
      </c>
      <c r="J127" s="1" t="s">
        <v>39</v>
      </c>
      <c r="K127" s="1" t="s">
        <v>40</v>
      </c>
      <c r="L127" s="4">
        <v>14500</v>
      </c>
      <c r="M127" s="6">
        <v>-16.75</v>
      </c>
      <c r="N127" s="7">
        <f>IF(AND(L127 &lt;&gt; "-", M127 &lt;&gt; "-"),L127*( 1 + M127%),0)</f>
      </c>
      <c r="O127" s="7">
        <f>( N127 * E127 )</f>
      </c>
      <c r="P127" s="1" t="s">
        <v>381</v>
      </c>
      <c r="Q127" s="6">
        <v>1.01</v>
      </c>
      <c r="R127" s="6">
        <v>60.3</v>
      </c>
      <c r="S127" s="4">
        <v>59</v>
      </c>
      <c r="T127" s="1" t="s">
        <v>42</v>
      </c>
      <c r="U127" s="5">
        <f>HYPERLINK("https://www.gia.edu/report-check?reportno=2426336524","2426336524")</f>
      </c>
      <c r="V127" s="1" t="s">
        <v>43</v>
      </c>
      <c r="W127" s="1" t="s">
        <v>273</v>
      </c>
      <c r="X127" s="1" t="s">
        <v>46</v>
      </c>
      <c r="Y127" s="1" t="s">
        <v>40</v>
      </c>
      <c r="Z127" s="1" t="s">
        <v>46</v>
      </c>
      <c r="AA127" s="1" t="s">
        <v>40</v>
      </c>
      <c r="AB127" s="1" t="s">
        <v>47</v>
      </c>
      <c r="AC127" s="1" t="s">
        <v>85</v>
      </c>
      <c r="AD127" s="1" t="s">
        <v>43</v>
      </c>
      <c r="AE127" s="8">
        <f>IF(L127&lt;&gt;"",L127*E127,0)</f>
      </c>
    </row>
    <row r="128" spans="1:31" x14ac:dyDescent="0.25">
      <c r="A128" s="4">
        <v>123</v>
      </c>
      <c r="B128" s="1" t="s">
        <v>382</v>
      </c>
      <c r="C128" s="5">
        <f>HYPERLINK("https://client.unique.diamonds/dna/12044-123","DNA")</f>
      </c>
      <c r="D128" s="1" t="s">
        <v>36</v>
      </c>
      <c r="E128" s="6">
        <v>1.7</v>
      </c>
      <c r="F128" s="1" t="s">
        <v>91</v>
      </c>
      <c r="G128" s="1" t="s">
        <v>51</v>
      </c>
      <c r="H128" s="1" t="s">
        <v>39</v>
      </c>
      <c r="I128" s="1" t="s">
        <v>39</v>
      </c>
      <c r="J128" s="1" t="s">
        <v>39</v>
      </c>
      <c r="K128" s="1" t="s">
        <v>63</v>
      </c>
      <c r="L128" s="4">
        <v>11900</v>
      </c>
      <c r="M128" s="6">
        <v>-16.45</v>
      </c>
      <c r="N128" s="7">
        <f>IF(AND(L128 &lt;&gt; "-", M128 &lt;&gt; "-"),L128*( 1 + M128%),0)</f>
      </c>
      <c r="O128" s="7">
        <f>( N128 * E128 )</f>
      </c>
      <c r="P128" s="1" t="s">
        <v>383</v>
      </c>
      <c r="Q128" s="6">
        <v>1.01</v>
      </c>
      <c r="R128" s="6">
        <v>62.6</v>
      </c>
      <c r="S128" s="4">
        <v>59</v>
      </c>
      <c r="T128" s="1" t="s">
        <v>42</v>
      </c>
      <c r="U128" s="5">
        <f>HYPERLINK("https://www.gia.edu/report-check?reportno=6431377934","6431377934")</f>
      </c>
      <c r="V128" s="1" t="s">
        <v>43</v>
      </c>
      <c r="W128" s="1" t="s">
        <v>189</v>
      </c>
      <c r="X128" s="1" t="s">
        <v>46</v>
      </c>
      <c r="Y128" s="1" t="s">
        <v>40</v>
      </c>
      <c r="Z128" s="1" t="s">
        <v>46</v>
      </c>
      <c r="AA128" s="1" t="s">
        <v>55</v>
      </c>
      <c r="AB128" s="1" t="s">
        <v>55</v>
      </c>
      <c r="AC128" s="1" t="s">
        <v>85</v>
      </c>
      <c r="AD128" s="1" t="s">
        <v>43</v>
      </c>
      <c r="AE128" s="8">
        <f>IF(L128&lt;&gt;"",L128*E128,0)</f>
      </c>
    </row>
    <row r="129" spans="1:31" x14ac:dyDescent="0.25">
      <c r="A129" s="4">
        <v>124</v>
      </c>
      <c r="B129" s="1" t="s">
        <v>384</v>
      </c>
      <c r="C129" s="5">
        <f>HYPERLINK("https://client.unique.diamonds/dna/12040-46","DNA")</f>
      </c>
      <c r="D129" s="1" t="s">
        <v>36</v>
      </c>
      <c r="E129" s="6">
        <v>1.7</v>
      </c>
      <c r="F129" s="1" t="s">
        <v>91</v>
      </c>
      <c r="G129" s="1" t="s">
        <v>87</v>
      </c>
      <c r="H129" s="1" t="s">
        <v>39</v>
      </c>
      <c r="I129" s="1" t="s">
        <v>39</v>
      </c>
      <c r="J129" s="1" t="s">
        <v>39</v>
      </c>
      <c r="K129" s="1" t="s">
        <v>114</v>
      </c>
      <c r="L129" s="4">
        <v>9600</v>
      </c>
      <c r="M129" s="6">
        <v>-23.45</v>
      </c>
      <c r="N129" s="7">
        <f>IF(AND(L129 &lt;&gt; "-", M129 &lt;&gt; "-"),L129*( 1 + M129%),0)</f>
      </c>
      <c r="O129" s="7">
        <f>( N129 * E129 )</f>
      </c>
      <c r="P129" s="1" t="s">
        <v>385</v>
      </c>
      <c r="Q129" s="6">
        <v>1.01</v>
      </c>
      <c r="R129" s="6">
        <v>59.8</v>
      </c>
      <c r="S129" s="4">
        <v>60</v>
      </c>
      <c r="T129" s="1" t="s">
        <v>42</v>
      </c>
      <c r="U129" s="5">
        <f>HYPERLINK("https://www.gia.edu/report-check?reportno=6432565201","6432565201")</f>
      </c>
      <c r="V129" s="1" t="s">
        <v>43</v>
      </c>
      <c r="W129" s="1" t="s">
        <v>171</v>
      </c>
      <c r="X129" s="1" t="s">
        <v>54</v>
      </c>
      <c r="Y129" s="1" t="s">
        <v>40</v>
      </c>
      <c r="Z129" s="1" t="s">
        <v>177</v>
      </c>
      <c r="AA129" s="1" t="s">
        <v>66</v>
      </c>
      <c r="AB129" s="1" t="s">
        <v>47</v>
      </c>
      <c r="AC129" s="1" t="s">
        <v>60</v>
      </c>
      <c r="AD129" s="1" t="s">
        <v>43</v>
      </c>
      <c r="AE129" s="8">
        <f>IF(L129&lt;&gt;"",L129*E129,0)</f>
      </c>
    </row>
    <row r="130" spans="1:31" x14ac:dyDescent="0.25">
      <c r="A130" s="4">
        <v>125</v>
      </c>
      <c r="B130" s="1" t="s">
        <v>386</v>
      </c>
      <c r="C130" s="5">
        <f>HYPERLINK("https://client.unique.diamonds/dna/11016-8","DNA")</f>
      </c>
      <c r="D130" s="1" t="s">
        <v>36</v>
      </c>
      <c r="E130" s="6">
        <v>1.7</v>
      </c>
      <c r="F130" s="1" t="s">
        <v>98</v>
      </c>
      <c r="G130" s="1" t="s">
        <v>69</v>
      </c>
      <c r="H130" s="1" t="s">
        <v>39</v>
      </c>
      <c r="I130" s="1" t="s">
        <v>39</v>
      </c>
      <c r="J130" s="1" t="s">
        <v>39</v>
      </c>
      <c r="K130" s="1" t="s">
        <v>40</v>
      </c>
      <c r="L130" s="4">
        <v>14300</v>
      </c>
      <c r="M130" s="6">
        <v>-17</v>
      </c>
      <c r="N130" s="7">
        <f>IF(AND(L130 &lt;&gt; "-", M130 &lt;&gt; "-"),L130*( 1 + M130%),0)</f>
      </c>
      <c r="O130" s="7">
        <f>( N130 * E130 )</f>
      </c>
      <c r="P130" s="1" t="s">
        <v>387</v>
      </c>
      <c r="Q130" s="6">
        <v>1.01</v>
      </c>
      <c r="R130" s="6">
        <v>62.6</v>
      </c>
      <c r="S130" s="4">
        <v>59</v>
      </c>
      <c r="T130" s="1" t="s">
        <v>42</v>
      </c>
      <c r="U130" s="5">
        <f>HYPERLINK("https://www.gia.edu/report-check?reportno=3425062738","3425062738")</f>
      </c>
      <c r="V130" s="1" t="s">
        <v>43</v>
      </c>
      <c r="W130" s="1" t="s">
        <v>388</v>
      </c>
      <c r="X130" s="1" t="s">
        <v>59</v>
      </c>
      <c r="Y130" s="1" t="s">
        <v>40</v>
      </c>
      <c r="Z130" s="1" t="s">
        <v>46</v>
      </c>
      <c r="AA130" s="1" t="s">
        <v>66</v>
      </c>
      <c r="AB130" s="1" t="s">
        <v>40</v>
      </c>
      <c r="AC130" s="1" t="s">
        <v>48</v>
      </c>
      <c r="AD130" s="1" t="s">
        <v>43</v>
      </c>
      <c r="AE130" s="8">
        <f>IF(L130&lt;&gt;"",L130*E130,0)</f>
      </c>
    </row>
    <row r="131" spans="1:31" x14ac:dyDescent="0.25">
      <c r="A131" s="4">
        <v>126</v>
      </c>
      <c r="B131" s="1" t="s">
        <v>389</v>
      </c>
      <c r="C131" s="5">
        <f>HYPERLINK("https://client.unique.diamonds/dna/11108-49","DNA")</f>
      </c>
      <c r="D131" s="1" t="s">
        <v>36</v>
      </c>
      <c r="E131" s="6">
        <v>1.7</v>
      </c>
      <c r="F131" s="1" t="s">
        <v>37</v>
      </c>
      <c r="G131" s="1" t="s">
        <v>38</v>
      </c>
      <c r="H131" s="1" t="s">
        <v>39</v>
      </c>
      <c r="I131" s="1" t="s">
        <v>39</v>
      </c>
      <c r="J131" s="1" t="s">
        <v>39</v>
      </c>
      <c r="K131" s="1" t="s">
        <v>114</v>
      </c>
      <c r="L131" s="4">
        <v>11700</v>
      </c>
      <c r="M131" s="6">
        <v>-26.5</v>
      </c>
      <c r="N131" s="7">
        <f>IF(AND(L131 &lt;&gt; "-", M131 &lt;&gt; "-"),L131*( 1 + M131%),0)</f>
      </c>
      <c r="O131" s="7">
        <f>( N131 * E131 )</f>
      </c>
      <c r="P131" s="1" t="s">
        <v>390</v>
      </c>
      <c r="Q131" s="6">
        <v>1.01</v>
      </c>
      <c r="R131" s="6">
        <v>63</v>
      </c>
      <c r="S131" s="4">
        <v>55</v>
      </c>
      <c r="T131" s="1" t="s">
        <v>42</v>
      </c>
      <c r="U131" s="5">
        <f>HYPERLINK("https://www.gia.edu/report-check?reportno=3425969045","3425969045")</f>
      </c>
      <c r="V131" s="1" t="s">
        <v>43</v>
      </c>
      <c r="W131" s="1" t="s">
        <v>189</v>
      </c>
      <c r="X131" s="1" t="s">
        <v>45</v>
      </c>
      <c r="Y131" s="1" t="s">
        <v>40</v>
      </c>
      <c r="Z131" s="1" t="s">
        <v>46</v>
      </c>
      <c r="AA131" s="1" t="s">
        <v>40</v>
      </c>
      <c r="AB131" s="1" t="s">
        <v>40</v>
      </c>
      <c r="AC131" s="1" t="s">
        <v>48</v>
      </c>
      <c r="AD131" s="1" t="s">
        <v>43</v>
      </c>
      <c r="AE131" s="8">
        <f>IF(L131&lt;&gt;"",L131*E131,0)</f>
      </c>
    </row>
    <row r="132" spans="1:31" x14ac:dyDescent="0.25">
      <c r="A132" s="4">
        <v>127</v>
      </c>
      <c r="B132" s="1" t="s">
        <v>391</v>
      </c>
      <c r="C132" s="5">
        <f>HYPERLINK("https://client.unique.diamonds/dna/11041-56","DNA")</f>
      </c>
      <c r="D132" s="1" t="s">
        <v>36</v>
      </c>
      <c r="E132" s="6">
        <v>1.7</v>
      </c>
      <c r="F132" s="1" t="s">
        <v>37</v>
      </c>
      <c r="G132" s="1" t="s">
        <v>38</v>
      </c>
      <c r="H132" s="1" t="s">
        <v>39</v>
      </c>
      <c r="I132" s="1" t="s">
        <v>39</v>
      </c>
      <c r="J132" s="1" t="s">
        <v>39</v>
      </c>
      <c r="K132" s="1" t="s">
        <v>40</v>
      </c>
      <c r="L132" s="4">
        <v>11700</v>
      </c>
      <c r="M132" s="6">
        <v>-13.75</v>
      </c>
      <c r="N132" s="7">
        <f>IF(AND(L132 &lt;&gt; "-", M132 &lt;&gt; "-"),L132*( 1 + M132%),0)</f>
      </c>
      <c r="O132" s="7">
        <f>( N132 * E132 )</f>
      </c>
      <c r="P132" s="1" t="s">
        <v>383</v>
      </c>
      <c r="Q132" s="6">
        <v>1.01</v>
      </c>
      <c r="R132" s="6">
        <v>62.7</v>
      </c>
      <c r="S132" s="4">
        <v>56</v>
      </c>
      <c r="T132" s="1" t="s">
        <v>42</v>
      </c>
      <c r="U132" s="5">
        <f>HYPERLINK("https://www.gia.edu/report-check?reportno=2424460889","2424460889")</f>
      </c>
      <c r="V132" s="1" t="s">
        <v>43</v>
      </c>
      <c r="W132" s="1" t="s">
        <v>225</v>
      </c>
      <c r="X132" s="1" t="s">
        <v>75</v>
      </c>
      <c r="Y132" s="1" t="s">
        <v>40</v>
      </c>
      <c r="Z132" s="1" t="s">
        <v>46</v>
      </c>
      <c r="AA132" s="1" t="s">
        <v>40</v>
      </c>
      <c r="AB132" s="1" t="s">
        <v>40</v>
      </c>
      <c r="AC132" s="1" t="s">
        <v>48</v>
      </c>
      <c r="AD132" s="1" t="s">
        <v>43</v>
      </c>
      <c r="AE132" s="8">
        <f>IF(L132&lt;&gt;"",L132*E132,0)</f>
      </c>
    </row>
    <row r="133" spans="1:31" x14ac:dyDescent="0.25">
      <c r="A133" s="4">
        <v>128</v>
      </c>
      <c r="B133" s="1" t="s">
        <v>392</v>
      </c>
      <c r="C133" s="5">
        <f>HYPERLINK("https://client.unique.diamonds/dna/11098-126","DNA")</f>
      </c>
      <c r="D133" s="1" t="s">
        <v>36</v>
      </c>
      <c r="E133" s="6">
        <v>1.7</v>
      </c>
      <c r="F133" s="1" t="s">
        <v>62</v>
      </c>
      <c r="G133" s="1" t="s">
        <v>69</v>
      </c>
      <c r="H133" s="1" t="s">
        <v>39</v>
      </c>
      <c r="I133" s="1" t="s">
        <v>39</v>
      </c>
      <c r="J133" s="1" t="s">
        <v>39</v>
      </c>
      <c r="K133" s="1" t="s">
        <v>40</v>
      </c>
      <c r="L133" s="4">
        <v>10500</v>
      </c>
      <c r="M133" s="6">
        <v>-13.5</v>
      </c>
      <c r="N133" s="7">
        <f>IF(AND(L133 &lt;&gt; "-", M133 &lt;&gt; "-"),L133*( 1 + M133%),0)</f>
      </c>
      <c r="O133" s="7">
        <f>( N133 * E133 )</f>
      </c>
      <c r="P133" s="1" t="s">
        <v>393</v>
      </c>
      <c r="Q133" s="6">
        <v>1.01</v>
      </c>
      <c r="R133" s="6">
        <v>62.9</v>
      </c>
      <c r="S133" s="4">
        <v>58</v>
      </c>
      <c r="T133" s="1" t="s">
        <v>42</v>
      </c>
      <c r="U133" s="5">
        <f>HYPERLINK("https://www.gia.edu/report-check?reportno=6422968886","6422968886")</f>
      </c>
      <c r="V133" s="1" t="s">
        <v>43</v>
      </c>
      <c r="W133" s="1" t="s">
        <v>394</v>
      </c>
      <c r="X133" s="1" t="s">
        <v>75</v>
      </c>
      <c r="Y133" s="1" t="s">
        <v>40</v>
      </c>
      <c r="Z133" s="1" t="s">
        <v>46</v>
      </c>
      <c r="AA133" s="1" t="s">
        <v>40</v>
      </c>
      <c r="AB133" s="1" t="s">
        <v>40</v>
      </c>
      <c r="AC133" s="1" t="s">
        <v>48</v>
      </c>
      <c r="AD133" s="1" t="s">
        <v>43</v>
      </c>
      <c r="AE133" s="8">
        <f>IF(L133&lt;&gt;"",L133*E133,0)</f>
      </c>
    </row>
    <row r="134" spans="1:31" x14ac:dyDescent="0.25">
      <c r="A134" s="4">
        <v>129</v>
      </c>
      <c r="B134" s="1" t="s">
        <v>395</v>
      </c>
      <c r="C134" s="5">
        <f>HYPERLINK("https://client.unique.diamonds/dna/141444-3","DNA")</f>
      </c>
      <c r="D134" s="1" t="s">
        <v>36</v>
      </c>
      <c r="E134" s="6">
        <v>1.7</v>
      </c>
      <c r="F134" s="1" t="s">
        <v>62</v>
      </c>
      <c r="G134" s="1" t="s">
        <v>38</v>
      </c>
      <c r="H134" s="1" t="s">
        <v>39</v>
      </c>
      <c r="I134" s="1" t="s">
        <v>39</v>
      </c>
      <c r="J134" s="1" t="s">
        <v>39</v>
      </c>
      <c r="K134" s="1" t="s">
        <v>40</v>
      </c>
      <c r="L134" s="4">
        <v>9900</v>
      </c>
      <c r="M134" s="6">
        <v>-15</v>
      </c>
      <c r="N134" s="7">
        <f>IF(AND(L134 &lt;&gt; "-", M134 &lt;&gt; "-"),L134*( 1 + M134%),0)</f>
      </c>
      <c r="O134" s="7">
        <f>( N134 * E134 )</f>
      </c>
      <c r="P134" s="1" t="s">
        <v>396</v>
      </c>
      <c r="Q134" s="6">
        <v>1.01</v>
      </c>
      <c r="R134" s="6">
        <v>61.8</v>
      </c>
      <c r="S134" s="4">
        <v>59</v>
      </c>
      <c r="T134" s="1" t="s">
        <v>42</v>
      </c>
      <c r="U134" s="5">
        <f>HYPERLINK("https://www.gia.edu/report-check?reportno=2416596955","2416596955")</f>
      </c>
      <c r="V134" s="1" t="s">
        <v>43</v>
      </c>
      <c r="W134" s="1" t="s">
        <v>397</v>
      </c>
      <c r="X134" s="1" t="s">
        <v>59</v>
      </c>
      <c r="Y134" s="1" t="s">
        <v>40</v>
      </c>
      <c r="Z134" s="1" t="s">
        <v>46</v>
      </c>
      <c r="AA134" s="1" t="s">
        <v>66</v>
      </c>
      <c r="AB134" s="1" t="s">
        <v>47</v>
      </c>
      <c r="AC134" s="1" t="s">
        <v>48</v>
      </c>
      <c r="AD134" s="1" t="s">
        <v>43</v>
      </c>
      <c r="AE134" s="8">
        <f>IF(L134&lt;&gt;"",L134*E134,0)</f>
      </c>
    </row>
    <row r="135" spans="1:31" x14ac:dyDescent="0.25">
      <c r="A135" s="4">
        <v>130</v>
      </c>
      <c r="B135" s="1" t="s">
        <v>398</v>
      </c>
      <c r="C135" s="5">
        <f>HYPERLINK("https://client.unique.diamonds/dna/11118-41","DNA")</f>
      </c>
      <c r="D135" s="1" t="s">
        <v>36</v>
      </c>
      <c r="E135" s="6">
        <v>1.7</v>
      </c>
      <c r="F135" s="1" t="s">
        <v>62</v>
      </c>
      <c r="G135" s="1" t="s">
        <v>51</v>
      </c>
      <c r="H135" s="1" t="s">
        <v>39</v>
      </c>
      <c r="I135" s="1" t="s">
        <v>39</v>
      </c>
      <c r="J135" s="1" t="s">
        <v>39</v>
      </c>
      <c r="K135" s="1" t="s">
        <v>40</v>
      </c>
      <c r="L135" s="4">
        <v>9100</v>
      </c>
      <c r="M135" s="6">
        <v>-13.25</v>
      </c>
      <c r="N135" s="7">
        <f>IF(AND(L135 &lt;&gt; "-", M135 &lt;&gt; "-"),L135*( 1 + M135%),0)</f>
      </c>
      <c r="O135" s="7">
        <f>( N135 * E135 )</f>
      </c>
      <c r="P135" s="1" t="s">
        <v>399</v>
      </c>
      <c r="Q135" s="6">
        <v>1.01</v>
      </c>
      <c r="R135" s="6">
        <v>62.1</v>
      </c>
      <c r="S135" s="4">
        <v>57</v>
      </c>
      <c r="T135" s="1" t="s">
        <v>42</v>
      </c>
      <c r="U135" s="5">
        <f>HYPERLINK("https://www.gia.edu/report-check?reportno=7438200680","7438200680")</f>
      </c>
      <c r="V135" s="1" t="s">
        <v>43</v>
      </c>
      <c r="W135" s="1" t="s">
        <v>78</v>
      </c>
      <c r="X135" s="1" t="s">
        <v>46</v>
      </c>
      <c r="Y135" s="1" t="s">
        <v>40</v>
      </c>
      <c r="Z135" s="1" t="s">
        <v>45</v>
      </c>
      <c r="AA135" s="1" t="s">
        <v>66</v>
      </c>
      <c r="AB135" s="1" t="s">
        <v>40</v>
      </c>
      <c r="AC135" s="1" t="s">
        <v>60</v>
      </c>
      <c r="AD135" s="1" t="s">
        <v>43</v>
      </c>
      <c r="AE135" s="8">
        <f>IF(L135&lt;&gt;"",L135*E135,0)</f>
      </c>
    </row>
    <row r="136" spans="1:31" x14ac:dyDescent="0.25">
      <c r="A136" s="4">
        <v>131</v>
      </c>
      <c r="B136" s="1" t="s">
        <v>400</v>
      </c>
      <c r="C136" s="5">
        <f>HYPERLINK("https://client.unique.diamonds/dna/11118-42","DNA")</f>
      </c>
      <c r="D136" s="1" t="s">
        <v>36</v>
      </c>
      <c r="E136" s="6">
        <v>1.7</v>
      </c>
      <c r="F136" s="1" t="s">
        <v>62</v>
      </c>
      <c r="G136" s="1" t="s">
        <v>51</v>
      </c>
      <c r="H136" s="1" t="s">
        <v>39</v>
      </c>
      <c r="I136" s="1" t="s">
        <v>39</v>
      </c>
      <c r="J136" s="1" t="s">
        <v>39</v>
      </c>
      <c r="K136" s="1" t="s">
        <v>40</v>
      </c>
      <c r="L136" s="4">
        <v>9100</v>
      </c>
      <c r="M136" s="6">
        <v>-18.25</v>
      </c>
      <c r="N136" s="7">
        <f>IF(AND(L136 &lt;&gt; "-", M136 &lt;&gt; "-"),L136*( 1 + M136%),0)</f>
      </c>
      <c r="O136" s="7">
        <f>( N136 * E136 )</f>
      </c>
      <c r="P136" s="1" t="s">
        <v>401</v>
      </c>
      <c r="Q136" s="6">
        <v>1.01</v>
      </c>
      <c r="R136" s="6">
        <v>60.5</v>
      </c>
      <c r="S136" s="4">
        <v>58</v>
      </c>
      <c r="T136" s="1" t="s">
        <v>42</v>
      </c>
      <c r="U136" s="5">
        <f>HYPERLINK("https://www.gia.edu/report-check?reportno=7432201062","7432201062")</f>
      </c>
      <c r="V136" s="1" t="s">
        <v>43</v>
      </c>
      <c r="W136" s="1" t="s">
        <v>402</v>
      </c>
      <c r="X136" s="1" t="s">
        <v>45</v>
      </c>
      <c r="Y136" s="1" t="s">
        <v>40</v>
      </c>
      <c r="Z136" s="1" t="s">
        <v>46</v>
      </c>
      <c r="AA136" s="1" t="s">
        <v>55</v>
      </c>
      <c r="AB136" s="1" t="s">
        <v>55</v>
      </c>
      <c r="AC136" s="1" t="s">
        <v>48</v>
      </c>
      <c r="AD136" s="1" t="s">
        <v>43</v>
      </c>
      <c r="AE136" s="8">
        <f>IF(L136&lt;&gt;"",L136*E136,0)</f>
      </c>
    </row>
    <row r="137" spans="1:31" x14ac:dyDescent="0.25">
      <c r="A137" s="4">
        <v>132</v>
      </c>
      <c r="B137" s="1" t="s">
        <v>403</v>
      </c>
      <c r="C137" s="5">
        <f>HYPERLINK("https://client.unique.diamonds/dna/11118-37","DNA")</f>
      </c>
      <c r="D137" s="1" t="s">
        <v>36</v>
      </c>
      <c r="E137" s="6">
        <v>1.7</v>
      </c>
      <c r="F137" s="1" t="s">
        <v>62</v>
      </c>
      <c r="G137" s="1" t="s">
        <v>87</v>
      </c>
      <c r="H137" s="1" t="s">
        <v>39</v>
      </c>
      <c r="I137" s="1" t="s">
        <v>39</v>
      </c>
      <c r="J137" s="1" t="s">
        <v>39</v>
      </c>
      <c r="K137" s="1" t="s">
        <v>63</v>
      </c>
      <c r="L137" s="4">
        <v>7900</v>
      </c>
      <c r="M137" s="6">
        <v>-13.25</v>
      </c>
      <c r="N137" s="7">
        <f>IF(AND(L137 &lt;&gt; "-", M137 &lt;&gt; "-"),L137*( 1 + M137%),0)</f>
      </c>
      <c r="O137" s="7">
        <f>( N137 * E137 )</f>
      </c>
      <c r="P137" s="1" t="s">
        <v>404</v>
      </c>
      <c r="Q137" s="6">
        <v>1.01</v>
      </c>
      <c r="R137" s="6">
        <v>61.8</v>
      </c>
      <c r="S137" s="4">
        <v>59</v>
      </c>
      <c r="T137" s="1" t="s">
        <v>42</v>
      </c>
      <c r="U137" s="5">
        <f>HYPERLINK("https://www.gia.edu/report-check?reportno=5436211350","5436211350")</f>
      </c>
      <c r="V137" s="1" t="s">
        <v>43</v>
      </c>
      <c r="W137" s="1" t="s">
        <v>287</v>
      </c>
      <c r="X137" s="1" t="s">
        <v>45</v>
      </c>
      <c r="Y137" s="1" t="s">
        <v>40</v>
      </c>
      <c r="Z137" s="1" t="s">
        <v>54</v>
      </c>
      <c r="AA137" s="1" t="s">
        <v>55</v>
      </c>
      <c r="AB137" s="1" t="s">
        <v>40</v>
      </c>
      <c r="AC137" s="1" t="s">
        <v>85</v>
      </c>
      <c r="AD137" s="1" t="s">
        <v>43</v>
      </c>
      <c r="AE137" s="8">
        <f>IF(L137&lt;&gt;"",L137*E137,0)</f>
      </c>
    </row>
    <row r="138" spans="1:31" x14ac:dyDescent="0.25">
      <c r="A138" s="4">
        <v>133</v>
      </c>
      <c r="B138" s="1" t="s">
        <v>405</v>
      </c>
      <c r="C138" s="5">
        <f>HYPERLINK("https://client.unique.diamonds/dna/141285-82","DNA")</f>
      </c>
      <c r="D138" s="1" t="s">
        <v>36</v>
      </c>
      <c r="E138" s="6">
        <v>1.7</v>
      </c>
      <c r="F138" s="1" t="s">
        <v>62</v>
      </c>
      <c r="G138" s="1" t="s">
        <v>87</v>
      </c>
      <c r="H138" s="1" t="s">
        <v>39</v>
      </c>
      <c r="I138" s="1" t="s">
        <v>39</v>
      </c>
      <c r="J138" s="1" t="s">
        <v>39</v>
      </c>
      <c r="K138" s="1" t="s">
        <v>40</v>
      </c>
      <c r="L138" s="4">
        <v>7900</v>
      </c>
      <c r="M138" s="6">
        <v>-17.5</v>
      </c>
      <c r="N138" s="7">
        <f>IF(AND(L138 &lt;&gt; "-", M138 &lt;&gt; "-"),L138*( 1 + M138%),0)</f>
      </c>
      <c r="O138" s="7">
        <f>( N138 * E138 )</f>
      </c>
      <c r="P138" s="1" t="s">
        <v>406</v>
      </c>
      <c r="Q138" s="6">
        <v>1.01</v>
      </c>
      <c r="R138" s="6">
        <v>60.3</v>
      </c>
      <c r="S138" s="4">
        <v>59</v>
      </c>
      <c r="T138" s="1" t="s">
        <v>42</v>
      </c>
      <c r="U138" s="5">
        <f>HYPERLINK("https://www.gia.edu/report-check?reportno=1226181811","1226181811")</f>
      </c>
      <c r="V138" s="1" t="s">
        <v>43</v>
      </c>
      <c r="W138" s="1" t="s">
        <v>112</v>
      </c>
      <c r="X138" s="1" t="s">
        <v>46</v>
      </c>
      <c r="Y138" s="1" t="s">
        <v>40</v>
      </c>
      <c r="Z138" s="1" t="s">
        <v>46</v>
      </c>
      <c r="AA138" s="1" t="s">
        <v>55</v>
      </c>
      <c r="AB138" s="1" t="s">
        <v>55</v>
      </c>
      <c r="AC138" s="1" t="s">
        <v>48</v>
      </c>
      <c r="AD138" s="1" t="s">
        <v>43</v>
      </c>
      <c r="AE138" s="8">
        <f>IF(L138&lt;&gt;"",L138*E138,0)</f>
      </c>
    </row>
    <row r="139" spans="1:31" x14ac:dyDescent="0.25">
      <c r="A139" s="4">
        <v>134</v>
      </c>
      <c r="B139" s="1" t="s">
        <v>407</v>
      </c>
      <c r="C139" s="5">
        <f>HYPERLINK("https://client.unique.diamonds/dna/11071-27","DNA")</f>
      </c>
      <c r="D139" s="1" t="s">
        <v>36</v>
      </c>
      <c r="E139" s="6">
        <v>1.7</v>
      </c>
      <c r="F139" s="1" t="s">
        <v>104</v>
      </c>
      <c r="G139" s="1" t="s">
        <v>38</v>
      </c>
      <c r="H139" s="1" t="s">
        <v>39</v>
      </c>
      <c r="I139" s="1" t="s">
        <v>39</v>
      </c>
      <c r="J139" s="1" t="s">
        <v>39</v>
      </c>
      <c r="K139" s="1" t="s">
        <v>40</v>
      </c>
      <c r="L139" s="4">
        <v>6700</v>
      </c>
      <c r="M139" s="6">
        <v>-13.25</v>
      </c>
      <c r="N139" s="7">
        <f>IF(AND(L139 &lt;&gt; "-", M139 &lt;&gt; "-"),L139*( 1 + M139%),0)</f>
      </c>
      <c r="O139" s="7">
        <f>( N139 * E139 )</f>
      </c>
      <c r="P139" s="1" t="s">
        <v>390</v>
      </c>
      <c r="Q139" s="6">
        <v>1.01</v>
      </c>
      <c r="R139" s="6">
        <v>63</v>
      </c>
      <c r="S139" s="4">
        <v>55</v>
      </c>
      <c r="T139" s="1" t="s">
        <v>42</v>
      </c>
      <c r="U139" s="5">
        <f>HYPERLINK("https://www.gia.edu/report-check?reportno=6422570324","6422570324")</f>
      </c>
      <c r="V139" s="1" t="s">
        <v>43</v>
      </c>
      <c r="W139" s="1" t="s">
        <v>408</v>
      </c>
      <c r="X139" s="1" t="s">
        <v>59</v>
      </c>
      <c r="Y139" s="1" t="s">
        <v>40</v>
      </c>
      <c r="Z139" s="1" t="s">
        <v>59</v>
      </c>
      <c r="AA139" s="1" t="s">
        <v>66</v>
      </c>
      <c r="AB139" s="1" t="s">
        <v>47</v>
      </c>
      <c r="AC139" s="1" t="s">
        <v>48</v>
      </c>
      <c r="AD139" s="1" t="s">
        <v>43</v>
      </c>
      <c r="AE139" s="8">
        <f>IF(L139&lt;&gt;"",L139*E139,0)</f>
      </c>
    </row>
    <row r="140" spans="1:31" x14ac:dyDescent="0.25">
      <c r="A140" s="4">
        <v>135</v>
      </c>
      <c r="B140" s="1" t="s">
        <v>409</v>
      </c>
      <c r="C140" s="5">
        <f>HYPERLINK("https://client.unique.diamonds/dna/142061-53","DNA")</f>
      </c>
      <c r="D140" s="1" t="s">
        <v>36</v>
      </c>
      <c r="E140" s="6">
        <v>1.7</v>
      </c>
      <c r="F140" s="1" t="s">
        <v>104</v>
      </c>
      <c r="G140" s="1" t="s">
        <v>51</v>
      </c>
      <c r="H140" s="1" t="s">
        <v>39</v>
      </c>
      <c r="I140" s="1" t="s">
        <v>39</v>
      </c>
      <c r="J140" s="1" t="s">
        <v>39</v>
      </c>
      <c r="K140" s="1" t="s">
        <v>63</v>
      </c>
      <c r="L140" s="4">
        <v>6300</v>
      </c>
      <c r="M140" s="6">
        <v>-21.5</v>
      </c>
      <c r="N140" s="7">
        <f>IF(AND(L140 &lt;&gt; "-", M140 &lt;&gt; "-"),L140*( 1 + M140%),0)</f>
      </c>
      <c r="O140" s="7">
        <f>( N140 * E140 )</f>
      </c>
      <c r="P140" s="1" t="s">
        <v>410</v>
      </c>
      <c r="Q140" s="6">
        <v>1</v>
      </c>
      <c r="R140" s="6">
        <v>62.4</v>
      </c>
      <c r="S140" s="4">
        <v>58</v>
      </c>
      <c r="T140" s="1" t="s">
        <v>42</v>
      </c>
      <c r="U140" s="5">
        <f>HYPERLINK("https://www.gia.edu/report-check?reportno=6223021457","6223021457")</f>
      </c>
      <c r="V140" s="1" t="s">
        <v>43</v>
      </c>
      <c r="W140" s="1" t="s">
        <v>411</v>
      </c>
      <c r="X140" s="1" t="s">
        <v>59</v>
      </c>
      <c r="Y140" s="1" t="s">
        <v>40</v>
      </c>
      <c r="Z140" s="1" t="s">
        <v>46</v>
      </c>
      <c r="AA140" s="1" t="s">
        <v>55</v>
      </c>
      <c r="AB140" s="1" t="s">
        <v>47</v>
      </c>
      <c r="AC140" s="1" t="s">
        <v>412</v>
      </c>
      <c r="AD140" s="1" t="s">
        <v>43</v>
      </c>
      <c r="AE140" s="8">
        <f>IF(L140&lt;&gt;"",L140*E140,0)</f>
      </c>
    </row>
    <row r="141" spans="1:31" x14ac:dyDescent="0.25">
      <c r="A141" s="4">
        <v>136</v>
      </c>
      <c r="B141" s="1" t="s">
        <v>413</v>
      </c>
      <c r="C141" s="5">
        <f>HYPERLINK("https://client.unique.diamonds/dna/11115-44","DNA")</f>
      </c>
      <c r="D141" s="1" t="s">
        <v>36</v>
      </c>
      <c r="E141" s="6">
        <v>1.65</v>
      </c>
      <c r="F141" s="1" t="s">
        <v>68</v>
      </c>
      <c r="G141" s="1" t="s">
        <v>69</v>
      </c>
      <c r="H141" s="1" t="s">
        <v>39</v>
      </c>
      <c r="I141" s="1" t="s">
        <v>39</v>
      </c>
      <c r="J141" s="1" t="s">
        <v>39</v>
      </c>
      <c r="K141" s="1" t="s">
        <v>40</v>
      </c>
      <c r="L141" s="4">
        <v>19100</v>
      </c>
      <c r="M141" s="6">
        <v>-22.25</v>
      </c>
      <c r="N141" s="7">
        <f>IF(AND(L141 &lt;&gt; "-", M141 &lt;&gt; "-"),L141*( 1 + M141%),0)</f>
      </c>
      <c r="O141" s="7">
        <f>( N141 * E141 )</f>
      </c>
      <c r="P141" s="1" t="s">
        <v>414</v>
      </c>
      <c r="Q141" s="6">
        <v>1.01</v>
      </c>
      <c r="R141" s="6">
        <v>62.8</v>
      </c>
      <c r="S141" s="4">
        <v>56</v>
      </c>
      <c r="T141" s="1" t="s">
        <v>42</v>
      </c>
      <c r="U141" s="5">
        <f>HYPERLINK("https://www.gia.edu/report-check?reportno=6421984030","6421984030")</f>
      </c>
      <c r="V141" s="1" t="s">
        <v>43</v>
      </c>
      <c r="W141" s="1" t="s">
        <v>415</v>
      </c>
      <c r="X141" s="1" t="s">
        <v>59</v>
      </c>
      <c r="Y141" s="1" t="s">
        <v>40</v>
      </c>
      <c r="Z141" s="1" t="s">
        <v>46</v>
      </c>
      <c r="AA141" s="1" t="s">
        <v>66</v>
      </c>
      <c r="AB141" s="1" t="s">
        <v>40</v>
      </c>
      <c r="AC141" s="1" t="s">
        <v>48</v>
      </c>
      <c r="AD141" s="1" t="s">
        <v>43</v>
      </c>
      <c r="AE141" s="8">
        <f>IF(L141&lt;&gt;"",L141*E141,0)</f>
      </c>
    </row>
    <row r="142" spans="1:31" x14ac:dyDescent="0.25">
      <c r="A142" s="4">
        <v>137</v>
      </c>
      <c r="B142" s="1" t="s">
        <v>416</v>
      </c>
      <c r="C142" s="5">
        <f>HYPERLINK("https://client.unique.diamonds/dna/12037-35","DNA")</f>
      </c>
      <c r="D142" s="1" t="s">
        <v>36</v>
      </c>
      <c r="E142" s="6">
        <v>1.64</v>
      </c>
      <c r="F142" s="1" t="s">
        <v>104</v>
      </c>
      <c r="G142" s="1" t="s">
        <v>51</v>
      </c>
      <c r="H142" s="1" t="s">
        <v>39</v>
      </c>
      <c r="I142" s="1" t="s">
        <v>39</v>
      </c>
      <c r="J142" s="1" t="s">
        <v>39</v>
      </c>
      <c r="K142" s="1" t="s">
        <v>40</v>
      </c>
      <c r="L142" s="4">
        <v>6300</v>
      </c>
      <c r="M142" s="6">
        <v>-18.45</v>
      </c>
      <c r="N142" s="7">
        <f>IF(AND(L142 &lt;&gt; "-", M142 &lt;&gt; "-"),L142*( 1 + M142%),0)</f>
      </c>
      <c r="O142" s="7">
        <f>( N142 * E142 )</f>
      </c>
      <c r="P142" s="1" t="s">
        <v>417</v>
      </c>
      <c r="Q142" s="6">
        <v>1.01</v>
      </c>
      <c r="R142" s="6">
        <v>60</v>
      </c>
      <c r="S142" s="4">
        <v>59</v>
      </c>
      <c r="T142" s="1" t="s">
        <v>42</v>
      </c>
      <c r="U142" s="5">
        <f>HYPERLINK("https://www.gia.edu/report-check?reportno=1435361478","1435361478")</f>
      </c>
      <c r="V142" s="1" t="s">
        <v>43</v>
      </c>
      <c r="W142" s="1" t="s">
        <v>418</v>
      </c>
      <c r="X142" s="1" t="s">
        <v>59</v>
      </c>
      <c r="Y142" s="1" t="s">
        <v>40</v>
      </c>
      <c r="Z142" s="1" t="s">
        <v>46</v>
      </c>
      <c r="AA142" s="1" t="s">
        <v>55</v>
      </c>
      <c r="AB142" s="1" t="s">
        <v>47</v>
      </c>
      <c r="AC142" s="1" t="s">
        <v>48</v>
      </c>
      <c r="AD142" s="1" t="s">
        <v>43</v>
      </c>
      <c r="AE142" s="8">
        <f>IF(L142&lt;&gt;"",L142*E142,0)</f>
      </c>
    </row>
    <row r="143" spans="1:31" x14ac:dyDescent="0.25">
      <c r="A143" s="4">
        <v>138</v>
      </c>
      <c r="B143" s="1" t="s">
        <v>419</v>
      </c>
      <c r="C143" s="5">
        <f>HYPERLINK("https://client.unique.diamonds/dna/11076-75","DNA")</f>
      </c>
      <c r="D143" s="1" t="s">
        <v>36</v>
      </c>
      <c r="E143" s="6">
        <v>1.6</v>
      </c>
      <c r="F143" s="1" t="s">
        <v>173</v>
      </c>
      <c r="G143" s="1" t="s">
        <v>51</v>
      </c>
      <c r="H143" s="1" t="s">
        <v>39</v>
      </c>
      <c r="I143" s="1" t="s">
        <v>39</v>
      </c>
      <c r="J143" s="1" t="s">
        <v>39</v>
      </c>
      <c r="K143" s="1" t="s">
        <v>63</v>
      </c>
      <c r="L143" s="4">
        <v>12700</v>
      </c>
      <c r="M143" s="6">
        <v>-22</v>
      </c>
      <c r="N143" s="7">
        <f>IF(AND(L143 &lt;&gt; "-", M143 &lt;&gt; "-"),L143*( 1 + M143%),0)</f>
      </c>
      <c r="O143" s="7">
        <f>( N143 * E143 )</f>
      </c>
      <c r="P143" s="1" t="s">
        <v>420</v>
      </c>
      <c r="Q143" s="6">
        <v>1</v>
      </c>
      <c r="R143" s="6">
        <v>63.1</v>
      </c>
      <c r="S143" s="4">
        <v>54</v>
      </c>
      <c r="T143" s="1" t="s">
        <v>42</v>
      </c>
      <c r="U143" s="5">
        <f>HYPERLINK("https://www.gia.edu/report-check?reportno=2427754193","2427754193")</f>
      </c>
      <c r="V143" s="1" t="s">
        <v>43</v>
      </c>
      <c r="W143" s="1" t="s">
        <v>78</v>
      </c>
      <c r="X143" s="1" t="s">
        <v>45</v>
      </c>
      <c r="Y143" s="1" t="s">
        <v>40</v>
      </c>
      <c r="Z143" s="1" t="s">
        <v>46</v>
      </c>
      <c r="AA143" s="1" t="s">
        <v>55</v>
      </c>
      <c r="AB143" s="1" t="s">
        <v>55</v>
      </c>
      <c r="AC143" s="1" t="s">
        <v>48</v>
      </c>
      <c r="AD143" s="1" t="s">
        <v>43</v>
      </c>
      <c r="AE143" s="8">
        <f>IF(L143&lt;&gt;"",L143*E143,0)</f>
      </c>
    </row>
    <row r="144" spans="1:31" x14ac:dyDescent="0.25">
      <c r="A144" s="4">
        <v>139</v>
      </c>
      <c r="B144" s="1" t="s">
        <v>421</v>
      </c>
      <c r="C144" s="5">
        <f>HYPERLINK("https://client.unique.diamonds/dna/11108-164","DNA")</f>
      </c>
      <c r="D144" s="1" t="s">
        <v>36</v>
      </c>
      <c r="E144" s="6">
        <v>1.6</v>
      </c>
      <c r="F144" s="1" t="s">
        <v>37</v>
      </c>
      <c r="G144" s="1" t="s">
        <v>51</v>
      </c>
      <c r="H144" s="1" t="s">
        <v>39</v>
      </c>
      <c r="I144" s="1" t="s">
        <v>39</v>
      </c>
      <c r="J144" s="1" t="s">
        <v>39</v>
      </c>
      <c r="K144" s="1" t="s">
        <v>63</v>
      </c>
      <c r="L144" s="4">
        <v>10600</v>
      </c>
      <c r="M144" s="6">
        <v>-24.25</v>
      </c>
      <c r="N144" s="7">
        <f>IF(AND(L144 &lt;&gt; "-", M144 &lt;&gt; "-"),L144*( 1 + M144%),0)</f>
      </c>
      <c r="O144" s="7">
        <f>( N144 * E144 )</f>
      </c>
      <c r="P144" s="1" t="s">
        <v>422</v>
      </c>
      <c r="Q144" s="6">
        <v>1.01</v>
      </c>
      <c r="R144" s="6">
        <v>62</v>
      </c>
      <c r="S144" s="4">
        <v>57</v>
      </c>
      <c r="T144" s="1" t="s">
        <v>42</v>
      </c>
      <c r="U144" s="5">
        <f>HYPERLINK("https://www.gia.edu/report-check?reportno=3435200495","3435200495")</f>
      </c>
      <c r="V144" s="1" t="s">
        <v>43</v>
      </c>
      <c r="W144" s="1" t="s">
        <v>423</v>
      </c>
      <c r="X144" s="1" t="s">
        <v>46</v>
      </c>
      <c r="Y144" s="1" t="s">
        <v>40</v>
      </c>
      <c r="Z144" s="1" t="s">
        <v>59</v>
      </c>
      <c r="AA144" s="1" t="s">
        <v>66</v>
      </c>
      <c r="AB144" s="1" t="s">
        <v>55</v>
      </c>
      <c r="AC144" s="1" t="s">
        <v>48</v>
      </c>
      <c r="AD144" s="1" t="s">
        <v>43</v>
      </c>
      <c r="AE144" s="8">
        <f>IF(L144&lt;&gt;"",L144*E144,0)</f>
      </c>
    </row>
    <row r="145" spans="1:31" x14ac:dyDescent="0.25">
      <c r="A145" s="4">
        <v>140</v>
      </c>
      <c r="B145" s="1" t="s">
        <v>424</v>
      </c>
      <c r="C145" s="5">
        <f>HYPERLINK("https://client.unique.diamonds/dna/11130-23","DNA")</f>
      </c>
      <c r="D145" s="1" t="s">
        <v>36</v>
      </c>
      <c r="E145" s="6">
        <v>1.6</v>
      </c>
      <c r="F145" s="1" t="s">
        <v>50</v>
      </c>
      <c r="G145" s="1" t="s">
        <v>51</v>
      </c>
      <c r="H145" s="1" t="s">
        <v>39</v>
      </c>
      <c r="I145" s="1" t="s">
        <v>39</v>
      </c>
      <c r="J145" s="1" t="s">
        <v>39</v>
      </c>
      <c r="K145" s="1" t="s">
        <v>40</v>
      </c>
      <c r="L145" s="4">
        <v>7500</v>
      </c>
      <c r="M145" s="6">
        <v>-24.25</v>
      </c>
      <c r="N145" s="7">
        <f>IF(AND(L145 &lt;&gt; "-", M145 &lt;&gt; "-"),L145*( 1 + M145%),0)</f>
      </c>
      <c r="O145" s="7">
        <f>( N145 * E145 )</f>
      </c>
      <c r="P145" s="1" t="s">
        <v>425</v>
      </c>
      <c r="Q145" s="6">
        <v>1.01</v>
      </c>
      <c r="R145" s="6">
        <v>62.7</v>
      </c>
      <c r="S145" s="4">
        <v>58</v>
      </c>
      <c r="T145" s="1" t="s">
        <v>42</v>
      </c>
      <c r="U145" s="5">
        <f>HYPERLINK("https://www.gia.edu/report-check?reportno=2436258926","2436258926")</f>
      </c>
      <c r="V145" s="1" t="s">
        <v>43</v>
      </c>
      <c r="W145" s="1" t="s">
        <v>78</v>
      </c>
      <c r="X145" s="1" t="s">
        <v>46</v>
      </c>
      <c r="Y145" s="1" t="s">
        <v>40</v>
      </c>
      <c r="Z145" s="1" t="s">
        <v>46</v>
      </c>
      <c r="AA145" s="1" t="s">
        <v>55</v>
      </c>
      <c r="AB145" s="1" t="s">
        <v>40</v>
      </c>
      <c r="AC145" s="1" t="s">
        <v>48</v>
      </c>
      <c r="AD145" s="1" t="s">
        <v>43</v>
      </c>
      <c r="AE145" s="8">
        <f>IF(L145&lt;&gt;"",L145*E145,0)</f>
      </c>
    </row>
    <row r="146" spans="1:31" x14ac:dyDescent="0.25">
      <c r="A146" s="4">
        <v>141</v>
      </c>
      <c r="B146" s="1" t="s">
        <v>426</v>
      </c>
      <c r="C146" s="5">
        <f>HYPERLINK("https://client.unique.diamonds/dna/11071-4","DNA")</f>
      </c>
      <c r="D146" s="1" t="s">
        <v>36</v>
      </c>
      <c r="E146" s="6">
        <v>1.59</v>
      </c>
      <c r="F146" s="1" t="s">
        <v>104</v>
      </c>
      <c r="G146" s="1" t="s">
        <v>69</v>
      </c>
      <c r="H146" s="1" t="s">
        <v>39</v>
      </c>
      <c r="I146" s="1" t="s">
        <v>39</v>
      </c>
      <c r="J146" s="1" t="s">
        <v>39</v>
      </c>
      <c r="K146" s="1" t="s">
        <v>40</v>
      </c>
      <c r="L146" s="4">
        <v>7100</v>
      </c>
      <c r="M146" s="6">
        <v>-19.75</v>
      </c>
      <c r="N146" s="7">
        <f>IF(AND(L146 &lt;&gt; "-", M146 &lt;&gt; "-"),L146*( 1 + M146%),0)</f>
      </c>
      <c r="O146" s="7">
        <f>( N146 * E146 )</f>
      </c>
      <c r="P146" s="1" t="s">
        <v>427</v>
      </c>
      <c r="Q146" s="6">
        <v>1.01</v>
      </c>
      <c r="R146" s="6">
        <v>62.7</v>
      </c>
      <c r="S146" s="4">
        <v>58</v>
      </c>
      <c r="T146" s="1" t="s">
        <v>42</v>
      </c>
      <c r="U146" s="5">
        <f>HYPERLINK("https://www.gia.edu/report-check?reportno=2427461218","2427461218")</f>
      </c>
      <c r="V146" s="1" t="s">
        <v>43</v>
      </c>
      <c r="W146" s="1" t="s">
        <v>116</v>
      </c>
      <c r="X146" s="1" t="s">
        <v>45</v>
      </c>
      <c r="Y146" s="1" t="s">
        <v>40</v>
      </c>
      <c r="Z146" s="1" t="s">
        <v>46</v>
      </c>
      <c r="AA146" s="1" t="s">
        <v>55</v>
      </c>
      <c r="AB146" s="1" t="s">
        <v>40</v>
      </c>
      <c r="AC146" s="1" t="s">
        <v>48</v>
      </c>
      <c r="AD146" s="1" t="s">
        <v>43</v>
      </c>
      <c r="AE146" s="8">
        <f>IF(L146&lt;&gt;"",L146*E146,0)</f>
      </c>
    </row>
    <row r="147" spans="1:31" x14ac:dyDescent="0.25">
      <c r="A147" s="4">
        <v>142</v>
      </c>
      <c r="B147" s="1" t="s">
        <v>428</v>
      </c>
      <c r="C147" s="5">
        <f>HYPERLINK("https://client.unique.diamonds/dna/11051-10","DNA")</f>
      </c>
      <c r="D147" s="1" t="s">
        <v>36</v>
      </c>
      <c r="E147" s="6">
        <v>1.57</v>
      </c>
      <c r="F147" s="1" t="s">
        <v>173</v>
      </c>
      <c r="G147" s="1" t="s">
        <v>69</v>
      </c>
      <c r="H147" s="1" t="s">
        <v>39</v>
      </c>
      <c r="I147" s="1" t="s">
        <v>39</v>
      </c>
      <c r="J147" s="1" t="s">
        <v>39</v>
      </c>
      <c r="K147" s="1" t="s">
        <v>40</v>
      </c>
      <c r="L147" s="4">
        <v>17700</v>
      </c>
      <c r="M147" s="6">
        <v>-23.75</v>
      </c>
      <c r="N147" s="7">
        <f>IF(AND(L147 &lt;&gt; "-", M147 &lt;&gt; "-"),L147*( 1 + M147%),0)</f>
      </c>
      <c r="O147" s="7">
        <f>( N147 * E147 )</f>
      </c>
      <c r="P147" s="1" t="s">
        <v>429</v>
      </c>
      <c r="Q147" s="6">
        <v>1</v>
      </c>
      <c r="R147" s="6">
        <v>61.3</v>
      </c>
      <c r="S147" s="4">
        <v>59</v>
      </c>
      <c r="T147" s="1" t="s">
        <v>42</v>
      </c>
      <c r="U147" s="5">
        <f>HYPERLINK("https://www.gia.edu/report-check?reportno=6422004053","6422004053")</f>
      </c>
      <c r="V147" s="1" t="s">
        <v>43</v>
      </c>
      <c r="W147" s="1" t="s">
        <v>430</v>
      </c>
      <c r="X147" s="1" t="s">
        <v>46</v>
      </c>
      <c r="Y147" s="1" t="s">
        <v>40</v>
      </c>
      <c r="Z147" s="1" t="s">
        <v>46</v>
      </c>
      <c r="AA147" s="1" t="s">
        <v>55</v>
      </c>
      <c r="AB147" s="1" t="s">
        <v>40</v>
      </c>
      <c r="AC147" s="1" t="s">
        <v>48</v>
      </c>
      <c r="AD147" s="1" t="s">
        <v>43</v>
      </c>
      <c r="AE147" s="8">
        <f>IF(L147&lt;&gt;"",L147*E147,0)</f>
      </c>
    </row>
    <row r="148" spans="1:31" x14ac:dyDescent="0.25">
      <c r="A148" s="4">
        <v>143</v>
      </c>
      <c r="B148" s="1" t="s">
        <v>431</v>
      </c>
      <c r="C148" s="5">
        <f>HYPERLINK("https://client.unique.diamonds/dna/11129-13","DNA")</f>
      </c>
      <c r="D148" s="1" t="s">
        <v>36</v>
      </c>
      <c r="E148" s="6">
        <v>1.57</v>
      </c>
      <c r="F148" s="1" t="s">
        <v>37</v>
      </c>
      <c r="G148" s="1" t="s">
        <v>51</v>
      </c>
      <c r="H148" s="1" t="s">
        <v>39</v>
      </c>
      <c r="I148" s="1" t="s">
        <v>39</v>
      </c>
      <c r="J148" s="1" t="s">
        <v>39</v>
      </c>
      <c r="K148" s="1" t="s">
        <v>40</v>
      </c>
      <c r="L148" s="4">
        <v>10600</v>
      </c>
      <c r="M148" s="6">
        <v>-19.25</v>
      </c>
      <c r="N148" s="7">
        <f>IF(AND(L148 &lt;&gt; "-", M148 &lt;&gt; "-"),L148*( 1 + M148%),0)</f>
      </c>
      <c r="O148" s="7">
        <f>( N148 * E148 )</f>
      </c>
      <c r="P148" s="1" t="s">
        <v>432</v>
      </c>
      <c r="Q148" s="6">
        <v>1.01</v>
      </c>
      <c r="R148" s="6">
        <v>60.4</v>
      </c>
      <c r="S148" s="4">
        <v>59</v>
      </c>
      <c r="T148" s="1" t="s">
        <v>42</v>
      </c>
      <c r="U148" s="5">
        <f>HYPERLINK("https://www.gia.edu/report-check?reportno=1433327624","1433327624")</f>
      </c>
      <c r="V148" s="1" t="s">
        <v>43</v>
      </c>
      <c r="W148" s="1" t="s">
        <v>273</v>
      </c>
      <c r="X148" s="1" t="s">
        <v>46</v>
      </c>
      <c r="Y148" s="1" t="s">
        <v>40</v>
      </c>
      <c r="Z148" s="1" t="s">
        <v>46</v>
      </c>
      <c r="AA148" s="1" t="s">
        <v>55</v>
      </c>
      <c r="AB148" s="1" t="s">
        <v>55</v>
      </c>
      <c r="AC148" s="1" t="s">
        <v>48</v>
      </c>
      <c r="AD148" s="1" t="s">
        <v>43</v>
      </c>
      <c r="AE148" s="8">
        <f>IF(L148&lt;&gt;"",L148*E148,0)</f>
      </c>
    </row>
    <row r="149" spans="1:31" x14ac:dyDescent="0.25">
      <c r="A149" s="4">
        <v>144</v>
      </c>
      <c r="B149" s="1" t="s">
        <v>433</v>
      </c>
      <c r="C149" s="5">
        <f>HYPERLINK("https://client.unique.diamonds/dna/11043-37","DNA")</f>
      </c>
      <c r="D149" s="1" t="s">
        <v>36</v>
      </c>
      <c r="E149" s="6">
        <v>1.56</v>
      </c>
      <c r="F149" s="1" t="s">
        <v>173</v>
      </c>
      <c r="G149" s="1" t="s">
        <v>51</v>
      </c>
      <c r="H149" s="1" t="s">
        <v>39</v>
      </c>
      <c r="I149" s="1" t="s">
        <v>39</v>
      </c>
      <c r="J149" s="1" t="s">
        <v>39</v>
      </c>
      <c r="K149" s="1" t="s">
        <v>63</v>
      </c>
      <c r="L149" s="4">
        <v>12700</v>
      </c>
      <c r="M149" s="6">
        <v>-21</v>
      </c>
      <c r="N149" s="7">
        <f>IF(AND(L149 &lt;&gt; "-", M149 &lt;&gt; "-"),L149*( 1 + M149%),0)</f>
      </c>
      <c r="O149" s="7">
        <f>( N149 * E149 )</f>
      </c>
      <c r="P149" s="1" t="s">
        <v>434</v>
      </c>
      <c r="Q149" s="6">
        <v>1.01</v>
      </c>
      <c r="R149" s="6">
        <v>62.5</v>
      </c>
      <c r="S149" s="4">
        <v>58</v>
      </c>
      <c r="T149" s="1" t="s">
        <v>42</v>
      </c>
      <c r="U149" s="5">
        <f>HYPERLINK("https://www.gia.edu/report-check?reportno=2427355316","2427355316")</f>
      </c>
      <c r="V149" s="1" t="s">
        <v>43</v>
      </c>
      <c r="W149" s="1" t="s">
        <v>78</v>
      </c>
      <c r="X149" s="1" t="s">
        <v>45</v>
      </c>
      <c r="Y149" s="1" t="s">
        <v>40</v>
      </c>
      <c r="Z149" s="1" t="s">
        <v>46</v>
      </c>
      <c r="AA149" s="1" t="s">
        <v>66</v>
      </c>
      <c r="AB149" s="1" t="s">
        <v>40</v>
      </c>
      <c r="AC149" s="1" t="s">
        <v>48</v>
      </c>
      <c r="AD149" s="1" t="s">
        <v>43</v>
      </c>
      <c r="AE149" s="8">
        <f>IF(L149&lt;&gt;"",L149*E149,0)</f>
      </c>
    </row>
    <row r="150" spans="1:31" x14ac:dyDescent="0.25">
      <c r="A150" s="4">
        <v>145</v>
      </c>
      <c r="B150" s="1" t="s">
        <v>435</v>
      </c>
      <c r="C150" s="5">
        <f>HYPERLINK("https://client.unique.diamonds/dna/11108-50","DNA")</f>
      </c>
      <c r="D150" s="1" t="s">
        <v>36</v>
      </c>
      <c r="E150" s="6">
        <v>1.56</v>
      </c>
      <c r="F150" s="1" t="s">
        <v>98</v>
      </c>
      <c r="G150" s="1" t="s">
        <v>38</v>
      </c>
      <c r="H150" s="1" t="s">
        <v>39</v>
      </c>
      <c r="I150" s="1" t="s">
        <v>39</v>
      </c>
      <c r="J150" s="1" t="s">
        <v>39</v>
      </c>
      <c r="K150" s="1" t="s">
        <v>40</v>
      </c>
      <c r="L150" s="4">
        <v>13100</v>
      </c>
      <c r="M150" s="6">
        <v>-21.5</v>
      </c>
      <c r="N150" s="7">
        <f>IF(AND(L150 &lt;&gt; "-", M150 &lt;&gt; "-"),L150*( 1 + M150%),0)</f>
      </c>
      <c r="O150" s="7">
        <f>( N150 * E150 )</f>
      </c>
      <c r="P150" s="1" t="s">
        <v>436</v>
      </c>
      <c r="Q150" s="6">
        <v>1.01</v>
      </c>
      <c r="R150" s="6">
        <v>62.4</v>
      </c>
      <c r="S150" s="4">
        <v>58</v>
      </c>
      <c r="T150" s="1" t="s">
        <v>42</v>
      </c>
      <c r="U150" s="5">
        <f>HYPERLINK("https://www.gia.edu/report-check?reportno=2427968870","2427968870")</f>
      </c>
      <c r="V150" s="1" t="s">
        <v>43</v>
      </c>
      <c r="W150" s="1" t="s">
        <v>437</v>
      </c>
      <c r="X150" s="1" t="s">
        <v>45</v>
      </c>
      <c r="Y150" s="1" t="s">
        <v>40</v>
      </c>
      <c r="Z150" s="1" t="s">
        <v>46</v>
      </c>
      <c r="AA150" s="1" t="s">
        <v>40</v>
      </c>
      <c r="AB150" s="1" t="s">
        <v>40</v>
      </c>
      <c r="AC150" s="1" t="s">
        <v>48</v>
      </c>
      <c r="AD150" s="1" t="s">
        <v>43</v>
      </c>
      <c r="AE150" s="8">
        <f>IF(L150&lt;&gt;"",L150*E150,0)</f>
      </c>
    </row>
    <row r="151" spans="1:31" x14ac:dyDescent="0.25">
      <c r="A151" s="4">
        <v>146</v>
      </c>
      <c r="B151" s="1" t="s">
        <v>438</v>
      </c>
      <c r="C151" s="5">
        <f>HYPERLINK("https://client.unique.diamonds/dna/11088-22","DNA")</f>
      </c>
      <c r="D151" s="1" t="s">
        <v>36</v>
      </c>
      <c r="E151" s="6">
        <v>1.56</v>
      </c>
      <c r="F151" s="1" t="s">
        <v>37</v>
      </c>
      <c r="G151" s="1" t="s">
        <v>69</v>
      </c>
      <c r="H151" s="1" t="s">
        <v>39</v>
      </c>
      <c r="I151" s="1" t="s">
        <v>39</v>
      </c>
      <c r="J151" s="1" t="s">
        <v>39</v>
      </c>
      <c r="K151" s="1" t="s">
        <v>40</v>
      </c>
      <c r="L151" s="4">
        <v>12600</v>
      </c>
      <c r="M151" s="6">
        <v>-21.75</v>
      </c>
      <c r="N151" s="7">
        <f>IF(AND(L151 &lt;&gt; "-", M151 &lt;&gt; "-"),L151*( 1 + M151%),0)</f>
      </c>
      <c r="O151" s="7">
        <f>( N151 * E151 )</f>
      </c>
      <c r="P151" s="1" t="s">
        <v>439</v>
      </c>
      <c r="Q151" s="6">
        <v>1.01</v>
      </c>
      <c r="R151" s="6">
        <v>62.6</v>
      </c>
      <c r="S151" s="4">
        <v>57</v>
      </c>
      <c r="T151" s="1" t="s">
        <v>42</v>
      </c>
      <c r="U151" s="5">
        <f>HYPERLINK("https://www.gia.edu/report-check?reportno=7421675616","7421675616")</f>
      </c>
      <c r="V151" s="1" t="s">
        <v>43</v>
      </c>
      <c r="W151" s="1" t="s">
        <v>166</v>
      </c>
      <c r="X151" s="1" t="s">
        <v>40</v>
      </c>
      <c r="Y151" s="1" t="s">
        <v>40</v>
      </c>
      <c r="Z151" s="1" t="s">
        <v>46</v>
      </c>
      <c r="AA151" s="1" t="s">
        <v>55</v>
      </c>
      <c r="AB151" s="1" t="s">
        <v>47</v>
      </c>
      <c r="AC151" s="1" t="s">
        <v>48</v>
      </c>
      <c r="AD151" s="1" t="s">
        <v>43</v>
      </c>
      <c r="AE151" s="8">
        <f>IF(L151&lt;&gt;"",L151*E151,0)</f>
      </c>
    </row>
    <row r="152" spans="1:31" x14ac:dyDescent="0.25">
      <c r="A152" s="4">
        <v>147</v>
      </c>
      <c r="B152" s="1" t="s">
        <v>440</v>
      </c>
      <c r="C152" s="5">
        <f>HYPERLINK("https://client.unique.diamonds/dna/11108-61","DNA")</f>
      </c>
      <c r="D152" s="1" t="s">
        <v>36</v>
      </c>
      <c r="E152" s="6">
        <v>1.56</v>
      </c>
      <c r="F152" s="1" t="s">
        <v>62</v>
      </c>
      <c r="G152" s="1" t="s">
        <v>51</v>
      </c>
      <c r="H152" s="1" t="s">
        <v>39</v>
      </c>
      <c r="I152" s="1" t="s">
        <v>39</v>
      </c>
      <c r="J152" s="1" t="s">
        <v>39</v>
      </c>
      <c r="K152" s="1" t="s">
        <v>114</v>
      </c>
      <c r="L152" s="4">
        <v>9100</v>
      </c>
      <c r="M152" s="6">
        <v>-26.5</v>
      </c>
      <c r="N152" s="7">
        <f>IF(AND(L152 &lt;&gt; "-", M152 &lt;&gt; "-"),L152*( 1 + M152%),0)</f>
      </c>
      <c r="O152" s="7">
        <f>( N152 * E152 )</f>
      </c>
      <c r="P152" s="1" t="s">
        <v>441</v>
      </c>
      <c r="Q152" s="6">
        <v>1.01</v>
      </c>
      <c r="R152" s="6">
        <v>62.6</v>
      </c>
      <c r="S152" s="4">
        <v>57</v>
      </c>
      <c r="T152" s="1" t="s">
        <v>42</v>
      </c>
      <c r="U152" s="5">
        <f>HYPERLINK("https://www.gia.edu/report-check?reportno=6425969004","6425969004")</f>
      </c>
      <c r="V152" s="1" t="s">
        <v>43</v>
      </c>
      <c r="W152" s="1" t="s">
        <v>442</v>
      </c>
      <c r="X152" s="1" t="s">
        <v>59</v>
      </c>
      <c r="Y152" s="1" t="s">
        <v>40</v>
      </c>
      <c r="Z152" s="1" t="s">
        <v>59</v>
      </c>
      <c r="AA152" s="1" t="s">
        <v>40</v>
      </c>
      <c r="AB152" s="1" t="s">
        <v>47</v>
      </c>
      <c r="AC152" s="1" t="s">
        <v>48</v>
      </c>
      <c r="AD152" s="1" t="s">
        <v>43</v>
      </c>
      <c r="AE152" s="8">
        <f>IF(L152&lt;&gt;"",L152*E152,0)</f>
      </c>
    </row>
    <row r="153" spans="1:31" x14ac:dyDescent="0.25">
      <c r="A153" s="4">
        <v>148</v>
      </c>
      <c r="B153" s="1" t="s">
        <v>443</v>
      </c>
      <c r="C153" s="5">
        <f>HYPERLINK("https://client.unique.diamonds/dna/141444-61","DNA")</f>
      </c>
      <c r="D153" s="1" t="s">
        <v>36</v>
      </c>
      <c r="E153" s="6">
        <v>1.55</v>
      </c>
      <c r="F153" s="1" t="s">
        <v>68</v>
      </c>
      <c r="G153" s="1" t="s">
        <v>51</v>
      </c>
      <c r="H153" s="1" t="s">
        <v>39</v>
      </c>
      <c r="I153" s="1" t="s">
        <v>39</v>
      </c>
      <c r="J153" s="1" t="s">
        <v>39</v>
      </c>
      <c r="K153" s="1" t="s">
        <v>40</v>
      </c>
      <c r="L153" s="4">
        <v>13400</v>
      </c>
      <c r="M153" s="6">
        <v>-25</v>
      </c>
      <c r="N153" s="7">
        <f>IF(AND(L153 &lt;&gt; "-", M153 &lt;&gt; "-"),L153*( 1 + M153%),0)</f>
      </c>
      <c r="O153" s="7">
        <f>( N153 * E153 )</f>
      </c>
      <c r="P153" s="1" t="s">
        <v>444</v>
      </c>
      <c r="Q153" s="6">
        <v>1</v>
      </c>
      <c r="R153" s="6">
        <v>62.4</v>
      </c>
      <c r="S153" s="4">
        <v>57</v>
      </c>
      <c r="T153" s="1" t="s">
        <v>42</v>
      </c>
      <c r="U153" s="5">
        <f>HYPERLINK("https://www.gia.edu/report-check?reportno=1415904717","1415904717")</f>
      </c>
      <c r="V153" s="1" t="s">
        <v>43</v>
      </c>
      <c r="W153" s="1" t="s">
        <v>157</v>
      </c>
      <c r="X153" s="1" t="s">
        <v>59</v>
      </c>
      <c r="Y153" s="1" t="s">
        <v>40</v>
      </c>
      <c r="Z153" s="1" t="s">
        <v>46</v>
      </c>
      <c r="AA153" s="1" t="s">
        <v>55</v>
      </c>
      <c r="AB153" s="1" t="s">
        <v>55</v>
      </c>
      <c r="AC153" s="1" t="s">
        <v>48</v>
      </c>
      <c r="AD153" s="1" t="s">
        <v>43</v>
      </c>
      <c r="AE153" s="8">
        <f>IF(L153&lt;&gt;"",L153*E153,0)</f>
      </c>
    </row>
    <row r="154" spans="1:31" x14ac:dyDescent="0.25">
      <c r="A154" s="4">
        <v>149</v>
      </c>
      <c r="B154" s="1" t="s">
        <v>445</v>
      </c>
      <c r="C154" s="5">
        <f>HYPERLINK("https://client.unique.diamonds/dna/11076-30","DNA")</f>
      </c>
      <c r="D154" s="1" t="s">
        <v>36</v>
      </c>
      <c r="E154" s="6">
        <v>1.55</v>
      </c>
      <c r="F154" s="1" t="s">
        <v>37</v>
      </c>
      <c r="G154" s="1" t="s">
        <v>69</v>
      </c>
      <c r="H154" s="1" t="s">
        <v>39</v>
      </c>
      <c r="I154" s="1" t="s">
        <v>39</v>
      </c>
      <c r="J154" s="1" t="s">
        <v>39</v>
      </c>
      <c r="K154" s="1" t="s">
        <v>114</v>
      </c>
      <c r="L154" s="4">
        <v>12600</v>
      </c>
      <c r="M154" s="6">
        <v>-32.25</v>
      </c>
      <c r="N154" s="7">
        <f>IF(AND(L154 &lt;&gt; "-", M154 &lt;&gt; "-"),L154*( 1 + M154%),0)</f>
      </c>
      <c r="O154" s="7">
        <f>( N154 * E154 )</f>
      </c>
      <c r="P154" s="1" t="s">
        <v>446</v>
      </c>
      <c r="Q154" s="6">
        <v>1.01</v>
      </c>
      <c r="R154" s="6">
        <v>61.2</v>
      </c>
      <c r="S154" s="4">
        <v>59</v>
      </c>
      <c r="T154" s="1" t="s">
        <v>42</v>
      </c>
      <c r="U154" s="5">
        <f>HYPERLINK("https://www.gia.edu/report-check?reportno=2436165317","2436165317")</f>
      </c>
      <c r="V154" s="1" t="s">
        <v>43</v>
      </c>
      <c r="W154" s="1" t="s">
        <v>284</v>
      </c>
      <c r="X154" s="1" t="s">
        <v>59</v>
      </c>
      <c r="Y154" s="1" t="s">
        <v>40</v>
      </c>
      <c r="Z154" s="1" t="s">
        <v>46</v>
      </c>
      <c r="AA154" s="1" t="s">
        <v>40</v>
      </c>
      <c r="AB154" s="1" t="s">
        <v>47</v>
      </c>
      <c r="AC154" s="1" t="s">
        <v>48</v>
      </c>
      <c r="AD154" s="1" t="s">
        <v>43</v>
      </c>
      <c r="AE154" s="8">
        <f>IF(L154&lt;&gt;"",L154*E154,0)</f>
      </c>
    </row>
    <row r="155" spans="1:31" x14ac:dyDescent="0.25">
      <c r="A155" s="4">
        <v>150</v>
      </c>
      <c r="B155" s="1" t="s">
        <v>447</v>
      </c>
      <c r="C155" s="5">
        <f>HYPERLINK("https://client.unique.diamonds/dna/11041-33","DNA")</f>
      </c>
      <c r="D155" s="1" t="s">
        <v>36</v>
      </c>
      <c r="E155" s="6">
        <v>1.55</v>
      </c>
      <c r="F155" s="1" t="s">
        <v>37</v>
      </c>
      <c r="G155" s="1" t="s">
        <v>87</v>
      </c>
      <c r="H155" s="1" t="s">
        <v>39</v>
      </c>
      <c r="I155" s="1" t="s">
        <v>39</v>
      </c>
      <c r="J155" s="1" t="s">
        <v>39</v>
      </c>
      <c r="K155" s="1" t="s">
        <v>114</v>
      </c>
      <c r="L155" s="4">
        <v>8500</v>
      </c>
      <c r="M155" s="6">
        <v>-24</v>
      </c>
      <c r="N155" s="7">
        <f>IF(AND(L155 &lt;&gt; "-", M155 &lt;&gt; "-"),L155*( 1 + M155%),0)</f>
      </c>
      <c r="O155" s="7">
        <f>( N155 * E155 )</f>
      </c>
      <c r="P155" s="1" t="s">
        <v>448</v>
      </c>
      <c r="Q155" s="6">
        <v>1.01</v>
      </c>
      <c r="R155" s="6">
        <v>62.3</v>
      </c>
      <c r="S155" s="4">
        <v>55</v>
      </c>
      <c r="T155" s="1" t="s">
        <v>42</v>
      </c>
      <c r="U155" s="5">
        <f>HYPERLINK("https://www.gia.edu/report-check?reportno=5423336377","5423336377")</f>
      </c>
      <c r="V155" s="1" t="s">
        <v>43</v>
      </c>
      <c r="W155" s="1" t="s">
        <v>449</v>
      </c>
      <c r="X155" s="1" t="s">
        <v>59</v>
      </c>
      <c r="Y155" s="1" t="s">
        <v>40</v>
      </c>
      <c r="Z155" s="1" t="s">
        <v>54</v>
      </c>
      <c r="AA155" s="1" t="s">
        <v>66</v>
      </c>
      <c r="AB155" s="1" t="s">
        <v>47</v>
      </c>
      <c r="AC155" s="1" t="s">
        <v>48</v>
      </c>
      <c r="AD155" s="1" t="s">
        <v>43</v>
      </c>
      <c r="AE155" s="8">
        <f>IF(L155&lt;&gt;"",L155*E155,0)</f>
      </c>
    </row>
    <row r="156" spans="1:31" x14ac:dyDescent="0.25">
      <c r="A156" s="4">
        <v>151</v>
      </c>
      <c r="B156" s="1" t="s">
        <v>450</v>
      </c>
      <c r="C156" s="5">
        <f>HYPERLINK("https://client.unique.diamonds/dna/11088-48","DNA")</f>
      </c>
      <c r="D156" s="1" t="s">
        <v>36</v>
      </c>
      <c r="E156" s="6">
        <v>1.54</v>
      </c>
      <c r="F156" s="1" t="s">
        <v>50</v>
      </c>
      <c r="G156" s="1" t="s">
        <v>69</v>
      </c>
      <c r="H156" s="1" t="s">
        <v>39</v>
      </c>
      <c r="I156" s="1" t="s">
        <v>39</v>
      </c>
      <c r="J156" s="1" t="s">
        <v>39</v>
      </c>
      <c r="K156" s="1" t="s">
        <v>40</v>
      </c>
      <c r="L156" s="4">
        <v>8700</v>
      </c>
      <c r="M156" s="6">
        <v>-21.25</v>
      </c>
      <c r="N156" s="7">
        <f>IF(AND(L156 &lt;&gt; "-", M156 &lt;&gt; "-"),L156*( 1 + M156%),0)</f>
      </c>
      <c r="O156" s="7">
        <f>( N156 * E156 )</f>
      </c>
      <c r="P156" s="1" t="s">
        <v>451</v>
      </c>
      <c r="Q156" s="6">
        <v>1.01</v>
      </c>
      <c r="R156" s="6">
        <v>63.2</v>
      </c>
      <c r="S156" s="4">
        <v>57</v>
      </c>
      <c r="T156" s="1" t="s">
        <v>42</v>
      </c>
      <c r="U156" s="5">
        <f>HYPERLINK("https://www.gia.edu/report-check?reportno=7428754209","7428754209")</f>
      </c>
      <c r="V156" s="1" t="s">
        <v>43</v>
      </c>
      <c r="W156" s="1" t="s">
        <v>65</v>
      </c>
      <c r="X156" s="1" t="s">
        <v>59</v>
      </c>
      <c r="Y156" s="1" t="s">
        <v>40</v>
      </c>
      <c r="Z156" s="1" t="s">
        <v>46</v>
      </c>
      <c r="AA156" s="1" t="s">
        <v>55</v>
      </c>
      <c r="AB156" s="1" t="s">
        <v>40</v>
      </c>
      <c r="AC156" s="1" t="s">
        <v>48</v>
      </c>
      <c r="AD156" s="1" t="s">
        <v>43</v>
      </c>
      <c r="AE156" s="8">
        <f>IF(L156&lt;&gt;"",L156*E156,0)</f>
      </c>
    </row>
    <row r="157" spans="1:31" x14ac:dyDescent="0.25">
      <c r="A157" s="4">
        <v>152</v>
      </c>
      <c r="B157" s="1" t="s">
        <v>452</v>
      </c>
      <c r="C157" s="5">
        <f>HYPERLINK("https://client.unique.diamonds/dna/11116-37","DNA")</f>
      </c>
      <c r="D157" s="1" t="s">
        <v>36</v>
      </c>
      <c r="E157" s="6">
        <v>1.53</v>
      </c>
      <c r="F157" s="1" t="s">
        <v>68</v>
      </c>
      <c r="G157" s="1" t="s">
        <v>69</v>
      </c>
      <c r="H157" s="1" t="s">
        <v>39</v>
      </c>
      <c r="I157" s="1" t="s">
        <v>39</v>
      </c>
      <c r="J157" s="1" t="s">
        <v>39</v>
      </c>
      <c r="K157" s="1" t="s">
        <v>114</v>
      </c>
      <c r="L157" s="4">
        <v>19100</v>
      </c>
      <c r="M157" s="6">
        <v>-40.25</v>
      </c>
      <c r="N157" s="7">
        <f>IF(AND(L157 &lt;&gt; "-", M157 &lt;&gt; "-"),L157*( 1 + M157%),0)</f>
      </c>
      <c r="O157" s="7">
        <f>( N157 * E157 )</f>
      </c>
      <c r="P157" s="1" t="s">
        <v>453</v>
      </c>
      <c r="Q157" s="6">
        <v>1</v>
      </c>
      <c r="R157" s="6">
        <v>62.6</v>
      </c>
      <c r="S157" s="4">
        <v>59</v>
      </c>
      <c r="T157" s="1" t="s">
        <v>42</v>
      </c>
      <c r="U157" s="5">
        <f>HYPERLINK("https://www.gia.edu/report-check?reportno=6435073415","6435073415")</f>
      </c>
      <c r="V157" s="1" t="s">
        <v>43</v>
      </c>
      <c r="W157" s="1" t="s">
        <v>74</v>
      </c>
      <c r="X157" s="1" t="s">
        <v>45</v>
      </c>
      <c r="Y157" s="1" t="s">
        <v>40</v>
      </c>
      <c r="Z157" s="1" t="s">
        <v>46</v>
      </c>
      <c r="AA157" s="1" t="s">
        <v>40</v>
      </c>
      <c r="AB157" s="1" t="s">
        <v>40</v>
      </c>
      <c r="AC157" s="1" t="s">
        <v>48</v>
      </c>
      <c r="AD157" s="1" t="s">
        <v>43</v>
      </c>
      <c r="AE157" s="8">
        <f>IF(L157&lt;&gt;"",L157*E157,0)</f>
      </c>
    </row>
    <row r="158" spans="1:31" x14ac:dyDescent="0.25">
      <c r="A158" s="4">
        <v>153</v>
      </c>
      <c r="B158" s="1" t="s">
        <v>454</v>
      </c>
      <c r="C158" s="5">
        <f>HYPERLINK("https://client.unique.diamonds/dna/11088-53","DNA")</f>
      </c>
      <c r="D158" s="1" t="s">
        <v>36</v>
      </c>
      <c r="E158" s="6">
        <v>1.53</v>
      </c>
      <c r="F158" s="1" t="s">
        <v>173</v>
      </c>
      <c r="G158" s="1" t="s">
        <v>69</v>
      </c>
      <c r="H158" s="1" t="s">
        <v>39</v>
      </c>
      <c r="I158" s="1" t="s">
        <v>39</v>
      </c>
      <c r="J158" s="1" t="s">
        <v>39</v>
      </c>
      <c r="K158" s="1" t="s">
        <v>40</v>
      </c>
      <c r="L158" s="4">
        <v>17700</v>
      </c>
      <c r="M158" s="6">
        <v>-24.25</v>
      </c>
      <c r="N158" s="7">
        <f>IF(AND(L158 &lt;&gt; "-", M158 &lt;&gt; "-"),L158*( 1 + M158%),0)</f>
      </c>
      <c r="O158" s="7">
        <f>( N158 * E158 )</f>
      </c>
      <c r="P158" s="1" t="s">
        <v>453</v>
      </c>
      <c r="Q158" s="6">
        <v>1</v>
      </c>
      <c r="R158" s="6">
        <v>62.5</v>
      </c>
      <c r="S158" s="4">
        <v>58</v>
      </c>
      <c r="T158" s="1" t="s">
        <v>42</v>
      </c>
      <c r="U158" s="5">
        <f>HYPERLINK("https://www.gia.edu/report-check?reportno=6425754475","6425754475")</f>
      </c>
      <c r="V158" s="1" t="s">
        <v>43</v>
      </c>
      <c r="W158" s="1" t="s">
        <v>455</v>
      </c>
      <c r="X158" s="1" t="s">
        <v>59</v>
      </c>
      <c r="Y158" s="1" t="s">
        <v>40</v>
      </c>
      <c r="Z158" s="1" t="s">
        <v>59</v>
      </c>
      <c r="AA158" s="1" t="s">
        <v>66</v>
      </c>
      <c r="AB158" s="1" t="s">
        <v>47</v>
      </c>
      <c r="AC158" s="1" t="s">
        <v>48</v>
      </c>
      <c r="AD158" s="1" t="s">
        <v>43</v>
      </c>
      <c r="AE158" s="8">
        <f>IF(L158&lt;&gt;"",L158*E158,0)</f>
      </c>
    </row>
    <row r="159" spans="1:31" x14ac:dyDescent="0.25">
      <c r="A159" s="4">
        <v>154</v>
      </c>
      <c r="B159" s="1" t="s">
        <v>456</v>
      </c>
      <c r="C159" s="5">
        <f>HYPERLINK("https://client.unique.diamonds/dna/141445-44","DNA")</f>
      </c>
      <c r="D159" s="1" t="s">
        <v>36</v>
      </c>
      <c r="E159" s="6">
        <v>1.53</v>
      </c>
      <c r="F159" s="1" t="s">
        <v>37</v>
      </c>
      <c r="G159" s="1" t="s">
        <v>87</v>
      </c>
      <c r="H159" s="1" t="s">
        <v>39</v>
      </c>
      <c r="I159" s="1" t="s">
        <v>39</v>
      </c>
      <c r="J159" s="1" t="s">
        <v>39</v>
      </c>
      <c r="K159" s="1" t="s">
        <v>63</v>
      </c>
      <c r="L159" s="4">
        <v>8500</v>
      </c>
      <c r="M159" s="6">
        <v>-30.25</v>
      </c>
      <c r="N159" s="7">
        <f>IF(AND(L159 &lt;&gt; "-", M159 &lt;&gt; "-"),L159*( 1 + M159%),0)</f>
      </c>
      <c r="O159" s="7">
        <f>( N159 * E159 )</f>
      </c>
      <c r="P159" s="1" t="s">
        <v>457</v>
      </c>
      <c r="Q159" s="6">
        <v>1.01</v>
      </c>
      <c r="R159" s="6">
        <v>62.4</v>
      </c>
      <c r="S159" s="4">
        <v>59</v>
      </c>
      <c r="T159" s="1" t="s">
        <v>42</v>
      </c>
      <c r="U159" s="5">
        <f>HYPERLINK("https://www.gia.edu/report-check?reportno=7422049822","7422049822")</f>
      </c>
      <c r="V159" s="1" t="s">
        <v>43</v>
      </c>
      <c r="W159" s="1" t="s">
        <v>189</v>
      </c>
      <c r="X159" s="1" t="s">
        <v>46</v>
      </c>
      <c r="Y159" s="1" t="s">
        <v>40</v>
      </c>
      <c r="Z159" s="1" t="s">
        <v>46</v>
      </c>
      <c r="AA159" s="1" t="s">
        <v>96</v>
      </c>
      <c r="AB159" s="1" t="s">
        <v>55</v>
      </c>
      <c r="AC159" s="1" t="s">
        <v>60</v>
      </c>
      <c r="AD159" s="1" t="s">
        <v>43</v>
      </c>
      <c r="AE159" s="8">
        <f>IF(L159&lt;&gt;"",L159*E159,0)</f>
      </c>
    </row>
    <row r="160" spans="1:31" x14ac:dyDescent="0.25">
      <c r="A160" s="4">
        <v>155</v>
      </c>
      <c r="B160" s="1" t="s">
        <v>458</v>
      </c>
      <c r="C160" s="5">
        <f>HYPERLINK("https://client.unique.diamonds/dna/11057-42","DNA")</f>
      </c>
      <c r="D160" s="1" t="s">
        <v>36</v>
      </c>
      <c r="E160" s="6">
        <v>1.53</v>
      </c>
      <c r="F160" s="1" t="s">
        <v>37</v>
      </c>
      <c r="G160" s="1" t="s">
        <v>87</v>
      </c>
      <c r="H160" s="1" t="s">
        <v>39</v>
      </c>
      <c r="I160" s="1" t="s">
        <v>39</v>
      </c>
      <c r="J160" s="1" t="s">
        <v>39</v>
      </c>
      <c r="K160" s="1" t="s">
        <v>40</v>
      </c>
      <c r="L160" s="4">
        <v>8500</v>
      </c>
      <c r="M160" s="6">
        <v>-19.25</v>
      </c>
      <c r="N160" s="7">
        <f>IF(AND(L160 &lt;&gt; "-", M160 &lt;&gt; "-"),L160*( 1 + M160%),0)</f>
      </c>
      <c r="O160" s="7">
        <f>( N160 * E160 )</f>
      </c>
      <c r="P160" s="1" t="s">
        <v>459</v>
      </c>
      <c r="Q160" s="6">
        <v>1</v>
      </c>
      <c r="R160" s="6">
        <v>61.9</v>
      </c>
      <c r="S160" s="4">
        <v>59</v>
      </c>
      <c r="T160" s="1" t="s">
        <v>42</v>
      </c>
      <c r="U160" s="5">
        <f>HYPERLINK("https://www.gia.edu/report-check?reportno=5426423287","5426423287")</f>
      </c>
      <c r="V160" s="1" t="s">
        <v>43</v>
      </c>
      <c r="W160" s="1" t="s">
        <v>44</v>
      </c>
      <c r="X160" s="1" t="s">
        <v>45</v>
      </c>
      <c r="Y160" s="1" t="s">
        <v>40</v>
      </c>
      <c r="Z160" s="1" t="s">
        <v>46</v>
      </c>
      <c r="AA160" s="1" t="s">
        <v>55</v>
      </c>
      <c r="AB160" s="1" t="s">
        <v>40</v>
      </c>
      <c r="AC160" s="1" t="s">
        <v>48</v>
      </c>
      <c r="AD160" s="1" t="s">
        <v>43</v>
      </c>
      <c r="AE160" s="8">
        <f>IF(L160&lt;&gt;"",L160*E160,0)</f>
      </c>
    </row>
    <row r="161" spans="1:31" x14ac:dyDescent="0.25">
      <c r="A161" s="4">
        <v>156</v>
      </c>
      <c r="B161" s="1" t="s">
        <v>460</v>
      </c>
      <c r="C161" s="5">
        <f>HYPERLINK("https://client.unique.diamonds/dna/141444-17","DNA")</f>
      </c>
      <c r="D161" s="1" t="s">
        <v>36</v>
      </c>
      <c r="E161" s="6">
        <v>1.52</v>
      </c>
      <c r="F161" s="1" t="s">
        <v>68</v>
      </c>
      <c r="G161" s="1" t="s">
        <v>69</v>
      </c>
      <c r="H161" s="1" t="s">
        <v>39</v>
      </c>
      <c r="I161" s="1" t="s">
        <v>39</v>
      </c>
      <c r="J161" s="1" t="s">
        <v>39</v>
      </c>
      <c r="K161" s="1" t="s">
        <v>40</v>
      </c>
      <c r="L161" s="4">
        <v>19100</v>
      </c>
      <c r="M161" s="6">
        <v>-27</v>
      </c>
      <c r="N161" s="7">
        <f>IF(AND(L161 &lt;&gt; "-", M161 &lt;&gt; "-"),L161*( 1 + M161%),0)</f>
      </c>
      <c r="O161" s="7">
        <f>( N161 * E161 )</f>
      </c>
      <c r="P161" s="1" t="s">
        <v>461</v>
      </c>
      <c r="Q161" s="6">
        <v>1</v>
      </c>
      <c r="R161" s="6">
        <v>61.8</v>
      </c>
      <c r="S161" s="4">
        <v>59</v>
      </c>
      <c r="T161" s="1" t="s">
        <v>42</v>
      </c>
      <c r="U161" s="5">
        <f>HYPERLINK("https://www.gia.edu/report-check?reportno=6412676365","6412676365")</f>
      </c>
      <c r="V161" s="1" t="s">
        <v>43</v>
      </c>
      <c r="W161" s="1" t="s">
        <v>160</v>
      </c>
      <c r="X161" s="1" t="s">
        <v>75</v>
      </c>
      <c r="Y161" s="1" t="s">
        <v>40</v>
      </c>
      <c r="Z161" s="1" t="s">
        <v>46</v>
      </c>
      <c r="AA161" s="1" t="s">
        <v>40</v>
      </c>
      <c r="AB161" s="1" t="s">
        <v>47</v>
      </c>
      <c r="AC161" s="1" t="s">
        <v>48</v>
      </c>
      <c r="AD161" s="1" t="s">
        <v>43</v>
      </c>
      <c r="AE161" s="8">
        <f>IF(L161&lt;&gt;"",L161*E161,0)</f>
      </c>
    </row>
    <row r="162" spans="1:31" x14ac:dyDescent="0.25">
      <c r="A162" s="4">
        <v>157</v>
      </c>
      <c r="B162" s="1" t="s">
        <v>462</v>
      </c>
      <c r="C162" s="5">
        <f>HYPERLINK("https://client.unique.diamonds/dna/11076-86","DNA")</f>
      </c>
      <c r="D162" s="1" t="s">
        <v>36</v>
      </c>
      <c r="E162" s="6">
        <v>1.52</v>
      </c>
      <c r="F162" s="1" t="s">
        <v>98</v>
      </c>
      <c r="G162" s="1" t="s">
        <v>51</v>
      </c>
      <c r="H162" s="1" t="s">
        <v>39</v>
      </c>
      <c r="I162" s="1" t="s">
        <v>39</v>
      </c>
      <c r="J162" s="1" t="s">
        <v>39</v>
      </c>
      <c r="K162" s="1" t="s">
        <v>63</v>
      </c>
      <c r="L162" s="4">
        <v>11300</v>
      </c>
      <c r="M162" s="6">
        <v>-21</v>
      </c>
      <c r="N162" s="7">
        <f>IF(AND(L162 &lt;&gt; "-", M162 &lt;&gt; "-"),L162*( 1 + M162%),0)</f>
      </c>
      <c r="O162" s="7">
        <f>( N162 * E162 )</f>
      </c>
      <c r="P162" s="1" t="s">
        <v>463</v>
      </c>
      <c r="Q162" s="6">
        <v>1</v>
      </c>
      <c r="R162" s="6">
        <v>62.3</v>
      </c>
      <c r="S162" s="4">
        <v>58</v>
      </c>
      <c r="T162" s="1" t="s">
        <v>42</v>
      </c>
      <c r="U162" s="5">
        <f>HYPERLINK("https://www.gia.edu/report-check?reportno=7428787048","7428787048")</f>
      </c>
      <c r="V162" s="1" t="s">
        <v>43</v>
      </c>
      <c r="W162" s="1" t="s">
        <v>464</v>
      </c>
      <c r="X162" s="1" t="s">
        <v>59</v>
      </c>
      <c r="Y162" s="1" t="s">
        <v>40</v>
      </c>
      <c r="Z162" s="1" t="s">
        <v>59</v>
      </c>
      <c r="AA162" s="1" t="s">
        <v>55</v>
      </c>
      <c r="AB162" s="1" t="s">
        <v>55</v>
      </c>
      <c r="AC162" s="1" t="s">
        <v>48</v>
      </c>
      <c r="AD162" s="1" t="s">
        <v>43</v>
      </c>
      <c r="AE162" s="8">
        <f>IF(L162&lt;&gt;"",L162*E162,0)</f>
      </c>
    </row>
    <row r="163" spans="1:31" x14ac:dyDescent="0.25">
      <c r="A163" s="4">
        <v>158</v>
      </c>
      <c r="B163" s="1" t="s">
        <v>465</v>
      </c>
      <c r="C163" s="5">
        <f>HYPERLINK("https://client.unique.diamonds/dna/11088-75","DNA")</f>
      </c>
      <c r="D163" s="1" t="s">
        <v>36</v>
      </c>
      <c r="E163" s="6">
        <v>1.52</v>
      </c>
      <c r="F163" s="1" t="s">
        <v>37</v>
      </c>
      <c r="G163" s="1" t="s">
        <v>51</v>
      </c>
      <c r="H163" s="1" t="s">
        <v>39</v>
      </c>
      <c r="I163" s="1" t="s">
        <v>39</v>
      </c>
      <c r="J163" s="1" t="s">
        <v>39</v>
      </c>
      <c r="K163" s="1" t="s">
        <v>40</v>
      </c>
      <c r="L163" s="4">
        <v>10600</v>
      </c>
      <c r="M163" s="6">
        <v>-23</v>
      </c>
      <c r="N163" s="7">
        <f>IF(AND(L163 &lt;&gt; "-", M163 &lt;&gt; "-"),L163*( 1 + M163%),0)</f>
      </c>
      <c r="O163" s="7">
        <f>( N163 * E163 )</f>
      </c>
      <c r="P163" s="1" t="s">
        <v>466</v>
      </c>
      <c r="Q163" s="6">
        <v>1.01</v>
      </c>
      <c r="R163" s="6">
        <v>62.5</v>
      </c>
      <c r="S163" s="4">
        <v>59</v>
      </c>
      <c r="T163" s="1" t="s">
        <v>42</v>
      </c>
      <c r="U163" s="5">
        <f>HYPERLINK("https://www.gia.edu/report-check?reportno=6421848960","6421848960")</f>
      </c>
      <c r="V163" s="1" t="s">
        <v>43</v>
      </c>
      <c r="W163" s="1" t="s">
        <v>273</v>
      </c>
      <c r="X163" s="1" t="s">
        <v>46</v>
      </c>
      <c r="Y163" s="1" t="s">
        <v>40</v>
      </c>
      <c r="Z163" s="1" t="s">
        <v>59</v>
      </c>
      <c r="AA163" s="1" t="s">
        <v>55</v>
      </c>
      <c r="AB163" s="1" t="s">
        <v>40</v>
      </c>
      <c r="AC163" s="1" t="s">
        <v>85</v>
      </c>
      <c r="AD163" s="1" t="s">
        <v>43</v>
      </c>
      <c r="AE163" s="8">
        <f>IF(L163&lt;&gt;"",L163*E163,0)</f>
      </c>
    </row>
    <row r="164" spans="1:31" x14ac:dyDescent="0.25">
      <c r="A164" s="4">
        <v>159</v>
      </c>
      <c r="B164" s="1" t="s">
        <v>467</v>
      </c>
      <c r="C164" s="5">
        <f>HYPERLINK("https://client.unique.diamonds/dna/11136-3","DNA")</f>
      </c>
      <c r="D164" s="1" t="s">
        <v>36</v>
      </c>
      <c r="E164" s="6">
        <v>1.52</v>
      </c>
      <c r="F164" s="1" t="s">
        <v>37</v>
      </c>
      <c r="G164" s="1" t="s">
        <v>51</v>
      </c>
      <c r="H164" s="1" t="s">
        <v>39</v>
      </c>
      <c r="I164" s="1" t="s">
        <v>39</v>
      </c>
      <c r="J164" s="1" t="s">
        <v>39</v>
      </c>
      <c r="K164" s="1" t="s">
        <v>40</v>
      </c>
      <c r="L164" s="4">
        <v>10600</v>
      </c>
      <c r="M164" s="6">
        <v>-19.25</v>
      </c>
      <c r="N164" s="7">
        <f>IF(AND(L164 &lt;&gt; "-", M164 &lt;&gt; "-"),L164*( 1 + M164%),0)</f>
      </c>
      <c r="O164" s="7">
        <f>( N164 * E164 )</f>
      </c>
      <c r="P164" s="1" t="s">
        <v>468</v>
      </c>
      <c r="Q164" s="6">
        <v>1</v>
      </c>
      <c r="R164" s="6">
        <v>61.8</v>
      </c>
      <c r="S164" s="4">
        <v>59</v>
      </c>
      <c r="T164" s="1" t="s">
        <v>42</v>
      </c>
      <c r="U164" s="5">
        <f>HYPERLINK("https://www.gia.edu/report-check?reportno=7438211311","7438211311")</f>
      </c>
      <c r="V164" s="1" t="s">
        <v>43</v>
      </c>
      <c r="W164" s="1" t="s">
        <v>469</v>
      </c>
      <c r="X164" s="1" t="s">
        <v>59</v>
      </c>
      <c r="Y164" s="1" t="s">
        <v>40</v>
      </c>
      <c r="Z164" s="1" t="s">
        <v>59</v>
      </c>
      <c r="AA164" s="1" t="s">
        <v>66</v>
      </c>
      <c r="AB164" s="1" t="s">
        <v>47</v>
      </c>
      <c r="AC164" s="1" t="s">
        <v>48</v>
      </c>
      <c r="AD164" s="1" t="s">
        <v>43</v>
      </c>
      <c r="AE164" s="8">
        <f>IF(L164&lt;&gt;"",L164*E164,0)</f>
      </c>
    </row>
    <row r="165" spans="1:31" x14ac:dyDescent="0.25">
      <c r="A165" s="4">
        <v>160</v>
      </c>
      <c r="B165" s="1" t="s">
        <v>470</v>
      </c>
      <c r="C165" s="5">
        <f>HYPERLINK("https://client.unique.diamonds/dna/11136-17","DNA")</f>
      </c>
      <c r="D165" s="1" t="s">
        <v>36</v>
      </c>
      <c r="E165" s="6">
        <v>1.52</v>
      </c>
      <c r="F165" s="1" t="s">
        <v>62</v>
      </c>
      <c r="G165" s="1" t="s">
        <v>51</v>
      </c>
      <c r="H165" s="1" t="s">
        <v>39</v>
      </c>
      <c r="I165" s="1" t="s">
        <v>39</v>
      </c>
      <c r="J165" s="1" t="s">
        <v>39</v>
      </c>
      <c r="K165" s="1" t="s">
        <v>40</v>
      </c>
      <c r="L165" s="4">
        <v>9100</v>
      </c>
      <c r="M165" s="6">
        <v>-19.25</v>
      </c>
      <c r="N165" s="7">
        <f>IF(AND(L165 &lt;&gt; "-", M165 &lt;&gt; "-"),L165*( 1 + M165%),0)</f>
      </c>
      <c r="O165" s="7">
        <f>( N165 * E165 )</f>
      </c>
      <c r="P165" s="1" t="s">
        <v>471</v>
      </c>
      <c r="Q165" s="6">
        <v>1.01</v>
      </c>
      <c r="R165" s="6">
        <v>60.1</v>
      </c>
      <c r="S165" s="4">
        <v>59</v>
      </c>
      <c r="T165" s="1" t="s">
        <v>42</v>
      </c>
      <c r="U165" s="5">
        <f>HYPERLINK("https://www.gia.edu/report-check?reportno=6432297250","6432297250")</f>
      </c>
      <c r="V165" s="1" t="s">
        <v>43</v>
      </c>
      <c r="W165" s="1" t="s">
        <v>189</v>
      </c>
      <c r="X165" s="1" t="s">
        <v>45</v>
      </c>
      <c r="Y165" s="1" t="s">
        <v>40</v>
      </c>
      <c r="Z165" s="1" t="s">
        <v>46</v>
      </c>
      <c r="AA165" s="1" t="s">
        <v>55</v>
      </c>
      <c r="AB165" s="1" t="s">
        <v>55</v>
      </c>
      <c r="AC165" s="1" t="s">
        <v>48</v>
      </c>
      <c r="AD165" s="1" t="s">
        <v>43</v>
      </c>
      <c r="AE165" s="8">
        <f>IF(L165&lt;&gt;"",L165*E165,0)</f>
      </c>
    </row>
    <row r="166" spans="1:31" x14ac:dyDescent="0.25">
      <c r="A166" s="4">
        <v>161</v>
      </c>
      <c r="B166" s="1" t="s">
        <v>472</v>
      </c>
      <c r="C166" s="5">
        <f>HYPERLINK("https://client.unique.diamonds/dna/141404-16","DNA")</f>
      </c>
      <c r="D166" s="1" t="s">
        <v>36</v>
      </c>
      <c r="E166" s="6">
        <v>1.51</v>
      </c>
      <c r="F166" s="1" t="s">
        <v>173</v>
      </c>
      <c r="G166" s="1" t="s">
        <v>69</v>
      </c>
      <c r="H166" s="1" t="s">
        <v>39</v>
      </c>
      <c r="I166" s="1" t="s">
        <v>39</v>
      </c>
      <c r="J166" s="1" t="s">
        <v>39</v>
      </c>
      <c r="K166" s="1" t="s">
        <v>40</v>
      </c>
      <c r="L166" s="4">
        <v>17700</v>
      </c>
      <c r="M166" s="6">
        <v>-27.75</v>
      </c>
      <c r="N166" s="7">
        <f>IF(AND(L166 &lt;&gt; "-", M166 &lt;&gt; "-"),L166*( 1 + M166%),0)</f>
      </c>
      <c r="O166" s="7">
        <f>( N166 * E166 )</f>
      </c>
      <c r="P166" s="1" t="s">
        <v>473</v>
      </c>
      <c r="Q166" s="6">
        <v>1.01</v>
      </c>
      <c r="R166" s="6">
        <v>62.3</v>
      </c>
      <c r="S166" s="4">
        <v>57</v>
      </c>
      <c r="T166" s="1" t="s">
        <v>42</v>
      </c>
      <c r="U166" s="5">
        <f>HYPERLINK("https://www.gia.edu/report-check?reportno=7411102002","7411102002")</f>
      </c>
      <c r="V166" s="1" t="s">
        <v>43</v>
      </c>
      <c r="W166" s="1" t="s">
        <v>78</v>
      </c>
      <c r="X166" s="1" t="s">
        <v>59</v>
      </c>
      <c r="Y166" s="1" t="s">
        <v>40</v>
      </c>
      <c r="Z166" s="1" t="s">
        <v>46</v>
      </c>
      <c r="AA166" s="1" t="s">
        <v>55</v>
      </c>
      <c r="AB166" s="1" t="s">
        <v>55</v>
      </c>
      <c r="AC166" s="1" t="s">
        <v>48</v>
      </c>
      <c r="AD166" s="1" t="s">
        <v>43</v>
      </c>
      <c r="AE166" s="8">
        <f>IF(L166&lt;&gt;"",L166*E166,0)</f>
      </c>
    </row>
    <row r="167" spans="1:31" x14ac:dyDescent="0.25">
      <c r="A167" s="4">
        <v>162</v>
      </c>
      <c r="B167" s="1" t="s">
        <v>474</v>
      </c>
      <c r="C167" s="5">
        <f>HYPERLINK("https://client.unique.diamonds/dna/12046-30","DNA")</f>
      </c>
      <c r="D167" s="1" t="s">
        <v>36</v>
      </c>
      <c r="E167" s="6">
        <v>1.51</v>
      </c>
      <c r="F167" s="1" t="s">
        <v>173</v>
      </c>
      <c r="G167" s="1" t="s">
        <v>87</v>
      </c>
      <c r="H167" s="1" t="s">
        <v>39</v>
      </c>
      <c r="I167" s="1" t="s">
        <v>39</v>
      </c>
      <c r="J167" s="1" t="s">
        <v>39</v>
      </c>
      <c r="K167" s="1" t="s">
        <v>40</v>
      </c>
      <c r="L167" s="4">
        <v>10300</v>
      </c>
      <c r="M167" s="6">
        <v>-19.45</v>
      </c>
      <c r="N167" s="7">
        <f>IF(AND(L167 &lt;&gt; "-", M167 &lt;&gt; "-"),L167*( 1 + M167%),0)</f>
      </c>
      <c r="O167" s="7">
        <f>( N167 * E167 )</f>
      </c>
      <c r="P167" s="1" t="s">
        <v>475</v>
      </c>
      <c r="Q167" s="6">
        <v>1</v>
      </c>
      <c r="R167" s="6">
        <v>59.5</v>
      </c>
      <c r="S167" s="4">
        <v>60</v>
      </c>
      <c r="T167" s="1" t="s">
        <v>42</v>
      </c>
      <c r="U167" s="5">
        <f>HYPERLINK("https://www.gia.edu/report-check?reportno=1435361476","1435361476")</f>
      </c>
      <c r="V167" s="1" t="s">
        <v>43</v>
      </c>
      <c r="W167" s="1" t="s">
        <v>143</v>
      </c>
      <c r="X167" s="1" t="s">
        <v>54</v>
      </c>
      <c r="Y167" s="1" t="s">
        <v>40</v>
      </c>
      <c r="Z167" s="1" t="s">
        <v>59</v>
      </c>
      <c r="AA167" s="1" t="s">
        <v>66</v>
      </c>
      <c r="AB167" s="1" t="s">
        <v>47</v>
      </c>
      <c r="AC167" s="1" t="s">
        <v>60</v>
      </c>
      <c r="AD167" s="1" t="s">
        <v>43</v>
      </c>
      <c r="AE167" s="8">
        <f>IF(L167&lt;&gt;"",L167*E167,0)</f>
      </c>
    </row>
    <row r="168" spans="1:31" x14ac:dyDescent="0.25">
      <c r="A168" s="4">
        <v>163</v>
      </c>
      <c r="B168" s="1" t="s">
        <v>476</v>
      </c>
      <c r="C168" s="5">
        <f>HYPERLINK("https://client.unique.diamonds/dna/11108-130","DNA")</f>
      </c>
      <c r="D168" s="1" t="s">
        <v>36</v>
      </c>
      <c r="E168" s="6">
        <v>1.51</v>
      </c>
      <c r="F168" s="1" t="s">
        <v>91</v>
      </c>
      <c r="G168" s="1" t="s">
        <v>38</v>
      </c>
      <c r="H168" s="1" t="s">
        <v>39</v>
      </c>
      <c r="I168" s="1" t="s">
        <v>39</v>
      </c>
      <c r="J168" s="1" t="s">
        <v>39</v>
      </c>
      <c r="K168" s="1" t="s">
        <v>40</v>
      </c>
      <c r="L168" s="4">
        <v>14500</v>
      </c>
      <c r="M168" s="6">
        <v>-22.45</v>
      </c>
      <c r="N168" s="7">
        <f>IF(AND(L168 &lt;&gt; "-", M168 &lt;&gt; "-"),L168*( 1 + M168%),0)</f>
      </c>
      <c r="O168" s="7">
        <f>( N168 * E168 )</f>
      </c>
      <c r="P168" s="1" t="s">
        <v>477</v>
      </c>
      <c r="Q168" s="6">
        <v>1.01</v>
      </c>
      <c r="R168" s="6">
        <v>60.8</v>
      </c>
      <c r="S168" s="4">
        <v>58</v>
      </c>
      <c r="T168" s="1" t="s">
        <v>42</v>
      </c>
      <c r="U168" s="5">
        <f>HYPERLINK("https://www.gia.edu/report-check?reportno=6432016408","6432016408")</f>
      </c>
      <c r="V168" s="1" t="s">
        <v>43</v>
      </c>
      <c r="W168" s="1" t="s">
        <v>157</v>
      </c>
      <c r="X168" s="1" t="s">
        <v>59</v>
      </c>
      <c r="Y168" s="1" t="s">
        <v>40</v>
      </c>
      <c r="Z168" s="1" t="s">
        <v>46</v>
      </c>
      <c r="AA168" s="1" t="s">
        <v>55</v>
      </c>
      <c r="AB168" s="1" t="s">
        <v>40</v>
      </c>
      <c r="AC168" s="1" t="s">
        <v>48</v>
      </c>
      <c r="AD168" s="1" t="s">
        <v>43</v>
      </c>
      <c r="AE168" s="8">
        <f>IF(L168&lt;&gt;"",L168*E168,0)</f>
      </c>
    </row>
    <row r="169" spans="1:31" x14ac:dyDescent="0.25">
      <c r="A169" s="4">
        <v>164</v>
      </c>
      <c r="B169" s="1" t="s">
        <v>478</v>
      </c>
      <c r="C169" s="5">
        <f>HYPERLINK("https://client.unique.diamonds/dna/11108-78","DNA")</f>
      </c>
      <c r="D169" s="1" t="s">
        <v>36</v>
      </c>
      <c r="E169" s="6">
        <v>1.51</v>
      </c>
      <c r="F169" s="1" t="s">
        <v>91</v>
      </c>
      <c r="G169" s="1" t="s">
        <v>51</v>
      </c>
      <c r="H169" s="1" t="s">
        <v>39</v>
      </c>
      <c r="I169" s="1" t="s">
        <v>39</v>
      </c>
      <c r="J169" s="1" t="s">
        <v>39</v>
      </c>
      <c r="K169" s="1" t="s">
        <v>40</v>
      </c>
      <c r="L169" s="4">
        <v>11900</v>
      </c>
      <c r="M169" s="6">
        <v>-16.25</v>
      </c>
      <c r="N169" s="7">
        <f>IF(AND(L169 &lt;&gt; "-", M169 &lt;&gt; "-"),L169*( 1 + M169%),0)</f>
      </c>
      <c r="O169" s="7">
        <f>( N169 * E169 )</f>
      </c>
      <c r="P169" s="1" t="s">
        <v>479</v>
      </c>
      <c r="Q169" s="6">
        <v>1</v>
      </c>
      <c r="R169" s="6">
        <v>62.6</v>
      </c>
      <c r="S169" s="4">
        <v>58</v>
      </c>
      <c r="T169" s="1" t="s">
        <v>42</v>
      </c>
      <c r="U169" s="5">
        <f>HYPERLINK("https://www.gia.edu/report-check?reportno=5426908140","5426908140")</f>
      </c>
      <c r="V169" s="1" t="s">
        <v>43</v>
      </c>
      <c r="W169" s="1" t="s">
        <v>166</v>
      </c>
      <c r="X169" s="1" t="s">
        <v>45</v>
      </c>
      <c r="Y169" s="1" t="s">
        <v>40</v>
      </c>
      <c r="Z169" s="1" t="s">
        <v>59</v>
      </c>
      <c r="AA169" s="1" t="s">
        <v>40</v>
      </c>
      <c r="AB169" s="1" t="s">
        <v>40</v>
      </c>
      <c r="AC169" s="1" t="s">
        <v>48</v>
      </c>
      <c r="AD169" s="1" t="s">
        <v>43</v>
      </c>
      <c r="AE169" s="8">
        <f>IF(L169&lt;&gt;"",L169*E169,0)</f>
      </c>
    </row>
    <row r="170" spans="1:31" x14ac:dyDescent="0.25">
      <c r="A170" s="4">
        <v>165</v>
      </c>
      <c r="B170" s="1" t="s">
        <v>480</v>
      </c>
      <c r="C170" s="5">
        <f>HYPERLINK("https://client.unique.diamonds/dna/11076-101","DNA")</f>
      </c>
      <c r="D170" s="1" t="s">
        <v>36</v>
      </c>
      <c r="E170" s="6">
        <v>1.51</v>
      </c>
      <c r="F170" s="1" t="s">
        <v>91</v>
      </c>
      <c r="G170" s="1" t="s">
        <v>87</v>
      </c>
      <c r="H170" s="1" t="s">
        <v>39</v>
      </c>
      <c r="I170" s="1" t="s">
        <v>39</v>
      </c>
      <c r="J170" s="1" t="s">
        <v>39</v>
      </c>
      <c r="K170" s="1" t="s">
        <v>40</v>
      </c>
      <c r="L170" s="4">
        <v>9600</v>
      </c>
      <c r="M170" s="6">
        <v>-26</v>
      </c>
      <c r="N170" s="7">
        <f>IF(AND(L170 &lt;&gt; "-", M170 &lt;&gt; "-"),L170*( 1 + M170%),0)</f>
      </c>
      <c r="O170" s="7">
        <f>( N170 * E170 )</f>
      </c>
      <c r="P170" s="1" t="s">
        <v>481</v>
      </c>
      <c r="Q170" s="6">
        <v>1.01</v>
      </c>
      <c r="R170" s="6">
        <v>62.2</v>
      </c>
      <c r="S170" s="4">
        <v>59</v>
      </c>
      <c r="T170" s="1" t="s">
        <v>42</v>
      </c>
      <c r="U170" s="5">
        <f>HYPERLINK("https://www.gia.edu/report-check?reportno=2426845827","2426845827")</f>
      </c>
      <c r="V170" s="1" t="s">
        <v>43</v>
      </c>
      <c r="W170" s="1" t="s">
        <v>71</v>
      </c>
      <c r="X170" s="1" t="s">
        <v>46</v>
      </c>
      <c r="Y170" s="1" t="s">
        <v>40</v>
      </c>
      <c r="Z170" s="1" t="s">
        <v>140</v>
      </c>
      <c r="AA170" s="1" t="s">
        <v>96</v>
      </c>
      <c r="AB170" s="1" t="s">
        <v>55</v>
      </c>
      <c r="AC170" s="1" t="s">
        <v>85</v>
      </c>
      <c r="AD170" s="1" t="s">
        <v>43</v>
      </c>
      <c r="AE170" s="8">
        <f>IF(L170&lt;&gt;"",L170*E170,0)</f>
      </c>
    </row>
    <row r="171" spans="1:31" x14ac:dyDescent="0.25">
      <c r="A171" s="4">
        <v>166</v>
      </c>
      <c r="B171" s="1" t="s">
        <v>482</v>
      </c>
      <c r="C171" s="5">
        <f>HYPERLINK("https://client.unique.diamonds/dna/12044-158","DNA")</f>
      </c>
      <c r="D171" s="1" t="s">
        <v>36</v>
      </c>
      <c r="E171" s="6">
        <v>1.51</v>
      </c>
      <c r="F171" s="1" t="s">
        <v>91</v>
      </c>
      <c r="G171" s="1" t="s">
        <v>87</v>
      </c>
      <c r="H171" s="1" t="s">
        <v>39</v>
      </c>
      <c r="I171" s="1" t="s">
        <v>39</v>
      </c>
      <c r="J171" s="1" t="s">
        <v>39</v>
      </c>
      <c r="K171" s="1" t="s">
        <v>40</v>
      </c>
      <c r="L171" s="4">
        <v>9600</v>
      </c>
      <c r="M171" s="6">
        <v>-23.45</v>
      </c>
      <c r="N171" s="7">
        <f>IF(AND(L171 &lt;&gt; "-", M171 &lt;&gt; "-"),L171*( 1 + M171%),0)</f>
      </c>
      <c r="O171" s="7">
        <f>( N171 * E171 )</f>
      </c>
      <c r="P171" s="1" t="s">
        <v>483</v>
      </c>
      <c r="Q171" s="6">
        <v>1</v>
      </c>
      <c r="R171" s="6">
        <v>60.9</v>
      </c>
      <c r="S171" s="4">
        <v>57</v>
      </c>
      <c r="T171" s="1" t="s">
        <v>42</v>
      </c>
      <c r="U171" s="5">
        <f>HYPERLINK("https://www.gia.edu/report-check?reportno=2437466898","2437466898")</f>
      </c>
      <c r="V171" s="1" t="s">
        <v>43</v>
      </c>
      <c r="W171" s="1" t="s">
        <v>65</v>
      </c>
      <c r="X171" s="1" t="s">
        <v>45</v>
      </c>
      <c r="Y171" s="1" t="s">
        <v>40</v>
      </c>
      <c r="Z171" s="1" t="s">
        <v>46</v>
      </c>
      <c r="AA171" s="1" t="s">
        <v>55</v>
      </c>
      <c r="AB171" s="1" t="s">
        <v>55</v>
      </c>
      <c r="AC171" s="1" t="s">
        <v>85</v>
      </c>
      <c r="AD171" s="1" t="s">
        <v>43</v>
      </c>
      <c r="AE171" s="8">
        <f>IF(L171&lt;&gt;"",L171*E171,0)</f>
      </c>
    </row>
    <row r="172" spans="1:31" x14ac:dyDescent="0.25">
      <c r="A172" s="4">
        <v>167</v>
      </c>
      <c r="B172" s="1" t="s">
        <v>484</v>
      </c>
      <c r="C172" s="5">
        <f>HYPERLINK("https://client.unique.diamonds/dna/11098-51","DNA")</f>
      </c>
      <c r="D172" s="1" t="s">
        <v>36</v>
      </c>
      <c r="E172" s="6">
        <v>1.51</v>
      </c>
      <c r="F172" s="1" t="s">
        <v>37</v>
      </c>
      <c r="G172" s="1" t="s">
        <v>38</v>
      </c>
      <c r="H172" s="1" t="s">
        <v>39</v>
      </c>
      <c r="I172" s="1" t="s">
        <v>39</v>
      </c>
      <c r="J172" s="1" t="s">
        <v>39</v>
      </c>
      <c r="K172" s="1" t="s">
        <v>63</v>
      </c>
      <c r="L172" s="4">
        <v>11700</v>
      </c>
      <c r="M172" s="6">
        <v>-25.75</v>
      </c>
      <c r="N172" s="7">
        <f>IF(AND(L172 &lt;&gt; "-", M172 &lt;&gt; "-"),L172*( 1 + M172%),0)</f>
      </c>
      <c r="O172" s="7">
        <f>( N172 * E172 )</f>
      </c>
      <c r="P172" s="1" t="s">
        <v>485</v>
      </c>
      <c r="Q172" s="6">
        <v>1</v>
      </c>
      <c r="R172" s="6">
        <v>62.4</v>
      </c>
      <c r="S172" s="4">
        <v>57</v>
      </c>
      <c r="T172" s="1" t="s">
        <v>42</v>
      </c>
      <c r="U172" s="5">
        <f>HYPERLINK("https://www.gia.edu/report-check?reportno=2426827715","2426827715")</f>
      </c>
      <c r="V172" s="1" t="s">
        <v>43</v>
      </c>
      <c r="W172" s="1" t="s">
        <v>151</v>
      </c>
      <c r="X172" s="1" t="s">
        <v>59</v>
      </c>
      <c r="Y172" s="1" t="s">
        <v>40</v>
      </c>
      <c r="Z172" s="1" t="s">
        <v>59</v>
      </c>
      <c r="AA172" s="1" t="s">
        <v>66</v>
      </c>
      <c r="AB172" s="1" t="s">
        <v>55</v>
      </c>
      <c r="AC172" s="1" t="s">
        <v>48</v>
      </c>
      <c r="AD172" s="1" t="s">
        <v>43</v>
      </c>
      <c r="AE172" s="8">
        <f>IF(L172&lt;&gt;"",L172*E172,0)</f>
      </c>
    </row>
    <row r="173" spans="1:31" x14ac:dyDescent="0.25">
      <c r="A173" s="4">
        <v>168</v>
      </c>
      <c r="B173" s="1" t="s">
        <v>486</v>
      </c>
      <c r="C173" s="5">
        <f>HYPERLINK("https://client.unique.diamonds/dna/11136-4","DNA")</f>
      </c>
      <c r="D173" s="1" t="s">
        <v>36</v>
      </c>
      <c r="E173" s="6">
        <v>1.51</v>
      </c>
      <c r="F173" s="1" t="s">
        <v>37</v>
      </c>
      <c r="G173" s="1" t="s">
        <v>38</v>
      </c>
      <c r="H173" s="1" t="s">
        <v>39</v>
      </c>
      <c r="I173" s="1" t="s">
        <v>39</v>
      </c>
      <c r="J173" s="1" t="s">
        <v>39</v>
      </c>
      <c r="K173" s="1" t="s">
        <v>114</v>
      </c>
      <c r="L173" s="4">
        <v>11700</v>
      </c>
      <c r="M173" s="6">
        <v>-33.25</v>
      </c>
      <c r="N173" s="7">
        <f>IF(AND(L173 &lt;&gt; "-", M173 &lt;&gt; "-"),L173*( 1 + M173%),0)</f>
      </c>
      <c r="O173" s="7">
        <f>( N173 * E173 )</f>
      </c>
      <c r="P173" s="1" t="s">
        <v>487</v>
      </c>
      <c r="Q173" s="6">
        <v>1.01</v>
      </c>
      <c r="R173" s="6">
        <v>61.3</v>
      </c>
      <c r="S173" s="4">
        <v>59</v>
      </c>
      <c r="T173" s="1" t="s">
        <v>42</v>
      </c>
      <c r="U173" s="5">
        <f>HYPERLINK("https://www.gia.edu/report-check?reportno=7432200536","7432200536")</f>
      </c>
      <c r="V173" s="1" t="s">
        <v>43</v>
      </c>
      <c r="W173" s="1" t="s">
        <v>136</v>
      </c>
      <c r="X173" s="1" t="s">
        <v>45</v>
      </c>
      <c r="Y173" s="1" t="s">
        <v>40</v>
      </c>
      <c r="Z173" s="1" t="s">
        <v>59</v>
      </c>
      <c r="AA173" s="1" t="s">
        <v>40</v>
      </c>
      <c r="AB173" s="1" t="s">
        <v>47</v>
      </c>
      <c r="AC173" s="1" t="s">
        <v>48</v>
      </c>
      <c r="AD173" s="1" t="s">
        <v>43</v>
      </c>
      <c r="AE173" s="8">
        <f>IF(L173&lt;&gt;"",L173*E173,0)</f>
      </c>
    </row>
    <row r="174" spans="1:31" x14ac:dyDescent="0.25">
      <c r="A174" s="4">
        <v>169</v>
      </c>
      <c r="B174" s="1" t="s">
        <v>488</v>
      </c>
      <c r="C174" s="5">
        <f>HYPERLINK("https://client.unique.diamonds/dna/11136-11","DNA")</f>
      </c>
      <c r="D174" s="1" t="s">
        <v>36</v>
      </c>
      <c r="E174" s="6">
        <v>1.51</v>
      </c>
      <c r="F174" s="1" t="s">
        <v>37</v>
      </c>
      <c r="G174" s="1" t="s">
        <v>38</v>
      </c>
      <c r="H174" s="1" t="s">
        <v>39</v>
      </c>
      <c r="I174" s="1" t="s">
        <v>39</v>
      </c>
      <c r="J174" s="1" t="s">
        <v>39</v>
      </c>
      <c r="K174" s="1" t="s">
        <v>40</v>
      </c>
      <c r="L174" s="4">
        <v>11700</v>
      </c>
      <c r="M174" s="6">
        <v>-20.25</v>
      </c>
      <c r="N174" s="7">
        <f>IF(AND(L174 &lt;&gt; "-", M174 &lt;&gt; "-"),L174*( 1 + M174%),0)</f>
      </c>
      <c r="O174" s="7">
        <f>( N174 * E174 )</f>
      </c>
      <c r="P174" s="1" t="s">
        <v>489</v>
      </c>
      <c r="Q174" s="6">
        <v>1.01</v>
      </c>
      <c r="R174" s="6">
        <v>62.5</v>
      </c>
      <c r="S174" s="4">
        <v>59</v>
      </c>
      <c r="T174" s="1" t="s">
        <v>42</v>
      </c>
      <c r="U174" s="5">
        <f>HYPERLINK("https://www.gia.edu/report-check?reportno=7436258883","7436258883")</f>
      </c>
      <c r="V174" s="1" t="s">
        <v>43</v>
      </c>
      <c r="W174" s="1" t="s">
        <v>78</v>
      </c>
      <c r="X174" s="1" t="s">
        <v>45</v>
      </c>
      <c r="Y174" s="1" t="s">
        <v>40</v>
      </c>
      <c r="Z174" s="1" t="s">
        <v>46</v>
      </c>
      <c r="AA174" s="1" t="s">
        <v>55</v>
      </c>
      <c r="AB174" s="1" t="s">
        <v>47</v>
      </c>
      <c r="AC174" s="1" t="s">
        <v>48</v>
      </c>
      <c r="AD174" s="1" t="s">
        <v>43</v>
      </c>
      <c r="AE174" s="8">
        <f>IF(L174&lt;&gt;"",L174*E174,0)</f>
      </c>
    </row>
    <row r="175" spans="1:31" x14ac:dyDescent="0.25">
      <c r="A175" s="4">
        <v>170</v>
      </c>
      <c r="B175" s="1" t="s">
        <v>490</v>
      </c>
      <c r="C175" s="5">
        <f>HYPERLINK("https://client.unique.diamonds/dna/11136-1","DNA")</f>
      </c>
      <c r="D175" s="1" t="s">
        <v>36</v>
      </c>
      <c r="E175" s="6">
        <v>1.51</v>
      </c>
      <c r="F175" s="1" t="s">
        <v>62</v>
      </c>
      <c r="G175" s="1" t="s">
        <v>51</v>
      </c>
      <c r="H175" s="1" t="s">
        <v>39</v>
      </c>
      <c r="I175" s="1" t="s">
        <v>39</v>
      </c>
      <c r="J175" s="1" t="s">
        <v>39</v>
      </c>
      <c r="K175" s="1" t="s">
        <v>63</v>
      </c>
      <c r="L175" s="4">
        <v>9100</v>
      </c>
      <c r="M175" s="6">
        <v>-19.25</v>
      </c>
      <c r="N175" s="7">
        <f>IF(AND(L175 &lt;&gt; "-", M175 &lt;&gt; "-"),L175*( 1 + M175%),0)</f>
      </c>
      <c r="O175" s="7">
        <f>( N175 * E175 )</f>
      </c>
      <c r="P175" s="1" t="s">
        <v>491</v>
      </c>
      <c r="Q175" s="6">
        <v>1.01</v>
      </c>
      <c r="R175" s="6">
        <v>62.3</v>
      </c>
      <c r="S175" s="4">
        <v>58</v>
      </c>
      <c r="T175" s="1" t="s">
        <v>42</v>
      </c>
      <c r="U175" s="5">
        <f>HYPERLINK("https://www.gia.edu/report-check?reportno=7438126642","7438126642")</f>
      </c>
      <c r="V175" s="1" t="s">
        <v>43</v>
      </c>
      <c r="W175" s="1" t="s">
        <v>287</v>
      </c>
      <c r="X175" s="1" t="s">
        <v>46</v>
      </c>
      <c r="Y175" s="1" t="s">
        <v>40</v>
      </c>
      <c r="Z175" s="1" t="s">
        <v>45</v>
      </c>
      <c r="AA175" s="1" t="s">
        <v>40</v>
      </c>
      <c r="AB175" s="1" t="s">
        <v>40</v>
      </c>
      <c r="AC175" s="1" t="s">
        <v>60</v>
      </c>
      <c r="AD175" s="1" t="s">
        <v>43</v>
      </c>
      <c r="AE175" s="8">
        <f>IF(L175&lt;&gt;"",L175*E175,0)</f>
      </c>
    </row>
    <row r="176" spans="1:31" x14ac:dyDescent="0.25">
      <c r="A176" s="4">
        <v>171</v>
      </c>
      <c r="B176" s="1" t="s">
        <v>492</v>
      </c>
      <c r="C176" s="5">
        <f>HYPERLINK("https://client.unique.diamonds/dna/12046-52","DNA")</f>
      </c>
      <c r="D176" s="1" t="s">
        <v>36</v>
      </c>
      <c r="E176" s="6">
        <v>1.51</v>
      </c>
      <c r="F176" s="1" t="s">
        <v>62</v>
      </c>
      <c r="G176" s="1" t="s">
        <v>87</v>
      </c>
      <c r="H176" s="1" t="s">
        <v>39</v>
      </c>
      <c r="I176" s="1" t="s">
        <v>39</v>
      </c>
      <c r="J176" s="1" t="s">
        <v>39</v>
      </c>
      <c r="K176" s="1" t="s">
        <v>40</v>
      </c>
      <c r="L176" s="4">
        <v>7900</v>
      </c>
      <c r="M176" s="6">
        <v>-20.5</v>
      </c>
      <c r="N176" s="7">
        <f>IF(AND(L176 &lt;&gt; "-", M176 &lt;&gt; "-"),L176*( 1 + M176%),0)</f>
      </c>
      <c r="O176" s="7">
        <f>( N176 * E176 )</f>
      </c>
      <c r="P176" s="1" t="s">
        <v>493</v>
      </c>
      <c r="Q176" s="6">
        <v>1</v>
      </c>
      <c r="R176" s="6">
        <v>61.8</v>
      </c>
      <c r="S176" s="4">
        <v>58</v>
      </c>
      <c r="T176" s="1" t="s">
        <v>42</v>
      </c>
      <c r="U176" s="5">
        <f>HYPERLINK("https://www.gia.edu/report-check?reportno=1433443658","1433443658")</f>
      </c>
      <c r="V176" s="1" t="s">
        <v>43</v>
      </c>
      <c r="W176" s="1" t="s">
        <v>273</v>
      </c>
      <c r="X176" s="1" t="s">
        <v>46</v>
      </c>
      <c r="Y176" s="1" t="s">
        <v>40</v>
      </c>
      <c r="Z176" s="1" t="s">
        <v>54</v>
      </c>
      <c r="AA176" s="1" t="s">
        <v>40</v>
      </c>
      <c r="AB176" s="1" t="s">
        <v>47</v>
      </c>
      <c r="AC176" s="1" t="s">
        <v>48</v>
      </c>
      <c r="AD176" s="1" t="s">
        <v>43</v>
      </c>
      <c r="AE176" s="8">
        <f>IF(L176&lt;&gt;"",L176*E176,0)</f>
      </c>
    </row>
    <row r="177" spans="1:31" x14ac:dyDescent="0.25">
      <c r="A177" s="4">
        <v>172</v>
      </c>
      <c r="B177" s="1" t="s">
        <v>494</v>
      </c>
      <c r="C177" s="5">
        <f>HYPERLINK("https://client.unique.diamonds/dna/11118-20","DNA")</f>
      </c>
      <c r="D177" s="1" t="s">
        <v>36</v>
      </c>
      <c r="E177" s="6">
        <v>1.51</v>
      </c>
      <c r="F177" s="1" t="s">
        <v>50</v>
      </c>
      <c r="G177" s="1" t="s">
        <v>69</v>
      </c>
      <c r="H177" s="1" t="s">
        <v>39</v>
      </c>
      <c r="I177" s="1" t="s">
        <v>39</v>
      </c>
      <c r="J177" s="1" t="s">
        <v>39</v>
      </c>
      <c r="K177" s="1" t="s">
        <v>40</v>
      </c>
      <c r="L177" s="4">
        <v>8700</v>
      </c>
      <c r="M177" s="6">
        <v>-20.25</v>
      </c>
      <c r="N177" s="7">
        <f>IF(AND(L177 &lt;&gt; "-", M177 &lt;&gt; "-"),L177*( 1 + M177%),0)</f>
      </c>
      <c r="O177" s="7">
        <f>( N177 * E177 )</f>
      </c>
      <c r="P177" s="1" t="s">
        <v>495</v>
      </c>
      <c r="Q177" s="6">
        <v>1</v>
      </c>
      <c r="R177" s="6">
        <v>60.9</v>
      </c>
      <c r="S177" s="4">
        <v>59</v>
      </c>
      <c r="T177" s="1" t="s">
        <v>42</v>
      </c>
      <c r="U177" s="5">
        <f>HYPERLINK("https://www.gia.edu/report-check?reportno=7431138143","7431138143")</f>
      </c>
      <c r="V177" s="1" t="s">
        <v>43</v>
      </c>
      <c r="W177" s="1" t="s">
        <v>496</v>
      </c>
      <c r="X177" s="1" t="s">
        <v>59</v>
      </c>
      <c r="Y177" s="1" t="s">
        <v>40</v>
      </c>
      <c r="Z177" s="1" t="s">
        <v>46</v>
      </c>
      <c r="AA177" s="1" t="s">
        <v>40</v>
      </c>
      <c r="AB177" s="1" t="s">
        <v>40</v>
      </c>
      <c r="AC177" s="1" t="s">
        <v>48</v>
      </c>
      <c r="AD177" s="1" t="s">
        <v>43</v>
      </c>
      <c r="AE177" s="8">
        <f>IF(L177&lt;&gt;"",L177*E177,0)</f>
      </c>
    </row>
    <row r="178" spans="1:31" x14ac:dyDescent="0.25">
      <c r="A178" s="4">
        <v>173</v>
      </c>
      <c r="B178" s="1" t="s">
        <v>497</v>
      </c>
      <c r="C178" s="5">
        <f>HYPERLINK("https://client.unique.diamonds/dna/11059-90","DNA")</f>
      </c>
      <c r="D178" s="1" t="s">
        <v>36</v>
      </c>
      <c r="E178" s="6">
        <v>1.5</v>
      </c>
      <c r="F178" s="1" t="s">
        <v>68</v>
      </c>
      <c r="G178" s="1" t="s">
        <v>69</v>
      </c>
      <c r="H178" s="1" t="s">
        <v>39</v>
      </c>
      <c r="I178" s="1" t="s">
        <v>39</v>
      </c>
      <c r="J178" s="1" t="s">
        <v>39</v>
      </c>
      <c r="K178" s="1" t="s">
        <v>40</v>
      </c>
      <c r="L178" s="4">
        <v>19100</v>
      </c>
      <c r="M178" s="6">
        <v>-25.75</v>
      </c>
      <c r="N178" s="7">
        <f>IF(AND(L178 &lt;&gt; "-", M178 &lt;&gt; "-"),L178*( 1 + M178%),0)</f>
      </c>
      <c r="O178" s="7">
        <f>( N178 * E178 )</f>
      </c>
      <c r="P178" s="1" t="s">
        <v>498</v>
      </c>
      <c r="Q178" s="6">
        <v>1.01</v>
      </c>
      <c r="R178" s="6">
        <v>63.1</v>
      </c>
      <c r="S178" s="4">
        <v>55</v>
      </c>
      <c r="T178" s="1" t="s">
        <v>42</v>
      </c>
      <c r="U178" s="5">
        <f>HYPERLINK("https://www.gia.edu/report-check?reportno=1423509073","1423509073")</f>
      </c>
      <c r="V178" s="1" t="s">
        <v>43</v>
      </c>
      <c r="W178" s="1" t="s">
        <v>499</v>
      </c>
      <c r="X178" s="1" t="s">
        <v>40</v>
      </c>
      <c r="Y178" s="1" t="s">
        <v>40</v>
      </c>
      <c r="Z178" s="1" t="s">
        <v>46</v>
      </c>
      <c r="AA178" s="1" t="s">
        <v>55</v>
      </c>
      <c r="AB178" s="1" t="s">
        <v>40</v>
      </c>
      <c r="AC178" s="1" t="s">
        <v>48</v>
      </c>
      <c r="AD178" s="1" t="s">
        <v>43</v>
      </c>
      <c r="AE178" s="8">
        <f>IF(L178&lt;&gt;"",L178*E178,0)</f>
      </c>
    </row>
    <row r="179" spans="1:31" x14ac:dyDescent="0.25">
      <c r="A179" s="4">
        <v>174</v>
      </c>
      <c r="B179" s="1" t="s">
        <v>500</v>
      </c>
      <c r="C179" s="5">
        <f>HYPERLINK("https://client.unique.diamonds/dna/11059-63","DNA")</f>
      </c>
      <c r="D179" s="1" t="s">
        <v>36</v>
      </c>
      <c r="E179" s="6">
        <v>1.5</v>
      </c>
      <c r="F179" s="1" t="s">
        <v>68</v>
      </c>
      <c r="G179" s="1" t="s">
        <v>69</v>
      </c>
      <c r="H179" s="1" t="s">
        <v>39</v>
      </c>
      <c r="I179" s="1" t="s">
        <v>39</v>
      </c>
      <c r="J179" s="1" t="s">
        <v>39</v>
      </c>
      <c r="K179" s="1" t="s">
        <v>40</v>
      </c>
      <c r="L179" s="4">
        <v>19100</v>
      </c>
      <c r="M179" s="6">
        <v>-24.25</v>
      </c>
      <c r="N179" s="7">
        <f>IF(AND(L179 &lt;&gt; "-", M179 &lt;&gt; "-"),L179*( 1 + M179%),0)</f>
      </c>
      <c r="O179" s="7">
        <f>( N179 * E179 )</f>
      </c>
      <c r="P179" s="1" t="s">
        <v>501</v>
      </c>
      <c r="Q179" s="6">
        <v>1.01</v>
      </c>
      <c r="R179" s="6">
        <v>62.7</v>
      </c>
      <c r="S179" s="4">
        <v>58</v>
      </c>
      <c r="T179" s="1" t="s">
        <v>42</v>
      </c>
      <c r="U179" s="5">
        <f>HYPERLINK("https://www.gia.edu/report-check?reportno=1423424292","1423424292")</f>
      </c>
      <c r="V179" s="1" t="s">
        <v>43</v>
      </c>
      <c r="W179" s="1" t="s">
        <v>502</v>
      </c>
      <c r="X179" s="1" t="s">
        <v>59</v>
      </c>
      <c r="Y179" s="1" t="s">
        <v>40</v>
      </c>
      <c r="Z179" s="1" t="s">
        <v>46</v>
      </c>
      <c r="AA179" s="1" t="s">
        <v>55</v>
      </c>
      <c r="AB179" s="1" t="s">
        <v>40</v>
      </c>
      <c r="AC179" s="1" t="s">
        <v>48</v>
      </c>
      <c r="AD179" s="1" t="s">
        <v>43</v>
      </c>
      <c r="AE179" s="8">
        <f>IF(L179&lt;&gt;"",L179*E179,0)</f>
      </c>
    </row>
    <row r="180" spans="1:31" x14ac:dyDescent="0.25">
      <c r="A180" s="4">
        <v>175</v>
      </c>
      <c r="B180" s="1" t="s">
        <v>503</v>
      </c>
      <c r="C180" s="5">
        <f>HYPERLINK("https://client.unique.diamonds/dna/11116-38","DNA")</f>
      </c>
      <c r="D180" s="1" t="s">
        <v>36</v>
      </c>
      <c r="E180" s="6">
        <v>1.5</v>
      </c>
      <c r="F180" s="1" t="s">
        <v>68</v>
      </c>
      <c r="G180" s="1" t="s">
        <v>69</v>
      </c>
      <c r="H180" s="1" t="s">
        <v>39</v>
      </c>
      <c r="I180" s="1" t="s">
        <v>39</v>
      </c>
      <c r="J180" s="1" t="s">
        <v>39</v>
      </c>
      <c r="K180" s="1" t="s">
        <v>40</v>
      </c>
      <c r="L180" s="4">
        <v>19100</v>
      </c>
      <c r="M180" s="6">
        <v>-26.25</v>
      </c>
      <c r="N180" s="7">
        <f>IF(AND(L180 &lt;&gt; "-", M180 &lt;&gt; "-"),L180*( 1 + M180%),0)</f>
      </c>
      <c r="O180" s="7">
        <f>( N180 * E180 )</f>
      </c>
      <c r="P180" s="1" t="s">
        <v>504</v>
      </c>
      <c r="Q180" s="6">
        <v>1.01</v>
      </c>
      <c r="R180" s="6">
        <v>62.8</v>
      </c>
      <c r="S180" s="4">
        <v>59</v>
      </c>
      <c r="T180" s="1" t="s">
        <v>42</v>
      </c>
      <c r="U180" s="5">
        <f>HYPERLINK("https://www.gia.edu/report-check?reportno=5433073093","5433073093")</f>
      </c>
      <c r="V180" s="1" t="s">
        <v>43</v>
      </c>
      <c r="W180" s="1" t="s">
        <v>505</v>
      </c>
      <c r="X180" s="1" t="s">
        <v>40</v>
      </c>
      <c r="Y180" s="1" t="s">
        <v>40</v>
      </c>
      <c r="Z180" s="1" t="s">
        <v>59</v>
      </c>
      <c r="AA180" s="1" t="s">
        <v>66</v>
      </c>
      <c r="AB180" s="1" t="s">
        <v>55</v>
      </c>
      <c r="AC180" s="1" t="s">
        <v>48</v>
      </c>
      <c r="AD180" s="1" t="s">
        <v>43</v>
      </c>
      <c r="AE180" s="8">
        <f>IF(L180&lt;&gt;"",L180*E180,0)</f>
      </c>
    </row>
    <row r="181" spans="1:31" x14ac:dyDescent="0.25">
      <c r="A181" s="4">
        <v>176</v>
      </c>
      <c r="B181" s="1" t="s">
        <v>506</v>
      </c>
      <c r="C181" s="5">
        <f>HYPERLINK("https://client.unique.diamonds/dna/11136-51","DNA")</f>
      </c>
      <c r="D181" s="1" t="s">
        <v>36</v>
      </c>
      <c r="E181" s="6">
        <v>1.5</v>
      </c>
      <c r="F181" s="1" t="s">
        <v>68</v>
      </c>
      <c r="G181" s="1" t="s">
        <v>38</v>
      </c>
      <c r="H181" s="1" t="s">
        <v>39</v>
      </c>
      <c r="I181" s="1" t="s">
        <v>39</v>
      </c>
      <c r="J181" s="1" t="s">
        <v>39</v>
      </c>
      <c r="K181" s="1" t="s">
        <v>114</v>
      </c>
      <c r="L181" s="4">
        <v>16600</v>
      </c>
      <c r="M181" s="6">
        <v>-41.5</v>
      </c>
      <c r="N181" s="7">
        <f>IF(AND(L181 &lt;&gt; "-", M181 &lt;&gt; "-"),L181*( 1 + M181%),0)</f>
      </c>
      <c r="O181" s="7">
        <f>( N181 * E181 )</f>
      </c>
      <c r="P181" s="1" t="s">
        <v>507</v>
      </c>
      <c r="Q181" s="6">
        <v>1.01</v>
      </c>
      <c r="R181" s="6">
        <v>61.9</v>
      </c>
      <c r="S181" s="4">
        <v>60</v>
      </c>
      <c r="T181" s="1" t="s">
        <v>42</v>
      </c>
      <c r="U181" s="5">
        <f>HYPERLINK("https://www.gia.edu/report-check?reportno=2434367897","2434367897")</f>
      </c>
      <c r="V181" s="1" t="s">
        <v>43</v>
      </c>
      <c r="W181" s="1" t="s">
        <v>109</v>
      </c>
      <c r="X181" s="1" t="s">
        <v>40</v>
      </c>
      <c r="Y181" s="1" t="s">
        <v>40</v>
      </c>
      <c r="Z181" s="1" t="s">
        <v>46</v>
      </c>
      <c r="AA181" s="1" t="s">
        <v>55</v>
      </c>
      <c r="AB181" s="1" t="s">
        <v>55</v>
      </c>
      <c r="AC181" s="1" t="s">
        <v>48</v>
      </c>
      <c r="AD181" s="1" t="s">
        <v>43</v>
      </c>
      <c r="AE181" s="8">
        <f>IF(L181&lt;&gt;"",L181*E181,0)</f>
      </c>
    </row>
    <row r="182" spans="1:31" x14ac:dyDescent="0.25">
      <c r="A182" s="4">
        <v>177</v>
      </c>
      <c r="B182" s="1" t="s">
        <v>508</v>
      </c>
      <c r="C182" s="5">
        <f>HYPERLINK("https://client.unique.diamonds/dna/11023-7","DNA")</f>
      </c>
      <c r="D182" s="1" t="s">
        <v>36</v>
      </c>
      <c r="E182" s="6">
        <v>1.5</v>
      </c>
      <c r="F182" s="1" t="s">
        <v>68</v>
      </c>
      <c r="G182" s="1" t="s">
        <v>87</v>
      </c>
      <c r="H182" s="1" t="s">
        <v>39</v>
      </c>
      <c r="I182" s="1" t="s">
        <v>39</v>
      </c>
      <c r="J182" s="1" t="s">
        <v>39</v>
      </c>
      <c r="K182" s="1" t="s">
        <v>114</v>
      </c>
      <c r="L182" s="4">
        <v>11000</v>
      </c>
      <c r="M182" s="6">
        <v>-31</v>
      </c>
      <c r="N182" s="7">
        <f>IF(AND(L182 &lt;&gt; "-", M182 &lt;&gt; "-"),L182*( 1 + M182%),0)</f>
      </c>
      <c r="O182" s="7">
        <f>( N182 * E182 )</f>
      </c>
      <c r="P182" s="1" t="s">
        <v>509</v>
      </c>
      <c r="Q182" s="6">
        <v>1.01</v>
      </c>
      <c r="R182" s="6">
        <v>63.3</v>
      </c>
      <c r="S182" s="4">
        <v>55</v>
      </c>
      <c r="T182" s="1" t="s">
        <v>42</v>
      </c>
      <c r="U182" s="5">
        <f>HYPERLINK("https://www.gia.edu/report-check?reportno=3425004100","3425004100")</f>
      </c>
      <c r="V182" s="1" t="s">
        <v>43</v>
      </c>
      <c r="W182" s="1" t="s">
        <v>510</v>
      </c>
      <c r="X182" s="1" t="s">
        <v>140</v>
      </c>
      <c r="Y182" s="1" t="s">
        <v>40</v>
      </c>
      <c r="Z182" s="1" t="s">
        <v>46</v>
      </c>
      <c r="AA182" s="1" t="s">
        <v>66</v>
      </c>
      <c r="AB182" s="1" t="s">
        <v>47</v>
      </c>
      <c r="AC182" s="1" t="s">
        <v>48</v>
      </c>
      <c r="AD182" s="1" t="s">
        <v>43</v>
      </c>
      <c r="AE182" s="8">
        <f>IF(L182&lt;&gt;"",L182*E182,0)</f>
      </c>
    </row>
    <row r="183" spans="1:31" x14ac:dyDescent="0.25">
      <c r="A183" s="4">
        <v>178</v>
      </c>
      <c r="B183" s="1" t="s">
        <v>511</v>
      </c>
      <c r="C183" s="5">
        <f>HYPERLINK("https://client.unique.diamonds/dna/11136-20","DNA")</f>
      </c>
      <c r="D183" s="1" t="s">
        <v>36</v>
      </c>
      <c r="E183" s="6">
        <v>1.5</v>
      </c>
      <c r="F183" s="1" t="s">
        <v>173</v>
      </c>
      <c r="G183" s="1" t="s">
        <v>38</v>
      </c>
      <c r="H183" s="1" t="s">
        <v>39</v>
      </c>
      <c r="I183" s="1" t="s">
        <v>39</v>
      </c>
      <c r="J183" s="1" t="s">
        <v>39</v>
      </c>
      <c r="K183" s="1" t="s">
        <v>114</v>
      </c>
      <c r="L183" s="4">
        <v>15500</v>
      </c>
      <c r="M183" s="6">
        <v>-40.25</v>
      </c>
      <c r="N183" s="7">
        <f>IF(AND(L183 &lt;&gt; "-", M183 &lt;&gt; "-"),L183*( 1 + M183%),0)</f>
      </c>
      <c r="O183" s="7">
        <f>( N183 * E183 )</f>
      </c>
      <c r="P183" s="1" t="s">
        <v>512</v>
      </c>
      <c r="Q183" s="6">
        <v>1</v>
      </c>
      <c r="R183" s="6">
        <v>59.1</v>
      </c>
      <c r="S183" s="4">
        <v>60</v>
      </c>
      <c r="T183" s="1" t="s">
        <v>42</v>
      </c>
      <c r="U183" s="5">
        <f>HYPERLINK("https://www.gia.edu/report-check?reportno=7436298550","7436298550")</f>
      </c>
      <c r="V183" s="1" t="s">
        <v>43</v>
      </c>
      <c r="W183" s="1" t="s">
        <v>157</v>
      </c>
      <c r="X183" s="1" t="s">
        <v>46</v>
      </c>
      <c r="Y183" s="1" t="s">
        <v>40</v>
      </c>
      <c r="Z183" s="1" t="s">
        <v>45</v>
      </c>
      <c r="AA183" s="1" t="s">
        <v>55</v>
      </c>
      <c r="AB183" s="1" t="s">
        <v>55</v>
      </c>
      <c r="AC183" s="1" t="s">
        <v>48</v>
      </c>
      <c r="AD183" s="1" t="s">
        <v>43</v>
      </c>
      <c r="AE183" s="8">
        <f>IF(L183&lt;&gt;"",L183*E183,0)</f>
      </c>
    </row>
    <row r="184" spans="1:31" x14ac:dyDescent="0.25">
      <c r="A184" s="4">
        <v>179</v>
      </c>
      <c r="B184" s="1" t="s">
        <v>513</v>
      </c>
      <c r="C184" s="5">
        <f>HYPERLINK("https://client.unique.diamonds/dna/141283-17","DNA")</f>
      </c>
      <c r="D184" s="1" t="s">
        <v>36</v>
      </c>
      <c r="E184" s="6">
        <v>1.5</v>
      </c>
      <c r="F184" s="1" t="s">
        <v>173</v>
      </c>
      <c r="G184" s="1" t="s">
        <v>38</v>
      </c>
      <c r="H184" s="1" t="s">
        <v>39</v>
      </c>
      <c r="I184" s="1" t="s">
        <v>39</v>
      </c>
      <c r="J184" s="1" t="s">
        <v>39</v>
      </c>
      <c r="K184" s="1" t="s">
        <v>40</v>
      </c>
      <c r="L184" s="4">
        <v>15500</v>
      </c>
      <c r="M184" s="6">
        <v>-27.5</v>
      </c>
      <c r="N184" s="7">
        <f>IF(AND(L184 &lt;&gt; "-", M184 &lt;&gt; "-"),L184*( 1 + M184%),0)</f>
      </c>
      <c r="O184" s="7">
        <f>( N184 * E184 )</f>
      </c>
      <c r="P184" s="1" t="s">
        <v>514</v>
      </c>
      <c r="Q184" s="6">
        <v>1.01</v>
      </c>
      <c r="R184" s="6">
        <v>59.5</v>
      </c>
      <c r="S184" s="4">
        <v>60</v>
      </c>
      <c r="T184" s="1" t="s">
        <v>42</v>
      </c>
      <c r="U184" s="5">
        <f>HYPERLINK("https://www.gia.edu/report-check?reportno=7408821453","7408821453")</f>
      </c>
      <c r="V184" s="1" t="s">
        <v>43</v>
      </c>
      <c r="W184" s="1" t="s">
        <v>157</v>
      </c>
      <c r="X184" s="1" t="s">
        <v>46</v>
      </c>
      <c r="Y184" s="1" t="s">
        <v>40</v>
      </c>
      <c r="Z184" s="1" t="s">
        <v>45</v>
      </c>
      <c r="AA184" s="1" t="s">
        <v>55</v>
      </c>
      <c r="AB184" s="1" t="s">
        <v>55</v>
      </c>
      <c r="AC184" s="1" t="s">
        <v>85</v>
      </c>
      <c r="AD184" s="1" t="s">
        <v>43</v>
      </c>
      <c r="AE184" s="8">
        <f>IF(L184&lt;&gt;"",L184*E184,0)</f>
      </c>
    </row>
    <row r="185" spans="1:31" x14ac:dyDescent="0.25">
      <c r="A185" s="4">
        <v>180</v>
      </c>
      <c r="B185" s="1" t="s">
        <v>515</v>
      </c>
      <c r="C185" s="5">
        <f>HYPERLINK("https://client.unique.diamonds/dna/11035-4","DNA")</f>
      </c>
      <c r="D185" s="1" t="s">
        <v>36</v>
      </c>
      <c r="E185" s="6">
        <v>1.5</v>
      </c>
      <c r="F185" s="1" t="s">
        <v>173</v>
      </c>
      <c r="G185" s="1" t="s">
        <v>87</v>
      </c>
      <c r="H185" s="1" t="s">
        <v>39</v>
      </c>
      <c r="I185" s="1" t="s">
        <v>39</v>
      </c>
      <c r="J185" s="1" t="s">
        <v>39</v>
      </c>
      <c r="K185" s="1" t="s">
        <v>63</v>
      </c>
      <c r="L185" s="4">
        <v>10300</v>
      </c>
      <c r="M185" s="6">
        <v>-27</v>
      </c>
      <c r="N185" s="7">
        <f>IF(AND(L185 &lt;&gt; "-", M185 &lt;&gt; "-"),L185*( 1 + M185%),0)</f>
      </c>
      <c r="O185" s="7">
        <f>( N185 * E185 )</f>
      </c>
      <c r="P185" s="1" t="s">
        <v>516</v>
      </c>
      <c r="Q185" s="6">
        <v>1.01</v>
      </c>
      <c r="R185" s="6">
        <v>62.7</v>
      </c>
      <c r="S185" s="4">
        <v>59</v>
      </c>
      <c r="T185" s="1" t="s">
        <v>42</v>
      </c>
      <c r="U185" s="5">
        <f>HYPERLINK("https://www.gia.edu/report-check?reportno=2424059873","2424059873")</f>
      </c>
      <c r="V185" s="1" t="s">
        <v>43</v>
      </c>
      <c r="W185" s="1" t="s">
        <v>517</v>
      </c>
      <c r="X185" s="1" t="s">
        <v>75</v>
      </c>
      <c r="Y185" s="1" t="s">
        <v>40</v>
      </c>
      <c r="Z185" s="1" t="s">
        <v>140</v>
      </c>
      <c r="AA185" s="1" t="s">
        <v>55</v>
      </c>
      <c r="AB185" s="1" t="s">
        <v>47</v>
      </c>
      <c r="AC185" s="1" t="s">
        <v>48</v>
      </c>
      <c r="AD185" s="1" t="s">
        <v>43</v>
      </c>
      <c r="AE185" s="8">
        <f>IF(L185&lt;&gt;"",L185*E185,0)</f>
      </c>
    </row>
    <row r="186" spans="1:31" x14ac:dyDescent="0.25">
      <c r="A186" s="4">
        <v>181</v>
      </c>
      <c r="B186" s="1" t="s">
        <v>518</v>
      </c>
      <c r="C186" s="5">
        <f>HYPERLINK("https://client.unique.diamonds/dna/11034-3","DNA")</f>
      </c>
      <c r="D186" s="1" t="s">
        <v>36</v>
      </c>
      <c r="E186" s="6">
        <v>1.5</v>
      </c>
      <c r="F186" s="1" t="s">
        <v>91</v>
      </c>
      <c r="G186" s="1" t="s">
        <v>69</v>
      </c>
      <c r="H186" s="1" t="s">
        <v>39</v>
      </c>
      <c r="I186" s="1" t="s">
        <v>39</v>
      </c>
      <c r="J186" s="1" t="s">
        <v>39</v>
      </c>
      <c r="K186" s="1" t="s">
        <v>63</v>
      </c>
      <c r="L186" s="4">
        <v>16200</v>
      </c>
      <c r="M186" s="6">
        <v>-32</v>
      </c>
      <c r="N186" s="7">
        <f>IF(AND(L186 &lt;&gt; "-", M186 &lt;&gt; "-"),L186*( 1 + M186%),0)</f>
      </c>
      <c r="O186" s="7">
        <f>( N186 * E186 )</f>
      </c>
      <c r="P186" s="1" t="s">
        <v>519</v>
      </c>
      <c r="Q186" s="6">
        <v>1.01</v>
      </c>
      <c r="R186" s="6">
        <v>60.2</v>
      </c>
      <c r="S186" s="4">
        <v>60</v>
      </c>
      <c r="T186" s="1" t="s">
        <v>42</v>
      </c>
      <c r="U186" s="5">
        <f>HYPERLINK("https://www.gia.edu/report-check?reportno=7428059868","7428059868")</f>
      </c>
      <c r="V186" s="1" t="s">
        <v>43</v>
      </c>
      <c r="W186" s="1" t="s">
        <v>520</v>
      </c>
      <c r="X186" s="1" t="s">
        <v>59</v>
      </c>
      <c r="Y186" s="1" t="s">
        <v>40</v>
      </c>
      <c r="Z186" s="1" t="s">
        <v>40</v>
      </c>
      <c r="AA186" s="1" t="s">
        <v>55</v>
      </c>
      <c r="AB186" s="1" t="s">
        <v>40</v>
      </c>
      <c r="AC186" s="1" t="s">
        <v>48</v>
      </c>
      <c r="AD186" s="1" t="s">
        <v>43</v>
      </c>
      <c r="AE186" s="8">
        <f>IF(L186&lt;&gt;"",L186*E186,0)</f>
      </c>
    </row>
    <row r="187" spans="1:31" x14ac:dyDescent="0.25">
      <c r="A187" s="4">
        <v>182</v>
      </c>
      <c r="B187" s="1" t="s">
        <v>521</v>
      </c>
      <c r="C187" s="5">
        <f>HYPERLINK("https://client.unique.diamonds/dna/11017-4","DNA")</f>
      </c>
      <c r="D187" s="1" t="s">
        <v>36</v>
      </c>
      <c r="E187" s="6">
        <v>1.5</v>
      </c>
      <c r="F187" s="1" t="s">
        <v>91</v>
      </c>
      <c r="G187" s="1" t="s">
        <v>69</v>
      </c>
      <c r="H187" s="1" t="s">
        <v>39</v>
      </c>
      <c r="I187" s="1" t="s">
        <v>39</v>
      </c>
      <c r="J187" s="1" t="s">
        <v>39</v>
      </c>
      <c r="K187" s="1" t="s">
        <v>40</v>
      </c>
      <c r="L187" s="4">
        <v>16200</v>
      </c>
      <c r="M187" s="6">
        <v>-23.75</v>
      </c>
      <c r="N187" s="7">
        <f>IF(AND(L187 &lt;&gt; "-", M187 &lt;&gt; "-"),L187*( 1 + M187%),0)</f>
      </c>
      <c r="O187" s="7">
        <f>( N187 * E187 )</f>
      </c>
      <c r="P187" s="1" t="s">
        <v>522</v>
      </c>
      <c r="Q187" s="6">
        <v>1.01</v>
      </c>
      <c r="R187" s="6">
        <v>62.4</v>
      </c>
      <c r="S187" s="4">
        <v>59</v>
      </c>
      <c r="T187" s="1" t="s">
        <v>42</v>
      </c>
      <c r="U187" s="5">
        <f>HYPERLINK("https://www.gia.edu/report-check?reportno=2225243504","2225243504")</f>
      </c>
      <c r="V187" s="1" t="s">
        <v>43</v>
      </c>
      <c r="W187" s="1" t="s">
        <v>84</v>
      </c>
      <c r="X187" s="1" t="s">
        <v>75</v>
      </c>
      <c r="Y187" s="1" t="s">
        <v>40</v>
      </c>
      <c r="Z187" s="1" t="s">
        <v>46</v>
      </c>
      <c r="AA187" s="1" t="s">
        <v>66</v>
      </c>
      <c r="AB187" s="1" t="s">
        <v>40</v>
      </c>
      <c r="AC187" s="1" t="s">
        <v>48</v>
      </c>
      <c r="AD187" s="1" t="s">
        <v>43</v>
      </c>
      <c r="AE187" s="8">
        <f>IF(L187&lt;&gt;"",L187*E187,0)</f>
      </c>
    </row>
    <row r="188" spans="1:31" x14ac:dyDescent="0.25">
      <c r="A188" s="4">
        <v>183</v>
      </c>
      <c r="B188" s="1" t="s">
        <v>523</v>
      </c>
      <c r="C188" s="5">
        <f>HYPERLINK("https://client.unique.diamonds/dna/11023-10","DNA")</f>
      </c>
      <c r="D188" s="1" t="s">
        <v>36</v>
      </c>
      <c r="E188" s="6">
        <v>1.5</v>
      </c>
      <c r="F188" s="1" t="s">
        <v>91</v>
      </c>
      <c r="G188" s="1" t="s">
        <v>69</v>
      </c>
      <c r="H188" s="1" t="s">
        <v>39</v>
      </c>
      <c r="I188" s="1" t="s">
        <v>39</v>
      </c>
      <c r="J188" s="1" t="s">
        <v>39</v>
      </c>
      <c r="K188" s="1" t="s">
        <v>40</v>
      </c>
      <c r="L188" s="4">
        <v>16200</v>
      </c>
      <c r="M188" s="6">
        <v>-23.75</v>
      </c>
      <c r="N188" s="7">
        <f>IF(AND(L188 &lt;&gt; "-", M188 &lt;&gt; "-"),L188*( 1 + M188%),0)</f>
      </c>
      <c r="O188" s="7">
        <f>( N188 * E188 )</f>
      </c>
      <c r="P188" s="1" t="s">
        <v>524</v>
      </c>
      <c r="Q188" s="6">
        <v>1.01</v>
      </c>
      <c r="R188" s="6">
        <v>63</v>
      </c>
      <c r="S188" s="4">
        <v>57</v>
      </c>
      <c r="T188" s="1" t="s">
        <v>42</v>
      </c>
      <c r="U188" s="5">
        <f>HYPERLINK("https://www.gia.edu/report-check?reportno=1429059337","1429059337")</f>
      </c>
      <c r="V188" s="1" t="s">
        <v>43</v>
      </c>
      <c r="W188" s="1" t="s">
        <v>525</v>
      </c>
      <c r="X188" s="1" t="s">
        <v>75</v>
      </c>
      <c r="Y188" s="1" t="s">
        <v>40</v>
      </c>
      <c r="Z188" s="1" t="s">
        <v>46</v>
      </c>
      <c r="AA188" s="1" t="s">
        <v>55</v>
      </c>
      <c r="AB188" s="1" t="s">
        <v>55</v>
      </c>
      <c r="AC188" s="1" t="s">
        <v>48</v>
      </c>
      <c r="AD188" s="1" t="s">
        <v>43</v>
      </c>
      <c r="AE188" s="8">
        <f>IF(L188&lt;&gt;"",L188*E188,0)</f>
      </c>
    </row>
    <row r="189" spans="1:31" x14ac:dyDescent="0.25">
      <c r="A189" s="4">
        <v>184</v>
      </c>
      <c r="B189" s="1" t="s">
        <v>526</v>
      </c>
      <c r="C189" s="5">
        <f>HYPERLINK("https://client.unique.diamonds/dna/141445-35","DNA")</f>
      </c>
      <c r="D189" s="1" t="s">
        <v>36</v>
      </c>
      <c r="E189" s="6">
        <v>1.5</v>
      </c>
      <c r="F189" s="1" t="s">
        <v>91</v>
      </c>
      <c r="G189" s="1" t="s">
        <v>69</v>
      </c>
      <c r="H189" s="1" t="s">
        <v>39</v>
      </c>
      <c r="I189" s="1" t="s">
        <v>39</v>
      </c>
      <c r="J189" s="1" t="s">
        <v>39</v>
      </c>
      <c r="K189" s="1" t="s">
        <v>40</v>
      </c>
      <c r="L189" s="4">
        <v>16200</v>
      </c>
      <c r="M189" s="6">
        <v>-23.5</v>
      </c>
      <c r="N189" s="7">
        <f>IF(AND(L189 &lt;&gt; "-", M189 &lt;&gt; "-"),L189*( 1 + M189%),0)</f>
      </c>
      <c r="O189" s="7">
        <f>( N189 * E189 )</f>
      </c>
      <c r="P189" s="1" t="s">
        <v>527</v>
      </c>
      <c r="Q189" s="6">
        <v>1</v>
      </c>
      <c r="R189" s="6">
        <v>62</v>
      </c>
      <c r="S189" s="4">
        <v>59</v>
      </c>
      <c r="T189" s="1" t="s">
        <v>42</v>
      </c>
      <c r="U189" s="5">
        <f>HYPERLINK("https://www.gia.edu/report-check?reportno=2417945403","2417945403")</f>
      </c>
      <c r="V189" s="1" t="s">
        <v>43</v>
      </c>
      <c r="W189" s="1" t="s">
        <v>528</v>
      </c>
      <c r="X189" s="1" t="s">
        <v>59</v>
      </c>
      <c r="Y189" s="1" t="s">
        <v>40</v>
      </c>
      <c r="Z189" s="1" t="s">
        <v>46</v>
      </c>
      <c r="AA189" s="1" t="s">
        <v>55</v>
      </c>
      <c r="AB189" s="1" t="s">
        <v>40</v>
      </c>
      <c r="AC189" s="1" t="s">
        <v>85</v>
      </c>
      <c r="AD189" s="1" t="s">
        <v>43</v>
      </c>
      <c r="AE189" s="8">
        <f>IF(L189&lt;&gt;"",L189*E189,0)</f>
      </c>
    </row>
    <row r="190" spans="1:31" x14ac:dyDescent="0.25">
      <c r="A190" s="4">
        <v>185</v>
      </c>
      <c r="B190" s="1" t="s">
        <v>529</v>
      </c>
      <c r="C190" s="5">
        <f>HYPERLINK("https://client.unique.diamonds/dna/141404-30","DNA")</f>
      </c>
      <c r="D190" s="1" t="s">
        <v>36</v>
      </c>
      <c r="E190" s="6">
        <v>1.5</v>
      </c>
      <c r="F190" s="1" t="s">
        <v>91</v>
      </c>
      <c r="G190" s="1" t="s">
        <v>69</v>
      </c>
      <c r="H190" s="1" t="s">
        <v>39</v>
      </c>
      <c r="I190" s="1" t="s">
        <v>39</v>
      </c>
      <c r="J190" s="1" t="s">
        <v>39</v>
      </c>
      <c r="K190" s="1" t="s">
        <v>40</v>
      </c>
      <c r="L190" s="4">
        <v>16200</v>
      </c>
      <c r="M190" s="6">
        <v>-24.75</v>
      </c>
      <c r="N190" s="7">
        <f>IF(AND(L190 &lt;&gt; "-", M190 &lt;&gt; "-"),L190*( 1 + M190%),0)</f>
      </c>
      <c r="O190" s="7">
        <f>( N190 * E190 )</f>
      </c>
      <c r="P190" s="1" t="s">
        <v>530</v>
      </c>
      <c r="Q190" s="6">
        <v>1.01</v>
      </c>
      <c r="R190" s="6">
        <v>62.4</v>
      </c>
      <c r="S190" s="4">
        <v>57</v>
      </c>
      <c r="T190" s="1" t="s">
        <v>42</v>
      </c>
      <c r="U190" s="5">
        <f>HYPERLINK("https://www.gia.edu/report-check?reportno=2414126661","2414126661")</f>
      </c>
      <c r="V190" s="1" t="s">
        <v>43</v>
      </c>
      <c r="W190" s="1" t="s">
        <v>341</v>
      </c>
      <c r="X190" s="1" t="s">
        <v>59</v>
      </c>
      <c r="Y190" s="1" t="s">
        <v>40</v>
      </c>
      <c r="Z190" s="1" t="s">
        <v>46</v>
      </c>
      <c r="AA190" s="1" t="s">
        <v>66</v>
      </c>
      <c r="AB190" s="1" t="s">
        <v>40</v>
      </c>
      <c r="AC190" s="1" t="s">
        <v>48</v>
      </c>
      <c r="AD190" s="1" t="s">
        <v>43</v>
      </c>
      <c r="AE190" s="8">
        <f>IF(L190&lt;&gt;"",L190*E190,0)</f>
      </c>
    </row>
    <row r="191" spans="1:31" x14ac:dyDescent="0.25">
      <c r="A191" s="4">
        <v>186</v>
      </c>
      <c r="B191" s="1" t="s">
        <v>531</v>
      </c>
      <c r="C191" s="5">
        <f>HYPERLINK("https://client.unique.diamonds/dna/11099-16","DNA")</f>
      </c>
      <c r="D191" s="1" t="s">
        <v>36</v>
      </c>
      <c r="E191" s="6">
        <v>1.5</v>
      </c>
      <c r="F191" s="1" t="s">
        <v>91</v>
      </c>
      <c r="G191" s="1" t="s">
        <v>69</v>
      </c>
      <c r="H191" s="1" t="s">
        <v>39</v>
      </c>
      <c r="I191" s="1" t="s">
        <v>39</v>
      </c>
      <c r="J191" s="1" t="s">
        <v>39</v>
      </c>
      <c r="K191" s="1" t="s">
        <v>40</v>
      </c>
      <c r="L191" s="4">
        <v>16200</v>
      </c>
      <c r="M191" s="6">
        <v>-23.5</v>
      </c>
      <c r="N191" s="7">
        <f>IF(AND(L191 &lt;&gt; "-", M191 &lt;&gt; "-"),L191*( 1 + M191%),0)</f>
      </c>
      <c r="O191" s="7">
        <f>( N191 * E191 )</f>
      </c>
      <c r="P191" s="1" t="s">
        <v>532</v>
      </c>
      <c r="Q191" s="6">
        <v>1.01</v>
      </c>
      <c r="R191" s="6">
        <v>63.1</v>
      </c>
      <c r="S191" s="4">
        <v>55</v>
      </c>
      <c r="T191" s="1" t="s">
        <v>42</v>
      </c>
      <c r="U191" s="5">
        <f>HYPERLINK("https://www.gia.edu/report-check?reportno=6422968825","6422968825")</f>
      </c>
      <c r="V191" s="1" t="s">
        <v>43</v>
      </c>
      <c r="W191" s="1" t="s">
        <v>430</v>
      </c>
      <c r="X191" s="1" t="s">
        <v>75</v>
      </c>
      <c r="Y191" s="1" t="s">
        <v>40</v>
      </c>
      <c r="Z191" s="1" t="s">
        <v>46</v>
      </c>
      <c r="AA191" s="1" t="s">
        <v>40</v>
      </c>
      <c r="AB191" s="1" t="s">
        <v>40</v>
      </c>
      <c r="AC191" s="1" t="s">
        <v>48</v>
      </c>
      <c r="AD191" s="1" t="s">
        <v>43</v>
      </c>
      <c r="AE191" s="8">
        <f>IF(L191&lt;&gt;"",L191*E191,0)</f>
      </c>
    </row>
    <row r="192" spans="1:31" x14ac:dyDescent="0.25">
      <c r="A192" s="4">
        <v>187</v>
      </c>
      <c r="B192" s="1" t="s">
        <v>533</v>
      </c>
      <c r="C192" s="5">
        <f>HYPERLINK("https://client.unique.diamonds/dna/11035-7","DNA")</f>
      </c>
      <c r="D192" s="1" t="s">
        <v>36</v>
      </c>
      <c r="E192" s="6">
        <v>1.5</v>
      </c>
      <c r="F192" s="1" t="s">
        <v>91</v>
      </c>
      <c r="G192" s="1" t="s">
        <v>38</v>
      </c>
      <c r="H192" s="1" t="s">
        <v>39</v>
      </c>
      <c r="I192" s="1" t="s">
        <v>39</v>
      </c>
      <c r="J192" s="1" t="s">
        <v>39</v>
      </c>
      <c r="K192" s="1" t="s">
        <v>40</v>
      </c>
      <c r="L192" s="4">
        <v>14500</v>
      </c>
      <c r="M192" s="6">
        <v>-23.75</v>
      </c>
      <c r="N192" s="7">
        <f>IF(AND(L192 &lt;&gt; "-", M192 &lt;&gt; "-"),L192*( 1 + M192%),0)</f>
      </c>
      <c r="O192" s="7">
        <f>( N192 * E192 )</f>
      </c>
      <c r="P192" s="1" t="s">
        <v>534</v>
      </c>
      <c r="Q192" s="6">
        <v>1.01</v>
      </c>
      <c r="R192" s="6">
        <v>63</v>
      </c>
      <c r="S192" s="4">
        <v>56</v>
      </c>
      <c r="T192" s="1" t="s">
        <v>42</v>
      </c>
      <c r="U192" s="5">
        <f>HYPERLINK("https://www.gia.edu/report-check?reportno=1425075002","1425075002")</f>
      </c>
      <c r="V192" s="1" t="s">
        <v>43</v>
      </c>
      <c r="W192" s="1" t="s">
        <v>535</v>
      </c>
      <c r="X192" s="1" t="s">
        <v>59</v>
      </c>
      <c r="Y192" s="1" t="s">
        <v>40</v>
      </c>
      <c r="Z192" s="1" t="s">
        <v>40</v>
      </c>
      <c r="AA192" s="1" t="s">
        <v>66</v>
      </c>
      <c r="AB192" s="1" t="s">
        <v>40</v>
      </c>
      <c r="AC192" s="1" t="s">
        <v>48</v>
      </c>
      <c r="AD192" s="1" t="s">
        <v>43</v>
      </c>
      <c r="AE192" s="8">
        <f>IF(L192&lt;&gt;"",L192*E192,0)</f>
      </c>
    </row>
    <row r="193" spans="1:31" x14ac:dyDescent="0.25">
      <c r="A193" s="4">
        <v>188</v>
      </c>
      <c r="B193" s="1" t="s">
        <v>536</v>
      </c>
      <c r="C193" s="5">
        <f>HYPERLINK("https://client.unique.diamonds/dna/11051-62","DNA")</f>
      </c>
      <c r="D193" s="1" t="s">
        <v>36</v>
      </c>
      <c r="E193" s="6">
        <v>1.5</v>
      </c>
      <c r="F193" s="1" t="s">
        <v>91</v>
      </c>
      <c r="G193" s="1" t="s">
        <v>38</v>
      </c>
      <c r="H193" s="1" t="s">
        <v>39</v>
      </c>
      <c r="I193" s="1" t="s">
        <v>39</v>
      </c>
      <c r="J193" s="1" t="s">
        <v>39</v>
      </c>
      <c r="K193" s="1" t="s">
        <v>40</v>
      </c>
      <c r="L193" s="4">
        <v>14500</v>
      </c>
      <c r="M193" s="6">
        <v>-20.25</v>
      </c>
      <c r="N193" s="7">
        <f>IF(AND(L193 &lt;&gt; "-", M193 &lt;&gt; "-"),L193*( 1 + M193%),0)</f>
      </c>
      <c r="O193" s="7">
        <f>( N193 * E193 )</f>
      </c>
      <c r="P193" s="1" t="s">
        <v>537</v>
      </c>
      <c r="Q193" s="6">
        <v>1.01</v>
      </c>
      <c r="R193" s="6">
        <v>61.8</v>
      </c>
      <c r="S193" s="4">
        <v>60</v>
      </c>
      <c r="T193" s="1" t="s">
        <v>42</v>
      </c>
      <c r="U193" s="5">
        <f>HYPERLINK("https://www.gia.edu/report-check?reportno=7422157106","7422157106")</f>
      </c>
      <c r="V193" s="1" t="s">
        <v>43</v>
      </c>
      <c r="W193" s="1" t="s">
        <v>84</v>
      </c>
      <c r="X193" s="1" t="s">
        <v>75</v>
      </c>
      <c r="Y193" s="1" t="s">
        <v>40</v>
      </c>
      <c r="Z193" s="1" t="s">
        <v>46</v>
      </c>
      <c r="AA193" s="1" t="s">
        <v>40</v>
      </c>
      <c r="AB193" s="1" t="s">
        <v>40</v>
      </c>
      <c r="AC193" s="1" t="s">
        <v>48</v>
      </c>
      <c r="AD193" s="1" t="s">
        <v>43</v>
      </c>
      <c r="AE193" s="8">
        <f>IF(L193&lt;&gt;"",L193*E193,0)</f>
      </c>
    </row>
    <row r="194" spans="1:31" x14ac:dyDescent="0.25">
      <c r="A194" s="4">
        <v>189</v>
      </c>
      <c r="B194" s="1" t="s">
        <v>538</v>
      </c>
      <c r="C194" s="5">
        <f>HYPERLINK("https://client.unique.diamonds/dna/142083-25","DNA")</f>
      </c>
      <c r="D194" s="1" t="s">
        <v>36</v>
      </c>
      <c r="E194" s="6">
        <v>1.5</v>
      </c>
      <c r="F194" s="1" t="s">
        <v>91</v>
      </c>
      <c r="G194" s="1" t="s">
        <v>51</v>
      </c>
      <c r="H194" s="1" t="s">
        <v>39</v>
      </c>
      <c r="I194" s="1" t="s">
        <v>39</v>
      </c>
      <c r="J194" s="1" t="s">
        <v>39</v>
      </c>
      <c r="K194" s="1" t="s">
        <v>40</v>
      </c>
      <c r="L194" s="4">
        <v>11900</v>
      </c>
      <c r="M194" s="6">
        <v>-23.5</v>
      </c>
      <c r="N194" s="7">
        <f>IF(AND(L194 &lt;&gt; "-", M194 &lt;&gt; "-"),L194*( 1 + M194%),0)</f>
      </c>
      <c r="O194" s="7">
        <f>( N194 * E194 )</f>
      </c>
      <c r="P194" s="1" t="s">
        <v>539</v>
      </c>
      <c r="Q194" s="6">
        <v>1.01</v>
      </c>
      <c r="R194" s="6">
        <v>63.2</v>
      </c>
      <c r="S194" s="4">
        <v>57</v>
      </c>
      <c r="T194" s="1" t="s">
        <v>42</v>
      </c>
      <c r="U194" s="5">
        <f>HYPERLINK("https://www.gia.edu/report-check?reportno=6412562733","6412562733")</f>
      </c>
      <c r="V194" s="1" t="s">
        <v>43</v>
      </c>
      <c r="W194" s="1" t="s">
        <v>287</v>
      </c>
      <c r="X194" s="1" t="s">
        <v>59</v>
      </c>
      <c r="Y194" s="1" t="s">
        <v>40</v>
      </c>
      <c r="Z194" s="1" t="s">
        <v>46</v>
      </c>
      <c r="AA194" s="1" t="s">
        <v>55</v>
      </c>
      <c r="AB194" s="1" t="s">
        <v>55</v>
      </c>
      <c r="AC194" s="1" t="s">
        <v>48</v>
      </c>
      <c r="AD194" s="1" t="s">
        <v>43</v>
      </c>
      <c r="AE194" s="8">
        <f>IF(L194&lt;&gt;"",L194*E194,0)</f>
      </c>
    </row>
    <row r="195" spans="1:31" x14ac:dyDescent="0.25">
      <c r="A195" s="4">
        <v>190</v>
      </c>
      <c r="B195" s="1" t="s">
        <v>540</v>
      </c>
      <c r="C195" s="5">
        <f>HYPERLINK("https://client.unique.diamonds/dna/12044-120","DNA")</f>
      </c>
      <c r="D195" s="1" t="s">
        <v>36</v>
      </c>
      <c r="E195" s="6">
        <v>1.5</v>
      </c>
      <c r="F195" s="1" t="s">
        <v>91</v>
      </c>
      <c r="G195" s="1" t="s">
        <v>87</v>
      </c>
      <c r="H195" s="1" t="s">
        <v>39</v>
      </c>
      <c r="I195" s="1" t="s">
        <v>39</v>
      </c>
      <c r="J195" s="1" t="s">
        <v>39</v>
      </c>
      <c r="K195" s="1" t="s">
        <v>40</v>
      </c>
      <c r="L195" s="4">
        <v>9600</v>
      </c>
      <c r="M195" s="6">
        <v>-21.45</v>
      </c>
      <c r="N195" s="7">
        <f>IF(AND(L195 &lt;&gt; "-", M195 &lt;&gt; "-"),L195*( 1 + M195%),0)</f>
      </c>
      <c r="O195" s="7">
        <f>( N195 * E195 )</f>
      </c>
      <c r="P195" s="1" t="s">
        <v>541</v>
      </c>
      <c r="Q195" s="6">
        <v>1.01</v>
      </c>
      <c r="R195" s="6">
        <v>62.6</v>
      </c>
      <c r="S195" s="4">
        <v>56</v>
      </c>
      <c r="T195" s="1" t="s">
        <v>42</v>
      </c>
      <c r="U195" s="5">
        <f>HYPERLINK("https://www.gia.edu/report-check?reportno=2437377466","2437377466")</f>
      </c>
      <c r="V195" s="1" t="s">
        <v>43</v>
      </c>
      <c r="W195" s="1" t="s">
        <v>157</v>
      </c>
      <c r="X195" s="1" t="s">
        <v>59</v>
      </c>
      <c r="Y195" s="1" t="s">
        <v>40</v>
      </c>
      <c r="Z195" s="1" t="s">
        <v>46</v>
      </c>
      <c r="AA195" s="1" t="s">
        <v>55</v>
      </c>
      <c r="AB195" s="1" t="s">
        <v>55</v>
      </c>
      <c r="AC195" s="1" t="s">
        <v>48</v>
      </c>
      <c r="AD195" s="1" t="s">
        <v>43</v>
      </c>
      <c r="AE195" s="8">
        <f>IF(L195&lt;&gt;"",L195*E195,0)</f>
      </c>
    </row>
    <row r="196" spans="1:31" x14ac:dyDescent="0.25">
      <c r="A196" s="4">
        <v>191</v>
      </c>
      <c r="B196" s="1" t="s">
        <v>542</v>
      </c>
      <c r="C196" s="5">
        <f>HYPERLINK("https://client.unique.diamonds/dna/11059-110","DNA")</f>
      </c>
      <c r="D196" s="1" t="s">
        <v>36</v>
      </c>
      <c r="E196" s="6">
        <v>1.5</v>
      </c>
      <c r="F196" s="1" t="s">
        <v>98</v>
      </c>
      <c r="G196" s="1" t="s">
        <v>38</v>
      </c>
      <c r="H196" s="1" t="s">
        <v>39</v>
      </c>
      <c r="I196" s="1" t="s">
        <v>39</v>
      </c>
      <c r="J196" s="1" t="s">
        <v>39</v>
      </c>
      <c r="K196" s="1" t="s">
        <v>63</v>
      </c>
      <c r="L196" s="4">
        <v>13100</v>
      </c>
      <c r="M196" s="6">
        <v>-27.5</v>
      </c>
      <c r="N196" s="7">
        <f>IF(AND(L196 &lt;&gt; "-", M196 &lt;&gt; "-"),L196*( 1 + M196%),0)</f>
      </c>
      <c r="O196" s="7">
        <f>( N196 * E196 )</f>
      </c>
      <c r="P196" s="1" t="s">
        <v>539</v>
      </c>
      <c r="Q196" s="6">
        <v>1.01</v>
      </c>
      <c r="R196" s="6">
        <v>63.2</v>
      </c>
      <c r="S196" s="4">
        <v>55</v>
      </c>
      <c r="T196" s="1" t="s">
        <v>42</v>
      </c>
      <c r="U196" s="5">
        <f>HYPERLINK("https://www.gia.edu/report-check?reportno=7426530443","7426530443")</f>
      </c>
      <c r="V196" s="1" t="s">
        <v>43</v>
      </c>
      <c r="W196" s="1" t="s">
        <v>543</v>
      </c>
      <c r="X196" s="1" t="s">
        <v>46</v>
      </c>
      <c r="Y196" s="1" t="s">
        <v>40</v>
      </c>
      <c r="Z196" s="1" t="s">
        <v>46</v>
      </c>
      <c r="AA196" s="1" t="s">
        <v>55</v>
      </c>
      <c r="AB196" s="1" t="s">
        <v>40</v>
      </c>
      <c r="AC196" s="1" t="s">
        <v>48</v>
      </c>
      <c r="AD196" s="1" t="s">
        <v>43</v>
      </c>
      <c r="AE196" s="8">
        <f>IF(L196&lt;&gt;"",L196*E196,0)</f>
      </c>
    </row>
    <row r="197" spans="1:31" x14ac:dyDescent="0.25">
      <c r="A197" s="4">
        <v>192</v>
      </c>
      <c r="B197" s="1" t="s">
        <v>544</v>
      </c>
      <c r="C197" s="5">
        <f>HYPERLINK("https://client.unique.diamonds/dna/142088-28","DNA")</f>
      </c>
      <c r="D197" s="1" t="s">
        <v>36</v>
      </c>
      <c r="E197" s="6">
        <v>1.5</v>
      </c>
      <c r="F197" s="1" t="s">
        <v>98</v>
      </c>
      <c r="G197" s="1" t="s">
        <v>38</v>
      </c>
      <c r="H197" s="1" t="s">
        <v>39</v>
      </c>
      <c r="I197" s="1" t="s">
        <v>39</v>
      </c>
      <c r="J197" s="1" t="s">
        <v>39</v>
      </c>
      <c r="K197" s="1" t="s">
        <v>40</v>
      </c>
      <c r="L197" s="4">
        <v>13100</v>
      </c>
      <c r="M197" s="6">
        <v>-25.5</v>
      </c>
      <c r="N197" s="7">
        <f>IF(AND(L197 &lt;&gt; "-", M197 &lt;&gt; "-"),L197*( 1 + M197%),0)</f>
      </c>
      <c r="O197" s="7">
        <f>( N197 * E197 )</f>
      </c>
      <c r="P197" s="1" t="s">
        <v>545</v>
      </c>
      <c r="Q197" s="6">
        <v>1.01</v>
      </c>
      <c r="R197" s="6">
        <v>62.1</v>
      </c>
      <c r="S197" s="4">
        <v>58</v>
      </c>
      <c r="T197" s="1" t="s">
        <v>42</v>
      </c>
      <c r="U197" s="5">
        <f>HYPERLINK("https://www.gia.edu/report-check?reportno=6411462255","6411462255")</f>
      </c>
      <c r="V197" s="1" t="s">
        <v>43</v>
      </c>
      <c r="W197" s="1" t="s">
        <v>189</v>
      </c>
      <c r="X197" s="1" t="s">
        <v>46</v>
      </c>
      <c r="Y197" s="1" t="s">
        <v>40</v>
      </c>
      <c r="Z197" s="1" t="s">
        <v>46</v>
      </c>
      <c r="AA197" s="1" t="s">
        <v>55</v>
      </c>
      <c r="AB197" s="1" t="s">
        <v>55</v>
      </c>
      <c r="AC197" s="1" t="s">
        <v>48</v>
      </c>
      <c r="AD197" s="1" t="s">
        <v>43</v>
      </c>
      <c r="AE197" s="8">
        <f>IF(L197&lt;&gt;"",L197*E197,0)</f>
      </c>
    </row>
    <row r="198" spans="1:31" x14ac:dyDescent="0.25">
      <c r="A198" s="4">
        <v>193</v>
      </c>
      <c r="B198" s="1" t="s">
        <v>546</v>
      </c>
      <c r="C198" s="5">
        <f>HYPERLINK("https://client.unique.diamonds/dna/11091-7","DNA")</f>
      </c>
      <c r="D198" s="1" t="s">
        <v>36</v>
      </c>
      <c r="E198" s="6">
        <v>1.5</v>
      </c>
      <c r="F198" s="1" t="s">
        <v>98</v>
      </c>
      <c r="G198" s="1" t="s">
        <v>38</v>
      </c>
      <c r="H198" s="1" t="s">
        <v>39</v>
      </c>
      <c r="I198" s="1" t="s">
        <v>39</v>
      </c>
      <c r="J198" s="1" t="s">
        <v>39</v>
      </c>
      <c r="K198" s="1" t="s">
        <v>40</v>
      </c>
      <c r="L198" s="4">
        <v>13100</v>
      </c>
      <c r="M198" s="6">
        <v>-23.25</v>
      </c>
      <c r="N198" s="7">
        <f>IF(AND(L198 &lt;&gt; "-", M198 &lt;&gt; "-"),L198*( 1 + M198%),0)</f>
      </c>
      <c r="O198" s="7">
        <f>( N198 * E198 )</f>
      </c>
      <c r="P198" s="1" t="s">
        <v>547</v>
      </c>
      <c r="Q198" s="6">
        <v>1</v>
      </c>
      <c r="R198" s="6">
        <v>61.2</v>
      </c>
      <c r="S198" s="4">
        <v>60</v>
      </c>
      <c r="T198" s="1" t="s">
        <v>42</v>
      </c>
      <c r="U198" s="5">
        <f>HYPERLINK("https://www.gia.edu/report-check?reportno=2428754562","2428754562")</f>
      </c>
      <c r="V198" s="1" t="s">
        <v>43</v>
      </c>
      <c r="W198" s="1" t="s">
        <v>189</v>
      </c>
      <c r="X198" s="1" t="s">
        <v>59</v>
      </c>
      <c r="Y198" s="1" t="s">
        <v>40</v>
      </c>
      <c r="Z198" s="1" t="s">
        <v>46</v>
      </c>
      <c r="AA198" s="1" t="s">
        <v>55</v>
      </c>
      <c r="AB198" s="1" t="s">
        <v>40</v>
      </c>
      <c r="AC198" s="1" t="s">
        <v>48</v>
      </c>
      <c r="AD198" s="1" t="s">
        <v>43</v>
      </c>
      <c r="AE198" s="8">
        <f>IF(L198&lt;&gt;"",L198*E198,0)</f>
      </c>
    </row>
    <row r="199" spans="1:31" x14ac:dyDescent="0.25">
      <c r="A199" s="4">
        <v>194</v>
      </c>
      <c r="B199" s="1" t="s">
        <v>548</v>
      </c>
      <c r="C199" s="5">
        <f>HYPERLINK("https://client.unique.diamonds/dna/11088-23","DNA")</f>
      </c>
      <c r="D199" s="1" t="s">
        <v>36</v>
      </c>
      <c r="E199" s="6">
        <v>1.5</v>
      </c>
      <c r="F199" s="1" t="s">
        <v>98</v>
      </c>
      <c r="G199" s="1" t="s">
        <v>51</v>
      </c>
      <c r="H199" s="1" t="s">
        <v>39</v>
      </c>
      <c r="I199" s="1" t="s">
        <v>39</v>
      </c>
      <c r="J199" s="1" t="s">
        <v>39</v>
      </c>
      <c r="K199" s="1" t="s">
        <v>40</v>
      </c>
      <c r="L199" s="4">
        <v>11300</v>
      </c>
      <c r="M199" s="6">
        <v>-21.5</v>
      </c>
      <c r="N199" s="7">
        <f>IF(AND(L199 &lt;&gt; "-", M199 &lt;&gt; "-"),L199*( 1 + M199%),0)</f>
      </c>
      <c r="O199" s="7">
        <f>( N199 * E199 )</f>
      </c>
      <c r="P199" s="1" t="s">
        <v>549</v>
      </c>
      <c r="Q199" s="6">
        <v>1</v>
      </c>
      <c r="R199" s="6">
        <v>62.4</v>
      </c>
      <c r="S199" s="4">
        <v>59</v>
      </c>
      <c r="T199" s="1" t="s">
        <v>42</v>
      </c>
      <c r="U199" s="5">
        <f>HYPERLINK("https://www.gia.edu/report-check?reportno=2424675801","2424675801")</f>
      </c>
      <c r="V199" s="1" t="s">
        <v>43</v>
      </c>
      <c r="W199" s="1" t="s">
        <v>550</v>
      </c>
      <c r="X199" s="1" t="s">
        <v>75</v>
      </c>
      <c r="Y199" s="1" t="s">
        <v>40</v>
      </c>
      <c r="Z199" s="1" t="s">
        <v>59</v>
      </c>
      <c r="AA199" s="1" t="s">
        <v>55</v>
      </c>
      <c r="AB199" s="1" t="s">
        <v>55</v>
      </c>
      <c r="AC199" s="1" t="s">
        <v>48</v>
      </c>
      <c r="AD199" s="1" t="s">
        <v>43</v>
      </c>
      <c r="AE199" s="8">
        <f>IF(L199&lt;&gt;"",L199*E199,0)</f>
      </c>
    </row>
    <row r="200" spans="1:31" x14ac:dyDescent="0.25">
      <c r="A200" s="4">
        <v>195</v>
      </c>
      <c r="B200" s="1" t="s">
        <v>551</v>
      </c>
      <c r="C200" s="5">
        <f>HYPERLINK("https://client.unique.diamonds/dna/11009-99","DNA")</f>
      </c>
      <c r="D200" s="1" t="s">
        <v>36</v>
      </c>
      <c r="E200" s="6">
        <v>1.5</v>
      </c>
      <c r="F200" s="1" t="s">
        <v>98</v>
      </c>
      <c r="G200" s="1" t="s">
        <v>51</v>
      </c>
      <c r="H200" s="1" t="s">
        <v>39</v>
      </c>
      <c r="I200" s="1" t="s">
        <v>39</v>
      </c>
      <c r="J200" s="1" t="s">
        <v>39</v>
      </c>
      <c r="K200" s="1" t="s">
        <v>40</v>
      </c>
      <c r="L200" s="4">
        <v>11300</v>
      </c>
      <c r="M200" s="6">
        <v>-21.75</v>
      </c>
      <c r="N200" s="7">
        <f>IF(AND(L200 &lt;&gt; "-", M200 &lt;&gt; "-"),L200*( 1 + M200%),0)</f>
      </c>
      <c r="O200" s="7">
        <f>( N200 * E200 )</f>
      </c>
      <c r="P200" s="1" t="s">
        <v>498</v>
      </c>
      <c r="Q200" s="6">
        <v>1.01</v>
      </c>
      <c r="R200" s="6">
        <v>63.1</v>
      </c>
      <c r="S200" s="4">
        <v>55</v>
      </c>
      <c r="T200" s="1" t="s">
        <v>42</v>
      </c>
      <c r="U200" s="5">
        <f>HYPERLINK("https://www.gia.edu/report-check?reportno=7418915098","7418915098")</f>
      </c>
      <c r="V200" s="1" t="s">
        <v>43</v>
      </c>
      <c r="W200" s="1" t="s">
        <v>552</v>
      </c>
      <c r="X200" s="1" t="s">
        <v>46</v>
      </c>
      <c r="Y200" s="1" t="s">
        <v>40</v>
      </c>
      <c r="Z200" s="1" t="s">
        <v>46</v>
      </c>
      <c r="AA200" s="1" t="s">
        <v>55</v>
      </c>
      <c r="AB200" s="1" t="s">
        <v>40</v>
      </c>
      <c r="AC200" s="1" t="s">
        <v>48</v>
      </c>
      <c r="AD200" s="1" t="s">
        <v>43</v>
      </c>
      <c r="AE200" s="8">
        <f>IF(L200&lt;&gt;"",L200*E200,0)</f>
      </c>
    </row>
    <row r="201" spans="1:31" x14ac:dyDescent="0.25">
      <c r="A201" s="4">
        <v>196</v>
      </c>
      <c r="B201" s="1" t="s">
        <v>553</v>
      </c>
      <c r="C201" s="5">
        <f>HYPERLINK("https://client.unique.diamonds/dna/11009-237","DNA")</f>
      </c>
      <c r="D201" s="1" t="s">
        <v>36</v>
      </c>
      <c r="E201" s="6">
        <v>1.5</v>
      </c>
      <c r="F201" s="1" t="s">
        <v>98</v>
      </c>
      <c r="G201" s="1" t="s">
        <v>51</v>
      </c>
      <c r="H201" s="1" t="s">
        <v>39</v>
      </c>
      <c r="I201" s="1" t="s">
        <v>39</v>
      </c>
      <c r="J201" s="1" t="s">
        <v>39</v>
      </c>
      <c r="K201" s="1" t="s">
        <v>40</v>
      </c>
      <c r="L201" s="4">
        <v>11300</v>
      </c>
      <c r="M201" s="6">
        <v>-22</v>
      </c>
      <c r="N201" s="7">
        <f>IF(AND(L201 &lt;&gt; "-", M201 &lt;&gt; "-"),L201*( 1 + M201%),0)</f>
      </c>
      <c r="O201" s="7">
        <f>( N201 * E201 )</f>
      </c>
      <c r="P201" s="1" t="s">
        <v>554</v>
      </c>
      <c r="Q201" s="6">
        <v>1.01</v>
      </c>
      <c r="R201" s="6">
        <v>61.4</v>
      </c>
      <c r="S201" s="4">
        <v>60</v>
      </c>
      <c r="T201" s="1" t="s">
        <v>42</v>
      </c>
      <c r="U201" s="5">
        <f>HYPERLINK("https://www.gia.edu/report-check?reportno=2427004094","2427004094")</f>
      </c>
      <c r="V201" s="1" t="s">
        <v>43</v>
      </c>
      <c r="W201" s="1" t="s">
        <v>202</v>
      </c>
      <c r="X201" s="1" t="s">
        <v>59</v>
      </c>
      <c r="Y201" s="1" t="s">
        <v>40</v>
      </c>
      <c r="Z201" s="1" t="s">
        <v>54</v>
      </c>
      <c r="AA201" s="1" t="s">
        <v>55</v>
      </c>
      <c r="AB201" s="1" t="s">
        <v>55</v>
      </c>
      <c r="AC201" s="1" t="s">
        <v>48</v>
      </c>
      <c r="AD201" s="1" t="s">
        <v>43</v>
      </c>
      <c r="AE201" s="8">
        <f>IF(L201&lt;&gt;"",L201*E201,0)</f>
      </c>
    </row>
    <row r="202" spans="1:31" x14ac:dyDescent="0.25">
      <c r="A202" s="4">
        <v>197</v>
      </c>
      <c r="B202" s="1" t="s">
        <v>555</v>
      </c>
      <c r="C202" s="5">
        <f>HYPERLINK("https://client.unique.diamonds/dna/11097-26","DNA")</f>
      </c>
      <c r="D202" s="1" t="s">
        <v>36</v>
      </c>
      <c r="E202" s="6">
        <v>1.5</v>
      </c>
      <c r="F202" s="1" t="s">
        <v>98</v>
      </c>
      <c r="G202" s="1" t="s">
        <v>87</v>
      </c>
      <c r="H202" s="1" t="s">
        <v>39</v>
      </c>
      <c r="I202" s="1" t="s">
        <v>39</v>
      </c>
      <c r="J202" s="1" t="s">
        <v>39</v>
      </c>
      <c r="K202" s="1" t="s">
        <v>114</v>
      </c>
      <c r="L202" s="4">
        <v>9000</v>
      </c>
      <c r="M202" s="6">
        <v>-34.25</v>
      </c>
      <c r="N202" s="7">
        <f>IF(AND(L202 &lt;&gt; "-", M202 &lt;&gt; "-"),L202*( 1 + M202%),0)</f>
      </c>
      <c r="O202" s="7">
        <f>( N202 * E202 )</f>
      </c>
      <c r="P202" s="1" t="s">
        <v>556</v>
      </c>
      <c r="Q202" s="6">
        <v>1.01</v>
      </c>
      <c r="R202" s="6">
        <v>62.7</v>
      </c>
      <c r="S202" s="4">
        <v>56</v>
      </c>
      <c r="T202" s="1" t="s">
        <v>42</v>
      </c>
      <c r="U202" s="5">
        <f>HYPERLINK("https://www.gia.edu/report-check?reportno=6422926696","6422926696")</f>
      </c>
      <c r="V202" s="1" t="s">
        <v>43</v>
      </c>
      <c r="W202" s="1" t="s">
        <v>557</v>
      </c>
      <c r="X202" s="1" t="s">
        <v>45</v>
      </c>
      <c r="Y202" s="1" t="s">
        <v>40</v>
      </c>
      <c r="Z202" s="1" t="s">
        <v>54</v>
      </c>
      <c r="AA202" s="1" t="s">
        <v>96</v>
      </c>
      <c r="AB202" s="1" t="s">
        <v>47</v>
      </c>
      <c r="AC202" s="1" t="s">
        <v>48</v>
      </c>
      <c r="AD202" s="1" t="s">
        <v>43</v>
      </c>
      <c r="AE202" s="8">
        <f>IF(L202&lt;&gt;"",L202*E202,0)</f>
      </c>
    </row>
    <row r="203" spans="1:31" x14ac:dyDescent="0.25">
      <c r="A203" s="4">
        <v>198</v>
      </c>
      <c r="B203" s="1" t="s">
        <v>558</v>
      </c>
      <c r="C203" s="5">
        <f>HYPERLINK("https://client.unique.diamonds/dna/11059-22","DNA")</f>
      </c>
      <c r="D203" s="1" t="s">
        <v>36</v>
      </c>
      <c r="E203" s="6">
        <v>1.5</v>
      </c>
      <c r="F203" s="1" t="s">
        <v>98</v>
      </c>
      <c r="G203" s="1" t="s">
        <v>87</v>
      </c>
      <c r="H203" s="1" t="s">
        <v>39</v>
      </c>
      <c r="I203" s="1" t="s">
        <v>39</v>
      </c>
      <c r="J203" s="1" t="s">
        <v>39</v>
      </c>
      <c r="K203" s="1" t="s">
        <v>40</v>
      </c>
      <c r="L203" s="4">
        <v>9000</v>
      </c>
      <c r="M203" s="6">
        <v>-21.75</v>
      </c>
      <c r="N203" s="7">
        <f>IF(AND(L203 &lt;&gt; "-", M203 &lt;&gt; "-"),L203*( 1 + M203%),0)</f>
      </c>
      <c r="O203" s="7">
        <f>( N203 * E203 )</f>
      </c>
      <c r="P203" s="1" t="s">
        <v>559</v>
      </c>
      <c r="Q203" s="6">
        <v>1.01</v>
      </c>
      <c r="R203" s="6">
        <v>62.2</v>
      </c>
      <c r="S203" s="4">
        <v>59</v>
      </c>
      <c r="T203" s="1" t="s">
        <v>42</v>
      </c>
      <c r="U203" s="5">
        <f>HYPERLINK("https://www.gia.edu/report-check?reportno=7428429143","7428429143")</f>
      </c>
      <c r="V203" s="1" t="s">
        <v>43</v>
      </c>
      <c r="W203" s="1" t="s">
        <v>273</v>
      </c>
      <c r="X203" s="1" t="s">
        <v>46</v>
      </c>
      <c r="Y203" s="1" t="s">
        <v>40</v>
      </c>
      <c r="Z203" s="1" t="s">
        <v>45</v>
      </c>
      <c r="AA203" s="1" t="s">
        <v>55</v>
      </c>
      <c r="AB203" s="1" t="s">
        <v>55</v>
      </c>
      <c r="AC203" s="1" t="s">
        <v>48</v>
      </c>
      <c r="AD203" s="1" t="s">
        <v>43</v>
      </c>
      <c r="AE203" s="8">
        <f>IF(L203&lt;&gt;"",L203*E203,0)</f>
      </c>
    </row>
    <row r="204" spans="1:31" x14ac:dyDescent="0.25">
      <c r="A204" s="4">
        <v>199</v>
      </c>
      <c r="B204" s="1" t="s">
        <v>560</v>
      </c>
      <c r="C204" s="5">
        <f>HYPERLINK("https://client.unique.diamonds/dna/11061-15","DNA")</f>
      </c>
      <c r="D204" s="1" t="s">
        <v>36</v>
      </c>
      <c r="E204" s="6">
        <v>1.5</v>
      </c>
      <c r="F204" s="1" t="s">
        <v>37</v>
      </c>
      <c r="G204" s="1" t="s">
        <v>38</v>
      </c>
      <c r="H204" s="1" t="s">
        <v>39</v>
      </c>
      <c r="I204" s="1" t="s">
        <v>39</v>
      </c>
      <c r="J204" s="1" t="s">
        <v>39</v>
      </c>
      <c r="K204" s="1" t="s">
        <v>63</v>
      </c>
      <c r="L204" s="4">
        <v>11700</v>
      </c>
      <c r="M204" s="6">
        <v>-26.5</v>
      </c>
      <c r="N204" s="7">
        <f>IF(AND(L204 &lt;&gt; "-", M204 &lt;&gt; "-"),L204*( 1 + M204%),0)</f>
      </c>
      <c r="O204" s="7">
        <f>( N204 * E204 )</f>
      </c>
      <c r="P204" s="1" t="s">
        <v>561</v>
      </c>
      <c r="Q204" s="6">
        <v>1.01</v>
      </c>
      <c r="R204" s="6">
        <v>63.1</v>
      </c>
      <c r="S204" s="4">
        <v>55</v>
      </c>
      <c r="T204" s="1" t="s">
        <v>42</v>
      </c>
      <c r="U204" s="5">
        <f>HYPERLINK("https://www.gia.edu/report-check?reportno=6422493704","6422493704")</f>
      </c>
      <c r="V204" s="1" t="s">
        <v>43</v>
      </c>
      <c r="W204" s="1" t="s">
        <v>552</v>
      </c>
      <c r="X204" s="1" t="s">
        <v>46</v>
      </c>
      <c r="Y204" s="1" t="s">
        <v>40</v>
      </c>
      <c r="Z204" s="1" t="s">
        <v>46</v>
      </c>
      <c r="AA204" s="1" t="s">
        <v>55</v>
      </c>
      <c r="AB204" s="1" t="s">
        <v>55</v>
      </c>
      <c r="AC204" s="1" t="s">
        <v>48</v>
      </c>
      <c r="AD204" s="1" t="s">
        <v>43</v>
      </c>
      <c r="AE204" s="8">
        <f>IF(L204&lt;&gt;"",L204*E204,0)</f>
      </c>
    </row>
    <row r="205" spans="1:31" x14ac:dyDescent="0.25">
      <c r="A205" s="4">
        <v>200</v>
      </c>
      <c r="B205" s="1" t="s">
        <v>562</v>
      </c>
      <c r="C205" s="5">
        <f>HYPERLINK("https://client.unique.diamonds/dna/11118-10","DNA")</f>
      </c>
      <c r="D205" s="1" t="s">
        <v>36</v>
      </c>
      <c r="E205" s="6">
        <v>1.5</v>
      </c>
      <c r="F205" s="1" t="s">
        <v>37</v>
      </c>
      <c r="G205" s="1" t="s">
        <v>38</v>
      </c>
      <c r="H205" s="1" t="s">
        <v>39</v>
      </c>
      <c r="I205" s="1" t="s">
        <v>39</v>
      </c>
      <c r="J205" s="1" t="s">
        <v>39</v>
      </c>
      <c r="K205" s="1" t="s">
        <v>63</v>
      </c>
      <c r="L205" s="4">
        <v>11700</v>
      </c>
      <c r="M205" s="6">
        <v>-25.5</v>
      </c>
      <c r="N205" s="7">
        <f>IF(AND(L205 &lt;&gt; "-", M205 &lt;&gt; "-"),L205*( 1 + M205%),0)</f>
      </c>
      <c r="O205" s="7">
        <f>( N205 * E205 )</f>
      </c>
      <c r="P205" s="1" t="s">
        <v>563</v>
      </c>
      <c r="Q205" s="6">
        <v>1.01</v>
      </c>
      <c r="R205" s="6">
        <v>61.3</v>
      </c>
      <c r="S205" s="4">
        <v>59</v>
      </c>
      <c r="T205" s="1" t="s">
        <v>42</v>
      </c>
      <c r="U205" s="5">
        <f>HYPERLINK("https://www.gia.edu/report-check?reportno=6224440333","6224440333")</f>
      </c>
      <c r="V205" s="1" t="s">
        <v>43</v>
      </c>
      <c r="W205" s="1" t="s">
        <v>564</v>
      </c>
      <c r="X205" s="1" t="s">
        <v>46</v>
      </c>
      <c r="Y205" s="1" t="s">
        <v>40</v>
      </c>
      <c r="Z205" s="1" t="s">
        <v>46</v>
      </c>
      <c r="AA205" s="1" t="s">
        <v>66</v>
      </c>
      <c r="AB205" s="1" t="s">
        <v>47</v>
      </c>
      <c r="AC205" s="1" t="s">
        <v>85</v>
      </c>
      <c r="AD205" s="1" t="s">
        <v>43</v>
      </c>
      <c r="AE205" s="8">
        <f>IF(L205&lt;&gt;"",L205*E205,0)</f>
      </c>
    </row>
    <row r="206" spans="1:31" x14ac:dyDescent="0.25">
      <c r="A206" s="4">
        <v>201</v>
      </c>
      <c r="B206" s="1" t="s">
        <v>565</v>
      </c>
      <c r="C206" s="5">
        <f>HYPERLINK("https://client.unique.diamonds/dna/11042-2","DNA")</f>
      </c>
      <c r="D206" s="1" t="s">
        <v>36</v>
      </c>
      <c r="E206" s="6">
        <v>1.5</v>
      </c>
      <c r="F206" s="1" t="s">
        <v>37</v>
      </c>
      <c r="G206" s="1" t="s">
        <v>38</v>
      </c>
      <c r="H206" s="1" t="s">
        <v>39</v>
      </c>
      <c r="I206" s="1" t="s">
        <v>39</v>
      </c>
      <c r="J206" s="1" t="s">
        <v>39</v>
      </c>
      <c r="K206" s="1" t="s">
        <v>40</v>
      </c>
      <c r="L206" s="4">
        <v>11700</v>
      </c>
      <c r="M206" s="6">
        <v>-19.75</v>
      </c>
      <c r="N206" s="7">
        <f>IF(AND(L206 &lt;&gt; "-", M206 &lt;&gt; "-"),L206*( 1 + M206%),0)</f>
      </c>
      <c r="O206" s="7">
        <f>( N206 * E206 )</f>
      </c>
      <c r="P206" s="1" t="s">
        <v>566</v>
      </c>
      <c r="Q206" s="6">
        <v>1.01</v>
      </c>
      <c r="R206" s="6">
        <v>60.5</v>
      </c>
      <c r="S206" s="4">
        <v>59</v>
      </c>
      <c r="T206" s="1" t="s">
        <v>42</v>
      </c>
      <c r="U206" s="5">
        <f>HYPERLINK("https://www.gia.edu/report-check?reportno=6422157077","6422157077")</f>
      </c>
      <c r="V206" s="1" t="s">
        <v>43</v>
      </c>
      <c r="W206" s="1" t="s">
        <v>44</v>
      </c>
      <c r="X206" s="1" t="s">
        <v>46</v>
      </c>
      <c r="Y206" s="1" t="s">
        <v>40</v>
      </c>
      <c r="Z206" s="1" t="s">
        <v>46</v>
      </c>
      <c r="AA206" s="1" t="s">
        <v>66</v>
      </c>
      <c r="AB206" s="1" t="s">
        <v>40</v>
      </c>
      <c r="AC206" s="1" t="s">
        <v>48</v>
      </c>
      <c r="AD206" s="1" t="s">
        <v>43</v>
      </c>
      <c r="AE206" s="8">
        <f>IF(L206&lt;&gt;"",L206*E206,0)</f>
      </c>
    </row>
    <row r="207" spans="1:31" x14ac:dyDescent="0.25">
      <c r="A207" s="4">
        <v>202</v>
      </c>
      <c r="B207" s="1" t="s">
        <v>567</v>
      </c>
      <c r="C207" s="5">
        <f>HYPERLINK("https://client.unique.diamonds/dna/11051-68","DNA")</f>
      </c>
      <c r="D207" s="1" t="s">
        <v>36</v>
      </c>
      <c r="E207" s="6">
        <v>1.5</v>
      </c>
      <c r="F207" s="1" t="s">
        <v>37</v>
      </c>
      <c r="G207" s="1" t="s">
        <v>38</v>
      </c>
      <c r="H207" s="1" t="s">
        <v>39</v>
      </c>
      <c r="I207" s="1" t="s">
        <v>39</v>
      </c>
      <c r="J207" s="1" t="s">
        <v>39</v>
      </c>
      <c r="K207" s="1" t="s">
        <v>40</v>
      </c>
      <c r="L207" s="4">
        <v>11700</v>
      </c>
      <c r="M207" s="6">
        <v>-19.25</v>
      </c>
      <c r="N207" s="7">
        <f>IF(AND(L207 &lt;&gt; "-", M207 &lt;&gt; "-"),L207*( 1 + M207%),0)</f>
      </c>
      <c r="O207" s="7">
        <f>( N207 * E207 )</f>
      </c>
      <c r="P207" s="1" t="s">
        <v>568</v>
      </c>
      <c r="Q207" s="6">
        <v>1</v>
      </c>
      <c r="R207" s="6">
        <v>60.2</v>
      </c>
      <c r="S207" s="4">
        <v>59</v>
      </c>
      <c r="T207" s="1" t="s">
        <v>42</v>
      </c>
      <c r="U207" s="5">
        <f>HYPERLINK("https://www.gia.edu/report-check?reportno=7422322861","7422322861")</f>
      </c>
      <c r="V207" s="1" t="s">
        <v>43</v>
      </c>
      <c r="W207" s="1" t="s">
        <v>65</v>
      </c>
      <c r="X207" s="1" t="s">
        <v>59</v>
      </c>
      <c r="Y207" s="1" t="s">
        <v>40</v>
      </c>
      <c r="Z207" s="1" t="s">
        <v>46</v>
      </c>
      <c r="AA207" s="1" t="s">
        <v>66</v>
      </c>
      <c r="AB207" s="1" t="s">
        <v>40</v>
      </c>
      <c r="AC207" s="1" t="s">
        <v>48</v>
      </c>
      <c r="AD207" s="1" t="s">
        <v>43</v>
      </c>
      <c r="AE207" s="8">
        <f>IF(L207&lt;&gt;"",L207*E207,0)</f>
      </c>
    </row>
    <row r="208" spans="1:31" x14ac:dyDescent="0.25">
      <c r="A208" s="4">
        <v>203</v>
      </c>
      <c r="B208" s="1" t="s">
        <v>569</v>
      </c>
      <c r="C208" s="5">
        <f>HYPERLINK("https://client.unique.diamonds/dna/141430-21","DNA")</f>
      </c>
      <c r="D208" s="1" t="s">
        <v>36</v>
      </c>
      <c r="E208" s="6">
        <v>1.5</v>
      </c>
      <c r="F208" s="1" t="s">
        <v>37</v>
      </c>
      <c r="G208" s="1" t="s">
        <v>38</v>
      </c>
      <c r="H208" s="1" t="s">
        <v>39</v>
      </c>
      <c r="I208" s="1" t="s">
        <v>39</v>
      </c>
      <c r="J208" s="1" t="s">
        <v>39</v>
      </c>
      <c r="K208" s="1" t="s">
        <v>40</v>
      </c>
      <c r="L208" s="4">
        <v>11700</v>
      </c>
      <c r="M208" s="6">
        <v>-23</v>
      </c>
      <c r="N208" s="7">
        <f>IF(AND(L208 &lt;&gt; "-", M208 &lt;&gt; "-"),L208*( 1 + M208%),0)</f>
      </c>
      <c r="O208" s="7">
        <f>( N208 * E208 )</f>
      </c>
      <c r="P208" s="1" t="s">
        <v>570</v>
      </c>
      <c r="Q208" s="6">
        <v>1.01</v>
      </c>
      <c r="R208" s="6">
        <v>59.9</v>
      </c>
      <c r="S208" s="4">
        <v>61</v>
      </c>
      <c r="T208" s="1" t="s">
        <v>42</v>
      </c>
      <c r="U208" s="5">
        <f>HYPERLINK("https://www.gia.edu/report-check?reportno=7418222031","7418222031")</f>
      </c>
      <c r="V208" s="1" t="s">
        <v>43</v>
      </c>
      <c r="W208" s="1" t="s">
        <v>78</v>
      </c>
      <c r="X208" s="1" t="s">
        <v>46</v>
      </c>
      <c r="Y208" s="1" t="s">
        <v>40</v>
      </c>
      <c r="Z208" s="1" t="s">
        <v>59</v>
      </c>
      <c r="AA208" s="1" t="s">
        <v>55</v>
      </c>
      <c r="AB208" s="1" t="s">
        <v>55</v>
      </c>
      <c r="AC208" s="1" t="s">
        <v>85</v>
      </c>
      <c r="AD208" s="1" t="s">
        <v>43</v>
      </c>
      <c r="AE208" s="8">
        <f>IF(L208&lt;&gt;"",L208*E208,0)</f>
      </c>
    </row>
    <row r="209" spans="1:31" x14ac:dyDescent="0.25">
      <c r="A209" s="4">
        <v>204</v>
      </c>
      <c r="B209" s="1" t="s">
        <v>571</v>
      </c>
      <c r="C209" s="5">
        <f>HYPERLINK("https://client.unique.diamonds/dna/11119-46","DNA")</f>
      </c>
      <c r="D209" s="1" t="s">
        <v>36</v>
      </c>
      <c r="E209" s="6">
        <v>1.5</v>
      </c>
      <c r="F209" s="1" t="s">
        <v>37</v>
      </c>
      <c r="G209" s="1" t="s">
        <v>51</v>
      </c>
      <c r="H209" s="1" t="s">
        <v>39</v>
      </c>
      <c r="I209" s="1" t="s">
        <v>39</v>
      </c>
      <c r="J209" s="1" t="s">
        <v>39</v>
      </c>
      <c r="K209" s="1" t="s">
        <v>40</v>
      </c>
      <c r="L209" s="4">
        <v>10600</v>
      </c>
      <c r="M209" s="6">
        <v>-23.25</v>
      </c>
      <c r="N209" s="7">
        <f>IF(AND(L209 &lt;&gt; "-", M209 &lt;&gt; "-"),L209*( 1 + M209%),0)</f>
      </c>
      <c r="O209" s="7">
        <f>( N209 * E209 )</f>
      </c>
      <c r="P209" s="1" t="s">
        <v>556</v>
      </c>
      <c r="Q209" s="6">
        <v>1.01</v>
      </c>
      <c r="R209" s="6">
        <v>62.7</v>
      </c>
      <c r="S209" s="4">
        <v>59</v>
      </c>
      <c r="T209" s="1" t="s">
        <v>42</v>
      </c>
      <c r="U209" s="5">
        <f>HYPERLINK("https://www.gia.edu/report-check?reportno=6435165778","6435165778")</f>
      </c>
      <c r="V209" s="1" t="s">
        <v>43</v>
      </c>
      <c r="W209" s="1" t="s">
        <v>464</v>
      </c>
      <c r="X209" s="1" t="s">
        <v>59</v>
      </c>
      <c r="Y209" s="1" t="s">
        <v>40</v>
      </c>
      <c r="Z209" s="1" t="s">
        <v>46</v>
      </c>
      <c r="AA209" s="1" t="s">
        <v>55</v>
      </c>
      <c r="AB209" s="1" t="s">
        <v>55</v>
      </c>
      <c r="AC209" s="1" t="s">
        <v>85</v>
      </c>
      <c r="AD209" s="1" t="s">
        <v>43</v>
      </c>
      <c r="AE209" s="8">
        <f>IF(L209&lt;&gt;"",L209*E209,0)</f>
      </c>
    </row>
    <row r="210" spans="1:31" x14ac:dyDescent="0.25">
      <c r="A210" s="4">
        <v>205</v>
      </c>
      <c r="B210" s="1" t="s">
        <v>572</v>
      </c>
      <c r="C210" s="5">
        <f>HYPERLINK("https://client.unique.diamonds/dna/11136-22","DNA")</f>
      </c>
      <c r="D210" s="1" t="s">
        <v>36</v>
      </c>
      <c r="E210" s="6">
        <v>1.5</v>
      </c>
      <c r="F210" s="1" t="s">
        <v>37</v>
      </c>
      <c r="G210" s="1" t="s">
        <v>87</v>
      </c>
      <c r="H210" s="1" t="s">
        <v>39</v>
      </c>
      <c r="I210" s="1" t="s">
        <v>39</v>
      </c>
      <c r="J210" s="1" t="s">
        <v>39</v>
      </c>
      <c r="K210" s="1" t="s">
        <v>63</v>
      </c>
      <c r="L210" s="4">
        <v>8500</v>
      </c>
      <c r="M210" s="6">
        <v>-25.5</v>
      </c>
      <c r="N210" s="7">
        <f>IF(AND(L210 &lt;&gt; "-", M210 &lt;&gt; "-"),L210*( 1 + M210%),0)</f>
      </c>
      <c r="O210" s="7">
        <f>( N210 * E210 )</f>
      </c>
      <c r="P210" s="1" t="s">
        <v>573</v>
      </c>
      <c r="Q210" s="6">
        <v>1.01</v>
      </c>
      <c r="R210" s="6">
        <v>61.6</v>
      </c>
      <c r="S210" s="4">
        <v>60</v>
      </c>
      <c r="T210" s="1" t="s">
        <v>42</v>
      </c>
      <c r="U210" s="5">
        <f>HYPERLINK("https://www.gia.edu/report-check?reportno=2436273389","2436273389")</f>
      </c>
      <c r="V210" s="1" t="s">
        <v>43</v>
      </c>
      <c r="W210" s="1" t="s">
        <v>574</v>
      </c>
      <c r="X210" s="1" t="s">
        <v>140</v>
      </c>
      <c r="Y210" s="1" t="s">
        <v>40</v>
      </c>
      <c r="Z210" s="1" t="s">
        <v>46</v>
      </c>
      <c r="AA210" s="1" t="s">
        <v>55</v>
      </c>
      <c r="AB210" s="1" t="s">
        <v>40</v>
      </c>
      <c r="AC210" s="1" t="s">
        <v>48</v>
      </c>
      <c r="AD210" s="1" t="s">
        <v>43</v>
      </c>
      <c r="AE210" s="8">
        <f>IF(L210&lt;&gt;"",L210*E210,0)</f>
      </c>
    </row>
    <row r="211" spans="1:31" x14ac:dyDescent="0.25">
      <c r="A211" s="4">
        <v>206</v>
      </c>
      <c r="B211" s="1" t="s">
        <v>575</v>
      </c>
      <c r="C211" s="5">
        <f>HYPERLINK("https://client.unique.diamonds/dna/11118-46","DNA")</f>
      </c>
      <c r="D211" s="1" t="s">
        <v>36</v>
      </c>
      <c r="E211" s="6">
        <v>1.5</v>
      </c>
      <c r="F211" s="1" t="s">
        <v>37</v>
      </c>
      <c r="G211" s="1" t="s">
        <v>87</v>
      </c>
      <c r="H211" s="1" t="s">
        <v>39</v>
      </c>
      <c r="I211" s="1" t="s">
        <v>39</v>
      </c>
      <c r="J211" s="1" t="s">
        <v>39</v>
      </c>
      <c r="K211" s="1" t="s">
        <v>40</v>
      </c>
      <c r="L211" s="4">
        <v>8500</v>
      </c>
      <c r="M211" s="6">
        <v>-19.25</v>
      </c>
      <c r="N211" s="7">
        <f>IF(AND(L211 &lt;&gt; "-", M211 &lt;&gt; "-"),L211*( 1 + M211%),0)</f>
      </c>
      <c r="O211" s="7">
        <f>( N211 * E211 )</f>
      </c>
      <c r="P211" s="1" t="s">
        <v>576</v>
      </c>
      <c r="Q211" s="6">
        <v>1.01</v>
      </c>
      <c r="R211" s="6">
        <v>60.6</v>
      </c>
      <c r="S211" s="4">
        <v>56</v>
      </c>
      <c r="T211" s="1" t="s">
        <v>42</v>
      </c>
      <c r="U211" s="5">
        <f>HYPERLINK("https://www.gia.edu/report-check?reportno=6432277754","6432277754")</f>
      </c>
      <c r="V211" s="1" t="s">
        <v>43</v>
      </c>
      <c r="W211" s="1" t="s">
        <v>577</v>
      </c>
      <c r="X211" s="1" t="s">
        <v>59</v>
      </c>
      <c r="Y211" s="1" t="s">
        <v>40</v>
      </c>
      <c r="Z211" s="1" t="s">
        <v>54</v>
      </c>
      <c r="AA211" s="1" t="s">
        <v>66</v>
      </c>
      <c r="AB211" s="1" t="s">
        <v>55</v>
      </c>
      <c r="AC211" s="1" t="s">
        <v>48</v>
      </c>
      <c r="AD211" s="1" t="s">
        <v>43</v>
      </c>
      <c r="AE211" s="8">
        <f>IF(L211&lt;&gt;"",L211*E211,0)</f>
      </c>
    </row>
    <row r="212" spans="1:31" x14ac:dyDescent="0.25">
      <c r="A212" s="4">
        <v>207</v>
      </c>
      <c r="B212" s="1" t="s">
        <v>578</v>
      </c>
      <c r="C212" s="5">
        <f>HYPERLINK("https://client.unique.diamonds/dna/11076-18","DNA")</f>
      </c>
      <c r="D212" s="1" t="s">
        <v>36</v>
      </c>
      <c r="E212" s="6">
        <v>1.5</v>
      </c>
      <c r="F212" s="1" t="s">
        <v>37</v>
      </c>
      <c r="G212" s="1" t="s">
        <v>87</v>
      </c>
      <c r="H212" s="1" t="s">
        <v>39</v>
      </c>
      <c r="I212" s="1" t="s">
        <v>39</v>
      </c>
      <c r="J212" s="1" t="s">
        <v>39</v>
      </c>
      <c r="K212" s="1" t="s">
        <v>40</v>
      </c>
      <c r="L212" s="4">
        <v>8500</v>
      </c>
      <c r="M212" s="6">
        <v>-22</v>
      </c>
      <c r="N212" s="7">
        <f>IF(AND(L212 &lt;&gt; "-", M212 &lt;&gt; "-"),L212*( 1 + M212%),0)</f>
      </c>
      <c r="O212" s="7">
        <f>( N212 * E212 )</f>
      </c>
      <c r="P212" s="1" t="s">
        <v>579</v>
      </c>
      <c r="Q212" s="6">
        <v>1.01</v>
      </c>
      <c r="R212" s="6">
        <v>63.1</v>
      </c>
      <c r="S212" s="4">
        <v>55</v>
      </c>
      <c r="T212" s="1" t="s">
        <v>42</v>
      </c>
      <c r="U212" s="5">
        <f>HYPERLINK("https://www.gia.edu/report-check?reportno=6223354521","6223354521")</f>
      </c>
      <c r="V212" s="1" t="s">
        <v>43</v>
      </c>
      <c r="W212" s="1" t="s">
        <v>464</v>
      </c>
      <c r="X212" s="1" t="s">
        <v>59</v>
      </c>
      <c r="Y212" s="1" t="s">
        <v>40</v>
      </c>
      <c r="Z212" s="1" t="s">
        <v>54</v>
      </c>
      <c r="AA212" s="1" t="s">
        <v>55</v>
      </c>
      <c r="AB212" s="1" t="s">
        <v>55</v>
      </c>
      <c r="AC212" s="1" t="s">
        <v>48</v>
      </c>
      <c r="AD212" s="1" t="s">
        <v>43</v>
      </c>
      <c r="AE212" s="8">
        <f>IF(L212&lt;&gt;"",L212*E212,0)</f>
      </c>
    </row>
    <row r="213" spans="1:31" x14ac:dyDescent="0.25">
      <c r="A213" s="4">
        <v>208</v>
      </c>
      <c r="B213" s="1" t="s">
        <v>580</v>
      </c>
      <c r="C213" s="5">
        <f>HYPERLINK("https://client.unique.diamonds/dna/142088-68","DNA")</f>
      </c>
      <c r="D213" s="1" t="s">
        <v>36</v>
      </c>
      <c r="E213" s="6">
        <v>1.5</v>
      </c>
      <c r="F213" s="1" t="s">
        <v>37</v>
      </c>
      <c r="G213" s="1" t="s">
        <v>87</v>
      </c>
      <c r="H213" s="1" t="s">
        <v>39</v>
      </c>
      <c r="I213" s="1" t="s">
        <v>39</v>
      </c>
      <c r="J213" s="1" t="s">
        <v>39</v>
      </c>
      <c r="K213" s="1" t="s">
        <v>40</v>
      </c>
      <c r="L213" s="4">
        <v>8500</v>
      </c>
      <c r="M213" s="6">
        <v>-24.5</v>
      </c>
      <c r="N213" s="7">
        <f>IF(AND(L213 &lt;&gt; "-", M213 &lt;&gt; "-"),L213*( 1 + M213%),0)</f>
      </c>
      <c r="O213" s="7">
        <f>( N213 * E213 )</f>
      </c>
      <c r="P213" s="1" t="s">
        <v>581</v>
      </c>
      <c r="Q213" s="6">
        <v>1.01</v>
      </c>
      <c r="R213" s="6">
        <v>62.5</v>
      </c>
      <c r="S213" s="4">
        <v>57</v>
      </c>
      <c r="T213" s="1" t="s">
        <v>42</v>
      </c>
      <c r="U213" s="5">
        <f>HYPERLINK("https://www.gia.edu/report-check?reportno=7411582560","7411582560")</f>
      </c>
      <c r="V213" s="1" t="s">
        <v>43</v>
      </c>
      <c r="W213" s="1" t="s">
        <v>125</v>
      </c>
      <c r="X213" s="1" t="s">
        <v>46</v>
      </c>
      <c r="Y213" s="1" t="s">
        <v>40</v>
      </c>
      <c r="Z213" s="1" t="s">
        <v>54</v>
      </c>
      <c r="AA213" s="1" t="s">
        <v>66</v>
      </c>
      <c r="AB213" s="1" t="s">
        <v>55</v>
      </c>
      <c r="AC213" s="1" t="s">
        <v>85</v>
      </c>
      <c r="AD213" s="1" t="s">
        <v>43</v>
      </c>
      <c r="AE213" s="8">
        <f>IF(L213&lt;&gt;"",L213*E213,0)</f>
      </c>
    </row>
    <row r="214" spans="1:31" x14ac:dyDescent="0.25">
      <c r="A214" s="4">
        <v>209</v>
      </c>
      <c r="B214" s="1" t="s">
        <v>582</v>
      </c>
      <c r="C214" s="5">
        <f>HYPERLINK("https://client.unique.diamonds/dna/11136-101","DNA")</f>
      </c>
      <c r="D214" s="1" t="s">
        <v>36</v>
      </c>
      <c r="E214" s="6">
        <v>1.5</v>
      </c>
      <c r="F214" s="1" t="s">
        <v>62</v>
      </c>
      <c r="G214" s="1" t="s">
        <v>69</v>
      </c>
      <c r="H214" s="1" t="s">
        <v>39</v>
      </c>
      <c r="I214" s="1" t="s">
        <v>39</v>
      </c>
      <c r="J214" s="1" t="s">
        <v>39</v>
      </c>
      <c r="K214" s="1" t="s">
        <v>40</v>
      </c>
      <c r="L214" s="4">
        <v>10500</v>
      </c>
      <c r="M214" s="6">
        <v>-21.5</v>
      </c>
      <c r="N214" s="7">
        <f>IF(AND(L214 &lt;&gt; "-", M214 &lt;&gt; "-"),L214*( 1 + M214%),0)</f>
      </c>
      <c r="O214" s="7">
        <f>( N214 * E214 )</f>
      </c>
      <c r="P214" s="1" t="s">
        <v>583</v>
      </c>
      <c r="Q214" s="6">
        <v>1.01</v>
      </c>
      <c r="R214" s="6">
        <v>62.1</v>
      </c>
      <c r="S214" s="4">
        <v>59</v>
      </c>
      <c r="T214" s="1" t="s">
        <v>42</v>
      </c>
      <c r="U214" s="5">
        <f>HYPERLINK("https://www.gia.edu/report-check?reportno=1435428877","1435428877")</f>
      </c>
      <c r="V214" s="1" t="s">
        <v>43</v>
      </c>
      <c r="W214" s="1" t="s">
        <v>469</v>
      </c>
      <c r="X214" s="1" t="s">
        <v>46</v>
      </c>
      <c r="Y214" s="1" t="s">
        <v>40</v>
      </c>
      <c r="Z214" s="1" t="s">
        <v>59</v>
      </c>
      <c r="AA214" s="1" t="s">
        <v>66</v>
      </c>
      <c r="AB214" s="1" t="s">
        <v>40</v>
      </c>
      <c r="AC214" s="1" t="s">
        <v>48</v>
      </c>
      <c r="AD214" s="1" t="s">
        <v>43</v>
      </c>
      <c r="AE214" s="8">
        <f>IF(L214&lt;&gt;"",L214*E214,0)</f>
      </c>
    </row>
    <row r="215" spans="1:31" x14ac:dyDescent="0.25">
      <c r="A215" s="4">
        <v>210</v>
      </c>
      <c r="B215" s="1" t="s">
        <v>584</v>
      </c>
      <c r="C215" s="5">
        <f>HYPERLINK("https://client.unique.diamonds/dna/141283-12","DNA")</f>
      </c>
      <c r="D215" s="1" t="s">
        <v>36</v>
      </c>
      <c r="E215" s="6">
        <v>1.5</v>
      </c>
      <c r="F215" s="1" t="s">
        <v>62</v>
      </c>
      <c r="G215" s="1" t="s">
        <v>38</v>
      </c>
      <c r="H215" s="1" t="s">
        <v>39</v>
      </c>
      <c r="I215" s="1" t="s">
        <v>39</v>
      </c>
      <c r="J215" s="1" t="s">
        <v>39</v>
      </c>
      <c r="K215" s="1" t="s">
        <v>40</v>
      </c>
      <c r="L215" s="4">
        <v>9900</v>
      </c>
      <c r="M215" s="6">
        <v>-23.75</v>
      </c>
      <c r="N215" s="7">
        <f>IF(AND(L215 &lt;&gt; "-", M215 &lt;&gt; "-"),L215*( 1 + M215%),0)</f>
      </c>
      <c r="O215" s="7">
        <f>( N215 * E215 )</f>
      </c>
      <c r="P215" s="1" t="s">
        <v>585</v>
      </c>
      <c r="Q215" s="6">
        <v>1.01</v>
      </c>
      <c r="R215" s="6">
        <v>61.6</v>
      </c>
      <c r="S215" s="4">
        <v>61</v>
      </c>
      <c r="T215" s="1" t="s">
        <v>42</v>
      </c>
      <c r="U215" s="5">
        <f>HYPERLINK("https://www.gia.edu/report-check?reportno=6402815078","6402815078")</f>
      </c>
      <c r="V215" s="1" t="s">
        <v>43</v>
      </c>
      <c r="W215" s="1" t="s">
        <v>430</v>
      </c>
      <c r="X215" s="1" t="s">
        <v>45</v>
      </c>
      <c r="Y215" s="1" t="s">
        <v>40</v>
      </c>
      <c r="Z215" s="1" t="s">
        <v>46</v>
      </c>
      <c r="AA215" s="1" t="s">
        <v>40</v>
      </c>
      <c r="AB215" s="1" t="s">
        <v>40</v>
      </c>
      <c r="AC215" s="1" t="s">
        <v>48</v>
      </c>
      <c r="AD215" s="1" t="s">
        <v>43</v>
      </c>
      <c r="AE215" s="8">
        <f>IF(L215&lt;&gt;"",L215*E215,0)</f>
      </c>
    </row>
    <row r="216" spans="1:31" x14ac:dyDescent="0.25">
      <c r="A216" s="4">
        <v>211</v>
      </c>
      <c r="B216" s="1" t="s">
        <v>586</v>
      </c>
      <c r="C216" s="5">
        <f>HYPERLINK("https://client.unique.diamonds/dna/11097-34","DNA")</f>
      </c>
      <c r="D216" s="1" t="s">
        <v>36</v>
      </c>
      <c r="E216" s="6">
        <v>1.5</v>
      </c>
      <c r="F216" s="1" t="s">
        <v>62</v>
      </c>
      <c r="G216" s="1" t="s">
        <v>38</v>
      </c>
      <c r="H216" s="1" t="s">
        <v>39</v>
      </c>
      <c r="I216" s="1" t="s">
        <v>39</v>
      </c>
      <c r="J216" s="1" t="s">
        <v>39</v>
      </c>
      <c r="K216" s="1" t="s">
        <v>40</v>
      </c>
      <c r="L216" s="4">
        <v>9900</v>
      </c>
      <c r="M216" s="6">
        <v>-21</v>
      </c>
      <c r="N216" s="7">
        <f>IF(AND(L216 &lt;&gt; "-", M216 &lt;&gt; "-"),L216*( 1 + M216%),0)</f>
      </c>
      <c r="O216" s="7">
        <f>( N216 * E216 )</f>
      </c>
      <c r="P216" s="1" t="s">
        <v>587</v>
      </c>
      <c r="Q216" s="6">
        <v>1.01</v>
      </c>
      <c r="R216" s="6">
        <v>62.6</v>
      </c>
      <c r="S216" s="4">
        <v>59</v>
      </c>
      <c r="T216" s="1" t="s">
        <v>42</v>
      </c>
      <c r="U216" s="5">
        <f>HYPERLINK("https://www.gia.edu/report-check?reportno=3425945330","3425945330")</f>
      </c>
      <c r="V216" s="1" t="s">
        <v>43</v>
      </c>
      <c r="W216" s="1" t="s">
        <v>210</v>
      </c>
      <c r="X216" s="1" t="s">
        <v>46</v>
      </c>
      <c r="Y216" s="1" t="s">
        <v>40</v>
      </c>
      <c r="Z216" s="1" t="s">
        <v>46</v>
      </c>
      <c r="AA216" s="1" t="s">
        <v>55</v>
      </c>
      <c r="AB216" s="1" t="s">
        <v>55</v>
      </c>
      <c r="AC216" s="1" t="s">
        <v>85</v>
      </c>
      <c r="AD216" s="1" t="s">
        <v>43</v>
      </c>
      <c r="AE216" s="8">
        <f>IF(L216&lt;&gt;"",L216*E216,0)</f>
      </c>
    </row>
    <row r="217" spans="1:31" x14ac:dyDescent="0.25">
      <c r="A217" s="4">
        <v>212</v>
      </c>
      <c r="B217" s="1" t="s">
        <v>588</v>
      </c>
      <c r="C217" s="5">
        <f>HYPERLINK("https://client.unique.diamonds/dna/11088-46","DNA")</f>
      </c>
      <c r="D217" s="1" t="s">
        <v>36</v>
      </c>
      <c r="E217" s="6">
        <v>1.5</v>
      </c>
      <c r="F217" s="1" t="s">
        <v>62</v>
      </c>
      <c r="G217" s="1" t="s">
        <v>51</v>
      </c>
      <c r="H217" s="1" t="s">
        <v>39</v>
      </c>
      <c r="I217" s="1" t="s">
        <v>39</v>
      </c>
      <c r="J217" s="1" t="s">
        <v>39</v>
      </c>
      <c r="K217" s="1" t="s">
        <v>40</v>
      </c>
      <c r="L217" s="4">
        <v>9100</v>
      </c>
      <c r="M217" s="6">
        <v>-15.5</v>
      </c>
      <c r="N217" s="7">
        <f>IF(AND(L217 &lt;&gt; "-", M217 &lt;&gt; "-"),L217*( 1 + M217%),0)</f>
      </c>
      <c r="O217" s="7">
        <f>( N217 * E217 )</f>
      </c>
      <c r="P217" s="1" t="s">
        <v>589</v>
      </c>
      <c r="Q217" s="6">
        <v>1.01</v>
      </c>
      <c r="R217" s="6">
        <v>62.9</v>
      </c>
      <c r="S217" s="4">
        <v>58</v>
      </c>
      <c r="T217" s="1" t="s">
        <v>42</v>
      </c>
      <c r="U217" s="5">
        <f>HYPERLINK("https://www.gia.edu/report-check?reportno=6421754208","6421754208")</f>
      </c>
      <c r="V217" s="1" t="s">
        <v>43</v>
      </c>
      <c r="W217" s="1" t="s">
        <v>287</v>
      </c>
      <c r="X217" s="1" t="s">
        <v>59</v>
      </c>
      <c r="Y217" s="1" t="s">
        <v>40</v>
      </c>
      <c r="Z217" s="1" t="s">
        <v>46</v>
      </c>
      <c r="AA217" s="1" t="s">
        <v>55</v>
      </c>
      <c r="AB217" s="1" t="s">
        <v>47</v>
      </c>
      <c r="AC217" s="1" t="s">
        <v>48</v>
      </c>
      <c r="AD217" s="1" t="s">
        <v>43</v>
      </c>
      <c r="AE217" s="8">
        <f>IF(L217&lt;&gt;"",L217*E217,0)</f>
      </c>
    </row>
    <row r="218" spans="1:31" x14ac:dyDescent="0.25">
      <c r="A218" s="4">
        <v>213</v>
      </c>
      <c r="B218" s="1" t="s">
        <v>590</v>
      </c>
      <c r="C218" s="5">
        <f>HYPERLINK("https://client.unique.diamonds/dna/11108-83","DNA")</f>
      </c>
      <c r="D218" s="1" t="s">
        <v>36</v>
      </c>
      <c r="E218" s="6">
        <v>1.5</v>
      </c>
      <c r="F218" s="1" t="s">
        <v>62</v>
      </c>
      <c r="G218" s="1" t="s">
        <v>51</v>
      </c>
      <c r="H218" s="1" t="s">
        <v>39</v>
      </c>
      <c r="I218" s="1" t="s">
        <v>39</v>
      </c>
      <c r="J218" s="1" t="s">
        <v>39</v>
      </c>
      <c r="K218" s="1" t="s">
        <v>40</v>
      </c>
      <c r="L218" s="4">
        <v>9100</v>
      </c>
      <c r="M218" s="6">
        <v>-16.75</v>
      </c>
      <c r="N218" s="7">
        <f>IF(AND(L218 &lt;&gt; "-", M218 &lt;&gt; "-"),L218*( 1 + M218%),0)</f>
      </c>
      <c r="O218" s="7">
        <f>( N218 * E218 )</f>
      </c>
      <c r="P218" s="1" t="s">
        <v>591</v>
      </c>
      <c r="Q218" s="6">
        <v>1.01</v>
      </c>
      <c r="R218" s="6">
        <v>62.7</v>
      </c>
      <c r="S218" s="4">
        <v>57</v>
      </c>
      <c r="T218" s="1" t="s">
        <v>42</v>
      </c>
      <c r="U218" s="5">
        <f>HYPERLINK("https://www.gia.edu/report-check?reportno=1423907652","1423907652")</f>
      </c>
      <c r="V218" s="1" t="s">
        <v>43</v>
      </c>
      <c r="W218" s="1" t="s">
        <v>592</v>
      </c>
      <c r="X218" s="1" t="s">
        <v>59</v>
      </c>
      <c r="Y218" s="1" t="s">
        <v>40</v>
      </c>
      <c r="Z218" s="1" t="s">
        <v>46</v>
      </c>
      <c r="AA218" s="1" t="s">
        <v>55</v>
      </c>
      <c r="AB218" s="1" t="s">
        <v>55</v>
      </c>
      <c r="AC218" s="1" t="s">
        <v>48</v>
      </c>
      <c r="AD218" s="1" t="s">
        <v>43</v>
      </c>
      <c r="AE218" s="8">
        <f>IF(L218&lt;&gt;"",L218*E218,0)</f>
      </c>
    </row>
    <row r="219" spans="1:31" x14ac:dyDescent="0.25">
      <c r="A219" s="4">
        <v>214</v>
      </c>
      <c r="B219" s="1" t="s">
        <v>593</v>
      </c>
      <c r="C219" s="5">
        <f>HYPERLINK("https://client.unique.diamonds/dna/11088-9","DNA")</f>
      </c>
      <c r="D219" s="1" t="s">
        <v>36</v>
      </c>
      <c r="E219" s="6">
        <v>1.5</v>
      </c>
      <c r="F219" s="1" t="s">
        <v>62</v>
      </c>
      <c r="G219" s="1" t="s">
        <v>51</v>
      </c>
      <c r="H219" s="1" t="s">
        <v>39</v>
      </c>
      <c r="I219" s="1" t="s">
        <v>39</v>
      </c>
      <c r="J219" s="1" t="s">
        <v>39</v>
      </c>
      <c r="K219" s="1" t="s">
        <v>40</v>
      </c>
      <c r="L219" s="4">
        <v>9100</v>
      </c>
      <c r="M219" s="6">
        <v>-19</v>
      </c>
      <c r="N219" s="7">
        <f>IF(AND(L219 &lt;&gt; "-", M219 &lt;&gt; "-"),L219*( 1 + M219%),0)</f>
      </c>
      <c r="O219" s="7">
        <f>( N219 * E219 )</f>
      </c>
      <c r="P219" s="1" t="s">
        <v>594</v>
      </c>
      <c r="Q219" s="6">
        <v>1.01</v>
      </c>
      <c r="R219" s="6">
        <v>60.7</v>
      </c>
      <c r="S219" s="4">
        <v>61</v>
      </c>
      <c r="T219" s="1" t="s">
        <v>42</v>
      </c>
      <c r="U219" s="5">
        <f>HYPERLINK("https://www.gia.edu/report-check?reportno=6224354528","6224354528")</f>
      </c>
      <c r="V219" s="1" t="s">
        <v>43</v>
      </c>
      <c r="W219" s="1" t="s">
        <v>510</v>
      </c>
      <c r="X219" s="1" t="s">
        <v>46</v>
      </c>
      <c r="Y219" s="1" t="s">
        <v>40</v>
      </c>
      <c r="Z219" s="1" t="s">
        <v>45</v>
      </c>
      <c r="AA219" s="1" t="s">
        <v>66</v>
      </c>
      <c r="AB219" s="1" t="s">
        <v>55</v>
      </c>
      <c r="AC219" s="1" t="s">
        <v>85</v>
      </c>
      <c r="AD219" s="1" t="s">
        <v>43</v>
      </c>
      <c r="AE219" s="8">
        <f>IF(L219&lt;&gt;"",L219*E219,0)</f>
      </c>
    </row>
    <row r="220" spans="1:31" x14ac:dyDescent="0.25">
      <c r="A220" s="4">
        <v>215</v>
      </c>
      <c r="B220" s="1" t="s">
        <v>595</v>
      </c>
      <c r="C220" s="5">
        <f>HYPERLINK("https://client.unique.diamonds/dna/12044-122","DNA")</f>
      </c>
      <c r="D220" s="1" t="s">
        <v>36</v>
      </c>
      <c r="E220" s="6">
        <v>1.5</v>
      </c>
      <c r="F220" s="1" t="s">
        <v>62</v>
      </c>
      <c r="G220" s="1" t="s">
        <v>51</v>
      </c>
      <c r="H220" s="1" t="s">
        <v>39</v>
      </c>
      <c r="I220" s="1" t="s">
        <v>39</v>
      </c>
      <c r="J220" s="1" t="s">
        <v>39</v>
      </c>
      <c r="K220" s="1" t="s">
        <v>40</v>
      </c>
      <c r="L220" s="4">
        <v>9100</v>
      </c>
      <c r="M220" s="6">
        <v>-18.45</v>
      </c>
      <c r="N220" s="7">
        <f>IF(AND(L220 &lt;&gt; "-", M220 &lt;&gt; "-"),L220*( 1 + M220%),0)</f>
      </c>
      <c r="O220" s="7">
        <f>( N220 * E220 )</f>
      </c>
      <c r="P220" s="1" t="s">
        <v>468</v>
      </c>
      <c r="Q220" s="6">
        <v>1</v>
      </c>
      <c r="R220" s="6">
        <v>61.7</v>
      </c>
      <c r="S220" s="4">
        <v>58</v>
      </c>
      <c r="T220" s="1" t="s">
        <v>42</v>
      </c>
      <c r="U220" s="5">
        <f>HYPERLINK("https://www.gia.edu/report-check?reportno=2436377872","2436377872")</f>
      </c>
      <c r="V220" s="1" t="s">
        <v>43</v>
      </c>
      <c r="W220" s="1" t="s">
        <v>449</v>
      </c>
      <c r="X220" s="1" t="s">
        <v>45</v>
      </c>
      <c r="Y220" s="1" t="s">
        <v>40</v>
      </c>
      <c r="Z220" s="1" t="s">
        <v>46</v>
      </c>
      <c r="AA220" s="1" t="s">
        <v>66</v>
      </c>
      <c r="AB220" s="1" t="s">
        <v>55</v>
      </c>
      <c r="AC220" s="1" t="s">
        <v>48</v>
      </c>
      <c r="AD220" s="1" t="s">
        <v>43</v>
      </c>
      <c r="AE220" s="8">
        <f>IF(L220&lt;&gt;"",L220*E220,0)</f>
      </c>
    </row>
    <row r="221" spans="1:31" x14ac:dyDescent="0.25">
      <c r="A221" s="4">
        <v>216</v>
      </c>
      <c r="B221" s="1" t="s">
        <v>596</v>
      </c>
      <c r="C221" s="5">
        <f>HYPERLINK("https://client.unique.diamonds/dna/11136-36","DNA")</f>
      </c>
      <c r="D221" s="1" t="s">
        <v>36</v>
      </c>
      <c r="E221" s="6">
        <v>1.5</v>
      </c>
      <c r="F221" s="1" t="s">
        <v>62</v>
      </c>
      <c r="G221" s="1" t="s">
        <v>87</v>
      </c>
      <c r="H221" s="1" t="s">
        <v>39</v>
      </c>
      <c r="I221" s="1" t="s">
        <v>39</v>
      </c>
      <c r="J221" s="1" t="s">
        <v>39</v>
      </c>
      <c r="K221" s="1" t="s">
        <v>40</v>
      </c>
      <c r="L221" s="4">
        <v>7900</v>
      </c>
      <c r="M221" s="6">
        <v>-18.25</v>
      </c>
      <c r="N221" s="7">
        <f>IF(AND(L221 &lt;&gt; "-", M221 &lt;&gt; "-"),L221*( 1 + M221%),0)</f>
      </c>
      <c r="O221" s="7">
        <f>( N221 * E221 )</f>
      </c>
      <c r="P221" s="1" t="s">
        <v>597</v>
      </c>
      <c r="Q221" s="6">
        <v>1.01</v>
      </c>
      <c r="R221" s="6">
        <v>60</v>
      </c>
      <c r="S221" s="4">
        <v>59</v>
      </c>
      <c r="T221" s="1" t="s">
        <v>42</v>
      </c>
      <c r="U221" s="5">
        <f>HYPERLINK("https://www.gia.edu/report-check?reportno=2434328795","2434328795")</f>
      </c>
      <c r="V221" s="1" t="s">
        <v>43</v>
      </c>
      <c r="W221" s="1" t="s">
        <v>65</v>
      </c>
      <c r="X221" s="1" t="s">
        <v>45</v>
      </c>
      <c r="Y221" s="1" t="s">
        <v>40</v>
      </c>
      <c r="Z221" s="1" t="s">
        <v>46</v>
      </c>
      <c r="AA221" s="1" t="s">
        <v>66</v>
      </c>
      <c r="AB221" s="1" t="s">
        <v>47</v>
      </c>
      <c r="AC221" s="1" t="s">
        <v>48</v>
      </c>
      <c r="AD221" s="1" t="s">
        <v>43</v>
      </c>
      <c r="AE221" s="8">
        <f>IF(L221&lt;&gt;"",L221*E221,0)</f>
      </c>
    </row>
    <row r="222" spans="1:31" x14ac:dyDescent="0.25">
      <c r="A222" s="4">
        <v>217</v>
      </c>
      <c r="B222" s="1" t="s">
        <v>598</v>
      </c>
      <c r="C222" s="5">
        <f>HYPERLINK("https://client.unique.diamonds/dna/11147-25","DNA")</f>
      </c>
      <c r="D222" s="1" t="s">
        <v>36</v>
      </c>
      <c r="E222" s="6">
        <v>1.5</v>
      </c>
      <c r="F222" s="1" t="s">
        <v>50</v>
      </c>
      <c r="G222" s="1" t="s">
        <v>69</v>
      </c>
      <c r="H222" s="1" t="s">
        <v>39</v>
      </c>
      <c r="I222" s="1" t="s">
        <v>39</v>
      </c>
      <c r="J222" s="1" t="s">
        <v>39</v>
      </c>
      <c r="K222" s="1" t="s">
        <v>63</v>
      </c>
      <c r="L222" s="4">
        <v>8700</v>
      </c>
      <c r="M222" s="6">
        <v>-23.45</v>
      </c>
      <c r="N222" s="7">
        <f>IF(AND(L222 &lt;&gt; "-", M222 &lt;&gt; "-"),L222*( 1 + M222%),0)</f>
      </c>
      <c r="O222" s="7">
        <f>( N222 * E222 )</f>
      </c>
      <c r="P222" s="1" t="s">
        <v>599</v>
      </c>
      <c r="Q222" s="6">
        <v>1</v>
      </c>
      <c r="R222" s="6">
        <v>60.3</v>
      </c>
      <c r="S222" s="4">
        <v>59</v>
      </c>
      <c r="T222" s="1" t="s">
        <v>42</v>
      </c>
      <c r="U222" s="5">
        <f>HYPERLINK("https://www.gia.edu/report-check?reportno=7438585325","7438585325")</f>
      </c>
      <c r="V222" s="1" t="s">
        <v>43</v>
      </c>
      <c r="W222" s="1" t="s">
        <v>78</v>
      </c>
      <c r="X222" s="1" t="s">
        <v>45</v>
      </c>
      <c r="Y222" s="1" t="s">
        <v>40</v>
      </c>
      <c r="Z222" s="1" t="s">
        <v>46</v>
      </c>
      <c r="AA222" s="1" t="s">
        <v>55</v>
      </c>
      <c r="AB222" s="1" t="s">
        <v>47</v>
      </c>
      <c r="AC222" s="1" t="s">
        <v>48</v>
      </c>
      <c r="AD222" s="1" t="s">
        <v>43</v>
      </c>
      <c r="AE222" s="8">
        <f>IF(L222&lt;&gt;"",L222*E222,0)</f>
      </c>
    </row>
    <row r="223" spans="1:31" x14ac:dyDescent="0.25">
      <c r="A223" s="4">
        <v>218</v>
      </c>
      <c r="B223" s="1" t="s">
        <v>600</v>
      </c>
      <c r="C223" s="5">
        <f>HYPERLINK("https://client.unique.diamonds/dna/11125-42","DNA")</f>
      </c>
      <c r="D223" s="1" t="s">
        <v>36</v>
      </c>
      <c r="E223" s="6">
        <v>1.5</v>
      </c>
      <c r="F223" s="1" t="s">
        <v>50</v>
      </c>
      <c r="G223" s="1" t="s">
        <v>38</v>
      </c>
      <c r="H223" s="1" t="s">
        <v>39</v>
      </c>
      <c r="I223" s="1" t="s">
        <v>39</v>
      </c>
      <c r="J223" s="1" t="s">
        <v>39</v>
      </c>
      <c r="K223" s="1" t="s">
        <v>63</v>
      </c>
      <c r="L223" s="4">
        <v>8100</v>
      </c>
      <c r="M223" s="6">
        <v>-23.25</v>
      </c>
      <c r="N223" s="7">
        <f>IF(AND(L223 &lt;&gt; "-", M223 &lt;&gt; "-"),L223*( 1 + M223%),0)</f>
      </c>
      <c r="O223" s="7">
        <f>( N223 * E223 )</f>
      </c>
      <c r="P223" s="1" t="s">
        <v>579</v>
      </c>
      <c r="Q223" s="6">
        <v>1.01</v>
      </c>
      <c r="R223" s="6">
        <v>63.1</v>
      </c>
      <c r="S223" s="4">
        <v>56</v>
      </c>
      <c r="T223" s="1" t="s">
        <v>42</v>
      </c>
      <c r="U223" s="5">
        <f>HYPERLINK("https://www.gia.edu/report-check?reportno=1439200511","1439200511")</f>
      </c>
      <c r="V223" s="1" t="s">
        <v>43</v>
      </c>
      <c r="W223" s="1" t="s">
        <v>402</v>
      </c>
      <c r="X223" s="1" t="s">
        <v>45</v>
      </c>
      <c r="Y223" s="1" t="s">
        <v>40</v>
      </c>
      <c r="Z223" s="1" t="s">
        <v>46</v>
      </c>
      <c r="AA223" s="1" t="s">
        <v>55</v>
      </c>
      <c r="AB223" s="1" t="s">
        <v>40</v>
      </c>
      <c r="AC223" s="1" t="s">
        <v>48</v>
      </c>
      <c r="AD223" s="1" t="s">
        <v>43</v>
      </c>
      <c r="AE223" s="8">
        <f>IF(L223&lt;&gt;"",L223*E223,0)</f>
      </c>
    </row>
    <row r="224" spans="1:31" x14ac:dyDescent="0.25">
      <c r="A224" s="4">
        <v>219</v>
      </c>
      <c r="B224" s="1" t="s">
        <v>601</v>
      </c>
      <c r="C224" s="5">
        <f>HYPERLINK("https://client.unique.diamonds/dna/11118-35","DNA")</f>
      </c>
      <c r="D224" s="1" t="s">
        <v>36</v>
      </c>
      <c r="E224" s="6">
        <v>1.5</v>
      </c>
      <c r="F224" s="1" t="s">
        <v>50</v>
      </c>
      <c r="G224" s="1" t="s">
        <v>38</v>
      </c>
      <c r="H224" s="1" t="s">
        <v>39</v>
      </c>
      <c r="I224" s="1" t="s">
        <v>39</v>
      </c>
      <c r="J224" s="1" t="s">
        <v>39</v>
      </c>
      <c r="K224" s="1" t="s">
        <v>40</v>
      </c>
      <c r="L224" s="4">
        <v>8100</v>
      </c>
      <c r="M224" s="6">
        <v>-20.5</v>
      </c>
      <c r="N224" s="7">
        <f>IF(AND(L224 &lt;&gt; "-", M224 &lt;&gt; "-"),L224*( 1 + M224%),0)</f>
      </c>
      <c r="O224" s="7">
        <f>( N224 * E224 )</f>
      </c>
      <c r="P224" s="1" t="s">
        <v>602</v>
      </c>
      <c r="Q224" s="6">
        <v>1</v>
      </c>
      <c r="R224" s="6">
        <v>61.1</v>
      </c>
      <c r="S224" s="4">
        <v>60</v>
      </c>
      <c r="T224" s="1" t="s">
        <v>42</v>
      </c>
      <c r="U224" s="5">
        <f>HYPERLINK("https://www.gia.edu/report-check?reportno=1433198524","1433198524")</f>
      </c>
      <c r="V224" s="1" t="s">
        <v>43</v>
      </c>
      <c r="W224" s="1" t="s">
        <v>535</v>
      </c>
      <c r="X224" s="1" t="s">
        <v>59</v>
      </c>
      <c r="Y224" s="1" t="s">
        <v>40</v>
      </c>
      <c r="Z224" s="1" t="s">
        <v>59</v>
      </c>
      <c r="AA224" s="1" t="s">
        <v>66</v>
      </c>
      <c r="AB224" s="1" t="s">
        <v>47</v>
      </c>
      <c r="AC224" s="1" t="s">
        <v>48</v>
      </c>
      <c r="AD224" s="1" t="s">
        <v>43</v>
      </c>
      <c r="AE224" s="8">
        <f>IF(L224&lt;&gt;"",L224*E224,0)</f>
      </c>
    </row>
    <row r="225" spans="1:31" x14ac:dyDescent="0.25">
      <c r="A225" s="4">
        <v>220</v>
      </c>
      <c r="B225" s="1" t="s">
        <v>603</v>
      </c>
      <c r="C225" s="5">
        <f>HYPERLINK("https://client.unique.diamonds/dna/11129-10","DNA")</f>
      </c>
      <c r="D225" s="1" t="s">
        <v>36</v>
      </c>
      <c r="E225" s="6">
        <v>1.5</v>
      </c>
      <c r="F225" s="1" t="s">
        <v>50</v>
      </c>
      <c r="G225" s="1" t="s">
        <v>51</v>
      </c>
      <c r="H225" s="1" t="s">
        <v>39</v>
      </c>
      <c r="I225" s="1" t="s">
        <v>39</v>
      </c>
      <c r="J225" s="1" t="s">
        <v>39</v>
      </c>
      <c r="K225" s="1" t="s">
        <v>63</v>
      </c>
      <c r="L225" s="4">
        <v>7500</v>
      </c>
      <c r="M225" s="6">
        <v>-21.25</v>
      </c>
      <c r="N225" s="7">
        <f>IF(AND(L225 &lt;&gt; "-", M225 &lt;&gt; "-"),L225*( 1 + M225%),0)</f>
      </c>
      <c r="O225" s="7">
        <f>( N225 * E225 )</f>
      </c>
      <c r="P225" s="1" t="s">
        <v>604</v>
      </c>
      <c r="Q225" s="6">
        <v>1.01</v>
      </c>
      <c r="R225" s="6">
        <v>61.7</v>
      </c>
      <c r="S225" s="4">
        <v>60</v>
      </c>
      <c r="T225" s="1" t="s">
        <v>42</v>
      </c>
      <c r="U225" s="5">
        <f>HYPERLINK("https://www.gia.edu/report-check?reportno=2437258897","2437258897")</f>
      </c>
      <c r="V225" s="1" t="s">
        <v>43</v>
      </c>
      <c r="W225" s="1" t="s">
        <v>605</v>
      </c>
      <c r="X225" s="1" t="s">
        <v>46</v>
      </c>
      <c r="Y225" s="1" t="s">
        <v>40</v>
      </c>
      <c r="Z225" s="1" t="s">
        <v>46</v>
      </c>
      <c r="AA225" s="1" t="s">
        <v>55</v>
      </c>
      <c r="AB225" s="1" t="s">
        <v>55</v>
      </c>
      <c r="AC225" s="1" t="s">
        <v>60</v>
      </c>
      <c r="AD225" s="1" t="s">
        <v>43</v>
      </c>
      <c r="AE225" s="8">
        <f>IF(L225&lt;&gt;"",L225*E225,0)</f>
      </c>
    </row>
    <row r="226" spans="1:31" x14ac:dyDescent="0.25">
      <c r="A226" s="4">
        <v>221</v>
      </c>
      <c r="B226" s="1" t="s">
        <v>606</v>
      </c>
      <c r="C226" s="5">
        <f>HYPERLINK("https://client.unique.diamonds/dna/11041-21","DNA")</f>
      </c>
      <c r="D226" s="1" t="s">
        <v>36</v>
      </c>
      <c r="E226" s="6">
        <v>1.5</v>
      </c>
      <c r="F226" s="1" t="s">
        <v>50</v>
      </c>
      <c r="G226" s="1" t="s">
        <v>51</v>
      </c>
      <c r="H226" s="1" t="s">
        <v>39</v>
      </c>
      <c r="I226" s="1" t="s">
        <v>39</v>
      </c>
      <c r="J226" s="1" t="s">
        <v>39</v>
      </c>
      <c r="K226" s="1" t="s">
        <v>40</v>
      </c>
      <c r="L226" s="4">
        <v>7500</v>
      </c>
      <c r="M226" s="6">
        <v>-15.75</v>
      </c>
      <c r="N226" s="7">
        <f>IF(AND(L226 &lt;&gt; "-", M226 &lt;&gt; "-"),L226*( 1 + M226%),0)</f>
      </c>
      <c r="O226" s="7">
        <f>( N226 * E226 )</f>
      </c>
      <c r="P226" s="1" t="s">
        <v>607</v>
      </c>
      <c r="Q226" s="6">
        <v>1</v>
      </c>
      <c r="R226" s="6">
        <v>61.2</v>
      </c>
      <c r="S226" s="4">
        <v>61</v>
      </c>
      <c r="T226" s="1" t="s">
        <v>42</v>
      </c>
      <c r="U226" s="5">
        <f>HYPERLINK("https://www.gia.edu/report-check?reportno=2426327306","2426327306")</f>
      </c>
      <c r="V226" s="1" t="s">
        <v>43</v>
      </c>
      <c r="W226" s="1" t="s">
        <v>194</v>
      </c>
      <c r="X226" s="1" t="s">
        <v>59</v>
      </c>
      <c r="Y226" s="1" t="s">
        <v>40</v>
      </c>
      <c r="Z226" s="1" t="s">
        <v>46</v>
      </c>
      <c r="AA226" s="1" t="s">
        <v>55</v>
      </c>
      <c r="AB226" s="1" t="s">
        <v>40</v>
      </c>
      <c r="AC226" s="1" t="s">
        <v>48</v>
      </c>
      <c r="AD226" s="1" t="s">
        <v>43</v>
      </c>
      <c r="AE226" s="8">
        <f>IF(L226&lt;&gt;"",L226*E226,0)</f>
      </c>
    </row>
    <row r="227" spans="1:31" x14ac:dyDescent="0.25">
      <c r="A227" s="4">
        <v>222</v>
      </c>
      <c r="B227" s="1" t="s">
        <v>608</v>
      </c>
      <c r="C227" s="5">
        <f>HYPERLINK("https://client.unique.diamonds/dna/11108-129","DNA")</f>
      </c>
      <c r="D227" s="1" t="s">
        <v>36</v>
      </c>
      <c r="E227" s="6">
        <v>1.5</v>
      </c>
      <c r="F227" s="1" t="s">
        <v>50</v>
      </c>
      <c r="G227" s="1" t="s">
        <v>51</v>
      </c>
      <c r="H227" s="1" t="s">
        <v>39</v>
      </c>
      <c r="I227" s="1" t="s">
        <v>39</v>
      </c>
      <c r="J227" s="1" t="s">
        <v>39</v>
      </c>
      <c r="K227" s="1" t="s">
        <v>40</v>
      </c>
      <c r="L227" s="4">
        <v>7500</v>
      </c>
      <c r="M227" s="6">
        <v>-18.25</v>
      </c>
      <c r="N227" s="7">
        <f>IF(AND(L227 &lt;&gt; "-", M227 &lt;&gt; "-"),L227*( 1 + M227%),0)</f>
      </c>
      <c r="O227" s="7">
        <f>( N227 * E227 )</f>
      </c>
      <c r="P227" s="1" t="s">
        <v>609</v>
      </c>
      <c r="Q227" s="6">
        <v>1.01</v>
      </c>
      <c r="R227" s="6">
        <v>62.7</v>
      </c>
      <c r="S227" s="4">
        <v>58</v>
      </c>
      <c r="T227" s="1" t="s">
        <v>42</v>
      </c>
      <c r="U227" s="5">
        <f>HYPERLINK("https://www.gia.edu/report-check?reportno=1438016441","1438016441")</f>
      </c>
      <c r="V227" s="1" t="s">
        <v>43</v>
      </c>
      <c r="W227" s="1" t="s">
        <v>287</v>
      </c>
      <c r="X227" s="1" t="s">
        <v>59</v>
      </c>
      <c r="Y227" s="1" t="s">
        <v>40</v>
      </c>
      <c r="Z227" s="1" t="s">
        <v>46</v>
      </c>
      <c r="AA227" s="1" t="s">
        <v>66</v>
      </c>
      <c r="AB227" s="1" t="s">
        <v>47</v>
      </c>
      <c r="AC227" s="1" t="s">
        <v>48</v>
      </c>
      <c r="AD227" s="1" t="s">
        <v>43</v>
      </c>
      <c r="AE227" s="8">
        <f>IF(L227&lt;&gt;"",L227*E227,0)</f>
      </c>
    </row>
    <row r="228" spans="1:31" x14ac:dyDescent="0.25">
      <c r="A228" s="4">
        <v>223</v>
      </c>
      <c r="B228" s="1" t="s">
        <v>610</v>
      </c>
      <c r="C228" s="5">
        <f>HYPERLINK("https://client.unique.diamonds/dna/141237-24","DNA")</f>
      </c>
      <c r="D228" s="1" t="s">
        <v>36</v>
      </c>
      <c r="E228" s="6">
        <v>1.5</v>
      </c>
      <c r="F228" s="1" t="s">
        <v>50</v>
      </c>
      <c r="G228" s="1" t="s">
        <v>87</v>
      </c>
      <c r="H228" s="1" t="s">
        <v>39</v>
      </c>
      <c r="I228" s="1" t="s">
        <v>39</v>
      </c>
      <c r="J228" s="1" t="s">
        <v>39</v>
      </c>
      <c r="K228" s="1" t="s">
        <v>63</v>
      </c>
      <c r="L228" s="4">
        <v>7000</v>
      </c>
      <c r="M228" s="6">
        <v>-37</v>
      </c>
      <c r="N228" s="7">
        <f>IF(AND(L228 &lt;&gt; "-", M228 &lt;&gt; "-"),L228*( 1 + M228%),0)</f>
      </c>
      <c r="O228" s="7">
        <f>( N228 * E228 )</f>
      </c>
      <c r="P228" s="1" t="s">
        <v>611</v>
      </c>
      <c r="Q228" s="6">
        <v>1.01</v>
      </c>
      <c r="R228" s="6">
        <v>62.7</v>
      </c>
      <c r="S228" s="4">
        <v>55</v>
      </c>
      <c r="T228" s="1" t="s">
        <v>42</v>
      </c>
      <c r="U228" s="5">
        <f>HYPERLINK("https://www.gia.edu/report-check?reportno=2225015884","2225015884")</f>
      </c>
      <c r="V228" s="1" t="s">
        <v>43</v>
      </c>
      <c r="W228" s="1" t="s">
        <v>301</v>
      </c>
      <c r="X228" s="1" t="s">
        <v>46</v>
      </c>
      <c r="Y228" s="1" t="s">
        <v>40</v>
      </c>
      <c r="Z228" s="1" t="s">
        <v>46</v>
      </c>
      <c r="AA228" s="1" t="s">
        <v>55</v>
      </c>
      <c r="AB228" s="1" t="s">
        <v>40</v>
      </c>
      <c r="AC228" s="1" t="s">
        <v>48</v>
      </c>
      <c r="AD228" s="1" t="s">
        <v>43</v>
      </c>
      <c r="AE228" s="8">
        <f>IF(L228&lt;&gt;"",L228*E228,0)</f>
      </c>
    </row>
    <row r="229" spans="1:31" x14ac:dyDescent="0.25">
      <c r="A229" s="4">
        <v>224</v>
      </c>
      <c r="B229" s="1" t="s">
        <v>612</v>
      </c>
      <c r="C229" s="5">
        <f>HYPERLINK("https://client.unique.diamonds/dna/12017-39","DNA")</f>
      </c>
      <c r="D229" s="1" t="s">
        <v>36</v>
      </c>
      <c r="E229" s="6">
        <v>1.5</v>
      </c>
      <c r="F229" s="1" t="s">
        <v>50</v>
      </c>
      <c r="G229" s="1" t="s">
        <v>87</v>
      </c>
      <c r="H229" s="1" t="s">
        <v>39</v>
      </c>
      <c r="I229" s="1" t="s">
        <v>39</v>
      </c>
      <c r="J229" s="1" t="s">
        <v>39</v>
      </c>
      <c r="K229" s="1" t="s">
        <v>114</v>
      </c>
      <c r="L229" s="4">
        <v>7000</v>
      </c>
      <c r="M229" s="6">
        <v>-27.5</v>
      </c>
      <c r="N229" s="7">
        <f>IF(AND(L229 &lt;&gt; "-", M229 &lt;&gt; "-"),L229*( 1 + M229%),0)</f>
      </c>
      <c r="O229" s="7">
        <f>( N229 * E229 )</f>
      </c>
      <c r="P229" s="1" t="s">
        <v>613</v>
      </c>
      <c r="Q229" s="6">
        <v>1.01</v>
      </c>
      <c r="R229" s="6">
        <v>63</v>
      </c>
      <c r="S229" s="4">
        <v>56</v>
      </c>
      <c r="T229" s="1" t="s">
        <v>42</v>
      </c>
      <c r="U229" s="5">
        <f>HYPERLINK("https://www.gia.edu/report-check?reportno=3425523854","3425523854")</f>
      </c>
      <c r="V229" s="1" t="s">
        <v>43</v>
      </c>
      <c r="W229" s="1" t="s">
        <v>614</v>
      </c>
      <c r="X229" s="1" t="s">
        <v>45</v>
      </c>
      <c r="Y229" s="1" t="s">
        <v>40</v>
      </c>
      <c r="Z229" s="1" t="s">
        <v>46</v>
      </c>
      <c r="AA229" s="1" t="s">
        <v>96</v>
      </c>
      <c r="AB229" s="1" t="s">
        <v>55</v>
      </c>
      <c r="AC229" s="1" t="s">
        <v>85</v>
      </c>
      <c r="AD229" s="1" t="s">
        <v>43</v>
      </c>
      <c r="AE229" s="8">
        <f>IF(L229&lt;&gt;"",L229*E229,0)</f>
      </c>
    </row>
    <row r="230" spans="1:31" x14ac:dyDescent="0.25">
      <c r="A230" s="4">
        <v>225</v>
      </c>
      <c r="B230" s="1" t="s">
        <v>615</v>
      </c>
      <c r="C230" s="5">
        <f>HYPERLINK("https://client.unique.diamonds/dna/141411-40","DNA")</f>
      </c>
      <c r="D230" s="1" t="s">
        <v>36</v>
      </c>
      <c r="E230" s="6">
        <v>1.5</v>
      </c>
      <c r="F230" s="1" t="s">
        <v>50</v>
      </c>
      <c r="G230" s="1" t="s">
        <v>87</v>
      </c>
      <c r="H230" s="1" t="s">
        <v>39</v>
      </c>
      <c r="I230" s="1" t="s">
        <v>39</v>
      </c>
      <c r="J230" s="1" t="s">
        <v>39</v>
      </c>
      <c r="K230" s="1" t="s">
        <v>40</v>
      </c>
      <c r="L230" s="4">
        <v>7000</v>
      </c>
      <c r="M230" s="6">
        <v>-24.75</v>
      </c>
      <c r="N230" s="7">
        <f>IF(AND(L230 &lt;&gt; "-", M230 &lt;&gt; "-"),L230*( 1 + M230%),0)</f>
      </c>
      <c r="O230" s="7">
        <f>( N230 * E230 )</f>
      </c>
      <c r="P230" s="1" t="s">
        <v>616</v>
      </c>
      <c r="Q230" s="6">
        <v>1.01</v>
      </c>
      <c r="R230" s="6">
        <v>62.9</v>
      </c>
      <c r="S230" s="4">
        <v>59</v>
      </c>
      <c r="T230" s="1" t="s">
        <v>42</v>
      </c>
      <c r="U230" s="5">
        <f>HYPERLINK("https://www.gia.edu/report-check?reportno=5222135640","5222135640")</f>
      </c>
      <c r="V230" s="1" t="s">
        <v>43</v>
      </c>
      <c r="W230" s="1" t="s">
        <v>617</v>
      </c>
      <c r="X230" s="1" t="s">
        <v>45</v>
      </c>
      <c r="Y230" s="1" t="s">
        <v>40</v>
      </c>
      <c r="Z230" s="1" t="s">
        <v>54</v>
      </c>
      <c r="AA230" s="1" t="s">
        <v>66</v>
      </c>
      <c r="AB230" s="1" t="s">
        <v>40</v>
      </c>
      <c r="AC230" s="1" t="s">
        <v>48</v>
      </c>
      <c r="AD230" s="1" t="s">
        <v>43</v>
      </c>
      <c r="AE230" s="8">
        <f>IF(L230&lt;&gt;"",L230*E230,0)</f>
      </c>
    </row>
    <row r="231" spans="1:31" x14ac:dyDescent="0.25">
      <c r="A231" s="4">
        <v>226</v>
      </c>
      <c r="B231" s="1" t="s">
        <v>618</v>
      </c>
      <c r="C231" s="5">
        <f>HYPERLINK("https://client.unique.diamonds/dna/11071-11","DNA")</f>
      </c>
      <c r="D231" s="1" t="s">
        <v>36</v>
      </c>
      <c r="E231" s="6">
        <v>1.5</v>
      </c>
      <c r="F231" s="1" t="s">
        <v>104</v>
      </c>
      <c r="G231" s="1" t="s">
        <v>51</v>
      </c>
      <c r="H231" s="1" t="s">
        <v>39</v>
      </c>
      <c r="I231" s="1" t="s">
        <v>39</v>
      </c>
      <c r="J231" s="1" t="s">
        <v>39</v>
      </c>
      <c r="K231" s="1" t="s">
        <v>114</v>
      </c>
      <c r="L231" s="4">
        <v>6300</v>
      </c>
      <c r="M231" s="6">
        <v>-23.5</v>
      </c>
      <c r="N231" s="7">
        <f>IF(AND(L231 &lt;&gt; "-", M231 &lt;&gt; "-"),L231*( 1 + M231%),0)</f>
      </c>
      <c r="O231" s="7">
        <f>( N231 * E231 )</f>
      </c>
      <c r="P231" s="1" t="s">
        <v>619</v>
      </c>
      <c r="Q231" s="6">
        <v>1</v>
      </c>
      <c r="R231" s="6">
        <v>62.9</v>
      </c>
      <c r="S231" s="4">
        <v>56</v>
      </c>
      <c r="T231" s="1" t="s">
        <v>42</v>
      </c>
      <c r="U231" s="5">
        <f>HYPERLINK("https://www.gia.edu/report-check?reportno=6422528808","6422528808")</f>
      </c>
      <c r="V231" s="1" t="s">
        <v>43</v>
      </c>
      <c r="W231" s="1" t="s">
        <v>620</v>
      </c>
      <c r="X231" s="1" t="s">
        <v>59</v>
      </c>
      <c r="Y231" s="1" t="s">
        <v>40</v>
      </c>
      <c r="Z231" s="1" t="s">
        <v>59</v>
      </c>
      <c r="AA231" s="1" t="s">
        <v>66</v>
      </c>
      <c r="AB231" s="1" t="s">
        <v>47</v>
      </c>
      <c r="AC231" s="1" t="s">
        <v>48</v>
      </c>
      <c r="AD231" s="1" t="s">
        <v>43</v>
      </c>
      <c r="AE231" s="8">
        <f>IF(L231&lt;&gt;"",L231*E231,0)</f>
      </c>
    </row>
    <row r="232" spans="1:31" x14ac:dyDescent="0.25">
      <c r="A232" s="4">
        <v>227</v>
      </c>
      <c r="B232" s="1" t="s">
        <v>621</v>
      </c>
      <c r="C232" s="5">
        <f>HYPERLINK("https://client.unique.diamonds/dna/142071-61","DNA")</f>
      </c>
      <c r="D232" s="1" t="s">
        <v>36</v>
      </c>
      <c r="E232" s="6">
        <v>1.5</v>
      </c>
      <c r="F232" s="1" t="s">
        <v>104</v>
      </c>
      <c r="G232" s="1" t="s">
        <v>87</v>
      </c>
      <c r="H232" s="1" t="s">
        <v>39</v>
      </c>
      <c r="I232" s="1" t="s">
        <v>39</v>
      </c>
      <c r="J232" s="1" t="s">
        <v>39</v>
      </c>
      <c r="K232" s="1" t="s">
        <v>40</v>
      </c>
      <c r="L232" s="4">
        <v>5800</v>
      </c>
      <c r="M232" s="6">
        <v>-33.75</v>
      </c>
      <c r="N232" s="7">
        <f>IF(AND(L232 &lt;&gt; "-", M232 &lt;&gt; "-"),L232*( 1 + M232%),0)</f>
      </c>
      <c r="O232" s="7">
        <f>( N232 * E232 )</f>
      </c>
      <c r="P232" s="1" t="s">
        <v>622</v>
      </c>
      <c r="Q232" s="6">
        <v>1</v>
      </c>
      <c r="R232" s="6">
        <v>60.2</v>
      </c>
      <c r="S232" s="4">
        <v>58</v>
      </c>
      <c r="T232" s="1" t="s">
        <v>42</v>
      </c>
      <c r="U232" s="5">
        <f>HYPERLINK("https://www.gia.edu/report-check?reportno=2225118583","2225118583")</f>
      </c>
      <c r="V232" s="1" t="s">
        <v>43</v>
      </c>
      <c r="W232" s="1" t="s">
        <v>402</v>
      </c>
      <c r="X232" s="1" t="s">
        <v>46</v>
      </c>
      <c r="Y232" s="1" t="s">
        <v>40</v>
      </c>
      <c r="Z232" s="1" t="s">
        <v>46</v>
      </c>
      <c r="AA232" s="1" t="s">
        <v>55</v>
      </c>
      <c r="AB232" s="1" t="s">
        <v>40</v>
      </c>
      <c r="AC232" s="1" t="s">
        <v>60</v>
      </c>
      <c r="AD232" s="1" t="s">
        <v>43</v>
      </c>
      <c r="AE232" s="8">
        <f>IF(L232&lt;&gt;"",L232*E232,0)</f>
      </c>
    </row>
    <row r="233" spans="1:31" x14ac:dyDescent="0.25">
      <c r="A233" s="4">
        <v>228</v>
      </c>
      <c r="B233" s="1" t="s">
        <v>623</v>
      </c>
      <c r="C233" s="5">
        <f>HYPERLINK("https://client.unique.diamonds/dna/12037-6","DNA")</f>
      </c>
      <c r="D233" s="1" t="s">
        <v>36</v>
      </c>
      <c r="E233" s="6">
        <v>1.4</v>
      </c>
      <c r="F233" s="1" t="s">
        <v>68</v>
      </c>
      <c r="G233" s="1" t="s">
        <v>69</v>
      </c>
      <c r="H233" s="1" t="s">
        <v>39</v>
      </c>
      <c r="I233" s="1" t="s">
        <v>39</v>
      </c>
      <c r="J233" s="1" t="s">
        <v>39</v>
      </c>
      <c r="K233" s="1" t="s">
        <v>40</v>
      </c>
      <c r="L233" s="4">
        <v>13700</v>
      </c>
      <c r="M233" s="6">
        <v>-12.25</v>
      </c>
      <c r="N233" s="7">
        <f>IF(AND(L233 &lt;&gt; "-", M233 &lt;&gt; "-"),L233*( 1 + M233%),0)</f>
      </c>
      <c r="O233" s="7">
        <f>( N233 * E233 )</f>
      </c>
      <c r="P233" s="1" t="s">
        <v>624</v>
      </c>
      <c r="Q233" s="6">
        <v>1.01</v>
      </c>
      <c r="R233" s="6">
        <v>62.1</v>
      </c>
      <c r="S233" s="4">
        <v>59</v>
      </c>
      <c r="T233" s="1" t="s">
        <v>42</v>
      </c>
      <c r="U233" s="5">
        <f>HYPERLINK("https://www.gia.edu/report-check?reportno=1435177155","1435177155")</f>
      </c>
      <c r="V233" s="1" t="s">
        <v>43</v>
      </c>
      <c r="W233" s="1" t="s">
        <v>160</v>
      </c>
      <c r="X233" s="1" t="s">
        <v>75</v>
      </c>
      <c r="Y233" s="1" t="s">
        <v>40</v>
      </c>
      <c r="Z233" s="1" t="s">
        <v>45</v>
      </c>
      <c r="AA233" s="1" t="s">
        <v>66</v>
      </c>
      <c r="AB233" s="1" t="s">
        <v>55</v>
      </c>
      <c r="AC233" s="1" t="s">
        <v>48</v>
      </c>
      <c r="AD233" s="1" t="s">
        <v>43</v>
      </c>
      <c r="AE233" s="8">
        <f>IF(L233&lt;&gt;"",L233*E233,0)</f>
      </c>
    </row>
    <row r="234" spans="1:31" x14ac:dyDescent="0.25">
      <c r="A234" s="4">
        <v>229</v>
      </c>
      <c r="B234" s="1" t="s">
        <v>625</v>
      </c>
      <c r="C234" s="5">
        <f>HYPERLINK("https://client.unique.diamonds/dna/11057-44","DNA")</f>
      </c>
      <c r="D234" s="1" t="s">
        <v>36</v>
      </c>
      <c r="E234" s="6">
        <v>1.35</v>
      </c>
      <c r="F234" s="1" t="s">
        <v>62</v>
      </c>
      <c r="G234" s="1" t="s">
        <v>38</v>
      </c>
      <c r="H234" s="1" t="s">
        <v>39</v>
      </c>
      <c r="I234" s="1" t="s">
        <v>39</v>
      </c>
      <c r="J234" s="1" t="s">
        <v>39</v>
      </c>
      <c r="K234" s="1" t="s">
        <v>40</v>
      </c>
      <c r="L234" s="4">
        <v>7400</v>
      </c>
      <c r="M234" s="6">
        <v>-12</v>
      </c>
      <c r="N234" s="7">
        <f>IF(AND(L234 &lt;&gt; "-", M234 &lt;&gt; "-"),L234*( 1 + M234%),0)</f>
      </c>
      <c r="O234" s="7">
        <f>( N234 * E234 )</f>
      </c>
      <c r="P234" s="1" t="s">
        <v>626</v>
      </c>
      <c r="Q234" s="6">
        <v>1.01</v>
      </c>
      <c r="R234" s="6">
        <v>62.6</v>
      </c>
      <c r="S234" s="4">
        <v>58</v>
      </c>
      <c r="T234" s="1" t="s">
        <v>42</v>
      </c>
      <c r="U234" s="5">
        <f>HYPERLINK("https://www.gia.edu/report-check?reportno=6422420158","6422420158")</f>
      </c>
      <c r="V234" s="1" t="s">
        <v>43</v>
      </c>
      <c r="W234" s="1" t="s">
        <v>65</v>
      </c>
      <c r="X234" s="1" t="s">
        <v>59</v>
      </c>
      <c r="Y234" s="1" t="s">
        <v>40</v>
      </c>
      <c r="Z234" s="1" t="s">
        <v>46</v>
      </c>
      <c r="AA234" s="1" t="s">
        <v>55</v>
      </c>
      <c r="AB234" s="1" t="s">
        <v>40</v>
      </c>
      <c r="AC234" s="1" t="s">
        <v>48</v>
      </c>
      <c r="AD234" s="1" t="s">
        <v>43</v>
      </c>
      <c r="AE234" s="8">
        <f>IF(L234&lt;&gt;"",L234*E234,0)</f>
      </c>
    </row>
    <row r="235" spans="1:31" x14ac:dyDescent="0.25">
      <c r="A235" s="4">
        <v>230</v>
      </c>
      <c r="B235" s="1" t="s">
        <v>627</v>
      </c>
      <c r="C235" s="5">
        <f>HYPERLINK("https://client.unique.diamonds/dna/11043-47","DNA")</f>
      </c>
      <c r="D235" s="1" t="s">
        <v>36</v>
      </c>
      <c r="E235" s="6">
        <v>1.3</v>
      </c>
      <c r="F235" s="1" t="s">
        <v>173</v>
      </c>
      <c r="G235" s="1" t="s">
        <v>38</v>
      </c>
      <c r="H235" s="1" t="s">
        <v>39</v>
      </c>
      <c r="I235" s="1" t="s">
        <v>39</v>
      </c>
      <c r="J235" s="1" t="s">
        <v>39</v>
      </c>
      <c r="K235" s="1" t="s">
        <v>40</v>
      </c>
      <c r="L235" s="4">
        <v>11300</v>
      </c>
      <c r="M235" s="6">
        <v>-18.5</v>
      </c>
      <c r="N235" s="7">
        <f>IF(AND(L235 &lt;&gt; "-", M235 &lt;&gt; "-"),L235*( 1 + M235%),0)</f>
      </c>
      <c r="O235" s="7">
        <f>( N235 * E235 )</f>
      </c>
      <c r="P235" s="1" t="s">
        <v>628</v>
      </c>
      <c r="Q235" s="6">
        <v>1</v>
      </c>
      <c r="R235" s="6">
        <v>62.8</v>
      </c>
      <c r="S235" s="4">
        <v>56</v>
      </c>
      <c r="T235" s="1" t="s">
        <v>42</v>
      </c>
      <c r="U235" s="5">
        <f>HYPERLINK("https://www.gia.edu/report-check?reportno=2426400901","2426400901")</f>
      </c>
      <c r="V235" s="1" t="s">
        <v>43</v>
      </c>
      <c r="W235" s="1" t="s">
        <v>629</v>
      </c>
      <c r="X235" s="1" t="s">
        <v>40</v>
      </c>
      <c r="Y235" s="1" t="s">
        <v>40</v>
      </c>
      <c r="Z235" s="1" t="s">
        <v>46</v>
      </c>
      <c r="AA235" s="1" t="s">
        <v>55</v>
      </c>
      <c r="AB235" s="1" t="s">
        <v>40</v>
      </c>
      <c r="AC235" s="1" t="s">
        <v>48</v>
      </c>
      <c r="AD235" s="1" t="s">
        <v>43</v>
      </c>
      <c r="AE235" s="8">
        <f>IF(L235&lt;&gt;"",L235*E235,0)</f>
      </c>
    </row>
    <row r="236" spans="1:31" x14ac:dyDescent="0.25">
      <c r="A236" s="4">
        <v>231</v>
      </c>
      <c r="B236" s="1" t="s">
        <v>630</v>
      </c>
      <c r="C236" s="5">
        <f>HYPERLINK("https://client.unique.diamonds/dna/11059-32","DNA")</f>
      </c>
      <c r="D236" s="1" t="s">
        <v>36</v>
      </c>
      <c r="E236" s="6">
        <v>1.3</v>
      </c>
      <c r="F236" s="1" t="s">
        <v>173</v>
      </c>
      <c r="G236" s="1" t="s">
        <v>38</v>
      </c>
      <c r="H236" s="1" t="s">
        <v>39</v>
      </c>
      <c r="I236" s="1" t="s">
        <v>39</v>
      </c>
      <c r="J236" s="1" t="s">
        <v>39</v>
      </c>
      <c r="K236" s="1" t="s">
        <v>40</v>
      </c>
      <c r="L236" s="4">
        <v>11300</v>
      </c>
      <c r="M236" s="6">
        <v>-18.5</v>
      </c>
      <c r="N236" s="7">
        <f>IF(AND(L236 &lt;&gt; "-", M236 &lt;&gt; "-"),L236*( 1 + M236%),0)</f>
      </c>
      <c r="O236" s="7">
        <f>( N236 * E236 )</f>
      </c>
      <c r="P236" s="1" t="s">
        <v>631</v>
      </c>
      <c r="Q236" s="6">
        <v>1.01</v>
      </c>
      <c r="R236" s="6">
        <v>63</v>
      </c>
      <c r="S236" s="4">
        <v>59</v>
      </c>
      <c r="T236" s="1" t="s">
        <v>42</v>
      </c>
      <c r="U236" s="5">
        <f>HYPERLINK("https://www.gia.edu/report-check?reportno=2427414074","2427414074")</f>
      </c>
      <c r="V236" s="1" t="s">
        <v>43</v>
      </c>
      <c r="W236" s="1" t="s">
        <v>632</v>
      </c>
      <c r="X236" s="1" t="s">
        <v>59</v>
      </c>
      <c r="Y236" s="1" t="s">
        <v>40</v>
      </c>
      <c r="Z236" s="1" t="s">
        <v>46</v>
      </c>
      <c r="AA236" s="1" t="s">
        <v>55</v>
      </c>
      <c r="AB236" s="1" t="s">
        <v>40</v>
      </c>
      <c r="AC236" s="1" t="s">
        <v>48</v>
      </c>
      <c r="AD236" s="1" t="s">
        <v>43</v>
      </c>
      <c r="AE236" s="8">
        <f>IF(L236&lt;&gt;"",L236*E236,0)</f>
      </c>
    </row>
    <row r="237" spans="1:31" x14ac:dyDescent="0.25">
      <c r="A237" s="4">
        <v>232</v>
      </c>
      <c r="B237" s="1" t="s">
        <v>633</v>
      </c>
      <c r="C237" s="5">
        <f>HYPERLINK("https://client.unique.diamonds/dna/11108-97","DNA")</f>
      </c>
      <c r="D237" s="1" t="s">
        <v>36</v>
      </c>
      <c r="E237" s="6">
        <v>1.3</v>
      </c>
      <c r="F237" s="1" t="s">
        <v>37</v>
      </c>
      <c r="G237" s="1" t="s">
        <v>38</v>
      </c>
      <c r="H237" s="1" t="s">
        <v>39</v>
      </c>
      <c r="I237" s="1" t="s">
        <v>39</v>
      </c>
      <c r="J237" s="1" t="s">
        <v>39</v>
      </c>
      <c r="K237" s="1" t="s">
        <v>40</v>
      </c>
      <c r="L237" s="4">
        <v>9100</v>
      </c>
      <c r="M237" s="6">
        <v>-17.25</v>
      </c>
      <c r="N237" s="7">
        <f>IF(AND(L237 &lt;&gt; "-", M237 &lt;&gt; "-"),L237*( 1 + M237%),0)</f>
      </c>
      <c r="O237" s="7">
        <f>( N237 * E237 )</f>
      </c>
      <c r="P237" s="1" t="s">
        <v>634</v>
      </c>
      <c r="Q237" s="6">
        <v>1.01</v>
      </c>
      <c r="R237" s="6">
        <v>63.3</v>
      </c>
      <c r="S237" s="4">
        <v>57</v>
      </c>
      <c r="T237" s="1" t="s">
        <v>42</v>
      </c>
      <c r="U237" s="5">
        <f>HYPERLINK("https://www.gia.edu/report-check?reportno=6422945133","6422945133")</f>
      </c>
      <c r="V237" s="1" t="s">
        <v>43</v>
      </c>
      <c r="W237" s="1" t="s">
        <v>635</v>
      </c>
      <c r="X237" s="1" t="s">
        <v>59</v>
      </c>
      <c r="Y237" s="1" t="s">
        <v>40</v>
      </c>
      <c r="Z237" s="1" t="s">
        <v>59</v>
      </c>
      <c r="AA237" s="1" t="s">
        <v>40</v>
      </c>
      <c r="AB237" s="1" t="s">
        <v>47</v>
      </c>
      <c r="AC237" s="1" t="s">
        <v>48</v>
      </c>
      <c r="AD237" s="1" t="s">
        <v>43</v>
      </c>
      <c r="AE237" s="8">
        <f>IF(L237&lt;&gt;"",L237*E237,0)</f>
      </c>
    </row>
    <row r="238" spans="1:31" x14ac:dyDescent="0.25">
      <c r="A238" s="4">
        <v>233</v>
      </c>
      <c r="B238" s="1" t="s">
        <v>636</v>
      </c>
      <c r="C238" s="5">
        <f>HYPERLINK("https://client.unique.diamonds/dna/11088-10","DNA")</f>
      </c>
      <c r="D238" s="1" t="s">
        <v>36</v>
      </c>
      <c r="E238" s="6">
        <v>1.3</v>
      </c>
      <c r="F238" s="1" t="s">
        <v>62</v>
      </c>
      <c r="G238" s="1" t="s">
        <v>51</v>
      </c>
      <c r="H238" s="1" t="s">
        <v>39</v>
      </c>
      <c r="I238" s="1" t="s">
        <v>39</v>
      </c>
      <c r="J238" s="1" t="s">
        <v>39</v>
      </c>
      <c r="K238" s="1" t="s">
        <v>63</v>
      </c>
      <c r="L238" s="4">
        <v>6700</v>
      </c>
      <c r="M238" s="6">
        <v>-16.25</v>
      </c>
      <c r="N238" s="7">
        <f>IF(AND(L238 &lt;&gt; "-", M238 &lt;&gt; "-"),L238*( 1 + M238%),0)</f>
      </c>
      <c r="O238" s="7">
        <f>( N238 * E238 )</f>
      </c>
      <c r="P238" s="1" t="s">
        <v>637</v>
      </c>
      <c r="Q238" s="6">
        <v>1.01</v>
      </c>
      <c r="R238" s="6">
        <v>62.8</v>
      </c>
      <c r="S238" s="4">
        <v>60</v>
      </c>
      <c r="T238" s="1" t="s">
        <v>42</v>
      </c>
      <c r="U238" s="5">
        <f>HYPERLINK("https://www.gia.edu/report-check?reportno=2434128158","2434128158")</f>
      </c>
      <c r="V238" s="1" t="s">
        <v>43</v>
      </c>
      <c r="W238" s="1" t="s">
        <v>78</v>
      </c>
      <c r="X238" s="1" t="s">
        <v>59</v>
      </c>
      <c r="Y238" s="1" t="s">
        <v>40</v>
      </c>
      <c r="Z238" s="1" t="s">
        <v>46</v>
      </c>
      <c r="AA238" s="1" t="s">
        <v>55</v>
      </c>
      <c r="AB238" s="1" t="s">
        <v>55</v>
      </c>
      <c r="AC238" s="1" t="s">
        <v>48</v>
      </c>
      <c r="AD238" s="1" t="s">
        <v>43</v>
      </c>
      <c r="AE238" s="8">
        <f>IF(L238&lt;&gt;"",L238*E238,0)</f>
      </c>
    </row>
    <row r="239" spans="1:31" x14ac:dyDescent="0.25">
      <c r="A239" s="4">
        <v>234</v>
      </c>
      <c r="B239" s="1" t="s">
        <v>638</v>
      </c>
      <c r="C239" s="5">
        <f>HYPERLINK("https://client.unique.diamonds/dna/11059-77","DNA")</f>
      </c>
      <c r="D239" s="1" t="s">
        <v>36</v>
      </c>
      <c r="E239" s="6">
        <v>1.27</v>
      </c>
      <c r="F239" s="1" t="s">
        <v>62</v>
      </c>
      <c r="G239" s="1" t="s">
        <v>38</v>
      </c>
      <c r="H239" s="1" t="s">
        <v>39</v>
      </c>
      <c r="I239" s="1" t="s">
        <v>39</v>
      </c>
      <c r="J239" s="1" t="s">
        <v>39</v>
      </c>
      <c r="K239" s="1" t="s">
        <v>63</v>
      </c>
      <c r="L239" s="4">
        <v>7400</v>
      </c>
      <c r="M239" s="6">
        <v>-20</v>
      </c>
      <c r="N239" s="7">
        <f>IF(AND(L239 &lt;&gt; "-", M239 &lt;&gt; "-"),L239*( 1 + M239%),0)</f>
      </c>
      <c r="O239" s="7">
        <f>( N239 * E239 )</f>
      </c>
      <c r="P239" s="1" t="s">
        <v>639</v>
      </c>
      <c r="Q239" s="6">
        <v>1.01</v>
      </c>
      <c r="R239" s="6">
        <v>62.6</v>
      </c>
      <c r="S239" s="4">
        <v>58</v>
      </c>
      <c r="T239" s="1" t="s">
        <v>42</v>
      </c>
      <c r="U239" s="5">
        <f>HYPERLINK("https://www.gia.edu/report-check?reportno=1425512739","1425512739")</f>
      </c>
      <c r="V239" s="1" t="s">
        <v>43</v>
      </c>
      <c r="W239" s="1" t="s">
        <v>166</v>
      </c>
      <c r="X239" s="1" t="s">
        <v>59</v>
      </c>
      <c r="Y239" s="1" t="s">
        <v>40</v>
      </c>
      <c r="Z239" s="1" t="s">
        <v>46</v>
      </c>
      <c r="AA239" s="1" t="s">
        <v>55</v>
      </c>
      <c r="AB239" s="1" t="s">
        <v>47</v>
      </c>
      <c r="AC239" s="1" t="s">
        <v>48</v>
      </c>
      <c r="AD239" s="1" t="s">
        <v>43</v>
      </c>
      <c r="AE239" s="8">
        <f>IF(L239&lt;&gt;"",L239*E239,0)</f>
      </c>
    </row>
    <row r="240" spans="1:31" x14ac:dyDescent="0.25">
      <c r="A240" s="4">
        <v>235</v>
      </c>
      <c r="B240" s="1" t="s">
        <v>640</v>
      </c>
      <c r="C240" s="5">
        <f>HYPERLINK("https://client.unique.diamonds/dna/11009-23","DNA")</f>
      </c>
      <c r="D240" s="1" t="s">
        <v>36</v>
      </c>
      <c r="E240" s="6">
        <v>1.25</v>
      </c>
      <c r="F240" s="1" t="s">
        <v>37</v>
      </c>
      <c r="G240" s="1" t="s">
        <v>38</v>
      </c>
      <c r="H240" s="1" t="s">
        <v>39</v>
      </c>
      <c r="I240" s="1" t="s">
        <v>39</v>
      </c>
      <c r="J240" s="1" t="s">
        <v>39</v>
      </c>
      <c r="K240" s="1" t="s">
        <v>40</v>
      </c>
      <c r="L240" s="4">
        <v>9100</v>
      </c>
      <c r="M240" s="6">
        <v>-21.5</v>
      </c>
      <c r="N240" s="7">
        <f>IF(AND(L240 &lt;&gt; "-", M240 &lt;&gt; "-"),L240*( 1 + M240%),0)</f>
      </c>
      <c r="O240" s="7">
        <f>( N240 * E240 )</f>
      </c>
      <c r="P240" s="1" t="s">
        <v>641</v>
      </c>
      <c r="Q240" s="6">
        <v>1</v>
      </c>
      <c r="R240" s="6">
        <v>63</v>
      </c>
      <c r="S240" s="4">
        <v>57</v>
      </c>
      <c r="T240" s="1" t="s">
        <v>42</v>
      </c>
      <c r="U240" s="5">
        <f>HYPERLINK("https://www.gia.edu/report-check?reportno=2225214282","2225214282")</f>
      </c>
      <c r="V240" s="1" t="s">
        <v>43</v>
      </c>
      <c r="W240" s="1" t="s">
        <v>642</v>
      </c>
      <c r="X240" s="1" t="s">
        <v>59</v>
      </c>
      <c r="Y240" s="1" t="s">
        <v>40</v>
      </c>
      <c r="Z240" s="1" t="s">
        <v>59</v>
      </c>
      <c r="AA240" s="1" t="s">
        <v>55</v>
      </c>
      <c r="AB240" s="1" t="s">
        <v>55</v>
      </c>
      <c r="AC240" s="1" t="s">
        <v>48</v>
      </c>
      <c r="AD240" s="1" t="s">
        <v>43</v>
      </c>
      <c r="AE240" s="8">
        <f>IF(L240&lt;&gt;"",L240*E240,0)</f>
      </c>
    </row>
    <row r="241" spans="1:31" x14ac:dyDescent="0.25">
      <c r="A241" s="4">
        <v>236</v>
      </c>
      <c r="B241" s="1" t="s">
        <v>643</v>
      </c>
      <c r="C241" s="5">
        <f>HYPERLINK("https://client.unique.diamonds/dna/11057-25","DNA")</f>
      </c>
      <c r="D241" s="1" t="s">
        <v>36</v>
      </c>
      <c r="E241" s="6">
        <v>1.25</v>
      </c>
      <c r="F241" s="1" t="s">
        <v>62</v>
      </c>
      <c r="G241" s="1" t="s">
        <v>69</v>
      </c>
      <c r="H241" s="1" t="s">
        <v>39</v>
      </c>
      <c r="I241" s="1" t="s">
        <v>39</v>
      </c>
      <c r="J241" s="1" t="s">
        <v>39</v>
      </c>
      <c r="K241" s="1" t="s">
        <v>40</v>
      </c>
      <c r="L241" s="4">
        <v>7800</v>
      </c>
      <c r="M241" s="6">
        <v>-14.5</v>
      </c>
      <c r="N241" s="7">
        <f>IF(AND(L241 &lt;&gt; "-", M241 &lt;&gt; "-"),L241*( 1 + M241%),0)</f>
      </c>
      <c r="O241" s="7">
        <f>( N241 * E241 )</f>
      </c>
      <c r="P241" s="1" t="s">
        <v>644</v>
      </c>
      <c r="Q241" s="6">
        <v>1.01</v>
      </c>
      <c r="R241" s="6">
        <v>63.1</v>
      </c>
      <c r="S241" s="4">
        <v>57</v>
      </c>
      <c r="T241" s="1" t="s">
        <v>42</v>
      </c>
      <c r="U241" s="5">
        <f>HYPERLINK("https://www.gia.edu/report-check?reportno=1423413013","1423413013")</f>
      </c>
      <c r="V241" s="1" t="s">
        <v>43</v>
      </c>
      <c r="W241" s="1" t="s">
        <v>645</v>
      </c>
      <c r="X241" s="1" t="s">
        <v>45</v>
      </c>
      <c r="Y241" s="1" t="s">
        <v>40</v>
      </c>
      <c r="Z241" s="1" t="s">
        <v>46</v>
      </c>
      <c r="AA241" s="1" t="s">
        <v>40</v>
      </c>
      <c r="AB241" s="1" t="s">
        <v>40</v>
      </c>
      <c r="AC241" s="1" t="s">
        <v>48</v>
      </c>
      <c r="AD241" s="1" t="s">
        <v>43</v>
      </c>
      <c r="AE241" s="8">
        <f>IF(L241&lt;&gt;"",L241*E241,0)</f>
      </c>
    </row>
    <row r="242" spans="1:31" x14ac:dyDescent="0.25">
      <c r="A242" s="4">
        <v>237</v>
      </c>
      <c r="B242" s="1" t="s">
        <v>646</v>
      </c>
      <c r="C242" s="5">
        <f>HYPERLINK("https://client.unique.diamonds/dna/11116-45","DNA")</f>
      </c>
      <c r="D242" s="1" t="s">
        <v>36</v>
      </c>
      <c r="E242" s="6">
        <v>1.25</v>
      </c>
      <c r="F242" s="1" t="s">
        <v>62</v>
      </c>
      <c r="G242" s="1" t="s">
        <v>38</v>
      </c>
      <c r="H242" s="1" t="s">
        <v>39</v>
      </c>
      <c r="I242" s="1" t="s">
        <v>39</v>
      </c>
      <c r="J242" s="1" t="s">
        <v>39</v>
      </c>
      <c r="K242" s="1" t="s">
        <v>40</v>
      </c>
      <c r="L242" s="4">
        <v>7400</v>
      </c>
      <c r="M242" s="6">
        <v>-17.25</v>
      </c>
      <c r="N242" s="7">
        <f>IF(AND(L242 &lt;&gt; "-", M242 &lt;&gt; "-"),L242*( 1 + M242%),0)</f>
      </c>
      <c r="O242" s="7">
        <f>( N242 * E242 )</f>
      </c>
      <c r="P242" s="1" t="s">
        <v>647</v>
      </c>
      <c r="Q242" s="6">
        <v>1.01</v>
      </c>
      <c r="R242" s="6">
        <v>62.7</v>
      </c>
      <c r="S242" s="4">
        <v>57</v>
      </c>
      <c r="T242" s="1" t="s">
        <v>42</v>
      </c>
      <c r="U242" s="5">
        <f>HYPERLINK("https://www.gia.edu/report-check?reportno=6431078391","6431078391")</f>
      </c>
      <c r="V242" s="1" t="s">
        <v>43</v>
      </c>
      <c r="W242" s="1" t="s">
        <v>166</v>
      </c>
      <c r="X242" s="1" t="s">
        <v>59</v>
      </c>
      <c r="Y242" s="1" t="s">
        <v>40</v>
      </c>
      <c r="Z242" s="1" t="s">
        <v>59</v>
      </c>
      <c r="AA242" s="1" t="s">
        <v>40</v>
      </c>
      <c r="AB242" s="1" t="s">
        <v>55</v>
      </c>
      <c r="AC242" s="1" t="s">
        <v>48</v>
      </c>
      <c r="AD242" s="1" t="s">
        <v>43</v>
      </c>
      <c r="AE242" s="8">
        <f>IF(L242&lt;&gt;"",L242*E242,0)</f>
      </c>
    </row>
    <row r="243" spans="1:31" x14ac:dyDescent="0.25">
      <c r="A243" s="4">
        <v>238</v>
      </c>
      <c r="B243" s="1" t="s">
        <v>648</v>
      </c>
      <c r="C243" s="5">
        <f>HYPERLINK("https://client.unique.diamonds/dna/11043-6","DNA")</f>
      </c>
      <c r="D243" s="1" t="s">
        <v>36</v>
      </c>
      <c r="E243" s="6">
        <v>1.25</v>
      </c>
      <c r="F243" s="1" t="s">
        <v>104</v>
      </c>
      <c r="G243" s="1" t="s">
        <v>38</v>
      </c>
      <c r="H243" s="1" t="s">
        <v>39</v>
      </c>
      <c r="I243" s="1" t="s">
        <v>39</v>
      </c>
      <c r="J243" s="1" t="s">
        <v>39</v>
      </c>
      <c r="K243" s="1" t="s">
        <v>114</v>
      </c>
      <c r="L243" s="4">
        <v>4700</v>
      </c>
      <c r="M243" s="6">
        <v>-25.75</v>
      </c>
      <c r="N243" s="7">
        <f>IF(AND(L243 &lt;&gt; "-", M243 &lt;&gt; "-"),L243*( 1 + M243%),0)</f>
      </c>
      <c r="O243" s="7">
        <f>( N243 * E243 )</f>
      </c>
      <c r="P243" s="1" t="s">
        <v>649</v>
      </c>
      <c r="Q243" s="6">
        <v>1.01</v>
      </c>
      <c r="R243" s="6">
        <v>63.3</v>
      </c>
      <c r="S243" s="4">
        <v>57</v>
      </c>
      <c r="T243" s="1" t="s">
        <v>42</v>
      </c>
      <c r="U243" s="5">
        <f>HYPERLINK("https://www.gia.edu/report-check?reportno=6224354565","6224354565")</f>
      </c>
      <c r="V243" s="1" t="s">
        <v>43</v>
      </c>
      <c r="W243" s="1" t="s">
        <v>71</v>
      </c>
      <c r="X243" s="1" t="s">
        <v>75</v>
      </c>
      <c r="Y243" s="1" t="s">
        <v>40</v>
      </c>
      <c r="Z243" s="1" t="s">
        <v>45</v>
      </c>
      <c r="AA243" s="1" t="s">
        <v>55</v>
      </c>
      <c r="AB243" s="1" t="s">
        <v>40</v>
      </c>
      <c r="AC243" s="1" t="s">
        <v>48</v>
      </c>
      <c r="AD243" s="1" t="s">
        <v>43</v>
      </c>
      <c r="AE243" s="8">
        <f>IF(L243&lt;&gt;"",L243*E243,0)</f>
      </c>
    </row>
    <row r="244" spans="1:31" x14ac:dyDescent="0.25">
      <c r="A244" s="4">
        <v>239</v>
      </c>
      <c r="B244" s="1" t="s">
        <v>650</v>
      </c>
      <c r="C244" s="5">
        <f>HYPERLINK("https://client.unique.diamonds/dna/12044-83","DNA")</f>
      </c>
      <c r="D244" s="1" t="s">
        <v>36</v>
      </c>
      <c r="E244" s="6">
        <v>1.21</v>
      </c>
      <c r="F244" s="1" t="s">
        <v>98</v>
      </c>
      <c r="G244" s="1" t="s">
        <v>87</v>
      </c>
      <c r="H244" s="1" t="s">
        <v>39</v>
      </c>
      <c r="I244" s="1" t="s">
        <v>39</v>
      </c>
      <c r="J244" s="1" t="s">
        <v>39</v>
      </c>
      <c r="K244" s="1" t="s">
        <v>40</v>
      </c>
      <c r="L244" s="4">
        <v>6600</v>
      </c>
      <c r="M244" s="6">
        <v>-18.5</v>
      </c>
      <c r="N244" s="7">
        <f>IF(AND(L244 &lt;&gt; "-", M244 &lt;&gt; "-"),L244*( 1 + M244%),0)</f>
      </c>
      <c r="O244" s="7">
        <f>( N244 * E244 )</f>
      </c>
      <c r="P244" s="1" t="s">
        <v>651</v>
      </c>
      <c r="Q244" s="6">
        <v>1</v>
      </c>
      <c r="R244" s="6">
        <v>62.3</v>
      </c>
      <c r="S244" s="4">
        <v>56</v>
      </c>
      <c r="T244" s="1" t="s">
        <v>42</v>
      </c>
      <c r="U244" s="5">
        <f>HYPERLINK("https://www.gia.edu/report-check?reportno=7432318175","7432318175")</f>
      </c>
      <c r="V244" s="1" t="s">
        <v>43</v>
      </c>
      <c r="W244" s="1" t="s">
        <v>652</v>
      </c>
      <c r="X244" s="1" t="s">
        <v>45</v>
      </c>
      <c r="Y244" s="1" t="s">
        <v>40</v>
      </c>
      <c r="Z244" s="1" t="s">
        <v>46</v>
      </c>
      <c r="AA244" s="1" t="s">
        <v>55</v>
      </c>
      <c r="AB244" s="1" t="s">
        <v>55</v>
      </c>
      <c r="AC244" s="1" t="s">
        <v>48</v>
      </c>
      <c r="AD244" s="1" t="s">
        <v>43</v>
      </c>
      <c r="AE244" s="8">
        <f>IF(L244&lt;&gt;"",L244*E244,0)</f>
      </c>
    </row>
    <row r="245" spans="1:31" x14ac:dyDescent="0.25">
      <c r="A245" s="4">
        <v>240</v>
      </c>
      <c r="B245" s="1" t="s">
        <v>653</v>
      </c>
      <c r="C245" s="5">
        <f>HYPERLINK("https://client.unique.diamonds/dna/11108-26","DNA")</f>
      </c>
      <c r="D245" s="1" t="s">
        <v>36</v>
      </c>
      <c r="E245" s="6">
        <v>1.21</v>
      </c>
      <c r="F245" s="1" t="s">
        <v>37</v>
      </c>
      <c r="G245" s="1" t="s">
        <v>38</v>
      </c>
      <c r="H245" s="1" t="s">
        <v>39</v>
      </c>
      <c r="I245" s="1" t="s">
        <v>39</v>
      </c>
      <c r="J245" s="1" t="s">
        <v>39</v>
      </c>
      <c r="K245" s="1" t="s">
        <v>40</v>
      </c>
      <c r="L245" s="4">
        <v>9100</v>
      </c>
      <c r="M245" s="6">
        <v>-21.25</v>
      </c>
      <c r="N245" s="7">
        <f>IF(AND(L245 &lt;&gt; "-", M245 &lt;&gt; "-"),L245*( 1 + M245%),0)</f>
      </c>
      <c r="O245" s="7">
        <f>( N245 * E245 )</f>
      </c>
      <c r="P245" s="1" t="s">
        <v>654</v>
      </c>
      <c r="Q245" s="6">
        <v>1</v>
      </c>
      <c r="R245" s="6">
        <v>62.7</v>
      </c>
      <c r="S245" s="4">
        <v>59</v>
      </c>
      <c r="T245" s="1" t="s">
        <v>42</v>
      </c>
      <c r="U245" s="5">
        <f>HYPERLINK("https://www.gia.edu/report-check?reportno=6422804545","6422804545")</f>
      </c>
      <c r="V245" s="1" t="s">
        <v>43</v>
      </c>
      <c r="W245" s="1" t="s">
        <v>151</v>
      </c>
      <c r="X245" s="1" t="s">
        <v>177</v>
      </c>
      <c r="Y245" s="1" t="s">
        <v>40</v>
      </c>
      <c r="Z245" s="1" t="s">
        <v>45</v>
      </c>
      <c r="AA245" s="1" t="s">
        <v>66</v>
      </c>
      <c r="AB245" s="1" t="s">
        <v>40</v>
      </c>
      <c r="AC245" s="1" t="s">
        <v>48</v>
      </c>
      <c r="AD245" s="1" t="s">
        <v>43</v>
      </c>
      <c r="AE245" s="8">
        <f>IF(L245&lt;&gt;"",L245*E245,0)</f>
      </c>
    </row>
    <row r="246" spans="1:31" x14ac:dyDescent="0.25">
      <c r="A246" s="4">
        <v>241</v>
      </c>
      <c r="B246" s="1" t="s">
        <v>655</v>
      </c>
      <c r="C246" s="5">
        <f>HYPERLINK("https://client.unique.diamonds/dna/11108-35","DNA")</f>
      </c>
      <c r="D246" s="1" t="s">
        <v>36</v>
      </c>
      <c r="E246" s="6">
        <v>1.21</v>
      </c>
      <c r="F246" s="1" t="s">
        <v>62</v>
      </c>
      <c r="G246" s="1" t="s">
        <v>38</v>
      </c>
      <c r="H246" s="1" t="s">
        <v>39</v>
      </c>
      <c r="I246" s="1" t="s">
        <v>39</v>
      </c>
      <c r="J246" s="1" t="s">
        <v>39</v>
      </c>
      <c r="K246" s="1" t="s">
        <v>40</v>
      </c>
      <c r="L246" s="4">
        <v>7400</v>
      </c>
      <c r="M246" s="6">
        <v>-17.25</v>
      </c>
      <c r="N246" s="7">
        <f>IF(AND(L246 &lt;&gt; "-", M246 &lt;&gt; "-"),L246*( 1 + M246%),0)</f>
      </c>
      <c r="O246" s="7">
        <f>( N246 * E246 )</f>
      </c>
      <c r="P246" s="1" t="s">
        <v>656</v>
      </c>
      <c r="Q246" s="6">
        <v>1</v>
      </c>
      <c r="R246" s="6">
        <v>62.1</v>
      </c>
      <c r="S246" s="4">
        <v>58</v>
      </c>
      <c r="T246" s="1" t="s">
        <v>42</v>
      </c>
      <c r="U246" s="5">
        <f>HYPERLINK("https://www.gia.edu/report-check?reportno=2426907286","2426907286")</f>
      </c>
      <c r="V246" s="1" t="s">
        <v>43</v>
      </c>
      <c r="W246" s="1" t="s">
        <v>205</v>
      </c>
      <c r="X246" s="1" t="s">
        <v>45</v>
      </c>
      <c r="Y246" s="1" t="s">
        <v>40</v>
      </c>
      <c r="Z246" s="1" t="s">
        <v>59</v>
      </c>
      <c r="AA246" s="1" t="s">
        <v>55</v>
      </c>
      <c r="AB246" s="1" t="s">
        <v>47</v>
      </c>
      <c r="AC246" s="1" t="s">
        <v>48</v>
      </c>
      <c r="AD246" s="1" t="s">
        <v>43</v>
      </c>
      <c r="AE246" s="8">
        <f>IF(L246&lt;&gt;"",L246*E246,0)</f>
      </c>
    </row>
    <row r="247" spans="1:31" x14ac:dyDescent="0.25">
      <c r="A247" s="4">
        <v>242</v>
      </c>
      <c r="B247" s="1" t="s">
        <v>657</v>
      </c>
      <c r="C247" s="5">
        <f>HYPERLINK("https://client.unique.diamonds/dna/11119-31","DNA")</f>
      </c>
      <c r="D247" s="1" t="s">
        <v>36</v>
      </c>
      <c r="E247" s="6">
        <v>1.21</v>
      </c>
      <c r="F247" s="1" t="s">
        <v>50</v>
      </c>
      <c r="G247" s="1" t="s">
        <v>51</v>
      </c>
      <c r="H247" s="1" t="s">
        <v>39</v>
      </c>
      <c r="I247" s="1" t="s">
        <v>39</v>
      </c>
      <c r="J247" s="1" t="s">
        <v>39</v>
      </c>
      <c r="K247" s="1" t="s">
        <v>40</v>
      </c>
      <c r="L247" s="4">
        <v>5500</v>
      </c>
      <c r="M247" s="6">
        <v>-17.25</v>
      </c>
      <c r="N247" s="7">
        <f>IF(AND(L247 &lt;&gt; "-", M247 &lt;&gt; "-"),L247*( 1 + M247%),0)</f>
      </c>
      <c r="O247" s="7">
        <f>( N247 * E247 )</f>
      </c>
      <c r="P247" s="1" t="s">
        <v>658</v>
      </c>
      <c r="Q247" s="6">
        <v>1</v>
      </c>
      <c r="R247" s="6">
        <v>62.5</v>
      </c>
      <c r="S247" s="4">
        <v>56</v>
      </c>
      <c r="T247" s="1" t="s">
        <v>42</v>
      </c>
      <c r="U247" s="5">
        <f>HYPERLINK("https://www.gia.edu/report-check?reportno=3435133744","3435133744")</f>
      </c>
      <c r="V247" s="1" t="s">
        <v>43</v>
      </c>
      <c r="W247" s="1" t="s">
        <v>125</v>
      </c>
      <c r="X247" s="1" t="s">
        <v>177</v>
      </c>
      <c r="Y247" s="1" t="s">
        <v>40</v>
      </c>
      <c r="Z247" s="1" t="s">
        <v>46</v>
      </c>
      <c r="AA247" s="1" t="s">
        <v>66</v>
      </c>
      <c r="AB247" s="1" t="s">
        <v>47</v>
      </c>
      <c r="AC247" s="1" t="s">
        <v>48</v>
      </c>
      <c r="AD247" s="1" t="s">
        <v>43</v>
      </c>
      <c r="AE247" s="8">
        <f>IF(L247&lt;&gt;"",L247*E247,0)</f>
      </c>
    </row>
    <row r="248" spans="1:31" x14ac:dyDescent="0.25">
      <c r="A248" s="4">
        <v>243</v>
      </c>
      <c r="B248" s="1" t="s">
        <v>659</v>
      </c>
      <c r="C248" s="5">
        <f>HYPERLINK("https://client.unique.diamonds/dna/11074-116","DNA")</f>
      </c>
      <c r="D248" s="1" t="s">
        <v>36</v>
      </c>
      <c r="E248" s="6">
        <v>1.2</v>
      </c>
      <c r="F248" s="1" t="s">
        <v>68</v>
      </c>
      <c r="G248" s="1" t="s">
        <v>87</v>
      </c>
      <c r="H248" s="1" t="s">
        <v>39</v>
      </c>
      <c r="I248" s="1" t="s">
        <v>39</v>
      </c>
      <c r="J248" s="1" t="s">
        <v>39</v>
      </c>
      <c r="K248" s="1" t="s">
        <v>40</v>
      </c>
      <c r="L248" s="4">
        <v>7700</v>
      </c>
      <c r="M248" s="6">
        <v>-20.75</v>
      </c>
      <c r="N248" s="7">
        <f>IF(AND(L248 &lt;&gt; "-", M248 &lt;&gt; "-"),L248*( 1 + M248%),0)</f>
      </c>
      <c r="O248" s="7">
        <f>( N248 * E248 )</f>
      </c>
      <c r="P248" s="1" t="s">
        <v>660</v>
      </c>
      <c r="Q248" s="6">
        <v>1.01</v>
      </c>
      <c r="R248" s="6">
        <v>63.3</v>
      </c>
      <c r="S248" s="4">
        <v>57</v>
      </c>
      <c r="T248" s="1" t="s">
        <v>42</v>
      </c>
      <c r="U248" s="5">
        <f>HYPERLINK("https://www.gia.edu/report-check?reportno=1425580845","1425580845")</f>
      </c>
      <c r="V248" s="1" t="s">
        <v>43</v>
      </c>
      <c r="W248" s="1" t="s">
        <v>661</v>
      </c>
      <c r="X248" s="1" t="s">
        <v>59</v>
      </c>
      <c r="Y248" s="1" t="s">
        <v>40</v>
      </c>
      <c r="Z248" s="1" t="s">
        <v>46</v>
      </c>
      <c r="AA248" s="1" t="s">
        <v>96</v>
      </c>
      <c r="AB248" s="1" t="s">
        <v>55</v>
      </c>
      <c r="AC248" s="1" t="s">
        <v>48</v>
      </c>
      <c r="AD248" s="1" t="s">
        <v>43</v>
      </c>
      <c r="AE248" s="8">
        <f>IF(L248&lt;&gt;"",L248*E248,0)</f>
      </c>
    </row>
    <row r="249" spans="1:31" x14ac:dyDescent="0.25">
      <c r="A249" s="4">
        <v>244</v>
      </c>
      <c r="B249" s="1" t="s">
        <v>662</v>
      </c>
      <c r="C249" s="5">
        <f>HYPERLINK("https://client.unique.diamonds/dna/11139-2","DNA")</f>
      </c>
      <c r="D249" s="1" t="s">
        <v>36</v>
      </c>
      <c r="E249" s="6">
        <v>1.2</v>
      </c>
      <c r="F249" s="1" t="s">
        <v>173</v>
      </c>
      <c r="G249" s="1" t="s">
        <v>38</v>
      </c>
      <c r="H249" s="1" t="s">
        <v>39</v>
      </c>
      <c r="I249" s="1" t="s">
        <v>39</v>
      </c>
      <c r="J249" s="1" t="s">
        <v>39</v>
      </c>
      <c r="K249" s="1" t="s">
        <v>40</v>
      </c>
      <c r="L249" s="4">
        <v>11300</v>
      </c>
      <c r="M249" s="6">
        <v>-23.25</v>
      </c>
      <c r="N249" s="7">
        <f>IF(AND(L249 &lt;&gt; "-", M249 &lt;&gt; "-"),L249*( 1 + M249%),0)</f>
      </c>
      <c r="O249" s="7">
        <f>( N249 * E249 )</f>
      </c>
      <c r="P249" s="1" t="s">
        <v>663</v>
      </c>
      <c r="Q249" s="6">
        <v>1</v>
      </c>
      <c r="R249" s="6">
        <v>61.6</v>
      </c>
      <c r="S249" s="4">
        <v>59</v>
      </c>
      <c r="T249" s="1" t="s">
        <v>42</v>
      </c>
      <c r="U249" s="5">
        <f>HYPERLINK("https://www.gia.edu/report-check?reportno=2437285005","2437285005")</f>
      </c>
      <c r="V249" s="1" t="s">
        <v>43</v>
      </c>
      <c r="W249" s="1" t="s">
        <v>287</v>
      </c>
      <c r="X249" s="1" t="s">
        <v>46</v>
      </c>
      <c r="Y249" s="1" t="s">
        <v>40</v>
      </c>
      <c r="Z249" s="1" t="s">
        <v>59</v>
      </c>
      <c r="AA249" s="1" t="s">
        <v>55</v>
      </c>
      <c r="AB249" s="1" t="s">
        <v>55</v>
      </c>
      <c r="AC249" s="1" t="s">
        <v>85</v>
      </c>
      <c r="AD249" s="1" t="s">
        <v>43</v>
      </c>
      <c r="AE249" s="8">
        <f>IF(L249&lt;&gt;"",L249*E249,0)</f>
      </c>
    </row>
    <row r="250" spans="1:31" x14ac:dyDescent="0.25">
      <c r="A250" s="4">
        <v>245</v>
      </c>
      <c r="B250" s="1" t="s">
        <v>664</v>
      </c>
      <c r="C250" s="5">
        <f>HYPERLINK("https://client.unique.diamonds/dna/11115-41","DNA")</f>
      </c>
      <c r="D250" s="1" t="s">
        <v>36</v>
      </c>
      <c r="E250" s="6">
        <v>1.2</v>
      </c>
      <c r="F250" s="1" t="s">
        <v>91</v>
      </c>
      <c r="G250" s="1" t="s">
        <v>38</v>
      </c>
      <c r="H250" s="1" t="s">
        <v>39</v>
      </c>
      <c r="I250" s="1" t="s">
        <v>39</v>
      </c>
      <c r="J250" s="1" t="s">
        <v>39</v>
      </c>
      <c r="K250" s="1" t="s">
        <v>40</v>
      </c>
      <c r="L250" s="4">
        <v>10700</v>
      </c>
      <c r="M250" s="6">
        <v>-20.25</v>
      </c>
      <c r="N250" s="7">
        <f>IF(AND(L250 &lt;&gt; "-", M250 &lt;&gt; "-"),L250*( 1 + M250%),0)</f>
      </c>
      <c r="O250" s="7">
        <f>( N250 * E250 )</f>
      </c>
      <c r="P250" s="1" t="s">
        <v>665</v>
      </c>
      <c r="Q250" s="6">
        <v>1</v>
      </c>
      <c r="R250" s="6">
        <v>62.1</v>
      </c>
      <c r="S250" s="4">
        <v>56</v>
      </c>
      <c r="T250" s="1" t="s">
        <v>42</v>
      </c>
      <c r="U250" s="5">
        <f>HYPERLINK("https://www.gia.edu/report-check?reportno=6422984138","6422984138")</f>
      </c>
      <c r="V250" s="1" t="s">
        <v>43</v>
      </c>
      <c r="W250" s="1" t="s">
        <v>666</v>
      </c>
      <c r="X250" s="1" t="s">
        <v>59</v>
      </c>
      <c r="Y250" s="1" t="s">
        <v>40</v>
      </c>
      <c r="Z250" s="1" t="s">
        <v>45</v>
      </c>
      <c r="AA250" s="1" t="s">
        <v>66</v>
      </c>
      <c r="AB250" s="1" t="s">
        <v>47</v>
      </c>
      <c r="AC250" s="1" t="s">
        <v>48</v>
      </c>
      <c r="AD250" s="1" t="s">
        <v>43</v>
      </c>
      <c r="AE250" s="8">
        <f>IF(L250&lt;&gt;"",L250*E250,0)</f>
      </c>
    </row>
    <row r="251" spans="1:31" x14ac:dyDescent="0.25">
      <c r="A251" s="4">
        <v>246</v>
      </c>
      <c r="B251" s="1" t="s">
        <v>667</v>
      </c>
      <c r="C251" s="5">
        <f>HYPERLINK("https://client.unique.diamonds/dna/11108-66","DNA")</f>
      </c>
      <c r="D251" s="1" t="s">
        <v>36</v>
      </c>
      <c r="E251" s="6">
        <v>1.2</v>
      </c>
      <c r="F251" s="1" t="s">
        <v>91</v>
      </c>
      <c r="G251" s="1" t="s">
        <v>51</v>
      </c>
      <c r="H251" s="1" t="s">
        <v>39</v>
      </c>
      <c r="I251" s="1" t="s">
        <v>39</v>
      </c>
      <c r="J251" s="1" t="s">
        <v>39</v>
      </c>
      <c r="K251" s="1" t="s">
        <v>40</v>
      </c>
      <c r="L251" s="4">
        <v>8500</v>
      </c>
      <c r="M251" s="6">
        <v>-22.5</v>
      </c>
      <c r="N251" s="7">
        <f>IF(AND(L251 &lt;&gt; "-", M251 &lt;&gt; "-"),L251*( 1 + M251%),0)</f>
      </c>
      <c r="O251" s="7">
        <f>( N251 * E251 )</f>
      </c>
      <c r="P251" s="1" t="s">
        <v>668</v>
      </c>
      <c r="Q251" s="6">
        <v>1.01</v>
      </c>
      <c r="R251" s="6">
        <v>63.3</v>
      </c>
      <c r="S251" s="4">
        <v>55</v>
      </c>
      <c r="T251" s="1" t="s">
        <v>42</v>
      </c>
      <c r="U251" s="5">
        <f>HYPERLINK("https://www.gia.edu/report-check?reportno=2424949558","2424949558")</f>
      </c>
      <c r="V251" s="1" t="s">
        <v>43</v>
      </c>
      <c r="W251" s="1" t="s">
        <v>669</v>
      </c>
      <c r="X251" s="1" t="s">
        <v>46</v>
      </c>
      <c r="Y251" s="1" t="s">
        <v>40</v>
      </c>
      <c r="Z251" s="1" t="s">
        <v>59</v>
      </c>
      <c r="AA251" s="1" t="s">
        <v>96</v>
      </c>
      <c r="AB251" s="1" t="s">
        <v>55</v>
      </c>
      <c r="AC251" s="1" t="s">
        <v>48</v>
      </c>
      <c r="AD251" s="1" t="s">
        <v>43</v>
      </c>
      <c r="AE251" s="8">
        <f>IF(L251&lt;&gt;"",L251*E251,0)</f>
      </c>
    </row>
    <row r="252" spans="1:31" x14ac:dyDescent="0.25">
      <c r="A252" s="4">
        <v>247</v>
      </c>
      <c r="B252" s="1" t="s">
        <v>670</v>
      </c>
      <c r="C252" s="5">
        <f>HYPERLINK("https://client.unique.diamonds/dna/11118-30","DNA")</f>
      </c>
      <c r="D252" s="1" t="s">
        <v>36</v>
      </c>
      <c r="E252" s="6">
        <v>1.2</v>
      </c>
      <c r="F252" s="1" t="s">
        <v>98</v>
      </c>
      <c r="G252" s="1" t="s">
        <v>69</v>
      </c>
      <c r="H252" s="1" t="s">
        <v>39</v>
      </c>
      <c r="I252" s="1" t="s">
        <v>39</v>
      </c>
      <c r="J252" s="1" t="s">
        <v>39</v>
      </c>
      <c r="K252" s="1" t="s">
        <v>40</v>
      </c>
      <c r="L252" s="4">
        <v>11100</v>
      </c>
      <c r="M252" s="6">
        <v>-20.25</v>
      </c>
      <c r="N252" s="7">
        <f>IF(AND(L252 &lt;&gt; "-", M252 &lt;&gt; "-"),L252*( 1 + M252%),0)</f>
      </c>
      <c r="O252" s="7">
        <f>( N252 * E252 )</f>
      </c>
      <c r="P252" s="1" t="s">
        <v>671</v>
      </c>
      <c r="Q252" s="6">
        <v>1</v>
      </c>
      <c r="R252" s="6">
        <v>60.7</v>
      </c>
      <c r="S252" s="4">
        <v>59</v>
      </c>
      <c r="T252" s="1" t="s">
        <v>42</v>
      </c>
      <c r="U252" s="5">
        <f>HYPERLINK("https://www.gia.edu/report-check?reportno=6431124395","6431124395")</f>
      </c>
      <c r="V252" s="1" t="s">
        <v>43</v>
      </c>
      <c r="W252" s="1" t="s">
        <v>496</v>
      </c>
      <c r="X252" s="1" t="s">
        <v>59</v>
      </c>
      <c r="Y252" s="1" t="s">
        <v>40</v>
      </c>
      <c r="Z252" s="1" t="s">
        <v>46</v>
      </c>
      <c r="AA252" s="1" t="s">
        <v>66</v>
      </c>
      <c r="AB252" s="1" t="s">
        <v>40</v>
      </c>
      <c r="AC252" s="1" t="s">
        <v>48</v>
      </c>
      <c r="AD252" s="1" t="s">
        <v>43</v>
      </c>
      <c r="AE252" s="8">
        <f>IF(L252&lt;&gt;"",L252*E252,0)</f>
      </c>
    </row>
    <row r="253" spans="1:31" x14ac:dyDescent="0.25">
      <c r="A253" s="4">
        <v>248</v>
      </c>
      <c r="B253" s="1" t="s">
        <v>672</v>
      </c>
      <c r="C253" s="5">
        <f>HYPERLINK("https://client.unique.diamonds/dna/11066-13","DNA")</f>
      </c>
      <c r="D253" s="1" t="s">
        <v>36</v>
      </c>
      <c r="E253" s="6">
        <v>1.2</v>
      </c>
      <c r="F253" s="1" t="s">
        <v>98</v>
      </c>
      <c r="G253" s="1" t="s">
        <v>38</v>
      </c>
      <c r="H253" s="1" t="s">
        <v>39</v>
      </c>
      <c r="I253" s="1" t="s">
        <v>39</v>
      </c>
      <c r="J253" s="1" t="s">
        <v>39</v>
      </c>
      <c r="K253" s="1" t="s">
        <v>40</v>
      </c>
      <c r="L253" s="4">
        <v>10200</v>
      </c>
      <c r="M253" s="6">
        <v>-21.5</v>
      </c>
      <c r="N253" s="7">
        <f>IF(AND(L253 &lt;&gt; "-", M253 &lt;&gt; "-"),L253*( 1 + M253%),0)</f>
      </c>
      <c r="O253" s="7">
        <f>( N253 * E253 )</f>
      </c>
      <c r="P253" s="1" t="s">
        <v>673</v>
      </c>
      <c r="Q253" s="6">
        <v>1.01</v>
      </c>
      <c r="R253" s="6">
        <v>62.7</v>
      </c>
      <c r="S253" s="4">
        <v>57</v>
      </c>
      <c r="T253" s="1" t="s">
        <v>42</v>
      </c>
      <c r="U253" s="5">
        <f>HYPERLINK("https://www.gia.edu/report-check?reportno=6422553209","6422553209")</f>
      </c>
      <c r="V253" s="1" t="s">
        <v>43</v>
      </c>
      <c r="W253" s="1" t="s">
        <v>674</v>
      </c>
      <c r="X253" s="1" t="s">
        <v>59</v>
      </c>
      <c r="Y253" s="1" t="s">
        <v>40</v>
      </c>
      <c r="Z253" s="1" t="s">
        <v>46</v>
      </c>
      <c r="AA253" s="1" t="s">
        <v>55</v>
      </c>
      <c r="AB253" s="1" t="s">
        <v>40</v>
      </c>
      <c r="AC253" s="1" t="s">
        <v>48</v>
      </c>
      <c r="AD253" s="1" t="s">
        <v>43</v>
      </c>
      <c r="AE253" s="8">
        <f>IF(L253&lt;&gt;"",L253*E253,0)</f>
      </c>
    </row>
    <row r="254" spans="1:31" x14ac:dyDescent="0.25">
      <c r="A254" s="4">
        <v>249</v>
      </c>
      <c r="B254" s="1" t="s">
        <v>675</v>
      </c>
      <c r="C254" s="5">
        <f>HYPERLINK("https://client.unique.diamonds/dna/11059-38","DNA")</f>
      </c>
      <c r="D254" s="1" t="s">
        <v>36</v>
      </c>
      <c r="E254" s="6">
        <v>1.2</v>
      </c>
      <c r="F254" s="1" t="s">
        <v>98</v>
      </c>
      <c r="G254" s="1" t="s">
        <v>38</v>
      </c>
      <c r="H254" s="1" t="s">
        <v>39</v>
      </c>
      <c r="I254" s="1" t="s">
        <v>39</v>
      </c>
      <c r="J254" s="1" t="s">
        <v>39</v>
      </c>
      <c r="K254" s="1" t="s">
        <v>40</v>
      </c>
      <c r="L254" s="4">
        <v>10200</v>
      </c>
      <c r="M254" s="6">
        <v>-21.75</v>
      </c>
      <c r="N254" s="7">
        <f>IF(AND(L254 &lt;&gt; "-", M254 &lt;&gt; "-"),L254*( 1 + M254%),0)</f>
      </c>
      <c r="O254" s="7">
        <f>( N254 * E254 )</f>
      </c>
      <c r="P254" s="1" t="s">
        <v>676</v>
      </c>
      <c r="Q254" s="6">
        <v>1.01</v>
      </c>
      <c r="R254" s="6">
        <v>62.7</v>
      </c>
      <c r="S254" s="4">
        <v>57</v>
      </c>
      <c r="T254" s="1" t="s">
        <v>42</v>
      </c>
      <c r="U254" s="5">
        <f>HYPERLINK("https://www.gia.edu/report-check?reportno=2225372678","2225372678")</f>
      </c>
      <c r="V254" s="1" t="s">
        <v>43</v>
      </c>
      <c r="W254" s="1" t="s">
        <v>677</v>
      </c>
      <c r="X254" s="1" t="s">
        <v>59</v>
      </c>
      <c r="Y254" s="1" t="s">
        <v>40</v>
      </c>
      <c r="Z254" s="1" t="s">
        <v>46</v>
      </c>
      <c r="AA254" s="1" t="s">
        <v>55</v>
      </c>
      <c r="AB254" s="1" t="s">
        <v>40</v>
      </c>
      <c r="AC254" s="1" t="s">
        <v>48</v>
      </c>
      <c r="AD254" s="1" t="s">
        <v>43</v>
      </c>
      <c r="AE254" s="8">
        <f>IF(L254&lt;&gt;"",L254*E254,0)</f>
      </c>
    </row>
    <row r="255" spans="1:31" x14ac:dyDescent="0.25">
      <c r="A255" s="4">
        <v>250</v>
      </c>
      <c r="B255" s="1" t="s">
        <v>678</v>
      </c>
      <c r="C255" s="5">
        <f>HYPERLINK("https://client.unique.diamonds/dna/11073-9","DNA")</f>
      </c>
      <c r="D255" s="1" t="s">
        <v>36</v>
      </c>
      <c r="E255" s="6">
        <v>1.2</v>
      </c>
      <c r="F255" s="1" t="s">
        <v>37</v>
      </c>
      <c r="G255" s="1" t="s">
        <v>69</v>
      </c>
      <c r="H255" s="1" t="s">
        <v>39</v>
      </c>
      <c r="I255" s="1" t="s">
        <v>39</v>
      </c>
      <c r="J255" s="1" t="s">
        <v>39</v>
      </c>
      <c r="K255" s="1" t="s">
        <v>40</v>
      </c>
      <c r="L255" s="4">
        <v>9600</v>
      </c>
      <c r="M255" s="6">
        <v>-22.5</v>
      </c>
      <c r="N255" s="7">
        <f>IF(AND(L255 &lt;&gt; "-", M255 &lt;&gt; "-"),L255*( 1 + M255%),0)</f>
      </c>
      <c r="O255" s="7">
        <f>( N255 * E255 )</f>
      </c>
      <c r="P255" s="1" t="s">
        <v>679</v>
      </c>
      <c r="Q255" s="6">
        <v>1</v>
      </c>
      <c r="R255" s="6">
        <v>63</v>
      </c>
      <c r="S255" s="4">
        <v>57</v>
      </c>
      <c r="T255" s="1" t="s">
        <v>42</v>
      </c>
      <c r="U255" s="5">
        <f>HYPERLINK("https://www.gia.edu/report-check?reportno=2426513621","2426513621")</f>
      </c>
      <c r="V255" s="1" t="s">
        <v>43</v>
      </c>
      <c r="W255" s="1" t="s">
        <v>143</v>
      </c>
      <c r="X255" s="1" t="s">
        <v>45</v>
      </c>
      <c r="Y255" s="1" t="s">
        <v>40</v>
      </c>
      <c r="Z255" s="1" t="s">
        <v>46</v>
      </c>
      <c r="AA255" s="1" t="s">
        <v>66</v>
      </c>
      <c r="AB255" s="1" t="s">
        <v>40</v>
      </c>
      <c r="AC255" s="1" t="s">
        <v>48</v>
      </c>
      <c r="AD255" s="1" t="s">
        <v>43</v>
      </c>
      <c r="AE255" s="8">
        <f>IF(L255&lt;&gt;"",L255*E255,0)</f>
      </c>
    </row>
    <row r="256" hidden="1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hidden="1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1" x14ac:dyDescent="0.25">
      <c r="A258" s="1"/>
      <c r="B258" s="1"/>
      <c r="C258" s="1"/>
      <c r="D258" s="1"/>
      <c r="E258" s="9">
        <f>ROUND(SUBTOTAL(9,E6:E255),2)</f>
      </c>
      <c r="F258" s="1"/>
      <c r="G258" s="1"/>
      <c r="H258" s="1"/>
      <c r="I258" s="1"/>
      <c r="J258" s="1"/>
      <c r="K258" s="1"/>
      <c r="L258" s="9">
        <f>ROUND(AY3/E3,2)</f>
      </c>
      <c r="M258" s="9">
        <f>ROUND((I3/AY3*100)-100,2)</f>
      </c>
      <c r="N258" s="9">
        <f>ROUND(I3/E3,2)</f>
      </c>
      <c r="O258" s="9">
        <f>ROUND(SUBTOTAL(9,O6:O255),2)</f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9">
        <f>ROUND(SUBTOTAL(9,AE6:AE255),2)</f>
      </c>
    </row>
  </sheetData>
  <autoFilter ref="A5:AE255"/>
  <mergeCells count="3">
    <mergeCell ref="A1:B3"/>
    <mergeCell ref="A256:AM256"/>
    <mergeCell ref="A257:AM257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2022-06-14T15:14:05Z</dcterms:created>
  <dcterms:modified xsi:type="dcterms:W3CDTF">2022-06-14T15:14:05Z</dcterms:modified>
</cp:coreProperties>
</file>