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03"/>
  <workbookPr/>
  <xr:revisionPtr revIDLastSave="400" documentId="11_0B1D56BE9CDCCE836B02CE7A5FB0D4A9BBFD1C62" xr6:coauthVersionLast="47" xr6:coauthVersionMax="47" xr10:uidLastSave="{6810EDB7-ED64-480B-970F-93CC5DE9B6B5}"/>
  <bookViews>
    <workbookView xWindow="240" yWindow="105" windowWidth="14805" windowHeight="8010" firstSheet="4" xr2:uid="{00000000-000D-0000-FFFF-FFFF00000000}"/>
  </bookViews>
  <sheets>
    <sheet name="Assumptions" sheetId="1" r:id="rId1"/>
    <sheet name="Sources_Uses" sheetId="2" r:id="rId2"/>
    <sheet name="Ops" sheetId="3" r:id="rId3"/>
    <sheet name="Debt_Schedule" sheetId="4" r:id="rId4"/>
    <sheet name="Returns_Summary" sheetId="5" r:id="rId5"/>
    <sheet name="Sensitivitie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5" l="1"/>
  <c r="B4" i="5"/>
  <c r="B2" i="5"/>
  <c r="C12" i="3"/>
  <c r="D12" i="3"/>
  <c r="E12" i="3"/>
  <c r="F12" i="3"/>
  <c r="G12" i="3"/>
  <c r="B12" i="3"/>
  <c r="B10" i="3"/>
  <c r="C10" i="3"/>
  <c r="D10" i="3"/>
  <c r="E10" i="3"/>
  <c r="F10" i="3"/>
  <c r="G10" i="3"/>
  <c r="D6" i="3"/>
  <c r="C6" i="3"/>
  <c r="C7" i="3"/>
  <c r="B6" i="4"/>
  <c r="B9" i="3"/>
  <c r="C4" i="4"/>
  <c r="D4" i="4"/>
  <c r="E4" i="4"/>
  <c r="F4" i="4"/>
  <c r="B4" i="4"/>
  <c r="B3" i="4"/>
  <c r="B2" i="4"/>
  <c r="B13" i="2"/>
  <c r="B11" i="2"/>
  <c r="B10" i="2"/>
  <c r="B9" i="2"/>
  <c r="B6" i="2"/>
  <c r="B5" i="2"/>
  <c r="B4" i="2"/>
  <c r="B2" i="3"/>
  <c r="B3" i="5" l="1"/>
  <c r="B5" i="5" s="1"/>
  <c r="B12" i="5" s="1"/>
  <c r="B7" i="3"/>
  <c r="B4" i="3"/>
  <c r="B3" i="3"/>
  <c r="C2" i="3"/>
  <c r="B13" i="5" l="1"/>
  <c r="B14" i="5"/>
  <c r="A1" i="6" s="1"/>
  <c r="C8" i="3"/>
  <c r="C4" i="3"/>
  <c r="C3" i="3"/>
  <c r="D2" i="3"/>
  <c r="B5" i="3"/>
  <c r="D8" i="3" l="1"/>
  <c r="D7" i="3"/>
  <c r="D4" i="3"/>
  <c r="D3" i="3"/>
  <c r="E2" i="3"/>
  <c r="C5" i="3"/>
  <c r="C9" i="3" s="1"/>
  <c r="E8" i="3" l="1"/>
  <c r="E7" i="3"/>
  <c r="E4" i="3"/>
  <c r="E3" i="3"/>
  <c r="F2" i="3"/>
  <c r="D5" i="3"/>
  <c r="D9" i="3" s="1"/>
  <c r="B11" i="3"/>
  <c r="F8" i="3" l="1"/>
  <c r="F7" i="3"/>
  <c r="F4" i="3"/>
  <c r="F3" i="3"/>
  <c r="G2" i="3"/>
  <c r="E5" i="3"/>
  <c r="E9" i="3" s="1"/>
  <c r="B5" i="4"/>
  <c r="B7" i="4" s="1"/>
  <c r="C2" i="4" s="1"/>
  <c r="C11" i="3"/>
  <c r="C3" i="4" l="1"/>
  <c r="G8" i="3"/>
  <c r="G7" i="3"/>
  <c r="G4" i="3"/>
  <c r="G3" i="3"/>
  <c r="F5" i="3"/>
  <c r="F9" i="3" s="1"/>
  <c r="C5" i="4"/>
  <c r="D11" i="3"/>
  <c r="G5" i="3" l="1"/>
  <c r="G9" i="3" s="1"/>
  <c r="D5" i="4"/>
  <c r="E11" i="3"/>
  <c r="C6" i="4"/>
  <c r="C7" i="4" s="1"/>
  <c r="D2" i="4" s="1"/>
  <c r="D3" i="4" s="1"/>
  <c r="D6" i="4" l="1"/>
  <c r="D7" i="4" s="1"/>
  <c r="E2" i="4" s="1"/>
  <c r="E3" i="4" s="1"/>
  <c r="F6" i="3" s="1"/>
  <c r="E6" i="3"/>
  <c r="E5" i="4"/>
  <c r="E6" i="4" s="1"/>
  <c r="E7" i="4" s="1"/>
  <c r="F2" i="4" s="1"/>
  <c r="F3" i="4" s="1"/>
  <c r="G6" i="3" s="1"/>
  <c r="F11" i="3"/>
  <c r="F5" i="4" l="1"/>
  <c r="F6" i="4" s="1"/>
  <c r="F7" i="4" s="1"/>
  <c r="G11" i="3"/>
</calcChain>
</file>

<file path=xl/sharedStrings.xml><?xml version="1.0" encoding="utf-8"?>
<sst xmlns="http://schemas.openxmlformats.org/spreadsheetml/2006/main" count="78" uniqueCount="71">
  <si>
    <t>Entry EBITDA (Y0)</t>
  </si>
  <si>
    <t>EBITDA growth (annual)</t>
  </si>
  <si>
    <t>EBITDA margin</t>
  </si>
  <si>
    <t>Capex % of revenue</t>
  </si>
  <si>
    <t>ΔNWC % of ΔRevenue</t>
  </si>
  <si>
    <t>D&amp;A % of revenue</t>
  </si>
  <si>
    <t>Tax rate (cash)</t>
  </si>
  <si>
    <t>Entry EV / EBITDA multiple</t>
  </si>
  <si>
    <t>Exit EV / EBITDA multiple</t>
  </si>
  <si>
    <t>Debt % of Entry EV</t>
  </si>
  <si>
    <t>Interest rate (Term Loan)</t>
  </si>
  <si>
    <t>Mandatory amortization (% of original debt / yr)</t>
  </si>
  <si>
    <t>Fees % of EV (transaction + financing)</t>
  </si>
  <si>
    <t>Exit year</t>
  </si>
  <si>
    <t>SOURCES &amp; USES</t>
  </si>
  <si>
    <t>Uses</t>
  </si>
  <si>
    <t>Purchase Enterprise Value (EV)</t>
  </si>
  <si>
    <t>Fees (transaction + financing)</t>
  </si>
  <si>
    <t>Total Uses</t>
  </si>
  <si>
    <t>Sources</t>
  </si>
  <si>
    <t>New Debt</t>
  </si>
  <si>
    <t>Sponsor Equity</t>
  </si>
  <si>
    <t>Total Sources</t>
  </si>
  <si>
    <t>Check (Sources – Uses)</t>
  </si>
  <si>
    <t>Y0</t>
  </si>
  <si>
    <t>Y1</t>
  </si>
  <si>
    <t>Y2</t>
  </si>
  <si>
    <t>Y3</t>
  </si>
  <si>
    <t>Y4</t>
  </si>
  <si>
    <t>Y5</t>
  </si>
  <si>
    <t>Revenue</t>
  </si>
  <si>
    <t>EBITDA</t>
  </si>
  <si>
    <t>D&amp;A</t>
  </si>
  <si>
    <t>EBIT</t>
  </si>
  <si>
    <t>Interest Expense</t>
  </si>
  <si>
    <t>Capex</t>
  </si>
  <si>
    <t>ΔNWC</t>
  </si>
  <si>
    <t>EBT</t>
  </si>
  <si>
    <t>Taxes</t>
  </si>
  <si>
    <t>Net Income</t>
  </si>
  <si>
    <t>FCF (Unlevered)</t>
  </si>
  <si>
    <t>Beginning Debt</t>
  </si>
  <si>
    <t>Mandatory Amortization</t>
  </si>
  <si>
    <r>
      <t xml:space="preserve">CFADS (link from Ops – </t>
    </r>
    <r>
      <rPr>
        <i/>
        <sz val="11"/>
        <color theme="1"/>
        <rFont val="Aptos Narrow"/>
        <family val="2"/>
        <scheme val="minor"/>
      </rPr>
      <t>Unlevered FCF</t>
    </r>
    <r>
      <rPr>
        <sz val="11"/>
        <color theme="1"/>
        <rFont val="Aptos Narrow"/>
        <family val="2"/>
        <scheme val="minor"/>
      </rPr>
      <t>)</t>
    </r>
  </si>
  <si>
    <t>Cash Sweep (prepayment)</t>
  </si>
  <si>
    <t>Ending Debt</t>
  </si>
  <si>
    <t>Metric</t>
  </si>
  <si>
    <t>Value</t>
  </si>
  <si>
    <t>Formula / Notes</t>
  </si>
  <si>
    <t>Exit EBITDA</t>
  </si>
  <si>
    <t>Year 5 EBITDA</t>
  </si>
  <si>
    <t>Exit EV</t>
  </si>
  <si>
    <t>Exit_EBITDA * Exit_Mult</t>
  </si>
  <si>
    <t>Net Debt at Exit</t>
  </si>
  <si>
    <t>Debt_Schedule!EndingDebt_Y5</t>
  </si>
  <si>
    <t>Equity Value at Exit</t>
  </si>
  <si>
    <t>Exit_EV - Net_Debt_at_Exit</t>
  </si>
  <si>
    <t>Equity CFs</t>
  </si>
  <si>
    <t>Y0 =</t>
  </si>
  <si>
    <t>From Sources &amp; Uses (negative = equity invested)</t>
  </si>
  <si>
    <t>Y1 =</t>
  </si>
  <si>
    <t>No interim distributions</t>
  </si>
  <si>
    <t>Y2 =</t>
  </si>
  <si>
    <t>Y3 =</t>
  </si>
  <si>
    <t>Y4 =</t>
  </si>
  <si>
    <t>Y5 =</t>
  </si>
  <si>
    <t>MOIC</t>
  </si>
  <si>
    <t>x</t>
  </si>
  <si>
    <t>B12 / ABS(B7)</t>
  </si>
  <si>
    <t>IRR</t>
  </si>
  <si>
    <t>IRR(B7:B12)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</si>
</sst>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B10" sqref="B10"/>
    </sheetView>
  </sheetViews>
  <sheetFormatPr defaultRowHeight="15"/>
  <cols>
    <col min="1" max="1" width="40.42578125" customWidth="1"/>
  </cols>
  <sheetData>
    <row r="1" spans="1:2">
      <c r="A1" t="s">
        <v>0</v>
      </c>
      <c r="B1" s="2">
        <v>100</v>
      </c>
    </row>
    <row r="2" spans="1:2">
      <c r="A2" t="s">
        <v>1</v>
      </c>
      <c r="B2" s="3">
        <v>0.08</v>
      </c>
    </row>
    <row r="3" spans="1:2">
      <c r="A3" t="s">
        <v>2</v>
      </c>
      <c r="B3" s="3">
        <v>0.3</v>
      </c>
    </row>
    <row r="4" spans="1:2">
      <c r="A4" t="s">
        <v>3</v>
      </c>
      <c r="B4" s="3">
        <v>0.03</v>
      </c>
    </row>
    <row r="5" spans="1:2">
      <c r="A5" t="s">
        <v>4</v>
      </c>
      <c r="B5" s="3">
        <v>0.02</v>
      </c>
    </row>
    <row r="6" spans="1:2">
      <c r="A6" t="s">
        <v>5</v>
      </c>
      <c r="B6" s="3">
        <v>0.02</v>
      </c>
    </row>
    <row r="7" spans="1:2">
      <c r="A7" t="s">
        <v>6</v>
      </c>
      <c r="B7" s="3">
        <v>0.25</v>
      </c>
    </row>
    <row r="8" spans="1:2">
      <c r="A8" t="s">
        <v>7</v>
      </c>
      <c r="B8" s="2">
        <v>12</v>
      </c>
    </row>
    <row r="9" spans="1:2">
      <c r="A9" t="s">
        <v>8</v>
      </c>
      <c r="B9" s="2">
        <v>12</v>
      </c>
    </row>
    <row r="10" spans="1:2">
      <c r="A10" t="s">
        <v>9</v>
      </c>
      <c r="B10" s="3">
        <v>0.6</v>
      </c>
    </row>
    <row r="11" spans="1:2" ht="15" customHeight="1">
      <c r="A11" t="s">
        <v>10</v>
      </c>
      <c r="B11" s="3">
        <v>0.08</v>
      </c>
    </row>
    <row r="12" spans="1:2" ht="17.25" customHeight="1">
      <c r="A12" s="4" t="s">
        <v>11</v>
      </c>
      <c r="B12" s="3">
        <v>0.05</v>
      </c>
    </row>
    <row r="13" spans="1:2">
      <c r="A13" t="s">
        <v>12</v>
      </c>
      <c r="B13" s="3">
        <v>0.02</v>
      </c>
    </row>
    <row r="14" spans="1:2">
      <c r="A14" t="s">
        <v>13</v>
      </c>
      <c r="B14" s="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3F31B-0702-4D91-A15D-3735F5D6C720}">
  <dimension ref="A1:B13"/>
  <sheetViews>
    <sheetView workbookViewId="0">
      <selection activeCell="B11" sqref="B11"/>
    </sheetView>
  </sheetViews>
  <sheetFormatPr defaultRowHeight="15"/>
  <cols>
    <col min="1" max="1" width="27.140625" bestFit="1" customWidth="1"/>
  </cols>
  <sheetData>
    <row r="1" spans="1:2">
      <c r="A1" t="s">
        <v>14</v>
      </c>
    </row>
    <row r="3" spans="1:2">
      <c r="A3" t="s">
        <v>15</v>
      </c>
    </row>
    <row r="4" spans="1:2">
      <c r="A4" t="s">
        <v>16</v>
      </c>
      <c r="B4">
        <f>Assumptions!B1*Assumptions!B8</f>
        <v>1200</v>
      </c>
    </row>
    <row r="5" spans="1:2">
      <c r="A5" t="s">
        <v>17</v>
      </c>
      <c r="B5">
        <f>Assumptions!B13*Sources_Uses!B4</f>
        <v>24</v>
      </c>
    </row>
    <row r="6" spans="1:2">
      <c r="A6" t="s">
        <v>18</v>
      </c>
      <c r="B6">
        <f>B4+B5</f>
        <v>1224</v>
      </c>
    </row>
    <row r="8" spans="1:2">
      <c r="A8" t="s">
        <v>19</v>
      </c>
    </row>
    <row r="9" spans="1:2">
      <c r="A9" t="s">
        <v>20</v>
      </c>
      <c r="B9">
        <f>Assumptions!B10*Sources_Uses!B4</f>
        <v>720</v>
      </c>
    </row>
    <row r="10" spans="1:2">
      <c r="A10" t="s">
        <v>21</v>
      </c>
      <c r="B10">
        <f>B6-B9</f>
        <v>504</v>
      </c>
    </row>
    <row r="11" spans="1:2">
      <c r="A11" t="s">
        <v>22</v>
      </c>
      <c r="B11">
        <f>B9+B10</f>
        <v>1224</v>
      </c>
    </row>
    <row r="13" spans="1:2">
      <c r="A13" t="s">
        <v>23</v>
      </c>
      <c r="B13">
        <f>B11-B6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625CF-8827-441C-AD28-CDB1067BA9EE}">
  <dimension ref="A1:G12"/>
  <sheetViews>
    <sheetView workbookViewId="0">
      <selection activeCell="B2" sqref="B2:G12"/>
    </sheetView>
  </sheetViews>
  <sheetFormatPr defaultRowHeight="15"/>
  <cols>
    <col min="1" max="1" width="15" bestFit="1" customWidth="1"/>
  </cols>
  <sheetData>
    <row r="1" spans="1:7">
      <c r="A1" s="5"/>
      <c r="B1" s="5" t="s">
        <v>24</v>
      </c>
      <c r="C1" s="5" t="s">
        <v>25</v>
      </c>
      <c r="D1" s="5" t="s">
        <v>26</v>
      </c>
      <c r="E1" s="5" t="s">
        <v>27</v>
      </c>
      <c r="F1" s="5" t="s">
        <v>28</v>
      </c>
      <c r="G1" s="5" t="s">
        <v>29</v>
      </c>
    </row>
    <row r="2" spans="1:7">
      <c r="A2" t="s">
        <v>30</v>
      </c>
      <c r="B2" s="6">
        <f>Assumptions!B1 / Assumptions!B3</f>
        <v>333.33333333333337</v>
      </c>
      <c r="C2" s="6">
        <f>B2 * (1 + Assumptions!B2)</f>
        <v>360.00000000000006</v>
      </c>
      <c r="D2" s="6">
        <f>C2 * (1 + Assumptions!B2)</f>
        <v>388.80000000000007</v>
      </c>
      <c r="E2" s="6">
        <f>D2 * (1 + Assumptions!B2)</f>
        <v>419.90400000000011</v>
      </c>
      <c r="F2" s="6">
        <f>E2 * (1 + Assumptions!B2)</f>
        <v>453.49632000000014</v>
      </c>
      <c r="G2" s="6">
        <f>F2 * (1 + Assumptions!B2)</f>
        <v>489.7760256000002</v>
      </c>
    </row>
    <row r="3" spans="1:7">
      <c r="A3" t="s">
        <v>31</v>
      </c>
      <c r="B3" s="6">
        <f>B2 * Assumptions!B3</f>
        <v>100.00000000000001</v>
      </c>
      <c r="C3" s="6">
        <f>C2 * Assumptions!B3</f>
        <v>108.00000000000001</v>
      </c>
      <c r="D3" s="6">
        <f>D2 * Assumptions!B3</f>
        <v>116.64000000000001</v>
      </c>
      <c r="E3" s="6">
        <f>E2 * Assumptions!B3</f>
        <v>125.97120000000002</v>
      </c>
      <c r="F3" s="6">
        <f>F2 * Assumptions!B3</f>
        <v>136.04889600000004</v>
      </c>
      <c r="G3" s="6">
        <f>G2 * Assumptions!B3</f>
        <v>146.93280768000005</v>
      </c>
    </row>
    <row r="4" spans="1:7">
      <c r="A4" t="s">
        <v>32</v>
      </c>
      <c r="B4" s="6">
        <f>B2 * Assumptions!$B$6</f>
        <v>6.6666666666666679</v>
      </c>
      <c r="C4" s="6">
        <f>C2 * Assumptions!$B$6</f>
        <v>7.2000000000000011</v>
      </c>
      <c r="D4" s="6">
        <f>D2 * Assumptions!$B$6</f>
        <v>7.7760000000000016</v>
      </c>
      <c r="E4" s="6">
        <f>E2 * Assumptions!$B$6</f>
        <v>8.398080000000002</v>
      </c>
      <c r="F4" s="6">
        <f>F2 * Assumptions!$B$6</f>
        <v>9.0699264000000035</v>
      </c>
      <c r="G4" s="6">
        <f>G2 * Assumptions!$B$6</f>
        <v>9.7955205120000048</v>
      </c>
    </row>
    <row r="5" spans="1:7">
      <c r="A5" t="s">
        <v>33</v>
      </c>
      <c r="B5" s="6">
        <f>B3-B4</f>
        <v>93.333333333333343</v>
      </c>
      <c r="C5" s="6">
        <f t="shared" ref="C5:G5" si="0">C3-C4</f>
        <v>100.80000000000001</v>
      </c>
      <c r="D5" s="6">
        <f t="shared" si="0"/>
        <v>108.86400000000002</v>
      </c>
      <c r="E5" s="6">
        <f t="shared" si="0"/>
        <v>117.57312000000002</v>
      </c>
      <c r="F5" s="6">
        <f t="shared" si="0"/>
        <v>126.97896960000004</v>
      </c>
      <c r="G5" s="6">
        <f t="shared" si="0"/>
        <v>137.13728716800006</v>
      </c>
    </row>
    <row r="6" spans="1:7">
      <c r="A6" t="s">
        <v>34</v>
      </c>
      <c r="B6" s="6">
        <v>0</v>
      </c>
      <c r="C6" s="6">
        <f>Debt_Schedule!B3</f>
        <v>57.6</v>
      </c>
      <c r="D6" s="6">
        <f>Debt_Schedule!C3</f>
        <v>50.112000000000002</v>
      </c>
      <c r="E6" s="6">
        <f>Debt_Schedule!D3</f>
        <v>47.231999999999999</v>
      </c>
      <c r="F6" s="6">
        <f>Debt_Schedule!E3</f>
        <v>43.670015999999997</v>
      </c>
      <c r="G6" s="6">
        <f>Debt_Schedule!F3</f>
        <v>39.235829759999994</v>
      </c>
    </row>
    <row r="7" spans="1:7">
      <c r="A7" t="s">
        <v>35</v>
      </c>
      <c r="B7" s="6">
        <f>B2*Assumptions!$B$4</f>
        <v>10</v>
      </c>
      <c r="C7" s="6">
        <f>C2*Assumptions!$B$4</f>
        <v>10.8</v>
      </c>
      <c r="D7" s="6">
        <f>D2*Assumptions!$B$4</f>
        <v>11.664000000000001</v>
      </c>
      <c r="E7" s="6">
        <f>E2*Assumptions!$B$4</f>
        <v>12.597120000000002</v>
      </c>
      <c r="F7" s="6">
        <f>F2*Assumptions!$B$4</f>
        <v>13.604889600000003</v>
      </c>
      <c r="G7" s="6">
        <f>G2*Assumptions!$B$4</f>
        <v>14.693280768000005</v>
      </c>
    </row>
    <row r="8" spans="1:7">
      <c r="A8" t="s">
        <v>36</v>
      </c>
      <c r="B8" s="6"/>
      <c r="C8" s="6">
        <f>(C2-B2)*Assumptions!$B$5</f>
        <v>0.53333333333333377</v>
      </c>
      <c r="D8" s="6">
        <f>(D2-C2)*Assumptions!$B$5</f>
        <v>0.57600000000000029</v>
      </c>
      <c r="E8" s="6">
        <f>(E2-D2)*Assumptions!$B$5</f>
        <v>0.62208000000000085</v>
      </c>
      <c r="F8" s="6">
        <f>(F2-E2)*Assumptions!$B$5</f>
        <v>0.67184640000000062</v>
      </c>
      <c r="G8" s="6">
        <f>(G2-F2)*Assumptions!$B$5</f>
        <v>0.72559411200000112</v>
      </c>
    </row>
    <row r="9" spans="1:7">
      <c r="A9" t="s">
        <v>37</v>
      </c>
      <c r="B9" s="6">
        <f>B5-B6</f>
        <v>93.333333333333343</v>
      </c>
      <c r="C9" s="6">
        <f t="shared" ref="C9:G9" si="1">C5</f>
        <v>100.80000000000001</v>
      </c>
      <c r="D9" s="6">
        <f t="shared" si="1"/>
        <v>108.86400000000002</v>
      </c>
      <c r="E9" s="6">
        <f t="shared" si="1"/>
        <v>117.57312000000002</v>
      </c>
      <c r="F9" s="6">
        <f t="shared" si="1"/>
        <v>126.97896960000004</v>
      </c>
      <c r="G9" s="6">
        <f t="shared" si="1"/>
        <v>137.13728716800006</v>
      </c>
    </row>
    <row r="10" spans="1:7">
      <c r="A10" t="s">
        <v>38</v>
      </c>
      <c r="B10" s="6">
        <f>MAX(0, B9*Assumptions!$B$7)</f>
        <v>23.333333333333336</v>
      </c>
      <c r="C10" s="6">
        <f>MAX(0, C9*Assumptions!$B$7)</f>
        <v>25.200000000000003</v>
      </c>
      <c r="D10" s="6">
        <f>MAX(0, D9*Assumptions!$B$7)</f>
        <v>27.216000000000005</v>
      </c>
      <c r="E10" s="6">
        <f>MAX(0, E9*Assumptions!$B$7)</f>
        <v>29.393280000000004</v>
      </c>
      <c r="F10" s="6">
        <f>MAX(0, F9*Assumptions!$B$7)</f>
        <v>31.74474240000001</v>
      </c>
      <c r="G10" s="6">
        <f>MAX(0, G9*Assumptions!$B$7)</f>
        <v>34.284321792000014</v>
      </c>
    </row>
    <row r="11" spans="1:7">
      <c r="A11" t="s">
        <v>39</v>
      </c>
      <c r="B11" s="6">
        <f>B9-B10</f>
        <v>70</v>
      </c>
      <c r="C11" s="6">
        <f t="shared" ref="C11:G11" si="2">C9-C10</f>
        <v>75.600000000000009</v>
      </c>
      <c r="D11" s="6">
        <f t="shared" si="2"/>
        <v>81.64800000000001</v>
      </c>
      <c r="E11" s="6">
        <f t="shared" si="2"/>
        <v>88.179840000000013</v>
      </c>
      <c r="F11" s="6">
        <f t="shared" si="2"/>
        <v>95.234227200000035</v>
      </c>
      <c r="G11" s="6">
        <f t="shared" si="2"/>
        <v>102.85296537600004</v>
      </c>
    </row>
    <row r="12" spans="1:7">
      <c r="A12" t="s">
        <v>40</v>
      </c>
      <c r="B12" s="6">
        <f>B3-B7-B8-B10+B4</f>
        <v>73.333333333333357</v>
      </c>
      <c r="C12" s="6">
        <f t="shared" ref="C12:G12" si="3">C3-C7-C8-C10+C4</f>
        <v>78.666666666666686</v>
      </c>
      <c r="D12" s="6">
        <f t="shared" si="3"/>
        <v>84.960000000000008</v>
      </c>
      <c r="E12" s="6">
        <f t="shared" si="3"/>
        <v>91.756800000000027</v>
      </c>
      <c r="F12" s="6">
        <f t="shared" si="3"/>
        <v>99.097344000000021</v>
      </c>
      <c r="G12" s="6">
        <f t="shared" si="3"/>
        <v>107.02513152000004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B261-AF55-499B-A142-410FA9772ADE}">
  <dimension ref="A1:F7"/>
  <sheetViews>
    <sheetView workbookViewId="0">
      <selection activeCell="B2" sqref="B2:F7"/>
    </sheetView>
  </sheetViews>
  <sheetFormatPr defaultRowHeight="15"/>
  <cols>
    <col min="1" max="1" width="34.140625" bestFit="1" customWidth="1"/>
    <col min="2" max="2" width="21.140625" bestFit="1" customWidth="1"/>
  </cols>
  <sheetData>
    <row r="1" spans="1:6"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</row>
    <row r="2" spans="1:6">
      <c r="A2" t="s">
        <v>41</v>
      </c>
      <c r="B2" s="6">
        <f>Sources_Uses!$B$9</f>
        <v>720</v>
      </c>
      <c r="C2" s="6">
        <f>B7</f>
        <v>626.4</v>
      </c>
      <c r="D2" s="6">
        <f t="shared" ref="D2:F2" si="0">C7</f>
        <v>590.4</v>
      </c>
      <c r="E2" s="6">
        <f t="shared" si="0"/>
        <v>545.87519999999995</v>
      </c>
      <c r="F2" s="6">
        <f t="shared" si="0"/>
        <v>490.4478719999999</v>
      </c>
    </row>
    <row r="3" spans="1:6">
      <c r="A3" t="s">
        <v>34</v>
      </c>
      <c r="B3" s="6">
        <f>Assumptions!$B$11 * B2</f>
        <v>57.6</v>
      </c>
      <c r="C3" s="6">
        <f>Assumptions!$B$11 * C2</f>
        <v>50.112000000000002</v>
      </c>
      <c r="D3" s="6">
        <f>Assumptions!$B$11 * D2</f>
        <v>47.231999999999999</v>
      </c>
      <c r="E3" s="6">
        <f>Assumptions!$B$11 * E2</f>
        <v>43.670015999999997</v>
      </c>
      <c r="F3" s="6">
        <f>Assumptions!$B$11 * F2</f>
        <v>39.235829759999994</v>
      </c>
    </row>
    <row r="4" spans="1:6">
      <c r="A4" t="s">
        <v>42</v>
      </c>
      <c r="B4" s="6">
        <f>Assumptions!$B$12 * $B$2</f>
        <v>36</v>
      </c>
      <c r="C4" s="6">
        <f>Assumptions!$B$12 * $B$2</f>
        <v>36</v>
      </c>
      <c r="D4" s="6">
        <f>Assumptions!$B$12 * $B$2</f>
        <v>36</v>
      </c>
      <c r="E4" s="6">
        <f>Assumptions!$B$12 * $B$2</f>
        <v>36</v>
      </c>
      <c r="F4" s="6">
        <f>Assumptions!$B$12 * $B$2</f>
        <v>36</v>
      </c>
    </row>
    <row r="5" spans="1:6">
      <c r="A5" t="s">
        <v>43</v>
      </c>
      <c r="B5" s="6">
        <f>Ops!C12</f>
        <v>78.666666666666686</v>
      </c>
      <c r="C5" s="6">
        <f>Ops!D12</f>
        <v>84.960000000000008</v>
      </c>
      <c r="D5" s="6">
        <f>Ops!E12</f>
        <v>91.756800000000027</v>
      </c>
      <c r="E5" s="6">
        <f>Ops!F12</f>
        <v>99.097344000000021</v>
      </c>
      <c r="F5" s="6">
        <f>Ops!G12</f>
        <v>107.02513152000004</v>
      </c>
    </row>
    <row r="6" spans="1:6">
      <c r="A6" t="s">
        <v>44</v>
      </c>
      <c r="B6" s="6">
        <f>Debt_Schedule!B3</f>
        <v>57.6</v>
      </c>
      <c r="C6" s="6">
        <f t="shared" ref="C6:F6" si="1">MIN(C2-C4, MAX(0, C5-C3-C4))</f>
        <v>0</v>
      </c>
      <c r="D6" s="6">
        <f t="shared" si="1"/>
        <v>8.5248000000000275</v>
      </c>
      <c r="E6" s="6">
        <f t="shared" si="1"/>
        <v>19.427328000000024</v>
      </c>
      <c r="F6" s="6">
        <f t="shared" si="1"/>
        <v>31.789301760000058</v>
      </c>
    </row>
    <row r="7" spans="1:6">
      <c r="A7" t="s">
        <v>45</v>
      </c>
      <c r="B7" s="6">
        <f>B2-B4-B6</f>
        <v>626.4</v>
      </c>
      <c r="C7" s="6">
        <f t="shared" ref="C7:F7" si="2">C2-C4-C6</f>
        <v>590.4</v>
      </c>
      <c r="D7" s="6">
        <f t="shared" si="2"/>
        <v>545.87519999999995</v>
      </c>
      <c r="E7" s="6">
        <f t="shared" si="2"/>
        <v>490.4478719999999</v>
      </c>
      <c r="F7" s="6">
        <f t="shared" si="2"/>
        <v>422.65857023999985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EEFDF-AD6C-421C-AF71-F9FE637AA40C}">
  <dimension ref="A1:I16"/>
  <sheetViews>
    <sheetView workbookViewId="0">
      <selection activeCell="E21" sqref="E21"/>
    </sheetView>
  </sheetViews>
  <sheetFormatPr defaultRowHeight="15"/>
  <cols>
    <col min="1" max="1" width="17" bestFit="1" customWidth="1"/>
    <col min="2" max="2" width="18.140625" bestFit="1" customWidth="1"/>
    <col min="4" max="4" width="27.28515625" customWidth="1"/>
    <col min="6" max="6" width="10.140625" customWidth="1"/>
  </cols>
  <sheetData>
    <row r="1" spans="1:9">
      <c r="A1" t="s">
        <v>46</v>
      </c>
      <c r="B1" t="s">
        <v>47</v>
      </c>
      <c r="D1" t="s">
        <v>48</v>
      </c>
    </row>
    <row r="2" spans="1:9">
      <c r="A2" t="s">
        <v>49</v>
      </c>
      <c r="B2" s="6">
        <f>Ops!G3</f>
        <v>146.93280768000005</v>
      </c>
      <c r="D2" t="s">
        <v>50</v>
      </c>
    </row>
    <row r="3" spans="1:9">
      <c r="A3" t="s">
        <v>51</v>
      </c>
      <c r="B3" s="6">
        <f>B2*Assumptions!B9</f>
        <v>1763.1936921600006</v>
      </c>
      <c r="D3" t="s">
        <v>52</v>
      </c>
    </row>
    <row r="4" spans="1:9">
      <c r="A4" t="s">
        <v>53</v>
      </c>
      <c r="B4" s="6">
        <f>Debt_Schedule!F7</f>
        <v>422.65857023999985</v>
      </c>
      <c r="D4" t="s">
        <v>54</v>
      </c>
    </row>
    <row r="5" spans="1:9">
      <c r="A5" t="s">
        <v>55</v>
      </c>
      <c r="B5" s="6">
        <f>B3-B4</f>
        <v>1340.5351219200008</v>
      </c>
      <c r="D5" t="s">
        <v>56</v>
      </c>
    </row>
    <row r="6" spans="1:9">
      <c r="A6" t="s">
        <v>57</v>
      </c>
      <c r="B6" s="6"/>
    </row>
    <row r="7" spans="1:9" ht="29.25">
      <c r="A7" t="s">
        <v>58</v>
      </c>
      <c r="B7" s="6">
        <f>-Sources_Uses!B10</f>
        <v>-504</v>
      </c>
      <c r="D7" s="4" t="s">
        <v>59</v>
      </c>
    </row>
    <row r="8" spans="1:9">
      <c r="A8" t="s">
        <v>60</v>
      </c>
      <c r="B8" s="6">
        <v>0</v>
      </c>
      <c r="D8" t="s">
        <v>61</v>
      </c>
    </row>
    <row r="9" spans="1:9">
      <c r="A9" t="s">
        <v>62</v>
      </c>
      <c r="B9" s="6">
        <v>0</v>
      </c>
    </row>
    <row r="10" spans="1:9">
      <c r="A10" t="s">
        <v>63</v>
      </c>
      <c r="B10" s="6">
        <v>0</v>
      </c>
    </row>
    <row r="11" spans="1:9">
      <c r="A11" t="s">
        <v>64</v>
      </c>
      <c r="B11" s="6">
        <v>0</v>
      </c>
    </row>
    <row r="12" spans="1:9">
      <c r="A12" t="s">
        <v>65</v>
      </c>
      <c r="B12" s="6">
        <f>B5</f>
        <v>1340.5351219200008</v>
      </c>
      <c r="D12" t="s">
        <v>55</v>
      </c>
    </row>
    <row r="13" spans="1:9">
      <c r="A13" t="s">
        <v>66</v>
      </c>
      <c r="B13" s="6">
        <f>B12/ABS(B7)</f>
        <v>2.6597919085714303</v>
      </c>
      <c r="C13" t="s">
        <v>67</v>
      </c>
      <c r="D13" t="s">
        <v>68</v>
      </c>
    </row>
    <row r="14" spans="1:9">
      <c r="A14" t="s">
        <v>69</v>
      </c>
      <c r="B14" s="1">
        <f>IRR(B7:B12)</f>
        <v>0.21610068219557532</v>
      </c>
      <c r="D14" t="s">
        <v>70</v>
      </c>
    </row>
    <row r="16" spans="1:9">
      <c r="E16" s="1"/>
      <c r="F16" s="1"/>
      <c r="G16" s="1"/>
      <c r="H16" s="1"/>
      <c r="I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15DE8-ECA4-4119-912D-6846FB03BE29}">
  <dimension ref="A1"/>
  <sheetViews>
    <sheetView workbookViewId="0"/>
  </sheetViews>
  <sheetFormatPr defaultRowHeight="15"/>
  <sheetData>
    <row r="1" spans="1:1">
      <c r="A1" s="1">
        <f>Returns_Summary!B14</f>
        <v>0.21610068219557532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Aaron Sweeney</cp:lastModifiedBy>
  <cp:revision/>
  <dcterms:created xsi:type="dcterms:W3CDTF">2025-08-11T13:56:13Z</dcterms:created>
  <dcterms:modified xsi:type="dcterms:W3CDTF">2025-08-13T16:38:28Z</dcterms:modified>
  <cp:category/>
  <cp:contentStatus/>
</cp:coreProperties>
</file>