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CF1BF16E-FD1D-4579-AD1F-58D6E1CD6C8E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15" i="1"/>
  <c r="K15" i="1"/>
  <c r="L15" i="1" s="1"/>
  <c r="K11" i="1"/>
  <c r="L11" i="1" s="1"/>
  <c r="F11" i="1"/>
  <c r="F12" i="1"/>
  <c r="F13" i="1"/>
  <c r="F14" i="1"/>
  <c r="F15" i="1"/>
  <c r="C40" i="1"/>
  <c r="C32" i="1"/>
  <c r="C3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L12" i="1"/>
  <c r="L13" i="1"/>
  <c r="L1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6" i="1"/>
  <c r="C34" i="1"/>
  <c r="C28" i="1"/>
  <c r="C26" i="1"/>
  <c r="C24" i="1"/>
  <c r="J2" i="1"/>
  <c r="J11" i="1" s="1"/>
  <c r="P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N12" i="1"/>
  <c r="N13" i="1"/>
  <c r="M14" i="1"/>
  <c r="M15" i="1"/>
  <c r="M11" i="1"/>
  <c r="H2" i="1"/>
  <c r="S2" i="1" l="1"/>
  <c r="V2" i="1" s="1"/>
  <c r="F2" i="1"/>
  <c r="N15" i="1"/>
  <c r="N14" i="1"/>
  <c r="M13" i="1"/>
  <c r="H6" i="1"/>
  <c r="O14" i="1"/>
  <c r="H10" i="1"/>
  <c r="O2" i="1"/>
  <c r="Q2" i="1"/>
  <c r="R2" i="1" s="1"/>
  <c r="U2" i="1" s="1"/>
  <c r="W2" i="1" s="1"/>
  <c r="X2" i="1" s="1"/>
  <c r="S15" i="1"/>
  <c r="V15" i="1" s="1"/>
  <c r="O15" i="1"/>
  <c r="J15" i="1"/>
  <c r="N11" i="1"/>
  <c r="H9" i="1"/>
  <c r="M12" i="1"/>
  <c r="H8" i="1"/>
  <c r="F8" i="1" s="1"/>
  <c r="H4" i="1"/>
  <c r="H5" i="1"/>
  <c r="F5" i="1" s="1"/>
  <c r="H7" i="1"/>
  <c r="F7" i="1" s="1"/>
  <c r="H3" i="1"/>
  <c r="Z2" i="1" l="1"/>
  <c r="J3" i="1"/>
  <c r="F3" i="1"/>
  <c r="O10" i="1"/>
  <c r="F10" i="1"/>
  <c r="J4" i="1"/>
  <c r="F4" i="1"/>
  <c r="O6" i="1"/>
  <c r="F6" i="1"/>
  <c r="J9" i="1"/>
  <c r="F9" i="1"/>
  <c r="P15" i="1"/>
  <c r="Q15" i="1" s="1"/>
  <c r="R15" i="1" s="1"/>
  <c r="U15" i="1" s="1"/>
  <c r="W15" i="1" s="1"/>
  <c r="X15" i="1" s="1"/>
  <c r="Z15" i="1" s="1"/>
  <c r="S6" i="1"/>
  <c r="V6" i="1" s="1"/>
  <c r="I6" i="1"/>
  <c r="P6" i="1" s="1"/>
  <c r="S10" i="1"/>
  <c r="V10" i="1" s="1"/>
  <c r="J6" i="1"/>
  <c r="J14" i="1"/>
  <c r="S14" i="1"/>
  <c r="V14" i="1" s="1"/>
  <c r="J10" i="1"/>
  <c r="J5" i="1"/>
  <c r="J12" i="1"/>
  <c r="P12" i="1"/>
  <c r="O12" i="1"/>
  <c r="S12" i="1"/>
  <c r="V12" i="1" s="1"/>
  <c r="S9" i="1"/>
  <c r="V9" i="1" s="1"/>
  <c r="I9" i="1"/>
  <c r="P9" i="1" s="1"/>
  <c r="O9" i="1"/>
  <c r="I10" i="1"/>
  <c r="P10" i="1" s="1"/>
  <c r="Q10" i="1" s="1"/>
  <c r="R10" i="1" s="1"/>
  <c r="U10" i="1" s="1"/>
  <c r="W10" i="1" s="1"/>
  <c r="X10" i="1" s="1"/>
  <c r="Z10" i="1" s="1"/>
  <c r="I4" i="1"/>
  <c r="P4" i="1" s="1"/>
  <c r="O4" i="1"/>
  <c r="S4" i="1"/>
  <c r="V4" i="1" s="1"/>
  <c r="S13" i="1"/>
  <c r="V13" i="1" s="1"/>
  <c r="O13" i="1"/>
  <c r="P13" i="1"/>
  <c r="I3" i="1"/>
  <c r="P3" i="1" s="1"/>
  <c r="S3" i="1"/>
  <c r="V3" i="1" s="1"/>
  <c r="O3" i="1"/>
  <c r="J13" i="1"/>
  <c r="O7" i="1"/>
  <c r="S7" i="1"/>
  <c r="V7" i="1" s="1"/>
  <c r="J7" i="1"/>
  <c r="I7" i="1"/>
  <c r="P7" i="1" s="1"/>
  <c r="S11" i="1"/>
  <c r="V11" i="1" s="1"/>
  <c r="P11" i="1"/>
  <c r="O11" i="1"/>
  <c r="S5" i="1"/>
  <c r="V5" i="1" s="1"/>
  <c r="O5" i="1"/>
  <c r="I5" i="1"/>
  <c r="P5" i="1" s="1"/>
  <c r="J8" i="1"/>
  <c r="I8" i="1"/>
  <c r="P8" i="1" s="1"/>
  <c r="S8" i="1"/>
  <c r="V8" i="1" s="1"/>
  <c r="O8" i="1"/>
  <c r="P14" i="1"/>
  <c r="Q14" i="1" s="1"/>
  <c r="R14" i="1" s="1"/>
  <c r="U14" i="1" s="1"/>
  <c r="W14" i="1" s="1"/>
  <c r="X14" i="1" s="1"/>
  <c r="Z14" i="1" s="1"/>
  <c r="Q6" i="1" l="1"/>
  <c r="R6" i="1" s="1"/>
  <c r="U6" i="1" s="1"/>
  <c r="W6" i="1" s="1"/>
  <c r="X6" i="1" s="1"/>
  <c r="Z6" i="1" s="1"/>
  <c r="Q12" i="1"/>
  <c r="R12" i="1" s="1"/>
  <c r="U12" i="1" s="1"/>
  <c r="W12" i="1" s="1"/>
  <c r="X12" i="1" s="1"/>
  <c r="Z12" i="1" s="1"/>
  <c r="Q3" i="1"/>
  <c r="R3" i="1" s="1"/>
  <c r="U3" i="1" s="1"/>
  <c r="W3" i="1" s="1"/>
  <c r="X3" i="1" s="1"/>
  <c r="Q8" i="1"/>
  <c r="R8" i="1" s="1"/>
  <c r="U8" i="1" s="1"/>
  <c r="W8" i="1" s="1"/>
  <c r="X8" i="1" s="1"/>
  <c r="Z8" i="1" s="1"/>
  <c r="Q9" i="1"/>
  <c r="R9" i="1" s="1"/>
  <c r="U9" i="1" s="1"/>
  <c r="W9" i="1" s="1"/>
  <c r="X9" i="1" s="1"/>
  <c r="Z9" i="1" s="1"/>
  <c r="Q4" i="1"/>
  <c r="R4" i="1" s="1"/>
  <c r="U4" i="1" s="1"/>
  <c r="W4" i="1" s="1"/>
  <c r="X4" i="1" s="1"/>
  <c r="Z4" i="1" s="1"/>
  <c r="Q11" i="1"/>
  <c r="R11" i="1" s="1"/>
  <c r="U11" i="1" s="1"/>
  <c r="W11" i="1" s="1"/>
  <c r="X11" i="1" s="1"/>
  <c r="Z11" i="1" s="1"/>
  <c r="Q5" i="1"/>
  <c r="R5" i="1" s="1"/>
  <c r="U5" i="1" s="1"/>
  <c r="W5" i="1" s="1"/>
  <c r="X5" i="1" s="1"/>
  <c r="Z5" i="1" s="1"/>
  <c r="Q13" i="1"/>
  <c r="R13" i="1" s="1"/>
  <c r="U13" i="1" s="1"/>
  <c r="W13" i="1" s="1"/>
  <c r="X13" i="1" s="1"/>
  <c r="Z13" i="1" s="1"/>
  <c r="Q7" i="1"/>
  <c r="R7" i="1" s="1"/>
  <c r="U7" i="1" s="1"/>
  <c r="W7" i="1" s="1"/>
  <c r="X7" i="1" s="1"/>
  <c r="Z7" i="1" s="1"/>
  <c r="Z3" i="1" l="1"/>
  <c r="AC17" i="1"/>
</calcChain>
</file>

<file path=xl/sharedStrings.xml><?xml version="1.0" encoding="utf-8"?>
<sst xmlns="http://schemas.openxmlformats.org/spreadsheetml/2006/main" count="183" uniqueCount="149">
  <si>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</si>
  <si>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</si>
  <si>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</si>
  <si>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</si>
  <si>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</si>
  <si>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</si>
  <si>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</si>
  <si>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</si>
  <si>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</si>
  <si>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</si>
  <si>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</si>
  <si>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</si>
  <si>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</si>
  <si>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</si>
  <si>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</si>
  <si>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</si>
  <si>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</si>
  <si>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</si>
  <si>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</si>
  <si>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</si>
  <si>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</si>
  <si>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</si>
  <si>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</si>
  <si>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</si>
  <si>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</si>
  <si>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</si>
  <si>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</si>
  <si>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</si>
  <si>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</si>
  <si>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</si>
  <si>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</si>
  <si>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</si>
  <si>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</si>
  <si>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</si>
  <si>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</si>
  <si>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</si>
  <si>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</si>
  <si>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</si>
  <si>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</si>
  <si>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</si>
  <si>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</si>
  <si>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</si>
  <si>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</si>
  <si>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</si>
  <si>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</si>
  <si>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</si>
  <si>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</si>
  <si>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</si>
  <si>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</si>
  <si>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</si>
  <si>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</si>
  <si>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</si>
  <si>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</si>
  <si>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</si>
  <si>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</si>
  <si>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</si>
  <si>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</si>
  <si>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</si>
  <si>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</si>
  <si>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</si>
  <si>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</si>
  <si>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</si>
  <si>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</si>
  <si>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</si>
  <si>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</si>
  <si>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</si>
  <si>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</si>
  <si>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</si>
  <si>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</si>
  <si>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</si>
  <si>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</si>
  <si>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</si>
  <si>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</si>
  <si>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</si>
  <si>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</si>
  <si>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</si>
  <si>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</si>
  <si>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</si>
  <si>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</si>
  <si>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</si>
  <si>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</si>
  <si>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</si>
  <si>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</si>
  <si>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</si>
  <si>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</si>
  <si>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</si>
  <si>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</si>
  <si>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</si>
  <si>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</si>
  <si>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</si>
  <si>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</si>
  <si>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</si>
  <si>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</si>
  <si>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</si>
  <si>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</si>
  <si>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</si>
  <si>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</si>
  <si>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</si>
  <si>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</si>
  <si>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</si>
  <si>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</si>
  <si>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</si>
  <si>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</si>
  <si>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</si>
  <si>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</si>
  <si>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</si>
  <si>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</si>
  <si>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</si>
  <si>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</si>
  <si>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</si>
  <si>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</si>
  <si>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</si>
  <si>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</si>
  <si>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</si>
  <si>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</si>
  <si>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</si>
  <si>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</si>
  <si>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</si>
  <si>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</si>
  <si>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</si>
  <si>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</si>
  <si>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</si>
  <si>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</si>
  <si>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</si>
  <si>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</si>
  <si>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</si>
  <si>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</si>
  <si>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</si>
  <si>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</si>
  <si>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 xml:space="preserve">Gradability 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</si>
  <si>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</si>
  <si>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</si>
  <si>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</si>
  <si>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</si>
  <si>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</si>
  <si>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</si>
  <si>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</si>
  <si>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</si>
  <si>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</si>
  <si>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</si>
  <si>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</si>
  <si>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</si>
  <si>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</si>
  <si>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</si>
  <si>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</si>
  <si>
    <t>Battery Capacity</t>
  </si>
  <si>
    <t>Machine Run Time</t>
  </si>
  <si>
    <t>Hr</t>
  </si>
  <si>
    <t>Battery Discharge Rate [unit/hr]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</si>
</sst>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3" fillId="7" borderId="12" xfId="1"/>
    <xf numFmtId="0" fontId="3" fillId="7" borderId="12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8" borderId="0" xfId="0" applyFill="1"/>
    <xf numFmtId="2" fontId="3" fillId="7" borderId="12" xfId="1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 wrapText="1"/>
    </xf>
    <xf numFmtId="0" fontId="3" fillId="7" borderId="12" xfId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Application!$H$1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Application!$F$2:$F$15</c:f>
              <c:numCache>
                <c:formatCode>0.00</c:formatCode>
                <c:ptCount val="14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79.92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1.08</c:v>
                </c:pt>
              </c:numCache>
            </c:numRef>
          </c:xVal>
          <c:y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Application!$H$2:$H$15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1E-3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0.3</c:v>
                </c:pt>
              </c:numCache>
            </c:numRef>
          </c:xVal>
          <c:yVal>
            <c:numRef>
              <c:f>Application!$K$2:$K$15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Application!$X$1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  <c:pt idx="9">
                  <c:v>0.28418300285442638</c:v>
                </c:pt>
                <c:pt idx="10">
                  <c:v>568.36600570885275</c:v>
                </c:pt>
                <c:pt idx="11">
                  <c:v>284.18300285442638</c:v>
                </c:pt>
                <c:pt idx="12">
                  <c:v>227.3464022835411</c:v>
                </c:pt>
                <c:pt idx="13">
                  <c:v>85.254900856327907</c:v>
                </c:pt>
              </c:numCache>
            </c:numRef>
          </c:xVal>
          <c:yVal>
            <c:numRef>
              <c:f>Application!$X$2:$X$15</c:f>
              <c:numCache>
                <c:formatCode>General</c:formatCode>
                <c:ptCount val="14"/>
                <c:pt idx="0">
                  <c:v>0</c:v>
                </c:pt>
                <c:pt idx="1">
                  <c:v>21.83435957894736</c:v>
                </c:pt>
                <c:pt idx="2">
                  <c:v>44.433950315789474</c:v>
                </c:pt>
                <c:pt idx="3">
                  <c:v>68.564003368421055</c:v>
                </c:pt>
                <c:pt idx="4">
                  <c:v>94.98974989473686</c:v>
                </c:pt>
                <c:pt idx="5">
                  <c:v>124.47642105263157</c:v>
                </c:pt>
                <c:pt idx="6">
                  <c:v>96.0065884433684</c:v>
                </c:pt>
                <c:pt idx="7">
                  <c:v>39.455009495999995</c:v>
                </c:pt>
                <c:pt idx="8">
                  <c:v>39.455009495999995</c:v>
                </c:pt>
                <c:pt idx="9">
                  <c:v>2.3056414073317096E-2</c:v>
                </c:pt>
                <c:pt idx="10">
                  <c:v>12.948986102386463</c:v>
                </c:pt>
                <c:pt idx="11">
                  <c:v>12.095748117815699</c:v>
                </c:pt>
                <c:pt idx="12">
                  <c:v>18.446151565269972</c:v>
                </c:pt>
                <c:pt idx="13">
                  <c:v>6.9169780267130818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Application!$AA$2:$AA$15</c:f>
              <c:numCache>
                <c:formatCode>General</c:formatCode>
                <c:ptCount val="14"/>
                <c:pt idx="0">
                  <c:v>0.05</c:v>
                </c:pt>
                <c:pt idx="1">
                  <c:v>1.3736037582878436E-5</c:v>
                </c:pt>
                <c:pt idx="2">
                  <c:v>6.7506826148140472E-6</c:v>
                </c:pt>
                <c:pt idx="3">
                  <c:v>4.3750909328110192E-6</c:v>
                </c:pt>
                <c:pt idx="4">
                  <c:v>3.1580360209001439E-6</c:v>
                </c:pt>
                <c:pt idx="5">
                  <c:v>2.4099788344665876E-6</c:v>
                </c:pt>
                <c:pt idx="6">
                  <c:v>3.1245902736696925E-6</c:v>
                </c:pt>
                <c:pt idx="7">
                  <c:v>7.6024410888527761E-6</c:v>
                </c:pt>
                <c:pt idx="8">
                  <c:v>7.6024410888527761E-6</c:v>
                </c:pt>
                <c:pt idx="9">
                  <c:v>1.0324742731261325E-2</c:v>
                </c:pt>
                <c:pt idx="10">
                  <c:v>2.3157107049673825E-5</c:v>
                </c:pt>
                <c:pt idx="11">
                  <c:v>2.478980698320371E-5</c:v>
                </c:pt>
                <c:pt idx="12">
                  <c:v>1.6258266627543319E-5</c:v>
                </c:pt>
                <c:pt idx="13">
                  <c:v>4.3333952360157234E-5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2-4D63-B8E7-759A7CEC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560"/>
        <c:axId val="358225808"/>
      </c:scatterChart>
      <c:valAx>
        <c:axId val="3582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5808"/>
        <c:crosses val="autoZero"/>
        <c:crossBetween val="midCat"/>
      </c:valAx>
      <c:valAx>
        <c:axId val="3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Application!$I$154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Application!$I$155:$I$164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Application!$M$154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Application!$M$155:$M$164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300036</xdr:colOff>
      <xdr:row>18</xdr:row>
      <xdr:rowOff>100011</xdr:rowOff>
    </xdr:from>
    <xdr:to>
      <xdr:col>24</xdr:col>
      <xdr:colOff>171450</xdr:colOff>
      <xdr:row>37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300037</xdr:colOff>
      <xdr:row>37</xdr:row>
      <xdr:rowOff>61912</xdr:rowOff>
    </xdr:from>
    <xdr:to>
      <xdr:col>24</xdr:col>
      <xdr:colOff>161925</xdr:colOff>
      <xdr:row>52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17</xdr:row>
      <xdr:rowOff>157162</xdr:rowOff>
    </xdr:from>
    <xdr:to>
      <xdr:col>18</xdr:col>
      <xdr:colOff>438150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9ECB7-CA36-4789-9F54-78136B9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0" totalsRowShown="0" headerRowDxfId="4" headerRowBorderDxfId="3" tableBorderDxfId="2">
  <autoFilter ref="A1:C20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2:C40" totalsRowShown="0" headerRowDxfId="1">
  <autoFilter ref="B22:C40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AC164"/>
  <sheetViews>
    <sheetView tabSelected="1" zoomScaleNormal="100" workbookViewId="0">
      <selection activeCell="B44" sqref="B44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  <col min="23" max="23" width="10.28515625" customWidth="1"/>
  </cols>
  <sheetData>
    <row r="1" spans="1:28" ht="60.75" thickBot="1" x14ac:dyDescent="0.3">
      <c r="A1" s="27" t="s">
        <v>11</v>
      </c>
      <c r="B1" s="27" t="s">
        <v>0</v>
      </c>
      <c r="C1" s="27" t="s">
        <v>1</v>
      </c>
      <c r="D1" s="43" t="s">
        <v>49</v>
      </c>
      <c r="E1" s="2" t="s">
        <v>20</v>
      </c>
      <c r="F1" s="2" t="s">
        <v>127</v>
      </c>
      <c r="G1" s="2" t="s">
        <v>21</v>
      </c>
      <c r="H1" s="2" t="s">
        <v>36</v>
      </c>
      <c r="I1" s="2" t="s">
        <v>28</v>
      </c>
      <c r="J1" s="2" t="s">
        <v>22</v>
      </c>
      <c r="K1" s="2" t="s">
        <v>126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29</v>
      </c>
      <c r="R1" s="2" t="s">
        <v>30</v>
      </c>
      <c r="S1" s="2" t="s">
        <v>34</v>
      </c>
      <c r="T1" s="2" t="s">
        <v>31</v>
      </c>
      <c r="U1" s="2" t="s">
        <v>33</v>
      </c>
      <c r="V1" s="2" t="s">
        <v>35</v>
      </c>
      <c r="W1" s="37" t="s">
        <v>141</v>
      </c>
      <c r="X1" s="37" t="s">
        <v>142</v>
      </c>
      <c r="Y1" s="37" t="s">
        <v>143</v>
      </c>
      <c r="Z1" s="37" t="s">
        <v>144</v>
      </c>
      <c r="AA1" s="37" t="s">
        <v>148</v>
      </c>
    </row>
    <row r="2" spans="1:28" x14ac:dyDescent="0.25">
      <c r="A2" s="26" t="s">
        <v>3</v>
      </c>
      <c r="B2" s="26">
        <v>11000</v>
      </c>
      <c r="C2" s="26" t="s">
        <v>2</v>
      </c>
      <c r="D2" s="43"/>
      <c r="E2" s="20">
        <v>0</v>
      </c>
      <c r="F2" s="20">
        <f t="shared" ref="F2:F15" si="0">3600*H2/1000</f>
        <v>0</v>
      </c>
      <c r="G2" s="20">
        <v>0</v>
      </c>
      <c r="H2" s="20">
        <f t="shared" ref="H2:H10" si="1">IF(G2&gt;$B$15,$B$15,G2)</f>
        <v>0</v>
      </c>
      <c r="I2" s="21">
        <v>0</v>
      </c>
      <c r="J2" s="20">
        <f>$B$2*$B$3*$B$8</f>
        <v>43164</v>
      </c>
      <c r="K2" s="20">
        <v>0</v>
      </c>
      <c r="L2" s="20">
        <v>0</v>
      </c>
      <c r="M2" s="20">
        <f>$B$2*$B$3*SIN(L2)</f>
        <v>0</v>
      </c>
      <c r="N2" s="20">
        <f>$B$2*$B$3*$B$7*COS(L2)</f>
        <v>755.37</v>
      </c>
      <c r="O2" s="20">
        <f>0.5*$B$5*$B$6*$B$4*H2^2</f>
        <v>0</v>
      </c>
      <c r="P2" s="20">
        <f>$B$2*I2</f>
        <v>0</v>
      </c>
      <c r="Q2" s="20">
        <f>SUM(M2,N2,O2,P2)</f>
        <v>755.37</v>
      </c>
      <c r="R2" s="20">
        <f>Q2*$B$9</f>
        <v>355.02389999999997</v>
      </c>
      <c r="S2" s="20">
        <f>H2*60/2/PI()/$B$9</f>
        <v>0</v>
      </c>
      <c r="T2" s="20">
        <f t="shared" ref="T2:T15" si="2">$B$17*$B$18</f>
        <v>13.986999999999998</v>
      </c>
      <c r="U2" s="20">
        <f>R2/T2/$B$16/$B$10</f>
        <v>13.359168099701604</v>
      </c>
      <c r="V2" s="20">
        <f>S2*T2</f>
        <v>0</v>
      </c>
      <c r="W2" s="40">
        <f>U2*V2*2*PI()/60/1000</f>
        <v>0</v>
      </c>
      <c r="X2" s="40">
        <f>W2*$B$16</f>
        <v>0</v>
      </c>
      <c r="Y2" s="40">
        <v>600</v>
      </c>
      <c r="Z2" s="40">
        <f>1000*X2/Y2</f>
        <v>0</v>
      </c>
      <c r="AA2" s="40">
        <f>($B$19*$B$20/(Z2+0.01)/Y2/1000)</f>
        <v>0.05</v>
      </c>
      <c r="AB2" s="40"/>
    </row>
    <row r="3" spans="1:28" x14ac:dyDescent="0.25">
      <c r="A3" s="26" t="s">
        <v>4</v>
      </c>
      <c r="B3" s="26">
        <v>9.81</v>
      </c>
      <c r="C3" s="26" t="s">
        <v>5</v>
      </c>
      <c r="D3" s="43"/>
      <c r="E3" s="20">
        <f>E2+$B$42</f>
        <v>10</v>
      </c>
      <c r="F3" s="20">
        <f t="shared" si="0"/>
        <v>14.4</v>
      </c>
      <c r="G3" s="20">
        <f t="shared" ref="G3:G15" si="3">G2+$B$14*(E3-E2)</f>
        <v>4</v>
      </c>
      <c r="H3" s="20">
        <f t="shared" si="1"/>
        <v>4</v>
      </c>
      <c r="I3" s="21">
        <f t="shared" ref="I3:I10" si="4">(H3-H2)/(E3-E2)</f>
        <v>0.4</v>
      </c>
      <c r="J3" s="20">
        <f t="shared" ref="J3:J15" si="5">$J$2/H3</f>
        <v>10791</v>
      </c>
      <c r="K3" s="20">
        <v>0</v>
      </c>
      <c r="L3" s="20">
        <v>0</v>
      </c>
      <c r="M3" s="20">
        <f t="shared" ref="M3:M15" si="6">$B$2*$B$3*SIN(L3)</f>
        <v>0</v>
      </c>
      <c r="N3" s="20">
        <f t="shared" ref="N3:N15" si="7">$B$2*$B$3*$B$7*COS(L3)</f>
        <v>755.37</v>
      </c>
      <c r="O3" s="20">
        <f t="shared" ref="O3:O15" si="8">0.5*$B$5*$B$6*$B$4*H3^2</f>
        <v>30.290400000000002</v>
      </c>
      <c r="P3" s="20">
        <f t="shared" ref="P3:P15" si="9">$B$2*I3</f>
        <v>4400</v>
      </c>
      <c r="Q3" s="20">
        <f t="shared" ref="Q3:Q15" si="10">SUM(M3,N3,O3,P3)</f>
        <v>5185.6603999999998</v>
      </c>
      <c r="R3" s="20">
        <f t="shared" ref="R3:R15" si="11">Q3*$B$9</f>
        <v>2437.2603879999997</v>
      </c>
      <c r="S3" s="20">
        <f t="shared" ref="S3:S15" si="12">H3*60/2/PI()/$B$9</f>
        <v>81.27060923841465</v>
      </c>
      <c r="T3" s="20">
        <f t="shared" si="2"/>
        <v>13.986999999999998</v>
      </c>
      <c r="U3" s="20">
        <f t="shared" ref="U3:U15" si="13">R3/T3/$B$16/$B$10</f>
        <v>91.711491046197025</v>
      </c>
      <c r="V3" s="20">
        <f t="shared" ref="V3:V15" si="14">S3*T3</f>
        <v>1136.7320114177055</v>
      </c>
      <c r="W3" s="40">
        <f t="shared" ref="W3:W15" si="15">U3*V3*2*PI()/60/1000</f>
        <v>10.91717978947368</v>
      </c>
      <c r="X3" s="40">
        <f t="shared" ref="X3:X15" si="16">W3*$B$16</f>
        <v>21.83435957894736</v>
      </c>
      <c r="Y3" s="40">
        <v>600</v>
      </c>
      <c r="Z3" s="40">
        <f t="shared" ref="Z3:Z15" si="17">1000*X3/Y3</f>
        <v>36.390599298245604</v>
      </c>
      <c r="AA3" s="40">
        <f t="shared" ref="AA3:AA15" si="18">($B$19*$B$20/(Z3+0.01)/Y3/1000)</f>
        <v>1.3736037582878436E-5</v>
      </c>
      <c r="AB3" s="40"/>
    </row>
    <row r="4" spans="1:28" x14ac:dyDescent="0.25">
      <c r="A4" s="26" t="s">
        <v>13</v>
      </c>
      <c r="B4" s="26">
        <v>4.2</v>
      </c>
      <c r="C4" s="26" t="s">
        <v>14</v>
      </c>
      <c r="D4" s="43"/>
      <c r="E4" s="20">
        <f>E3+$B$42</f>
        <v>20</v>
      </c>
      <c r="F4" s="20">
        <f t="shared" si="0"/>
        <v>28.8</v>
      </c>
      <c r="G4" s="20">
        <f t="shared" si="3"/>
        <v>8</v>
      </c>
      <c r="H4" s="20">
        <f t="shared" si="1"/>
        <v>8</v>
      </c>
      <c r="I4" s="21">
        <f t="shared" si="4"/>
        <v>0.4</v>
      </c>
      <c r="J4" s="20">
        <f t="shared" si="5"/>
        <v>5395.5</v>
      </c>
      <c r="K4" s="20">
        <v>0</v>
      </c>
      <c r="L4" s="20">
        <v>0</v>
      </c>
      <c r="M4" s="20">
        <f t="shared" si="6"/>
        <v>0</v>
      </c>
      <c r="N4" s="20">
        <f t="shared" si="7"/>
        <v>755.37</v>
      </c>
      <c r="O4" s="20">
        <f t="shared" si="8"/>
        <v>121.16160000000001</v>
      </c>
      <c r="P4" s="20">
        <f t="shared" si="9"/>
        <v>4400</v>
      </c>
      <c r="Q4" s="20">
        <f t="shared" si="10"/>
        <v>5276.5316000000003</v>
      </c>
      <c r="R4" s="20">
        <f t="shared" si="11"/>
        <v>2479.9698520000002</v>
      </c>
      <c r="S4" s="20">
        <f t="shared" si="12"/>
        <v>162.5412184768293</v>
      </c>
      <c r="T4" s="20">
        <f t="shared" si="2"/>
        <v>13.986999999999998</v>
      </c>
      <c r="U4" s="20">
        <f t="shared" si="13"/>
        <v>93.318602311168661</v>
      </c>
      <c r="V4" s="20">
        <f t="shared" si="14"/>
        <v>2273.464022835411</v>
      </c>
      <c r="W4" s="40">
        <f t="shared" si="15"/>
        <v>22.216975157894737</v>
      </c>
      <c r="X4" s="40">
        <f t="shared" si="16"/>
        <v>44.433950315789474</v>
      </c>
      <c r="Y4" s="40">
        <v>600</v>
      </c>
      <c r="Z4" s="40">
        <f t="shared" si="17"/>
        <v>74.056583859649123</v>
      </c>
      <c r="AA4" s="40">
        <f t="shared" si="18"/>
        <v>6.7506826148140472E-6</v>
      </c>
      <c r="AB4" s="40"/>
    </row>
    <row r="5" spans="1:28" x14ac:dyDescent="0.25">
      <c r="A5" s="26" t="s">
        <v>6</v>
      </c>
      <c r="B5" s="26">
        <v>1.202</v>
      </c>
      <c r="C5" s="26" t="s">
        <v>7</v>
      </c>
      <c r="D5" s="43"/>
      <c r="E5" s="20">
        <f>E4+$B$42</f>
        <v>30</v>
      </c>
      <c r="F5" s="20">
        <f t="shared" si="0"/>
        <v>43.2</v>
      </c>
      <c r="G5" s="20">
        <f t="shared" si="3"/>
        <v>12</v>
      </c>
      <c r="H5" s="20">
        <f t="shared" si="1"/>
        <v>12</v>
      </c>
      <c r="I5" s="21">
        <f t="shared" si="4"/>
        <v>0.4</v>
      </c>
      <c r="J5" s="20">
        <f t="shared" si="5"/>
        <v>3597</v>
      </c>
      <c r="K5" s="20">
        <v>0</v>
      </c>
      <c r="L5" s="20">
        <v>0</v>
      </c>
      <c r="M5" s="20">
        <f t="shared" si="6"/>
        <v>0</v>
      </c>
      <c r="N5" s="20">
        <f t="shared" si="7"/>
        <v>755.37</v>
      </c>
      <c r="O5" s="20">
        <f t="shared" si="8"/>
        <v>272.61360000000002</v>
      </c>
      <c r="P5" s="20">
        <f t="shared" si="9"/>
        <v>4400</v>
      </c>
      <c r="Q5" s="20">
        <f t="shared" si="10"/>
        <v>5427.9835999999996</v>
      </c>
      <c r="R5" s="20">
        <f t="shared" si="11"/>
        <v>2551.1522919999998</v>
      </c>
      <c r="S5" s="20">
        <f t="shared" si="12"/>
        <v>243.81182771524394</v>
      </c>
      <c r="T5" s="20">
        <f t="shared" si="2"/>
        <v>13.986999999999998</v>
      </c>
      <c r="U5" s="20">
        <f t="shared" si="13"/>
        <v>95.997121086121339</v>
      </c>
      <c r="V5" s="20">
        <f t="shared" si="14"/>
        <v>3410.1960342531165</v>
      </c>
      <c r="W5" s="40">
        <f t="shared" si="15"/>
        <v>34.282001684210528</v>
      </c>
      <c r="X5" s="40">
        <f t="shared" si="16"/>
        <v>68.564003368421055</v>
      </c>
      <c r="Y5" s="40">
        <v>600</v>
      </c>
      <c r="Z5" s="40">
        <f t="shared" si="17"/>
        <v>114.27333894736842</v>
      </c>
      <c r="AA5" s="40">
        <f t="shared" si="18"/>
        <v>4.3750909328110192E-6</v>
      </c>
      <c r="AB5" s="40"/>
    </row>
    <row r="6" spans="1:28" x14ac:dyDescent="0.25">
      <c r="A6" s="26" t="s">
        <v>15</v>
      </c>
      <c r="B6" s="26">
        <v>0.75</v>
      </c>
      <c r="C6" s="26"/>
      <c r="D6" s="43"/>
      <c r="E6" s="20">
        <f>E5+$B$42</f>
        <v>40</v>
      </c>
      <c r="F6" s="20">
        <f t="shared" si="0"/>
        <v>57.6</v>
      </c>
      <c r="G6" s="20">
        <f t="shared" si="3"/>
        <v>16</v>
      </c>
      <c r="H6" s="20">
        <f t="shared" si="1"/>
        <v>16</v>
      </c>
      <c r="I6" s="21">
        <f t="shared" si="4"/>
        <v>0.4</v>
      </c>
      <c r="J6" s="20">
        <f t="shared" si="5"/>
        <v>2697.75</v>
      </c>
      <c r="K6" s="20">
        <v>0</v>
      </c>
      <c r="L6" s="20">
        <v>0</v>
      </c>
      <c r="M6" s="20">
        <f t="shared" si="6"/>
        <v>0</v>
      </c>
      <c r="N6" s="20">
        <f t="shared" si="7"/>
        <v>755.37</v>
      </c>
      <c r="O6" s="20">
        <f t="shared" si="8"/>
        <v>484.64640000000003</v>
      </c>
      <c r="P6" s="20">
        <f t="shared" si="9"/>
        <v>4400</v>
      </c>
      <c r="Q6" s="20">
        <f t="shared" si="10"/>
        <v>5640.0164000000004</v>
      </c>
      <c r="R6" s="20">
        <f t="shared" si="11"/>
        <v>2650.8077080000003</v>
      </c>
      <c r="S6" s="20">
        <f t="shared" si="12"/>
        <v>325.0824369536586</v>
      </c>
      <c r="T6" s="20">
        <f t="shared" si="2"/>
        <v>13.986999999999998</v>
      </c>
      <c r="U6" s="20">
        <f t="shared" si="13"/>
        <v>99.747047371055103</v>
      </c>
      <c r="V6" s="20">
        <f t="shared" si="14"/>
        <v>4546.928045670822</v>
      </c>
      <c r="W6" s="40">
        <f t="shared" si="15"/>
        <v>47.49487494736843</v>
      </c>
      <c r="X6" s="40">
        <f t="shared" si="16"/>
        <v>94.98974989473686</v>
      </c>
      <c r="Y6" s="40">
        <v>600</v>
      </c>
      <c r="Z6" s="40">
        <f t="shared" si="17"/>
        <v>158.31624982456142</v>
      </c>
      <c r="AA6" s="40">
        <f t="shared" si="18"/>
        <v>3.1580360209001439E-6</v>
      </c>
      <c r="AB6" s="40"/>
    </row>
    <row r="7" spans="1:28" x14ac:dyDescent="0.25">
      <c r="A7" s="26" t="s">
        <v>123</v>
      </c>
      <c r="B7" s="26">
        <v>7.0000000000000001E-3</v>
      </c>
      <c r="C7" s="26"/>
      <c r="D7" s="43"/>
      <c r="E7" s="20">
        <f>E6+$B$42</f>
        <v>50</v>
      </c>
      <c r="F7" s="20">
        <f t="shared" si="0"/>
        <v>72</v>
      </c>
      <c r="G7" s="20">
        <f t="shared" si="3"/>
        <v>20</v>
      </c>
      <c r="H7" s="20">
        <f t="shared" si="1"/>
        <v>20</v>
      </c>
      <c r="I7" s="21">
        <f t="shared" si="4"/>
        <v>0.4</v>
      </c>
      <c r="J7" s="20">
        <f t="shared" si="5"/>
        <v>2158.1999999999998</v>
      </c>
      <c r="K7" s="20">
        <v>0</v>
      </c>
      <c r="L7" s="20">
        <v>0</v>
      </c>
      <c r="M7" s="20">
        <f t="shared" si="6"/>
        <v>0</v>
      </c>
      <c r="N7" s="20">
        <f t="shared" si="7"/>
        <v>755.37</v>
      </c>
      <c r="O7" s="20">
        <f t="shared" si="8"/>
        <v>757.26</v>
      </c>
      <c r="P7" s="20">
        <f t="shared" si="9"/>
        <v>4400</v>
      </c>
      <c r="Q7" s="20">
        <f t="shared" si="10"/>
        <v>5912.63</v>
      </c>
      <c r="R7" s="20">
        <f t="shared" si="11"/>
        <v>2778.9360999999999</v>
      </c>
      <c r="S7" s="20">
        <f t="shared" si="12"/>
        <v>406.35304619207324</v>
      </c>
      <c r="T7" s="20">
        <f t="shared" si="2"/>
        <v>13.986999999999998</v>
      </c>
      <c r="U7" s="20">
        <f t="shared" si="13"/>
        <v>104.56838116596991</v>
      </c>
      <c r="V7" s="20">
        <f t="shared" si="14"/>
        <v>5683.6600570885275</v>
      </c>
      <c r="W7" s="40">
        <f t="shared" si="15"/>
        <v>62.238210526315783</v>
      </c>
      <c r="X7" s="40">
        <f t="shared" si="16"/>
        <v>124.47642105263157</v>
      </c>
      <c r="Y7" s="40">
        <v>600</v>
      </c>
      <c r="Z7" s="40">
        <f t="shared" si="17"/>
        <v>207.46070175438592</v>
      </c>
      <c r="AA7" s="40">
        <f t="shared" si="18"/>
        <v>2.4099788344665876E-6</v>
      </c>
      <c r="AB7" s="40"/>
    </row>
    <row r="8" spans="1:28" x14ac:dyDescent="0.25">
      <c r="A8" s="26" t="s">
        <v>8</v>
      </c>
      <c r="B8" s="26">
        <v>0.4</v>
      </c>
      <c r="C8" s="26"/>
      <c r="D8" s="43"/>
      <c r="E8" s="20">
        <f>E7+$B$42</f>
        <v>60</v>
      </c>
      <c r="F8" s="20">
        <f t="shared" si="0"/>
        <v>79.92</v>
      </c>
      <c r="G8" s="20">
        <f t="shared" si="3"/>
        <v>24</v>
      </c>
      <c r="H8" s="20">
        <f t="shared" si="1"/>
        <v>22.2</v>
      </c>
      <c r="I8" s="21">
        <f t="shared" si="4"/>
        <v>0.21999999999999992</v>
      </c>
      <c r="J8" s="20">
        <f t="shared" si="5"/>
        <v>1944.3243243243244</v>
      </c>
      <c r="K8" s="20">
        <v>0</v>
      </c>
      <c r="L8" s="20">
        <v>0</v>
      </c>
      <c r="M8" s="20">
        <f t="shared" si="6"/>
        <v>0</v>
      </c>
      <c r="N8" s="20">
        <f t="shared" si="7"/>
        <v>755.37</v>
      </c>
      <c r="O8" s="20">
        <f t="shared" si="8"/>
        <v>933.02004599999998</v>
      </c>
      <c r="P8" s="20">
        <f t="shared" si="9"/>
        <v>2419.9999999999991</v>
      </c>
      <c r="Q8" s="20">
        <f t="shared" si="10"/>
        <v>4108.3900459999986</v>
      </c>
      <c r="R8" s="20">
        <f t="shared" si="11"/>
        <v>1930.9433216199993</v>
      </c>
      <c r="S8" s="20">
        <f t="shared" si="12"/>
        <v>451.05188127320127</v>
      </c>
      <c r="T8" s="20">
        <f t="shared" si="2"/>
        <v>13.986999999999998</v>
      </c>
      <c r="U8" s="20">
        <f t="shared" si="13"/>
        <v>72.659323568125274</v>
      </c>
      <c r="V8" s="20">
        <f t="shared" si="14"/>
        <v>6308.8626633682652</v>
      </c>
      <c r="W8" s="40">
        <f t="shared" si="15"/>
        <v>48.0032942216842</v>
      </c>
      <c r="X8" s="40">
        <f t="shared" si="16"/>
        <v>96.0065884433684</v>
      </c>
      <c r="Y8" s="40">
        <v>600</v>
      </c>
      <c r="Z8" s="40">
        <f t="shared" si="17"/>
        <v>160.01098073894732</v>
      </c>
      <c r="AA8" s="40">
        <f t="shared" si="18"/>
        <v>3.1245902736696925E-6</v>
      </c>
      <c r="AB8" s="40"/>
    </row>
    <row r="9" spans="1:28" x14ac:dyDescent="0.25">
      <c r="A9" s="26" t="s">
        <v>9</v>
      </c>
      <c r="B9" s="26">
        <v>0.47</v>
      </c>
      <c r="C9" s="26" t="s">
        <v>10</v>
      </c>
      <c r="D9" s="43"/>
      <c r="E9" s="20">
        <f>E8+$B$42</f>
        <v>70</v>
      </c>
      <c r="F9" s="20">
        <f t="shared" si="0"/>
        <v>79.92</v>
      </c>
      <c r="G9" s="20">
        <f t="shared" si="3"/>
        <v>28</v>
      </c>
      <c r="H9" s="20">
        <f t="shared" si="1"/>
        <v>22.2</v>
      </c>
      <c r="I9" s="21">
        <f t="shared" si="4"/>
        <v>0</v>
      </c>
      <c r="J9" s="20">
        <f t="shared" si="5"/>
        <v>1944.3243243243244</v>
      </c>
      <c r="K9" s="20">
        <v>0</v>
      </c>
      <c r="L9" s="20">
        <v>0</v>
      </c>
      <c r="M9" s="20">
        <f t="shared" si="6"/>
        <v>0</v>
      </c>
      <c r="N9" s="20">
        <f t="shared" si="7"/>
        <v>755.37</v>
      </c>
      <c r="O9" s="20">
        <f t="shared" si="8"/>
        <v>933.02004599999998</v>
      </c>
      <c r="P9" s="20">
        <f t="shared" si="9"/>
        <v>0</v>
      </c>
      <c r="Q9" s="20">
        <f t="shared" si="10"/>
        <v>1688.390046</v>
      </c>
      <c r="R9" s="20">
        <f t="shared" si="11"/>
        <v>793.54332161999992</v>
      </c>
      <c r="S9" s="20">
        <f t="shared" si="12"/>
        <v>451.05188127320127</v>
      </c>
      <c r="T9" s="20">
        <f t="shared" si="2"/>
        <v>13.986999999999998</v>
      </c>
      <c r="U9" s="20">
        <f t="shared" si="13"/>
        <v>29.860183012797599</v>
      </c>
      <c r="V9" s="20">
        <f t="shared" si="14"/>
        <v>6308.8626633682652</v>
      </c>
      <c r="W9" s="40">
        <f t="shared" si="15"/>
        <v>19.727504747999998</v>
      </c>
      <c r="X9" s="40">
        <f t="shared" si="16"/>
        <v>39.455009495999995</v>
      </c>
      <c r="Y9" s="40">
        <v>600</v>
      </c>
      <c r="Z9" s="40">
        <f t="shared" si="17"/>
        <v>65.758349159999995</v>
      </c>
      <c r="AA9" s="40">
        <f t="shared" si="18"/>
        <v>7.6024410888527761E-6</v>
      </c>
      <c r="AB9" s="40"/>
    </row>
    <row r="10" spans="1:28" x14ac:dyDescent="0.25">
      <c r="A10" s="26" t="s">
        <v>12</v>
      </c>
      <c r="B10" s="26">
        <v>0.95</v>
      </c>
      <c r="C10" s="26"/>
      <c r="D10" s="43"/>
      <c r="E10" s="20">
        <f>E9+$B$42</f>
        <v>80</v>
      </c>
      <c r="F10" s="20">
        <f t="shared" si="0"/>
        <v>79.92</v>
      </c>
      <c r="G10" s="20">
        <f t="shared" si="3"/>
        <v>32</v>
      </c>
      <c r="H10" s="20">
        <f t="shared" si="1"/>
        <v>22.2</v>
      </c>
      <c r="I10" s="21">
        <f t="shared" si="4"/>
        <v>0</v>
      </c>
      <c r="J10" s="20">
        <f t="shared" si="5"/>
        <v>1944.3243243243244</v>
      </c>
      <c r="K10" s="20">
        <v>0</v>
      </c>
      <c r="L10" s="20">
        <v>0</v>
      </c>
      <c r="M10" s="20">
        <f t="shared" si="6"/>
        <v>0</v>
      </c>
      <c r="N10" s="20">
        <f t="shared" si="7"/>
        <v>755.37</v>
      </c>
      <c r="O10" s="20">
        <f t="shared" si="8"/>
        <v>933.02004599999998</v>
      </c>
      <c r="P10" s="20">
        <f t="shared" si="9"/>
        <v>0</v>
      </c>
      <c r="Q10" s="20">
        <f t="shared" si="10"/>
        <v>1688.390046</v>
      </c>
      <c r="R10" s="20">
        <f t="shared" si="11"/>
        <v>793.54332161999992</v>
      </c>
      <c r="S10" s="20">
        <f t="shared" si="12"/>
        <v>451.05188127320127</v>
      </c>
      <c r="T10" s="20">
        <f t="shared" si="2"/>
        <v>13.986999999999998</v>
      </c>
      <c r="U10" s="20">
        <f t="shared" si="13"/>
        <v>29.860183012797599</v>
      </c>
      <c r="V10" s="20">
        <f t="shared" si="14"/>
        <v>6308.8626633682652</v>
      </c>
      <c r="W10" s="40">
        <f t="shared" si="15"/>
        <v>19.727504747999998</v>
      </c>
      <c r="X10" s="40">
        <f t="shared" si="16"/>
        <v>39.455009495999995</v>
      </c>
      <c r="Y10" s="40">
        <v>600</v>
      </c>
      <c r="Z10" s="40">
        <f t="shared" si="17"/>
        <v>65.758349159999995</v>
      </c>
      <c r="AA10" s="40">
        <f t="shared" si="18"/>
        <v>7.6024410888527761E-6</v>
      </c>
      <c r="AB10" s="40"/>
    </row>
    <row r="11" spans="1:28" x14ac:dyDescent="0.25">
      <c r="A11" s="26" t="s">
        <v>128</v>
      </c>
      <c r="B11" s="26">
        <v>20</v>
      </c>
      <c r="C11" s="26" t="s">
        <v>16</v>
      </c>
      <c r="D11" s="43"/>
      <c r="E11" s="24">
        <f>E10+$B$42</f>
        <v>90</v>
      </c>
      <c r="F11" s="24">
        <f t="shared" si="0"/>
        <v>3.5999999999999999E-3</v>
      </c>
      <c r="G11" s="24">
        <f t="shared" si="3"/>
        <v>36</v>
      </c>
      <c r="H11" s="24">
        <v>1E-3</v>
      </c>
      <c r="I11" s="25">
        <v>0</v>
      </c>
      <c r="J11" s="24">
        <f t="shared" si="5"/>
        <v>43164000</v>
      </c>
      <c r="K11" s="24">
        <f>Table2[[#This Row],[Value]]</f>
        <v>20</v>
      </c>
      <c r="L11" s="24">
        <f>ATAN2(100, K11)</f>
        <v>0.19739555984988078</v>
      </c>
      <c r="M11" s="24">
        <f t="shared" si="6"/>
        <v>21162.89214276144</v>
      </c>
      <c r="N11" s="24">
        <f t="shared" si="7"/>
        <v>740.70122499665035</v>
      </c>
      <c r="O11" s="24">
        <f t="shared" si="8"/>
        <v>1.89315E-6</v>
      </c>
      <c r="P11" s="24">
        <f t="shared" si="9"/>
        <v>0</v>
      </c>
      <c r="Q11" s="24">
        <f t="shared" si="10"/>
        <v>21903.59336965124</v>
      </c>
      <c r="R11" s="24">
        <f t="shared" si="11"/>
        <v>10294.688883736082</v>
      </c>
      <c r="S11" s="24">
        <f t="shared" si="12"/>
        <v>2.0317652309603661E-2</v>
      </c>
      <c r="T11" s="24">
        <f t="shared" si="2"/>
        <v>13.986999999999998</v>
      </c>
      <c r="U11" s="24">
        <f t="shared" si="13"/>
        <v>387.37808731175505</v>
      </c>
      <c r="V11" s="24">
        <f>S11*T11</f>
        <v>0.28418300285442638</v>
      </c>
      <c r="W11" s="38">
        <f t="shared" si="15"/>
        <v>1.1528207036658548E-2</v>
      </c>
      <c r="X11" s="38">
        <f t="shared" si="16"/>
        <v>2.3056414073317096E-2</v>
      </c>
      <c r="Y11" s="38">
        <v>600</v>
      </c>
      <c r="Z11" s="38">
        <f t="shared" si="17"/>
        <v>3.8427356788861826E-2</v>
      </c>
      <c r="AA11" s="40">
        <f t="shared" si="18"/>
        <v>1.0324742731261325E-2</v>
      </c>
      <c r="AB11" s="38"/>
    </row>
    <row r="12" spans="1:28" x14ac:dyDescent="0.25">
      <c r="A12" s="26" t="s">
        <v>129</v>
      </c>
      <c r="B12" s="26">
        <v>20</v>
      </c>
      <c r="C12" s="26" t="s">
        <v>16</v>
      </c>
      <c r="D12" s="43"/>
      <c r="E12" s="22">
        <f>E11+$B$42</f>
        <v>100</v>
      </c>
      <c r="F12" s="22">
        <f t="shared" si="0"/>
        <v>7.2</v>
      </c>
      <c r="G12" s="22">
        <f t="shared" si="3"/>
        <v>40</v>
      </c>
      <c r="H12" s="34">
        <v>2</v>
      </c>
      <c r="I12" s="23">
        <v>0</v>
      </c>
      <c r="J12" s="22">
        <f t="shared" si="5"/>
        <v>21582</v>
      </c>
      <c r="K12" s="34">
        <v>5</v>
      </c>
      <c r="L12" s="22">
        <f t="shared" ref="L12:L15" si="19">ATAN2(100, K12)</f>
        <v>4.9958395721942765E-2</v>
      </c>
      <c r="M12" s="22">
        <f t="shared" si="6"/>
        <v>5388.7682444154116</v>
      </c>
      <c r="N12" s="22">
        <f t="shared" si="7"/>
        <v>754.42755421815752</v>
      </c>
      <c r="O12" s="22">
        <f t="shared" si="8"/>
        <v>7.5726000000000004</v>
      </c>
      <c r="P12" s="22">
        <f t="shared" si="9"/>
        <v>0</v>
      </c>
      <c r="Q12" s="22">
        <f t="shared" si="10"/>
        <v>6150.7683986335696</v>
      </c>
      <c r="R12" s="22">
        <f t="shared" si="11"/>
        <v>2890.8611473577776</v>
      </c>
      <c r="S12" s="22">
        <f t="shared" si="12"/>
        <v>40.635304619207325</v>
      </c>
      <c r="T12" s="22">
        <f t="shared" si="2"/>
        <v>13.986999999999998</v>
      </c>
      <c r="U12" s="22">
        <f t="shared" si="13"/>
        <v>108.78000050263884</v>
      </c>
      <c r="V12" s="22">
        <f t="shared" si="14"/>
        <v>568.36600570885275</v>
      </c>
      <c r="W12" s="39">
        <f t="shared" si="15"/>
        <v>6.4744930511932317</v>
      </c>
      <c r="X12" s="39">
        <f t="shared" si="16"/>
        <v>12.948986102386463</v>
      </c>
      <c r="Y12" s="39">
        <v>600</v>
      </c>
      <c r="Z12" s="39">
        <f t="shared" si="17"/>
        <v>21.581643503977439</v>
      </c>
      <c r="AA12" s="40">
        <f t="shared" si="18"/>
        <v>2.3157107049673825E-5</v>
      </c>
      <c r="AB12" s="39"/>
    </row>
    <row r="13" spans="1:28" x14ac:dyDescent="0.25">
      <c r="A13" s="26" t="s">
        <v>130</v>
      </c>
      <c r="B13" s="26">
        <v>0.3</v>
      </c>
      <c r="C13" s="26" t="s">
        <v>19</v>
      </c>
      <c r="D13" s="43"/>
      <c r="E13" s="22">
        <f>E12+$B$42</f>
        <v>110</v>
      </c>
      <c r="F13" s="22">
        <f t="shared" si="0"/>
        <v>3.6</v>
      </c>
      <c r="G13" s="22">
        <f t="shared" si="3"/>
        <v>44</v>
      </c>
      <c r="H13" s="34">
        <v>1</v>
      </c>
      <c r="I13" s="23">
        <v>0</v>
      </c>
      <c r="J13" s="22">
        <f t="shared" si="5"/>
        <v>43164</v>
      </c>
      <c r="K13" s="34">
        <v>10</v>
      </c>
      <c r="L13" s="22">
        <f t="shared" si="19"/>
        <v>9.9668652491162038E-2</v>
      </c>
      <c r="M13" s="22">
        <f t="shared" si="6"/>
        <v>10737.446319555995</v>
      </c>
      <c r="N13" s="22">
        <f t="shared" si="7"/>
        <v>751.62124236891952</v>
      </c>
      <c r="O13" s="22">
        <f t="shared" si="8"/>
        <v>1.8931500000000001</v>
      </c>
      <c r="P13" s="22">
        <f t="shared" si="9"/>
        <v>0</v>
      </c>
      <c r="Q13" s="22">
        <f t="shared" si="10"/>
        <v>11490.960711924914</v>
      </c>
      <c r="R13" s="22">
        <f t="shared" si="11"/>
        <v>5400.7515346047094</v>
      </c>
      <c r="S13" s="22">
        <f t="shared" si="12"/>
        <v>20.317652309603663</v>
      </c>
      <c r="T13" s="22">
        <f t="shared" si="2"/>
        <v>13.986999999999998</v>
      </c>
      <c r="U13" s="22">
        <f t="shared" si="13"/>
        <v>203.22448042372844</v>
      </c>
      <c r="V13" s="22">
        <f t="shared" si="14"/>
        <v>284.18300285442638</v>
      </c>
      <c r="W13" s="39">
        <f t="shared" si="15"/>
        <v>6.0478740589078495</v>
      </c>
      <c r="X13" s="39">
        <f t="shared" si="16"/>
        <v>12.095748117815699</v>
      </c>
      <c r="Y13" s="39">
        <v>600</v>
      </c>
      <c r="Z13" s="39">
        <f t="shared" si="17"/>
        <v>20.159580196359499</v>
      </c>
      <c r="AA13" s="40">
        <f t="shared" si="18"/>
        <v>2.478980698320371E-5</v>
      </c>
      <c r="AB13" s="39"/>
    </row>
    <row r="14" spans="1:28" x14ac:dyDescent="0.25">
      <c r="A14" s="26" t="s">
        <v>17</v>
      </c>
      <c r="B14" s="26">
        <v>0.4</v>
      </c>
      <c r="C14" s="26" t="s">
        <v>5</v>
      </c>
      <c r="D14" s="43"/>
      <c r="E14" s="22">
        <f>E13+$B$42</f>
        <v>120</v>
      </c>
      <c r="F14" s="22">
        <f t="shared" si="0"/>
        <v>2.88</v>
      </c>
      <c r="G14" s="22">
        <f t="shared" si="3"/>
        <v>48</v>
      </c>
      <c r="H14" s="34">
        <v>0.8</v>
      </c>
      <c r="I14" s="23">
        <v>0</v>
      </c>
      <c r="J14" s="22">
        <f t="shared" si="5"/>
        <v>53955</v>
      </c>
      <c r="K14" s="34">
        <v>20</v>
      </c>
      <c r="L14" s="22">
        <f t="shared" si="19"/>
        <v>0.19739555984988078</v>
      </c>
      <c r="M14" s="22">
        <f t="shared" si="6"/>
        <v>21162.89214276144</v>
      </c>
      <c r="N14" s="22">
        <f t="shared" si="7"/>
        <v>740.70122499665035</v>
      </c>
      <c r="O14" s="22">
        <f t="shared" si="8"/>
        <v>1.2116160000000002</v>
      </c>
      <c r="P14" s="22">
        <f t="shared" si="9"/>
        <v>0</v>
      </c>
      <c r="Q14" s="22">
        <f t="shared" si="10"/>
        <v>21904.804983758091</v>
      </c>
      <c r="R14" s="22">
        <f t="shared" si="11"/>
        <v>10295.258342366302</v>
      </c>
      <c r="S14" s="22">
        <f t="shared" si="12"/>
        <v>16.254121847682928</v>
      </c>
      <c r="T14" s="22">
        <f t="shared" si="2"/>
        <v>13.986999999999998</v>
      </c>
      <c r="U14" s="22">
        <f t="shared" si="13"/>
        <v>387.39951542847319</v>
      </c>
      <c r="V14" s="22">
        <f t="shared" si="14"/>
        <v>227.3464022835411</v>
      </c>
      <c r="W14" s="39">
        <f t="shared" si="15"/>
        <v>9.2230757826349858</v>
      </c>
      <c r="X14" s="39">
        <f t="shared" si="16"/>
        <v>18.446151565269972</v>
      </c>
      <c r="Y14" s="39">
        <v>600</v>
      </c>
      <c r="Z14" s="39">
        <f t="shared" si="17"/>
        <v>30.743585942116617</v>
      </c>
      <c r="AA14" s="40">
        <f t="shared" si="18"/>
        <v>1.6258266627543319E-5</v>
      </c>
      <c r="AB14" s="39"/>
    </row>
    <row r="15" spans="1:28" x14ac:dyDescent="0.25">
      <c r="A15" s="26" t="s">
        <v>18</v>
      </c>
      <c r="B15" s="26">
        <v>22.2</v>
      </c>
      <c r="C15" s="26" t="s">
        <v>19</v>
      </c>
      <c r="D15" s="43"/>
      <c r="E15" s="22">
        <f>E14+$B$42</f>
        <v>130</v>
      </c>
      <c r="F15" s="22">
        <f t="shared" si="0"/>
        <v>1.08</v>
      </c>
      <c r="G15" s="22">
        <f t="shared" si="3"/>
        <v>52</v>
      </c>
      <c r="H15" s="34">
        <f>B13</f>
        <v>0.3</v>
      </c>
      <c r="I15" s="23">
        <v>0</v>
      </c>
      <c r="J15" s="22">
        <f t="shared" si="5"/>
        <v>143880</v>
      </c>
      <c r="K15" s="34">
        <f>B12</f>
        <v>20</v>
      </c>
      <c r="L15" s="22">
        <f t="shared" si="19"/>
        <v>0.19739555984988078</v>
      </c>
      <c r="M15" s="22">
        <f t="shared" si="6"/>
        <v>21162.89214276144</v>
      </c>
      <c r="N15" s="22">
        <f t="shared" si="7"/>
        <v>740.70122499665035</v>
      </c>
      <c r="O15" s="22">
        <f t="shared" si="8"/>
        <v>0.17038349999999999</v>
      </c>
      <c r="P15" s="22">
        <f t="shared" si="9"/>
        <v>0</v>
      </c>
      <c r="Q15" s="22">
        <f t="shared" si="10"/>
        <v>21903.763751258091</v>
      </c>
      <c r="R15" s="22">
        <f t="shared" si="11"/>
        <v>10294.768963091303</v>
      </c>
      <c r="S15" s="22">
        <f t="shared" si="12"/>
        <v>6.0952956928810984</v>
      </c>
      <c r="T15" s="22">
        <f t="shared" si="2"/>
        <v>13.986999999999998</v>
      </c>
      <c r="U15" s="22">
        <f t="shared" si="13"/>
        <v>387.38110061189542</v>
      </c>
      <c r="V15" s="22">
        <f t="shared" si="14"/>
        <v>85.254900856327907</v>
      </c>
      <c r="W15" s="39">
        <f t="shared" si="15"/>
        <v>3.4584890133565409</v>
      </c>
      <c r="X15" s="39">
        <f t="shared" si="16"/>
        <v>6.9169780267130818</v>
      </c>
      <c r="Y15" s="39">
        <v>600</v>
      </c>
      <c r="Z15" s="39">
        <f t="shared" si="17"/>
        <v>11.528296711188469</v>
      </c>
      <c r="AA15" s="40">
        <f t="shared" si="18"/>
        <v>4.3333952360157234E-5</v>
      </c>
      <c r="AB15" s="39"/>
    </row>
    <row r="16" spans="1:28" x14ac:dyDescent="0.25">
      <c r="A16" s="26" t="s">
        <v>32</v>
      </c>
      <c r="B16" s="26">
        <v>2</v>
      </c>
      <c r="C16" s="26"/>
      <c r="D16" s="43"/>
      <c r="I16" s="1"/>
      <c r="J16" s="1"/>
      <c r="S16" s="1"/>
    </row>
    <row r="17" spans="1:29" x14ac:dyDescent="0.25">
      <c r="A17" s="26" t="s">
        <v>83</v>
      </c>
      <c r="B17" s="26">
        <v>3.94</v>
      </c>
      <c r="C17" s="26"/>
      <c r="D17" s="43"/>
      <c r="I17" s="1"/>
      <c r="J17" s="1"/>
      <c r="AC17">
        <f>SUM(X2:X15)*E15/3600</f>
        <v>20.931661539827754</v>
      </c>
    </row>
    <row r="18" spans="1:29" x14ac:dyDescent="0.25">
      <c r="A18" s="26" t="s">
        <v>84</v>
      </c>
      <c r="B18" s="26">
        <v>3.55</v>
      </c>
      <c r="C18" s="26"/>
      <c r="D18" s="43"/>
    </row>
    <row r="19" spans="1:29" ht="15.75" thickBot="1" x14ac:dyDescent="0.3">
      <c r="A19" s="26" t="s">
        <v>145</v>
      </c>
      <c r="B19" s="26">
        <v>100</v>
      </c>
      <c r="C19" s="26" t="s">
        <v>48</v>
      </c>
      <c r="D19" s="43"/>
    </row>
    <row r="20" spans="1:29" ht="16.5" thickTop="1" thickBot="1" x14ac:dyDescent="0.3">
      <c r="A20" s="26" t="s">
        <v>146</v>
      </c>
      <c r="B20" s="26">
        <v>3</v>
      </c>
      <c r="C20" s="26" t="s">
        <v>147</v>
      </c>
      <c r="D20" s="43"/>
      <c r="E20" s="44" t="s">
        <v>57</v>
      </c>
      <c r="F20" s="44"/>
      <c r="G20" s="44"/>
      <c r="H20" s="44"/>
      <c r="I20" s="44"/>
      <c r="J20" s="44"/>
      <c r="K20" s="44"/>
      <c r="L20" s="44"/>
    </row>
    <row r="21" spans="1:29" ht="45.75" thickTop="1" x14ac:dyDescent="0.25">
      <c r="A21" s="42" t="s">
        <v>37</v>
      </c>
      <c r="B21" s="42"/>
      <c r="C21" s="42"/>
      <c r="D21" s="43"/>
      <c r="E21" s="2" t="s">
        <v>50</v>
      </c>
      <c r="F21" s="2" t="s">
        <v>51</v>
      </c>
      <c r="G21" s="2" t="s">
        <v>52</v>
      </c>
      <c r="H21" s="2" t="s">
        <v>53</v>
      </c>
      <c r="I21" s="2" t="s">
        <v>54</v>
      </c>
      <c r="J21" s="2" t="s">
        <v>55</v>
      </c>
      <c r="K21" s="2" t="s">
        <v>56</v>
      </c>
    </row>
    <row r="22" spans="1:29" x14ac:dyDescent="0.25">
      <c r="A22" s="3"/>
      <c r="B22" s="29" t="s">
        <v>124</v>
      </c>
      <c r="C22" s="29" t="s">
        <v>125</v>
      </c>
      <c r="D22" s="43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20">H22*$J$22/$F$22</f>
        <v>71.314285714285717</v>
      </c>
    </row>
    <row r="23" spans="1:29" x14ac:dyDescent="0.25">
      <c r="A23" s="3"/>
      <c r="B23" s="29" t="s">
        <v>38</v>
      </c>
      <c r="C23" s="29" t="s">
        <v>2</v>
      </c>
      <c r="D23" s="43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20"/>
        <v>71.314285714285717</v>
      </c>
    </row>
    <row r="24" spans="1:29" x14ac:dyDescent="0.25">
      <c r="B24" s="31">
        <v>65000</v>
      </c>
      <c r="C24" s="31">
        <f>B24*0.453592</f>
        <v>29483.48</v>
      </c>
      <c r="D24" s="43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20"/>
        <v>71.314285714285717</v>
      </c>
    </row>
    <row r="25" spans="1:29" x14ac:dyDescent="0.25">
      <c r="B25" s="32" t="s">
        <v>39</v>
      </c>
      <c r="C25" s="32" t="s">
        <v>40</v>
      </c>
      <c r="D25" s="43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20"/>
        <v>71.314285714285717</v>
      </c>
    </row>
    <row r="26" spans="1:29" x14ac:dyDescent="0.25">
      <c r="B26" s="31">
        <v>1</v>
      </c>
      <c r="C26" s="31">
        <f>B26*0.0254</f>
        <v>2.5399999999999999E-2</v>
      </c>
      <c r="D26" s="43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21">F26*$J$22/$F$22</f>
        <v>187.2</v>
      </c>
      <c r="K26" s="1">
        <f t="shared" si="20"/>
        <v>71.314285714285717</v>
      </c>
    </row>
    <row r="27" spans="1:29" x14ac:dyDescent="0.25">
      <c r="B27" s="32" t="s">
        <v>41</v>
      </c>
      <c r="C27" s="32" t="s">
        <v>42</v>
      </c>
      <c r="D27" s="43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21"/>
        <v>149.76</v>
      </c>
      <c r="K27" s="1">
        <f t="shared" si="20"/>
        <v>71.314285714285717</v>
      </c>
    </row>
    <row r="28" spans="1:29" x14ac:dyDescent="0.25">
      <c r="B28" s="31">
        <v>1</v>
      </c>
      <c r="C28" s="31">
        <f>B28*4.44822</f>
        <v>4.4482200000000001</v>
      </c>
      <c r="D28" s="43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21"/>
        <v>124.8</v>
      </c>
      <c r="K28" s="1">
        <f t="shared" si="20"/>
        <v>59.428571428571445</v>
      </c>
    </row>
    <row r="29" spans="1:29" x14ac:dyDescent="0.25">
      <c r="B29" s="32" t="s">
        <v>43</v>
      </c>
      <c r="C29" s="32" t="s">
        <v>19</v>
      </c>
      <c r="D29" s="43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21"/>
        <v>106.97142857142858</v>
      </c>
      <c r="K29" s="1">
        <f t="shared" si="20"/>
        <v>50.938775510204088</v>
      </c>
    </row>
    <row r="30" spans="1:29" x14ac:dyDescent="0.25">
      <c r="B30" s="31">
        <v>50</v>
      </c>
      <c r="C30" s="31">
        <f>B30/2.23694</f>
        <v>22.351962949386213</v>
      </c>
      <c r="D30" s="43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21"/>
        <v>93.6</v>
      </c>
      <c r="K30" s="1">
        <f t="shared" si="20"/>
        <v>44.571428571428577</v>
      </c>
    </row>
    <row r="31" spans="1:29" x14ac:dyDescent="0.25">
      <c r="B31" s="32" t="s">
        <v>44</v>
      </c>
      <c r="C31" s="32" t="s">
        <v>19</v>
      </c>
      <c r="D31" s="43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21"/>
        <v>83.2</v>
      </c>
      <c r="K31" s="1">
        <f t="shared" si="20"/>
        <v>39.619047619047628</v>
      </c>
    </row>
    <row r="32" spans="1:29" ht="15.75" thickBot="1" x14ac:dyDescent="0.3">
      <c r="B32" s="31">
        <v>100</v>
      </c>
      <c r="C32" s="31">
        <f>B32*0.277778</f>
        <v>27.777800000000003</v>
      </c>
      <c r="D32" s="43"/>
      <c r="E32" s="1"/>
      <c r="F32" s="1"/>
      <c r="G32" s="1"/>
      <c r="H32" s="1"/>
      <c r="I32" s="1"/>
      <c r="J32" s="1"/>
    </row>
    <row r="33" spans="1:12" ht="16.5" thickTop="1" thickBot="1" x14ac:dyDescent="0.3">
      <c r="B33" s="32" t="s">
        <v>45</v>
      </c>
      <c r="C33" s="32" t="s">
        <v>46</v>
      </c>
      <c r="D33" s="43"/>
      <c r="E33" s="41" t="s">
        <v>58</v>
      </c>
      <c r="F33" s="41"/>
      <c r="G33" s="41"/>
      <c r="H33" s="41"/>
      <c r="I33" s="41"/>
      <c r="J33" s="41"/>
      <c r="K33" s="41"/>
      <c r="L33" s="41"/>
    </row>
    <row r="34" spans="1:12" ht="45.75" thickTop="1" x14ac:dyDescent="0.25">
      <c r="B34" s="31">
        <v>1</v>
      </c>
      <c r="C34" s="31">
        <f>B34*1.35582</f>
        <v>1.35582</v>
      </c>
      <c r="D34" s="43"/>
      <c r="E34" s="4" t="s">
        <v>50</v>
      </c>
      <c r="F34" s="4" t="s">
        <v>51</v>
      </c>
      <c r="G34" s="4" t="s">
        <v>52</v>
      </c>
      <c r="H34" s="4" t="s">
        <v>53</v>
      </c>
      <c r="I34" s="4" t="s">
        <v>54</v>
      </c>
      <c r="J34" s="2" t="s">
        <v>55</v>
      </c>
      <c r="K34" s="2" t="s">
        <v>56</v>
      </c>
    </row>
    <row r="35" spans="1:12" x14ac:dyDescent="0.25">
      <c r="B35" s="32" t="s">
        <v>47</v>
      </c>
      <c r="C35" s="32" t="s">
        <v>48</v>
      </c>
      <c r="D35" s="43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22">H35*$J$35/$F$35</f>
        <v>119.17241379310344</v>
      </c>
    </row>
    <row r="36" spans="1:12" x14ac:dyDescent="0.25">
      <c r="B36" s="31">
        <v>1000</v>
      </c>
      <c r="C36" s="31">
        <f>B36*0.7457</f>
        <v>745.7</v>
      </c>
      <c r="D36" s="43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23">F36*$J$35/$F$35</f>
        <v>384</v>
      </c>
      <c r="K36" s="1">
        <f t="shared" si="22"/>
        <v>119.17241379310344</v>
      </c>
    </row>
    <row r="37" spans="1:12" x14ac:dyDescent="0.25">
      <c r="B37" s="33" t="s">
        <v>17</v>
      </c>
      <c r="C37" s="33"/>
      <c r="D37" s="43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23"/>
        <v>384</v>
      </c>
      <c r="K37" s="1">
        <f t="shared" si="22"/>
        <v>119.17241379310344</v>
      </c>
    </row>
    <row r="38" spans="1:12" x14ac:dyDescent="0.25">
      <c r="B38" s="28" t="s">
        <v>85</v>
      </c>
      <c r="C38" s="28">
        <v>100</v>
      </c>
      <c r="D38" s="43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23"/>
        <v>384</v>
      </c>
      <c r="K38" s="1">
        <f t="shared" si="22"/>
        <v>119.17241379310344</v>
      </c>
    </row>
    <row r="39" spans="1:12" x14ac:dyDescent="0.25">
      <c r="B39" s="28" t="s">
        <v>86</v>
      </c>
      <c r="C39" s="28">
        <v>16</v>
      </c>
      <c r="D39" s="43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23"/>
        <v>384</v>
      </c>
      <c r="K39" s="1">
        <f t="shared" si="22"/>
        <v>119.17241379310344</v>
      </c>
    </row>
    <row r="40" spans="1:12" x14ac:dyDescent="0.25">
      <c r="B40" s="28" t="s">
        <v>5</v>
      </c>
      <c r="C40" s="30">
        <f>1000*C38/3600/C39</f>
        <v>1.7361111111111112</v>
      </c>
      <c r="D40" s="43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23"/>
        <v>289.81132075471697</v>
      </c>
      <c r="K40" s="1">
        <f t="shared" si="22"/>
        <v>119.17241379310344</v>
      </c>
    </row>
    <row r="41" spans="1:12" ht="15.75" thickBot="1" x14ac:dyDescent="0.3">
      <c r="D41" s="43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23"/>
        <v>256</v>
      </c>
      <c r="K41" s="1">
        <f t="shared" si="22"/>
        <v>105.26896551724138</v>
      </c>
    </row>
    <row r="42" spans="1:12" ht="16.5" thickTop="1" thickBot="1" x14ac:dyDescent="0.3">
      <c r="A42" s="35" t="s">
        <v>131</v>
      </c>
      <c r="B42" s="36">
        <v>10</v>
      </c>
      <c r="C42" s="35" t="s">
        <v>86</v>
      </c>
      <c r="D42" s="43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23"/>
        <v>219.42857142857147</v>
      </c>
      <c r="K42" s="1">
        <f t="shared" si="22"/>
        <v>90.23054187192119</v>
      </c>
    </row>
    <row r="43" spans="1:12" ht="15.75" thickTop="1" x14ac:dyDescent="0.25">
      <c r="D43" s="43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23"/>
        <v>192</v>
      </c>
      <c r="K43" s="1">
        <f t="shared" si="22"/>
        <v>78.951724137931052</v>
      </c>
    </row>
    <row r="44" spans="1:12" x14ac:dyDescent="0.25">
      <c r="D44" s="43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23"/>
        <v>170.66666666666669</v>
      </c>
      <c r="K44" s="1">
        <f t="shared" si="22"/>
        <v>70.179310344827584</v>
      </c>
    </row>
    <row r="45" spans="1:12" ht="15.75" thickBot="1" x14ac:dyDescent="0.3">
      <c r="E45" s="1"/>
      <c r="F45" s="1"/>
      <c r="G45" s="1"/>
      <c r="H45" s="1"/>
      <c r="I45" s="1"/>
      <c r="J45" s="1"/>
    </row>
    <row r="46" spans="1:12" ht="16.5" thickTop="1" thickBot="1" x14ac:dyDescent="0.3">
      <c r="E46" s="41" t="s">
        <v>59</v>
      </c>
      <c r="F46" s="41"/>
      <c r="G46" s="41"/>
      <c r="H46" s="41"/>
      <c r="I46" s="41"/>
      <c r="J46" s="41"/>
      <c r="K46" s="41"/>
      <c r="L46" s="41"/>
    </row>
    <row r="47" spans="1:12" ht="45.75" thickTop="1" x14ac:dyDescent="0.25">
      <c r="E47" s="4" t="s">
        <v>50</v>
      </c>
      <c r="F47" s="4" t="s">
        <v>51</v>
      </c>
      <c r="G47" s="4" t="s">
        <v>52</v>
      </c>
      <c r="H47" s="4" t="s">
        <v>53</v>
      </c>
      <c r="I47" s="4" t="s">
        <v>54</v>
      </c>
      <c r="J47" s="2" t="s">
        <v>55</v>
      </c>
      <c r="K47" s="2" t="s">
        <v>56</v>
      </c>
    </row>
    <row r="48" spans="1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4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5">F49*$J$48/$F$48</f>
        <v>638</v>
      </c>
      <c r="K49" s="1">
        <f t="shared" si="24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5"/>
        <v>638</v>
      </c>
      <c r="K50" s="1">
        <f t="shared" si="24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5"/>
        <v>638</v>
      </c>
      <c r="K51" s="1">
        <f t="shared" si="24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5"/>
        <v>638</v>
      </c>
      <c r="K52" s="1">
        <f t="shared" si="24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5"/>
        <v>638</v>
      </c>
      <c r="K53" s="1">
        <f t="shared" si="24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5"/>
        <v>588.92307692307691</v>
      </c>
      <c r="K54" s="1">
        <f t="shared" si="24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5"/>
        <v>483.02839116719241</v>
      </c>
      <c r="K55" s="1">
        <f t="shared" si="24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5"/>
        <v>382.8</v>
      </c>
      <c r="K56" s="1">
        <f t="shared" si="24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5"/>
        <v>340.26666666666665</v>
      </c>
      <c r="K57" s="1">
        <f t="shared" si="24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5"/>
        <v>306.24</v>
      </c>
      <c r="K58" s="1">
        <f t="shared" si="24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5"/>
        <v>278.39999999999998</v>
      </c>
      <c r="K59" s="1">
        <f t="shared" si="24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5"/>
        <v>255.2</v>
      </c>
      <c r="K60" s="1">
        <f t="shared" si="24"/>
        <v>126.40374999999999</v>
      </c>
    </row>
    <row r="61" spans="5:13" ht="15.75" thickBot="1" x14ac:dyDescent="0.3"/>
    <row r="62" spans="5:13" ht="16.5" thickTop="1" thickBot="1" x14ac:dyDescent="0.3">
      <c r="E62" s="41" t="s">
        <v>95</v>
      </c>
      <c r="F62" s="41"/>
      <c r="G62" s="41"/>
      <c r="H62" s="41"/>
      <c r="I62" s="41"/>
      <c r="J62" s="41"/>
      <c r="K62" s="41"/>
      <c r="L62" s="41"/>
      <c r="M62" s="41"/>
    </row>
    <row r="63" spans="5:13" ht="30.75" thickTop="1" x14ac:dyDescent="0.25">
      <c r="E63" s="19" t="s">
        <v>50</v>
      </c>
      <c r="F63" s="4" t="s">
        <v>87</v>
      </c>
      <c r="G63" s="4" t="s">
        <v>89</v>
      </c>
      <c r="H63" s="4" t="s">
        <v>88</v>
      </c>
      <c r="I63" s="4" t="s">
        <v>90</v>
      </c>
      <c r="J63" s="4" t="s">
        <v>91</v>
      </c>
      <c r="K63" s="4" t="s">
        <v>92</v>
      </c>
      <c r="L63" s="2" t="s">
        <v>93</v>
      </c>
      <c r="M63" s="2" t="s">
        <v>94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0" spans="5:13" ht="15.75" thickBot="1" x14ac:dyDescent="0.3"/>
    <row r="81" spans="5:13" ht="16.5" thickTop="1" thickBot="1" x14ac:dyDescent="0.3">
      <c r="E81" s="41" t="s">
        <v>96</v>
      </c>
      <c r="F81" s="41"/>
      <c r="G81" s="41"/>
      <c r="H81" s="41"/>
      <c r="I81" s="41"/>
      <c r="J81" s="41"/>
      <c r="K81" s="41"/>
      <c r="L81" s="41"/>
    </row>
    <row r="82" spans="5:13" ht="30.75" thickTop="1" x14ac:dyDescent="0.25">
      <c r="E82" s="4" t="s">
        <v>50</v>
      </c>
      <c r="F82" s="4" t="s">
        <v>105</v>
      </c>
      <c r="G82" s="4" t="s">
        <v>106</v>
      </c>
      <c r="H82" s="4" t="s">
        <v>107</v>
      </c>
      <c r="I82" s="4" t="s">
        <v>108</v>
      </c>
      <c r="J82" s="4" t="s">
        <v>109</v>
      </c>
      <c r="K82" s="4" t="s">
        <v>110</v>
      </c>
      <c r="L82" s="2" t="s">
        <v>111</v>
      </c>
      <c r="M82" s="4" t="s">
        <v>112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0" spans="5:13" ht="15.75" thickBot="1" x14ac:dyDescent="0.3"/>
    <row r="111" spans="5:13" ht="16.5" thickTop="1" thickBot="1" x14ac:dyDescent="0.3">
      <c r="E111" s="41" t="s">
        <v>113</v>
      </c>
      <c r="F111" s="41"/>
      <c r="G111" s="41"/>
      <c r="H111" s="41"/>
      <c r="I111" s="41"/>
      <c r="J111" s="41"/>
      <c r="K111" s="41"/>
      <c r="L111" s="41"/>
    </row>
    <row r="112" spans="5:13" ht="30.75" thickTop="1" x14ac:dyDescent="0.25">
      <c r="E112" s="4" t="s">
        <v>50</v>
      </c>
      <c r="F112" s="4" t="s">
        <v>102</v>
      </c>
      <c r="G112" s="4" t="s">
        <v>103</v>
      </c>
      <c r="H112" s="4" t="s">
        <v>104</v>
      </c>
      <c r="I112" s="4" t="s">
        <v>97</v>
      </c>
      <c r="J112" s="4" t="s">
        <v>98</v>
      </c>
      <c r="K112" s="4" t="s">
        <v>99</v>
      </c>
      <c r="L112" s="2" t="s">
        <v>100</v>
      </c>
      <c r="M112" s="2" t="s">
        <v>101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2" spans="5:13" ht="15.75" thickBot="1" x14ac:dyDescent="0.3"/>
    <row r="133" spans="5:13" ht="16.5" thickTop="1" thickBot="1" x14ac:dyDescent="0.3">
      <c r="E133" s="41" t="s">
        <v>114</v>
      </c>
      <c r="F133" s="41"/>
      <c r="G133" s="41"/>
      <c r="H133" s="41"/>
      <c r="I133" s="41"/>
      <c r="J133" s="41"/>
      <c r="K133" s="41"/>
      <c r="L133" s="41"/>
    </row>
    <row r="134" spans="5:13" ht="30.75" thickTop="1" x14ac:dyDescent="0.25">
      <c r="E134" s="4" t="s">
        <v>50</v>
      </c>
      <c r="F134" s="4" t="s">
        <v>115</v>
      </c>
      <c r="G134" s="4" t="s">
        <v>116</v>
      </c>
      <c r="H134" s="4" t="s">
        <v>117</v>
      </c>
      <c r="I134" s="4" t="s">
        <v>118</v>
      </c>
      <c r="J134" s="4" t="s">
        <v>119</v>
      </c>
      <c r="K134" s="4" t="s">
        <v>120</v>
      </c>
      <c r="L134" s="2" t="s">
        <v>121</v>
      </c>
      <c r="M134" s="2" t="s">
        <v>122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  <row r="152" spans="5:13" ht="15.75" thickBot="1" x14ac:dyDescent="0.3"/>
    <row r="153" spans="5:13" ht="16.5" thickTop="1" thickBot="1" x14ac:dyDescent="0.3">
      <c r="E153" s="41" t="s">
        <v>140</v>
      </c>
      <c r="F153" s="41"/>
      <c r="G153" s="41"/>
      <c r="H153" s="41"/>
      <c r="I153" s="41"/>
      <c r="J153" s="41"/>
      <c r="K153" s="41"/>
      <c r="L153" s="41"/>
    </row>
    <row r="154" spans="5:13" ht="30.75" thickTop="1" x14ac:dyDescent="0.25">
      <c r="E154" s="4" t="s">
        <v>50</v>
      </c>
      <c r="F154" s="4" t="s">
        <v>132</v>
      </c>
      <c r="G154" s="4" t="s">
        <v>133</v>
      </c>
      <c r="H154" s="4" t="s">
        <v>134</v>
      </c>
      <c r="I154" s="4" t="s">
        <v>135</v>
      </c>
      <c r="J154" s="4" t="s">
        <v>136</v>
      </c>
      <c r="K154" s="4" t="s">
        <v>137</v>
      </c>
      <c r="L154" s="2" t="s">
        <v>138</v>
      </c>
      <c r="M154" s="2" t="s">
        <v>139</v>
      </c>
    </row>
    <row r="155" spans="5:13" x14ac:dyDescent="0.25">
      <c r="E155">
        <v>0</v>
      </c>
      <c r="I155">
        <v>445</v>
      </c>
      <c r="M155">
        <v>1114</v>
      </c>
    </row>
    <row r="156" spans="5:13" x14ac:dyDescent="0.25">
      <c r="E156">
        <v>500</v>
      </c>
      <c r="I156">
        <v>445</v>
      </c>
      <c r="M156">
        <v>1114</v>
      </c>
    </row>
    <row r="157" spans="5:13" x14ac:dyDescent="0.25">
      <c r="E157">
        <v>1000</v>
      </c>
      <c r="I157">
        <v>445</v>
      </c>
      <c r="M157">
        <v>1114</v>
      </c>
    </row>
    <row r="158" spans="5:13" x14ac:dyDescent="0.25">
      <c r="E158">
        <v>1560</v>
      </c>
      <c r="I158">
        <v>445</v>
      </c>
      <c r="M158">
        <v>1114</v>
      </c>
    </row>
    <row r="159" spans="5:13" x14ac:dyDescent="0.25">
      <c r="E159">
        <v>1738</v>
      </c>
      <c r="I159">
        <v>445</v>
      </c>
      <c r="M159">
        <v>999.90794016110476</v>
      </c>
    </row>
    <row r="160" spans="5:13" x14ac:dyDescent="0.25">
      <c r="E160">
        <v>2500</v>
      </c>
      <c r="I160">
        <v>309.36399999999998</v>
      </c>
      <c r="M160">
        <v>695.13599999999997</v>
      </c>
    </row>
    <row r="161" spans="5:13" x14ac:dyDescent="0.25">
      <c r="E161">
        <v>3000</v>
      </c>
      <c r="I161">
        <v>257.80333333333334</v>
      </c>
      <c r="M161">
        <v>579.28</v>
      </c>
    </row>
    <row r="162" spans="5:13" x14ac:dyDescent="0.25">
      <c r="E162">
        <v>3590</v>
      </c>
      <c r="I162">
        <v>215.43454038997214</v>
      </c>
      <c r="M162">
        <v>484.07799442896936</v>
      </c>
    </row>
    <row r="163" spans="5:13" x14ac:dyDescent="0.25">
      <c r="E163">
        <v>4000</v>
      </c>
      <c r="I163">
        <v>193.35249999999999</v>
      </c>
      <c r="M163">
        <v>434.46</v>
      </c>
    </row>
    <row r="164" spans="5:13" x14ac:dyDescent="0.25">
      <c r="E164">
        <v>4650</v>
      </c>
      <c r="I164">
        <v>166.32473118279569</v>
      </c>
      <c r="M164">
        <v>373.72903225806454</v>
      </c>
    </row>
  </sheetData>
  <mergeCells count="10">
    <mergeCell ref="E153:L153"/>
    <mergeCell ref="A21:C21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7" workbookViewId="0">
      <selection activeCell="D74" sqref="D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76</v>
      </c>
      <c r="B1" s="9" t="s">
        <v>68</v>
      </c>
      <c r="C1" s="9" t="s">
        <v>69</v>
      </c>
      <c r="D1" s="9" t="s">
        <v>70</v>
      </c>
      <c r="E1" s="10" t="s">
        <v>71</v>
      </c>
      <c r="G1" s="11" t="s">
        <v>77</v>
      </c>
      <c r="H1" s="9" t="s">
        <v>68</v>
      </c>
      <c r="I1" s="9" t="s">
        <v>78</v>
      </c>
      <c r="J1" s="9" t="s">
        <v>51</v>
      </c>
      <c r="K1" s="10" t="s">
        <v>71</v>
      </c>
    </row>
    <row r="2" spans="1:11" x14ac:dyDescent="0.25">
      <c r="A2" s="54" t="s">
        <v>60</v>
      </c>
      <c r="B2" s="51">
        <v>15000</v>
      </c>
      <c r="C2" s="51">
        <v>300</v>
      </c>
      <c r="D2" s="51">
        <v>1330</v>
      </c>
      <c r="E2" s="12">
        <v>1.35</v>
      </c>
      <c r="G2" s="54" t="s">
        <v>75</v>
      </c>
      <c r="H2" s="51">
        <v>4000</v>
      </c>
      <c r="I2" s="51">
        <v>125</v>
      </c>
      <c r="J2" s="51">
        <v>250</v>
      </c>
      <c r="K2" s="15">
        <v>35.01</v>
      </c>
    </row>
    <row r="3" spans="1:11" ht="15.75" thickBot="1" x14ac:dyDescent="0.3">
      <c r="A3" s="55"/>
      <c r="B3" s="52"/>
      <c r="C3" s="52"/>
      <c r="D3" s="52"/>
      <c r="E3" s="13">
        <v>2.5299999999999998</v>
      </c>
      <c r="G3" s="56"/>
      <c r="H3" s="53"/>
      <c r="I3" s="53"/>
      <c r="J3" s="53"/>
      <c r="K3" s="16">
        <v>47.74</v>
      </c>
    </row>
    <row r="4" spans="1:11" ht="15.75" thickBot="1" x14ac:dyDescent="0.3">
      <c r="A4" s="55"/>
      <c r="B4" s="52"/>
      <c r="C4" s="52"/>
      <c r="D4" s="52"/>
      <c r="E4" s="13">
        <v>3.5</v>
      </c>
      <c r="G4" s="6" t="s">
        <v>79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55"/>
      <c r="B5" s="52"/>
      <c r="C5" s="52"/>
      <c r="D5" s="52"/>
      <c r="E5" s="13">
        <v>4</v>
      </c>
      <c r="G5" s="6" t="s">
        <v>80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56"/>
      <c r="B6" s="53"/>
      <c r="C6" s="53"/>
      <c r="D6" s="53"/>
      <c r="E6" s="14">
        <v>4.43</v>
      </c>
      <c r="G6" s="54" t="s">
        <v>81</v>
      </c>
      <c r="H6" s="51">
        <v>1106</v>
      </c>
      <c r="I6" s="51">
        <v>500</v>
      </c>
      <c r="J6" s="51">
        <v>1000</v>
      </c>
      <c r="K6" s="15">
        <v>21.26</v>
      </c>
    </row>
    <row r="7" spans="1:11" x14ac:dyDescent="0.25">
      <c r="A7" s="45" t="s">
        <v>61</v>
      </c>
      <c r="B7" s="48">
        <v>15000</v>
      </c>
      <c r="C7" s="48">
        <v>300</v>
      </c>
      <c r="D7" s="48">
        <v>4000</v>
      </c>
      <c r="E7" s="12">
        <v>5.2</v>
      </c>
      <c r="G7" s="55"/>
      <c r="H7" s="52"/>
      <c r="I7" s="52"/>
      <c r="J7" s="52"/>
      <c r="K7" s="18">
        <v>30.68</v>
      </c>
    </row>
    <row r="8" spans="1:11" x14ac:dyDescent="0.25">
      <c r="A8" s="46"/>
      <c r="B8" s="49"/>
      <c r="C8" s="49"/>
      <c r="D8" s="49"/>
      <c r="E8" s="13">
        <v>6.04</v>
      </c>
      <c r="G8" s="55"/>
      <c r="H8" s="52"/>
      <c r="I8" s="52"/>
      <c r="J8" s="52"/>
      <c r="K8" s="18">
        <v>45.13</v>
      </c>
    </row>
    <row r="9" spans="1:11" ht="15.75" thickBot="1" x14ac:dyDescent="0.3">
      <c r="A9" s="46"/>
      <c r="B9" s="49"/>
      <c r="C9" s="49"/>
      <c r="D9" s="49"/>
      <c r="E9" s="13">
        <v>7.04</v>
      </c>
      <c r="G9" s="56"/>
      <c r="H9" s="53"/>
      <c r="I9" s="53"/>
      <c r="J9" s="53"/>
      <c r="K9" s="16">
        <v>50.62</v>
      </c>
    </row>
    <row r="10" spans="1:11" x14ac:dyDescent="0.25">
      <c r="A10" s="46"/>
      <c r="B10" s="49"/>
      <c r="C10" s="49"/>
      <c r="D10" s="49"/>
      <c r="E10" s="13">
        <v>8.08</v>
      </c>
      <c r="G10" s="54" t="s">
        <v>82</v>
      </c>
      <c r="H10" s="51">
        <v>5000</v>
      </c>
      <c r="I10" s="51">
        <v>3500</v>
      </c>
      <c r="J10" s="51">
        <v>7000</v>
      </c>
      <c r="K10" s="15">
        <v>18.78</v>
      </c>
    </row>
    <row r="11" spans="1:11" x14ac:dyDescent="0.25">
      <c r="A11" s="46"/>
      <c r="B11" s="49"/>
      <c r="C11" s="49"/>
      <c r="D11" s="49"/>
      <c r="E11" s="13">
        <v>9.1</v>
      </c>
      <c r="G11" s="55"/>
      <c r="H11" s="52"/>
      <c r="I11" s="52"/>
      <c r="J11" s="52"/>
      <c r="K11" s="18">
        <v>24.92</v>
      </c>
    </row>
    <row r="12" spans="1:11" x14ac:dyDescent="0.25">
      <c r="A12" s="46"/>
      <c r="B12" s="49"/>
      <c r="C12" s="49"/>
      <c r="D12" s="49"/>
      <c r="E12" s="13">
        <v>10.11</v>
      </c>
      <c r="G12" s="55"/>
      <c r="H12" s="52"/>
      <c r="I12" s="52"/>
      <c r="J12" s="52"/>
      <c r="K12" s="18">
        <v>25.92</v>
      </c>
    </row>
    <row r="13" spans="1:11" x14ac:dyDescent="0.25">
      <c r="A13" s="46"/>
      <c r="B13" s="49"/>
      <c r="C13" s="49"/>
      <c r="D13" s="49"/>
      <c r="E13" s="13">
        <v>11.05</v>
      </c>
      <c r="G13" s="55"/>
      <c r="H13" s="52"/>
      <c r="I13" s="52"/>
      <c r="J13" s="52"/>
      <c r="K13" s="18">
        <v>47.6</v>
      </c>
    </row>
    <row r="14" spans="1:11" x14ac:dyDescent="0.25">
      <c r="A14" s="46"/>
      <c r="B14" s="49"/>
      <c r="C14" s="49"/>
      <c r="D14" s="49"/>
      <c r="E14" s="13">
        <v>11.9</v>
      </c>
      <c r="G14" s="55"/>
      <c r="H14" s="52"/>
      <c r="I14" s="52"/>
      <c r="J14" s="52"/>
      <c r="K14" s="18">
        <v>57.49</v>
      </c>
    </row>
    <row r="15" spans="1:11" ht="15.75" thickBot="1" x14ac:dyDescent="0.3">
      <c r="A15" s="47"/>
      <c r="B15" s="50"/>
      <c r="C15" s="50"/>
      <c r="D15" s="50"/>
      <c r="E15" s="14">
        <v>13.35</v>
      </c>
      <c r="G15" s="56"/>
      <c r="H15" s="53"/>
      <c r="I15" s="53"/>
      <c r="J15" s="53"/>
      <c r="K15" s="16">
        <v>64.08</v>
      </c>
    </row>
    <row r="16" spans="1:11" x14ac:dyDescent="0.25">
      <c r="A16" s="45" t="s">
        <v>62</v>
      </c>
      <c r="B16" s="48">
        <v>12000</v>
      </c>
      <c r="C16" s="48">
        <v>600</v>
      </c>
      <c r="D16" s="48">
        <v>2100</v>
      </c>
      <c r="E16" s="12">
        <v>1.1000000000000001</v>
      </c>
    </row>
    <row r="17" spans="1:5" x14ac:dyDescent="0.25">
      <c r="A17" s="46"/>
      <c r="B17" s="49"/>
      <c r="C17" s="49"/>
      <c r="D17" s="49"/>
      <c r="E17" s="13">
        <v>1.97</v>
      </c>
    </row>
    <row r="18" spans="1:5" x14ac:dyDescent="0.25">
      <c r="A18" s="46"/>
      <c r="B18" s="49"/>
      <c r="C18" s="49"/>
      <c r="D18" s="49"/>
      <c r="E18" s="13">
        <v>2.88</v>
      </c>
    </row>
    <row r="19" spans="1:5" ht="15.75" thickBot="1" x14ac:dyDescent="0.3">
      <c r="A19" s="47"/>
      <c r="B19" s="50"/>
      <c r="C19" s="50"/>
      <c r="D19" s="50"/>
      <c r="E19" s="14">
        <v>3.5</v>
      </c>
    </row>
    <row r="20" spans="1:5" x14ac:dyDescent="0.25">
      <c r="A20" s="45" t="s">
        <v>63</v>
      </c>
      <c r="B20" s="48">
        <v>12000</v>
      </c>
      <c r="C20" s="48">
        <v>600</v>
      </c>
      <c r="D20" s="48">
        <v>6500</v>
      </c>
      <c r="E20" s="12">
        <v>5.9</v>
      </c>
    </row>
    <row r="21" spans="1:5" x14ac:dyDescent="0.25">
      <c r="A21" s="46"/>
      <c r="B21" s="49"/>
      <c r="C21" s="49"/>
      <c r="D21" s="49"/>
      <c r="E21" s="13">
        <v>7.42</v>
      </c>
    </row>
    <row r="22" spans="1:5" x14ac:dyDescent="0.25">
      <c r="A22" s="46"/>
      <c r="B22" s="49"/>
      <c r="C22" s="49"/>
      <c r="D22" s="49"/>
      <c r="E22" s="13">
        <v>8.5500000000000007</v>
      </c>
    </row>
    <row r="23" spans="1:5" x14ac:dyDescent="0.25">
      <c r="A23" s="46"/>
      <c r="B23" s="49"/>
      <c r="C23" s="49"/>
      <c r="D23" s="49"/>
      <c r="E23" s="13">
        <v>9.4600000000000009</v>
      </c>
    </row>
    <row r="24" spans="1:5" x14ac:dyDescent="0.25">
      <c r="A24" s="46"/>
      <c r="B24" s="49"/>
      <c r="C24" s="49"/>
      <c r="D24" s="49"/>
      <c r="E24" s="13">
        <v>9.94</v>
      </c>
    </row>
    <row r="25" spans="1:5" x14ac:dyDescent="0.25">
      <c r="A25" s="46"/>
      <c r="B25" s="49"/>
      <c r="C25" s="49"/>
      <c r="D25" s="49"/>
      <c r="E25" s="13">
        <v>10.79</v>
      </c>
    </row>
    <row r="26" spans="1:5" x14ac:dyDescent="0.25">
      <c r="A26" s="46"/>
      <c r="B26" s="49"/>
      <c r="C26" s="49"/>
      <c r="D26" s="49"/>
      <c r="E26" s="13">
        <v>12.36</v>
      </c>
    </row>
    <row r="27" spans="1:5" ht="15.75" thickBot="1" x14ac:dyDescent="0.3">
      <c r="A27" s="47"/>
      <c r="B27" s="50"/>
      <c r="C27" s="50"/>
      <c r="D27" s="50"/>
      <c r="E27" s="14">
        <v>13.32</v>
      </c>
    </row>
    <row r="28" spans="1:5" x14ac:dyDescent="0.25">
      <c r="A28" s="45" t="s">
        <v>64</v>
      </c>
      <c r="B28" s="48">
        <v>7500</v>
      </c>
      <c r="C28" s="48">
        <v>1200</v>
      </c>
      <c r="D28" s="48">
        <v>4770</v>
      </c>
      <c r="E28" s="12" t="s">
        <v>72</v>
      </c>
    </row>
    <row r="29" spans="1:5" x14ac:dyDescent="0.25">
      <c r="A29" s="46"/>
      <c r="B29" s="49"/>
      <c r="C29" s="49"/>
      <c r="D29" s="49"/>
      <c r="E29" s="13">
        <v>1</v>
      </c>
    </row>
    <row r="30" spans="1:5" x14ac:dyDescent="0.25">
      <c r="A30" s="46"/>
      <c r="B30" s="49"/>
      <c r="C30" s="49"/>
      <c r="D30" s="49"/>
      <c r="E30" s="13">
        <v>2</v>
      </c>
    </row>
    <row r="31" spans="1:5" x14ac:dyDescent="0.25">
      <c r="A31" s="46"/>
      <c r="B31" s="49"/>
      <c r="C31" s="49"/>
      <c r="D31" s="49"/>
      <c r="E31" s="13">
        <v>2.97</v>
      </c>
    </row>
    <row r="32" spans="1:5" ht="15.75" thickBot="1" x14ac:dyDescent="0.3">
      <c r="A32" s="47"/>
      <c r="B32" s="50"/>
      <c r="C32" s="50"/>
      <c r="D32" s="50"/>
      <c r="E32" s="14">
        <v>3.94</v>
      </c>
    </row>
    <row r="33" spans="1:5" x14ac:dyDescent="0.25">
      <c r="A33" s="45" t="s">
        <v>65</v>
      </c>
      <c r="B33" s="48"/>
      <c r="C33" s="48">
        <v>265</v>
      </c>
      <c r="D33" s="48"/>
      <c r="E33" s="12">
        <v>2.98</v>
      </c>
    </row>
    <row r="34" spans="1:5" x14ac:dyDescent="0.25">
      <c r="A34" s="46"/>
      <c r="B34" s="49"/>
      <c r="C34" s="49"/>
      <c r="D34" s="49"/>
      <c r="E34" s="13">
        <v>3.98</v>
      </c>
    </row>
    <row r="35" spans="1:5" ht="15.75" thickBot="1" x14ac:dyDescent="0.3">
      <c r="A35" s="47"/>
      <c r="B35" s="50"/>
      <c r="C35" s="50"/>
      <c r="D35" s="50"/>
      <c r="E35" s="14">
        <v>6.03</v>
      </c>
    </row>
    <row r="36" spans="1:5" x14ac:dyDescent="0.25">
      <c r="A36" s="45" t="s">
        <v>66</v>
      </c>
      <c r="B36" s="48">
        <v>12500</v>
      </c>
      <c r="C36" s="48" t="s">
        <v>73</v>
      </c>
      <c r="D36" s="48" t="s">
        <v>74</v>
      </c>
      <c r="E36" s="12">
        <v>5.67</v>
      </c>
    </row>
    <row r="37" spans="1:5" ht="15.75" thickBot="1" x14ac:dyDescent="0.3">
      <c r="A37" s="47"/>
      <c r="B37" s="50"/>
      <c r="C37" s="50"/>
      <c r="D37" s="50"/>
      <c r="E37" s="14">
        <v>6</v>
      </c>
    </row>
    <row r="38" spans="1:5" x14ac:dyDescent="0.25">
      <c r="A38" s="45" t="s">
        <v>67</v>
      </c>
      <c r="B38" s="48">
        <v>12500</v>
      </c>
      <c r="C38" s="48" t="s">
        <v>73</v>
      </c>
      <c r="D38" s="48" t="s">
        <v>74</v>
      </c>
      <c r="E38" s="12">
        <v>5.67</v>
      </c>
    </row>
    <row r="39" spans="1:5" ht="15.75" thickBot="1" x14ac:dyDescent="0.3">
      <c r="A39" s="47"/>
      <c r="B39" s="50"/>
      <c r="C39" s="50"/>
      <c r="D39" s="50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2021-02-11T22:48:40Z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