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3BD34608-F665-4374-92A5-65C08DEB6BC5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40" i="1"/>
  <c r="C32" i="1"/>
  <c r="C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U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W2" i="1" l="1"/>
  <c r="X2" i="1" s="1"/>
  <c r="Z2" i="1" s="1"/>
  <c r="AA2" i="1" s="1"/>
  <c r="J3" i="1"/>
  <c r="F3" i="1"/>
  <c r="O10" i="1"/>
  <c r="F10" i="1"/>
  <c r="J4" i="1"/>
  <c r="F4" i="1"/>
  <c r="O6" i="1"/>
  <c r="F6" i="1"/>
  <c r="J9" i="1"/>
  <c r="F9" i="1"/>
  <c r="P15" i="1"/>
  <c r="Q15" i="1" s="1"/>
  <c r="R15" i="1" s="1"/>
  <c r="U15" i="1" s="1"/>
  <c r="W15" i="1" s="1"/>
  <c r="X15" i="1" s="1"/>
  <c r="Z15" i="1" s="1"/>
  <c r="AA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U10" i="1" s="1"/>
  <c r="W10" i="1" s="1"/>
  <c r="X10" i="1" s="1"/>
  <c r="Z10" i="1" s="1"/>
  <c r="AA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U14" i="1" s="1"/>
  <c r="W14" i="1" l="1"/>
  <c r="X14" i="1" s="1"/>
  <c r="Z14" i="1" s="1"/>
  <c r="AA14" i="1" s="1"/>
  <c r="Q6" i="1"/>
  <c r="R6" i="1" s="1"/>
  <c r="U6" i="1" s="1"/>
  <c r="W6" i="1" s="1"/>
  <c r="X6" i="1" s="1"/>
  <c r="Z6" i="1" s="1"/>
  <c r="AA6" i="1" s="1"/>
  <c r="Q12" i="1"/>
  <c r="R12" i="1" s="1"/>
  <c r="U12" i="1" s="1"/>
  <c r="W12" i="1" s="1"/>
  <c r="X12" i="1" s="1"/>
  <c r="Z12" i="1" s="1"/>
  <c r="AA12" i="1" s="1"/>
  <c r="Q3" i="1"/>
  <c r="R3" i="1" s="1"/>
  <c r="U3" i="1" s="1"/>
  <c r="W3" i="1" s="1"/>
  <c r="X3" i="1" s="1"/>
  <c r="Q8" i="1"/>
  <c r="R8" i="1" s="1"/>
  <c r="U8" i="1" s="1"/>
  <c r="W8" i="1" s="1"/>
  <c r="X8" i="1" s="1"/>
  <c r="Z8" i="1" s="1"/>
  <c r="AA8" i="1" s="1"/>
  <c r="Q9" i="1"/>
  <c r="R9" i="1" s="1"/>
  <c r="U9" i="1" s="1"/>
  <c r="W9" i="1" s="1"/>
  <c r="X9" i="1" s="1"/>
  <c r="Z9" i="1" s="1"/>
  <c r="AA9" i="1" s="1"/>
  <c r="Q4" i="1"/>
  <c r="R4" i="1" s="1"/>
  <c r="U4" i="1" s="1"/>
  <c r="W4" i="1" s="1"/>
  <c r="X4" i="1" s="1"/>
  <c r="Z4" i="1" s="1"/>
  <c r="AA4" i="1" s="1"/>
  <c r="Q11" i="1"/>
  <c r="R11" i="1" s="1"/>
  <c r="U11" i="1" s="1"/>
  <c r="W11" i="1" s="1"/>
  <c r="X11" i="1" s="1"/>
  <c r="Z11" i="1" s="1"/>
  <c r="AA11" i="1" s="1"/>
  <c r="Q5" i="1"/>
  <c r="R5" i="1" s="1"/>
  <c r="U5" i="1" s="1"/>
  <c r="W5" i="1" s="1"/>
  <c r="X5" i="1" s="1"/>
  <c r="Z5" i="1" s="1"/>
  <c r="AA5" i="1" s="1"/>
  <c r="Q13" i="1"/>
  <c r="R13" i="1" s="1"/>
  <c r="U13" i="1" s="1"/>
  <c r="W13" i="1" s="1"/>
  <c r="X13" i="1" s="1"/>
  <c r="Z13" i="1" s="1"/>
  <c r="AA13" i="1" s="1"/>
  <c r="Q7" i="1"/>
  <c r="R7" i="1" s="1"/>
  <c r="U7" i="1" s="1"/>
  <c r="W7" i="1" s="1"/>
  <c r="X7" i="1" s="1"/>
  <c r="Z7" i="1" s="1"/>
  <c r="AA7" i="1" s="1"/>
  <c r="Z3" i="1" l="1"/>
  <c r="AA3" i="1" s="1"/>
  <c r="AC17" i="1"/>
</calcChain>
</file>

<file path=xl/sharedStrings.xml><?xml version="1.0" encoding="utf-8"?>
<sst xmlns="http://schemas.openxmlformats.org/spreadsheetml/2006/main" count="183" uniqueCount="149">
  <si>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</si>
  <si>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</si>
  <si>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</si>
  <si>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</si>
  <si>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</si>
  <si>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</si>
  <si>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</si>
  <si>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</si>
  <si>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</si>
  <si>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</si>
  <si>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</si>
  <si>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</si>
  <si>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</si>
  <si>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</si>
  <si>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</si>
  <si>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</si>
  <si>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</si>
  <si>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</si>
  <si>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</si>
  <si>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</si>
  <si>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</si>
  <si>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</si>
  <si>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</si>
  <si>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</si>
  <si>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</si>
  <si>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</si>
  <si>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</si>
  <si>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</si>
  <si>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</si>
  <si>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</si>
  <si>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</si>
  <si>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</si>
  <si>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</si>
  <si>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</si>
  <si>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</si>
  <si>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</si>
  <si>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</si>
  <si>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</si>
  <si>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</si>
  <si>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</si>
  <si>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</si>
  <si>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</si>
  <si>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</si>
  <si>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</si>
  <si>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</si>
  <si>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</si>
  <si>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</si>
  <si>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</si>
  <si>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</si>
  <si>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</si>
  <si>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</si>
  <si>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</si>
  <si>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</si>
  <si>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</si>
  <si>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</si>
  <si>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</si>
  <si>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</si>
  <si>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</si>
  <si>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</si>
  <si>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</si>
  <si>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</si>
  <si>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</si>
  <si>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</si>
  <si>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</si>
  <si>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</si>
  <si>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</si>
  <si>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</si>
  <si>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</si>
  <si>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</si>
  <si>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</si>
  <si>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</si>
  <si>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</si>
  <si>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</si>
  <si>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</si>
  <si>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</si>
  <si>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</si>
  <si>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</si>
  <si>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</si>
  <si>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</si>
  <si>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</si>
  <si>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</si>
  <si>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</si>
  <si>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</si>
  <si>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</si>
  <si>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</si>
  <si>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</si>
  <si>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</si>
  <si>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</si>
  <si>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</si>
  <si>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</si>
  <si>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</si>
  <si>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</si>
  <si>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</si>
  <si>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</si>
  <si>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</si>
  <si>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</si>
  <si>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</si>
  <si>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</si>
  <si>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</si>
  <si>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</si>
  <si>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</si>
  <si>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</si>
  <si>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</si>
  <si>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</si>
  <si>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</si>
  <si>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</si>
  <si>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</si>
  <si>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</si>
  <si>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</si>
  <si>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</si>
  <si>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</si>
  <si>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</si>
  <si>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</si>
  <si>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</si>
  <si>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</si>
  <si>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</si>
  <si>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</si>
  <si>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</si>
  <si>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</si>
  <si>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</si>
  <si>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</si>
  <si>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</si>
  <si>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</si>
  <si>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</si>
  <si>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</si>
  <si>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</si>
  <si>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</si>
  <si>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</si>
  <si>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</si>
  <si>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</si>
  <si>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</si>
  <si>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</si>
  <si>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</si>
  <si>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</si>
  <si>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</si>
  <si>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</si>
  <si>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</si>
  <si>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</si>
  <si>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</si>
  <si>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</si>
  <si>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</si>
  <si>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</si>
  <si>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</si>
  <si>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</si>
  <si>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</si>
  <si>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</si>
  <si>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Battery Discharge Rate [unit/hr]</t>
  </si>
  <si>
    <t>Air Density</t>
  </si>
  <si>
    <t xml:space="preserve">Gradeability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</si>
</sst>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28.8</c:v>
                </c:pt>
                <c:pt idx="2">
                  <c:v>57.6</c:v>
                </c:pt>
                <c:pt idx="3">
                  <c:v>64.8</c:v>
                </c:pt>
                <c:pt idx="4">
                  <c:v>64.8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  <c:pt idx="9">
                  <c:v>0.3664264968859916</c:v>
                </c:pt>
                <c:pt idx="10">
                  <c:v>732.85299377198328</c:v>
                </c:pt>
                <c:pt idx="11">
                  <c:v>366.42649688599164</c:v>
                </c:pt>
                <c:pt idx="12">
                  <c:v>293.14119750879331</c:v>
                </c:pt>
                <c:pt idx="13">
                  <c:v>109.92794906579748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117.17664749473686</c:v>
                </c:pt>
                <c:pt idx="2">
                  <c:v>239.25077440000004</c:v>
                </c:pt>
                <c:pt idx="3">
                  <c:v>103.52088170526318</c:v>
                </c:pt>
                <c:pt idx="4">
                  <c:v>47.658355389473698</c:v>
                </c:pt>
                <c:pt idx="5">
                  <c:v>47.658355389473698</c:v>
                </c:pt>
                <c:pt idx="6">
                  <c:v>47.658355389473698</c:v>
                </c:pt>
                <c:pt idx="7">
                  <c:v>47.658355389473698</c:v>
                </c:pt>
                <c:pt idx="8">
                  <c:v>47.658355389473698</c:v>
                </c:pt>
                <c:pt idx="9">
                  <c:v>6.1797477825671923E-2</c:v>
                </c:pt>
                <c:pt idx="10">
                  <c:v>34.676838394471488</c:v>
                </c:pt>
                <c:pt idx="11">
                  <c:v>32.41615680844329</c:v>
                </c:pt>
                <c:pt idx="12">
                  <c:v>49.438798505830583</c:v>
                </c:pt>
                <c:pt idx="13">
                  <c:v>18.53928639147594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Application!$AA$2:$AA$15</c:f>
              <c:numCache>
                <c:formatCode>General</c:formatCode>
                <c:ptCount val="14"/>
                <c:pt idx="0">
                  <c:v>0.05</c:v>
                </c:pt>
                <c:pt idx="1">
                  <c:v>2.5601060089846005E-6</c:v>
                </c:pt>
                <c:pt idx="2">
                  <c:v>1.2538829914109215E-6</c:v>
                </c:pt>
                <c:pt idx="3">
                  <c:v>2.897798089331888E-6</c:v>
                </c:pt>
                <c:pt idx="4">
                  <c:v>6.2940114798290683E-6</c:v>
                </c:pt>
                <c:pt idx="5">
                  <c:v>6.2940114798290683E-6</c:v>
                </c:pt>
                <c:pt idx="6">
                  <c:v>6.2940114798290683E-6</c:v>
                </c:pt>
                <c:pt idx="7">
                  <c:v>6.2940114798290683E-6</c:v>
                </c:pt>
                <c:pt idx="8">
                  <c:v>6.2940114798290683E-6</c:v>
                </c:pt>
                <c:pt idx="9">
                  <c:v>4.4249433698904236E-3</c:v>
                </c:pt>
                <c:pt idx="10">
                  <c:v>8.6498110848915002E-6</c:v>
                </c:pt>
                <c:pt idx="11">
                  <c:v>9.2529316224229342E-6</c:v>
                </c:pt>
                <c:pt idx="12">
                  <c:v>6.0673722831456914E-6</c:v>
                </c:pt>
                <c:pt idx="13">
                  <c:v>1.6176617263667089E-5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300036</xdr:colOff>
      <xdr:row>18</xdr:row>
      <xdr:rowOff>100011</xdr:rowOff>
    </xdr:from>
    <xdr:to>
      <xdr:col>24</xdr:col>
      <xdr:colOff>171450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37</xdr:row>
      <xdr:rowOff>61912</xdr:rowOff>
    </xdr:from>
    <xdr:to>
      <xdr:col>24</xdr:col>
      <xdr:colOff>161925</xdr:colOff>
      <xdr:row>52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409575</xdr:colOff>
      <xdr:row>18</xdr:row>
      <xdr:rowOff>52387</xdr:rowOff>
    </xdr:from>
    <xdr:to>
      <xdr:col>32</xdr:col>
      <xdr:colOff>104775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4" headerRowBorderDxfId="3" tableBorderDxfId="2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C164"/>
  <sheetViews>
    <sheetView tabSelected="1" zoomScaleNormal="100" workbookViewId="0">
      <selection activeCell="A11" sqref="A11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8" ht="60.75" thickBot="1" x14ac:dyDescent="0.3">
      <c r="A1" s="27" t="s">
        <v>10</v>
      </c>
      <c r="B1" s="27" t="s">
        <v>0</v>
      </c>
      <c r="C1" s="27" t="s">
        <v>1</v>
      </c>
      <c r="D1" s="43" t="s">
        <v>48</v>
      </c>
      <c r="E1" s="2" t="s">
        <v>19</v>
      </c>
      <c r="F1" s="2" t="s">
        <v>126</v>
      </c>
      <c r="G1" s="2" t="s">
        <v>20</v>
      </c>
      <c r="H1" s="2" t="s">
        <v>35</v>
      </c>
      <c r="I1" s="2" t="s">
        <v>27</v>
      </c>
      <c r="J1" s="2" t="s">
        <v>21</v>
      </c>
      <c r="K1" s="2" t="s">
        <v>125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28</v>
      </c>
      <c r="R1" s="2" t="s">
        <v>29</v>
      </c>
      <c r="S1" s="2" t="s">
        <v>33</v>
      </c>
      <c r="T1" s="2" t="s">
        <v>30</v>
      </c>
      <c r="U1" s="2" t="s">
        <v>32</v>
      </c>
      <c r="V1" s="2" t="s">
        <v>34</v>
      </c>
      <c r="W1" s="37" t="s">
        <v>139</v>
      </c>
      <c r="X1" s="37" t="s">
        <v>140</v>
      </c>
      <c r="Y1" s="37" t="s">
        <v>141</v>
      </c>
      <c r="Z1" s="37" t="s">
        <v>142</v>
      </c>
      <c r="AA1" s="37" t="s">
        <v>146</v>
      </c>
    </row>
    <row r="2" spans="1:28" x14ac:dyDescent="0.25">
      <c r="A2" s="26" t="s">
        <v>3</v>
      </c>
      <c r="B2" s="26">
        <v>29483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115691.29200000002</v>
      </c>
      <c r="K2" s="20">
        <v>0</v>
      </c>
      <c r="L2" s="20">
        <v>0</v>
      </c>
      <c r="M2" s="20">
        <f>$B$2*$B$3*SIN(L2)</f>
        <v>0</v>
      </c>
      <c r="N2" s="20">
        <f>$B$2*$B$3*$B$7*COS(L2)</f>
        <v>2024.5976100000003</v>
      </c>
      <c r="O2" s="20">
        <f>0.5*$B$5*$B$6*$B$4*H2^2</f>
        <v>0</v>
      </c>
      <c r="P2" s="20">
        <f>$B$2*I2</f>
        <v>0</v>
      </c>
      <c r="Q2" s="20">
        <f>SUM(M2,N2,O2,P2)</f>
        <v>2024.5976100000003</v>
      </c>
      <c r="R2" s="20">
        <f>Q2*$B$9</f>
        <v>870.57697230000008</v>
      </c>
      <c r="S2" s="20">
        <f>H2*60/2/PI()/$B$9</f>
        <v>0</v>
      </c>
      <c r="T2" s="20">
        <f t="shared" ref="T2:T15" si="2">$B$17*$B$18</f>
        <v>16.5</v>
      </c>
      <c r="U2" s="20">
        <f>R2/T2/$B$16/$B$10</f>
        <v>13.88480019617225</v>
      </c>
      <c r="V2" s="20">
        <f>S2*T2</f>
        <v>0</v>
      </c>
      <c r="W2" s="40">
        <f>U2*V2*2*PI()/60/1000</f>
        <v>0</v>
      </c>
      <c r="X2" s="40">
        <f>W2*$B$16</f>
        <v>0</v>
      </c>
      <c r="Y2" s="40">
        <v>600</v>
      </c>
      <c r="Z2" s="40">
        <f>1000*X2/Y2</f>
        <v>0</v>
      </c>
      <c r="AA2" s="40">
        <f>($B$19*$B$20/(Z2+0.01)/Y2/1000)</f>
        <v>0.05</v>
      </c>
      <c r="AB2" s="40"/>
    </row>
    <row r="3" spans="1:28" x14ac:dyDescent="0.25">
      <c r="A3" s="26" t="s">
        <v>4</v>
      </c>
      <c r="B3" s="26">
        <v>9.81</v>
      </c>
      <c r="C3" s="26" t="s">
        <v>5</v>
      </c>
      <c r="D3" s="43"/>
      <c r="E3" s="20">
        <f t="shared" ref="E3:E15" si="3">E2+$B$42</f>
        <v>20</v>
      </c>
      <c r="F3" s="20">
        <f t="shared" si="0"/>
        <v>28.8</v>
      </c>
      <c r="G3" s="20">
        <f t="shared" ref="G3:G15" si="4">G2+$B$14*(E3-E2)</f>
        <v>8</v>
      </c>
      <c r="H3" s="20">
        <f t="shared" si="1"/>
        <v>8</v>
      </c>
      <c r="I3" s="21">
        <f t="shared" ref="I3:I10" si="5">(H3-H2)/(E3-E2)</f>
        <v>0.4</v>
      </c>
      <c r="J3" s="20">
        <f t="shared" ref="J3:J15" si="6">$J$2/H3</f>
        <v>14461.411500000002</v>
      </c>
      <c r="K3" s="20">
        <v>0</v>
      </c>
      <c r="L3" s="20">
        <v>0</v>
      </c>
      <c r="M3" s="20">
        <f t="shared" ref="M3:M15" si="7">$B$2*$B$3*SIN(L3)</f>
        <v>0</v>
      </c>
      <c r="N3" s="20">
        <f t="shared" ref="N3:N15" si="8">$B$2*$B$3*$B$7*COS(L3)</f>
        <v>2024.5976100000003</v>
      </c>
      <c r="O3" s="20">
        <f t="shared" ref="O3:O15" si="9">0.5*$B$5*$B$6*$B$4*H3^2</f>
        <v>96.929279999999991</v>
      </c>
      <c r="P3" s="20">
        <f t="shared" ref="P3:P15" si="10">$B$2*I3</f>
        <v>11793.2</v>
      </c>
      <c r="Q3" s="20">
        <f t="shared" ref="Q3:Q15" si="11">SUM(M3,N3,O3,P3)</f>
        <v>13914.726890000002</v>
      </c>
      <c r="R3" s="20">
        <f t="shared" ref="R3:R15" si="12">Q3*$B$9</f>
        <v>5983.3325627000004</v>
      </c>
      <c r="S3" s="20">
        <f t="shared" ref="S3:S15" si="13">H3*60/2/PI()/$B$9</f>
        <v>177.66133182351109</v>
      </c>
      <c r="T3" s="20">
        <f t="shared" si="2"/>
        <v>16.5</v>
      </c>
      <c r="U3" s="20">
        <f t="shared" ref="U3:U15" si="14">R3/T3/$B$16/$B$10</f>
        <v>95.427951558213721</v>
      </c>
      <c r="V3" s="20">
        <f t="shared" ref="V3:V15" si="15">S3*T3</f>
        <v>2931.4119750879331</v>
      </c>
      <c r="W3" s="40">
        <f t="shared" ref="W3:W15" si="16">U3*V3*2*PI()/60/1000</f>
        <v>29.294161873684214</v>
      </c>
      <c r="X3" s="40">
        <f t="shared" ref="X3:X15" si="17">W3*$B$16</f>
        <v>117.17664749473686</v>
      </c>
      <c r="Y3" s="40">
        <v>600</v>
      </c>
      <c r="Z3" s="40">
        <f t="shared" ref="Z3:Z15" si="18">1000*X3/Y3</f>
        <v>195.29441249122809</v>
      </c>
      <c r="AA3" s="40">
        <f t="shared" ref="AA3:AA15" si="19">($B$19*$B$20/(Z3+0.01)/Y3/1000)</f>
        <v>2.5601060089846005E-6</v>
      </c>
      <c r="AB3" s="40"/>
    </row>
    <row r="4" spans="1:28" x14ac:dyDescent="0.25">
      <c r="A4" s="26" t="s">
        <v>12</v>
      </c>
      <c r="B4" s="26">
        <v>4.2</v>
      </c>
      <c r="C4" s="26" t="s">
        <v>13</v>
      </c>
      <c r="D4" s="43"/>
      <c r="E4" s="20">
        <f t="shared" si="3"/>
        <v>40</v>
      </c>
      <c r="F4" s="20">
        <f t="shared" si="0"/>
        <v>57.6</v>
      </c>
      <c r="G4" s="20">
        <f t="shared" si="4"/>
        <v>16</v>
      </c>
      <c r="H4" s="20">
        <f t="shared" si="1"/>
        <v>16</v>
      </c>
      <c r="I4" s="21">
        <f t="shared" si="5"/>
        <v>0.4</v>
      </c>
      <c r="J4" s="20">
        <f t="shared" si="6"/>
        <v>7230.705750000001</v>
      </c>
      <c r="K4" s="20">
        <v>0</v>
      </c>
      <c r="L4" s="20">
        <v>0</v>
      </c>
      <c r="M4" s="20">
        <f t="shared" si="7"/>
        <v>0</v>
      </c>
      <c r="N4" s="20">
        <f t="shared" si="8"/>
        <v>2024.5976100000003</v>
      </c>
      <c r="O4" s="20">
        <f t="shared" si="9"/>
        <v>387.71711999999997</v>
      </c>
      <c r="P4" s="20">
        <f t="shared" si="10"/>
        <v>11793.2</v>
      </c>
      <c r="Q4" s="20">
        <f t="shared" si="11"/>
        <v>14205.514730000001</v>
      </c>
      <c r="R4" s="20">
        <f t="shared" si="12"/>
        <v>6108.3713339000005</v>
      </c>
      <c r="S4" s="20">
        <f t="shared" si="13"/>
        <v>355.32266364702218</v>
      </c>
      <c r="T4" s="20">
        <f t="shared" si="2"/>
        <v>16.5</v>
      </c>
      <c r="U4" s="20">
        <f t="shared" si="14"/>
        <v>97.422190333333347</v>
      </c>
      <c r="V4" s="20">
        <f t="shared" si="15"/>
        <v>5862.8239501758662</v>
      </c>
      <c r="W4" s="40">
        <f t="shared" si="16"/>
        <v>59.81269360000001</v>
      </c>
      <c r="X4" s="40">
        <f t="shared" si="17"/>
        <v>239.25077440000004</v>
      </c>
      <c r="Y4" s="40">
        <v>600</v>
      </c>
      <c r="Z4" s="40">
        <f t="shared" si="18"/>
        <v>398.75129066666676</v>
      </c>
      <c r="AA4" s="40">
        <f t="shared" si="19"/>
        <v>1.2538829914109215E-6</v>
      </c>
      <c r="AB4" s="40"/>
    </row>
    <row r="5" spans="1:28" x14ac:dyDescent="0.25">
      <c r="A5" s="26" t="s">
        <v>147</v>
      </c>
      <c r="B5" s="26">
        <v>1.202</v>
      </c>
      <c r="C5" s="26" t="s">
        <v>6</v>
      </c>
      <c r="D5" s="43"/>
      <c r="E5" s="20">
        <f t="shared" si="3"/>
        <v>60</v>
      </c>
      <c r="F5" s="20">
        <f t="shared" si="0"/>
        <v>64.8</v>
      </c>
      <c r="G5" s="20">
        <f t="shared" si="4"/>
        <v>24</v>
      </c>
      <c r="H5" s="20">
        <f t="shared" si="1"/>
        <v>18</v>
      </c>
      <c r="I5" s="21">
        <f t="shared" si="5"/>
        <v>0.1</v>
      </c>
      <c r="J5" s="20">
        <f t="shared" si="6"/>
        <v>6427.2940000000008</v>
      </c>
      <c r="K5" s="20">
        <v>0</v>
      </c>
      <c r="L5" s="20">
        <v>0</v>
      </c>
      <c r="M5" s="20">
        <f t="shared" si="7"/>
        <v>0</v>
      </c>
      <c r="N5" s="20">
        <f t="shared" si="8"/>
        <v>2024.5976100000003</v>
      </c>
      <c r="O5" s="20">
        <f t="shared" si="9"/>
        <v>490.70447999999993</v>
      </c>
      <c r="P5" s="20">
        <f t="shared" si="10"/>
        <v>2948.3</v>
      </c>
      <c r="Q5" s="20">
        <f t="shared" si="11"/>
        <v>5463.6020900000003</v>
      </c>
      <c r="R5" s="20">
        <f t="shared" si="12"/>
        <v>2349.3488987000001</v>
      </c>
      <c r="S5" s="20">
        <f t="shared" si="13"/>
        <v>399.73799660289995</v>
      </c>
      <c r="T5" s="20">
        <f t="shared" si="2"/>
        <v>16.5</v>
      </c>
      <c r="U5" s="20">
        <f t="shared" si="14"/>
        <v>37.469679405103669</v>
      </c>
      <c r="V5" s="20">
        <f t="shared" si="15"/>
        <v>6595.6769439478494</v>
      </c>
      <c r="W5" s="40">
        <f t="shared" si="16"/>
        <v>25.880220426315795</v>
      </c>
      <c r="X5" s="40">
        <f t="shared" si="17"/>
        <v>103.52088170526318</v>
      </c>
      <c r="Y5" s="40">
        <v>600</v>
      </c>
      <c r="Z5" s="40">
        <f t="shared" si="18"/>
        <v>172.53480284210531</v>
      </c>
      <c r="AA5" s="40">
        <f t="shared" si="19"/>
        <v>2.897798089331888E-6</v>
      </c>
      <c r="AB5" s="40"/>
    </row>
    <row r="6" spans="1:28" x14ac:dyDescent="0.25">
      <c r="A6" s="26" t="s">
        <v>14</v>
      </c>
      <c r="B6" s="26">
        <v>0.6</v>
      </c>
      <c r="C6" s="26"/>
      <c r="D6" s="43"/>
      <c r="E6" s="20">
        <f t="shared" si="3"/>
        <v>80</v>
      </c>
      <c r="F6" s="20">
        <f t="shared" si="0"/>
        <v>64.8</v>
      </c>
      <c r="G6" s="20">
        <f t="shared" si="4"/>
        <v>32</v>
      </c>
      <c r="H6" s="20">
        <f t="shared" si="1"/>
        <v>18</v>
      </c>
      <c r="I6" s="21">
        <f t="shared" si="5"/>
        <v>0</v>
      </c>
      <c r="J6" s="20">
        <f t="shared" si="6"/>
        <v>6427.2940000000008</v>
      </c>
      <c r="K6" s="20">
        <v>0</v>
      </c>
      <c r="L6" s="20">
        <v>0</v>
      </c>
      <c r="M6" s="20">
        <f t="shared" si="7"/>
        <v>0</v>
      </c>
      <c r="N6" s="20">
        <f t="shared" si="8"/>
        <v>2024.5976100000003</v>
      </c>
      <c r="O6" s="20">
        <f t="shared" si="9"/>
        <v>490.70447999999993</v>
      </c>
      <c r="P6" s="20">
        <f t="shared" si="10"/>
        <v>0</v>
      </c>
      <c r="Q6" s="20">
        <f t="shared" si="11"/>
        <v>2515.3020900000001</v>
      </c>
      <c r="R6" s="20">
        <f t="shared" si="12"/>
        <v>1081.5798987000001</v>
      </c>
      <c r="S6" s="20">
        <f t="shared" si="13"/>
        <v>399.73799660289995</v>
      </c>
      <c r="T6" s="20">
        <f t="shared" si="2"/>
        <v>16.5</v>
      </c>
      <c r="U6" s="20">
        <f t="shared" si="14"/>
        <v>17.250078129186605</v>
      </c>
      <c r="V6" s="20">
        <f t="shared" si="15"/>
        <v>6595.6769439478494</v>
      </c>
      <c r="W6" s="40">
        <f t="shared" si="16"/>
        <v>11.914588847368424</v>
      </c>
      <c r="X6" s="40">
        <f t="shared" si="17"/>
        <v>47.658355389473698</v>
      </c>
      <c r="Y6" s="40">
        <v>600</v>
      </c>
      <c r="Z6" s="40">
        <f t="shared" si="18"/>
        <v>79.430592315789497</v>
      </c>
      <c r="AA6" s="40">
        <f t="shared" si="19"/>
        <v>6.2940114798290683E-6</v>
      </c>
      <c r="AB6" s="40"/>
    </row>
    <row r="7" spans="1:28" x14ac:dyDescent="0.25">
      <c r="A7" s="26" t="s">
        <v>122</v>
      </c>
      <c r="B7" s="26">
        <v>7.0000000000000001E-3</v>
      </c>
      <c r="C7" s="26"/>
      <c r="D7" s="43"/>
      <c r="E7" s="20">
        <f t="shared" si="3"/>
        <v>100</v>
      </c>
      <c r="F7" s="20">
        <f t="shared" si="0"/>
        <v>64.8</v>
      </c>
      <c r="G7" s="20">
        <f t="shared" si="4"/>
        <v>40</v>
      </c>
      <c r="H7" s="20">
        <f t="shared" si="1"/>
        <v>18</v>
      </c>
      <c r="I7" s="21">
        <f t="shared" si="5"/>
        <v>0</v>
      </c>
      <c r="J7" s="20">
        <f t="shared" si="6"/>
        <v>6427.2940000000008</v>
      </c>
      <c r="K7" s="20">
        <v>0</v>
      </c>
      <c r="L7" s="20">
        <v>0</v>
      </c>
      <c r="M7" s="20">
        <f t="shared" si="7"/>
        <v>0</v>
      </c>
      <c r="N7" s="20">
        <f t="shared" si="8"/>
        <v>2024.5976100000003</v>
      </c>
      <c r="O7" s="20">
        <f t="shared" si="9"/>
        <v>490.70447999999993</v>
      </c>
      <c r="P7" s="20">
        <f t="shared" si="10"/>
        <v>0</v>
      </c>
      <c r="Q7" s="20">
        <f t="shared" si="11"/>
        <v>2515.3020900000001</v>
      </c>
      <c r="R7" s="20">
        <f t="shared" si="12"/>
        <v>1081.5798987000001</v>
      </c>
      <c r="S7" s="20">
        <f t="shared" si="13"/>
        <v>399.73799660289995</v>
      </c>
      <c r="T7" s="20">
        <f t="shared" si="2"/>
        <v>16.5</v>
      </c>
      <c r="U7" s="20">
        <f t="shared" si="14"/>
        <v>17.250078129186605</v>
      </c>
      <c r="V7" s="20">
        <f t="shared" si="15"/>
        <v>6595.6769439478494</v>
      </c>
      <c r="W7" s="40">
        <f t="shared" si="16"/>
        <v>11.914588847368424</v>
      </c>
      <c r="X7" s="40">
        <f t="shared" si="17"/>
        <v>47.658355389473698</v>
      </c>
      <c r="Y7" s="40">
        <v>600</v>
      </c>
      <c r="Z7" s="40">
        <f t="shared" si="18"/>
        <v>79.430592315789497</v>
      </c>
      <c r="AA7" s="40">
        <f t="shared" si="19"/>
        <v>6.2940114798290683E-6</v>
      </c>
      <c r="AB7" s="40"/>
    </row>
    <row r="8" spans="1:28" x14ac:dyDescent="0.25">
      <c r="A8" s="26" t="s">
        <v>7</v>
      </c>
      <c r="B8" s="26">
        <v>0.4</v>
      </c>
      <c r="C8" s="26"/>
      <c r="D8" s="43"/>
      <c r="E8" s="20">
        <f t="shared" si="3"/>
        <v>120</v>
      </c>
      <c r="F8" s="20">
        <f t="shared" si="0"/>
        <v>64.8</v>
      </c>
      <c r="G8" s="20">
        <f t="shared" si="4"/>
        <v>48</v>
      </c>
      <c r="H8" s="20">
        <f t="shared" si="1"/>
        <v>18</v>
      </c>
      <c r="I8" s="21">
        <f t="shared" si="5"/>
        <v>0</v>
      </c>
      <c r="J8" s="20">
        <f t="shared" si="6"/>
        <v>6427.2940000000008</v>
      </c>
      <c r="K8" s="20">
        <v>0</v>
      </c>
      <c r="L8" s="20">
        <v>0</v>
      </c>
      <c r="M8" s="20">
        <f t="shared" si="7"/>
        <v>0</v>
      </c>
      <c r="N8" s="20">
        <f t="shared" si="8"/>
        <v>2024.5976100000003</v>
      </c>
      <c r="O8" s="20">
        <f t="shared" si="9"/>
        <v>490.70447999999993</v>
      </c>
      <c r="P8" s="20">
        <f t="shared" si="10"/>
        <v>0</v>
      </c>
      <c r="Q8" s="20">
        <f t="shared" si="11"/>
        <v>2515.3020900000001</v>
      </c>
      <c r="R8" s="20">
        <f t="shared" si="12"/>
        <v>1081.5798987000001</v>
      </c>
      <c r="S8" s="20">
        <f t="shared" si="13"/>
        <v>399.73799660289995</v>
      </c>
      <c r="T8" s="20">
        <f t="shared" si="2"/>
        <v>16.5</v>
      </c>
      <c r="U8" s="20">
        <f t="shared" si="14"/>
        <v>17.250078129186605</v>
      </c>
      <c r="V8" s="20">
        <f t="shared" si="15"/>
        <v>6595.6769439478494</v>
      </c>
      <c r="W8" s="40">
        <f t="shared" si="16"/>
        <v>11.914588847368424</v>
      </c>
      <c r="X8" s="40">
        <f t="shared" si="17"/>
        <v>47.658355389473698</v>
      </c>
      <c r="Y8" s="40">
        <v>600</v>
      </c>
      <c r="Z8" s="40">
        <f t="shared" si="18"/>
        <v>79.430592315789497</v>
      </c>
      <c r="AA8" s="40">
        <f t="shared" si="19"/>
        <v>6.2940114798290683E-6</v>
      </c>
      <c r="AB8" s="40"/>
    </row>
    <row r="9" spans="1:28" x14ac:dyDescent="0.25">
      <c r="A9" s="26" t="s">
        <v>8</v>
      </c>
      <c r="B9" s="26">
        <v>0.43</v>
      </c>
      <c r="C9" s="26" t="s">
        <v>9</v>
      </c>
      <c r="D9" s="43"/>
      <c r="E9" s="20">
        <f t="shared" si="3"/>
        <v>140</v>
      </c>
      <c r="F9" s="20">
        <f t="shared" si="0"/>
        <v>64.8</v>
      </c>
      <c r="G9" s="20">
        <f t="shared" si="4"/>
        <v>56</v>
      </c>
      <c r="H9" s="20">
        <f t="shared" si="1"/>
        <v>18</v>
      </c>
      <c r="I9" s="21">
        <f t="shared" si="5"/>
        <v>0</v>
      </c>
      <c r="J9" s="20">
        <f t="shared" si="6"/>
        <v>6427.2940000000008</v>
      </c>
      <c r="K9" s="20">
        <v>0</v>
      </c>
      <c r="L9" s="20">
        <v>0</v>
      </c>
      <c r="M9" s="20">
        <f t="shared" si="7"/>
        <v>0</v>
      </c>
      <c r="N9" s="20">
        <f t="shared" si="8"/>
        <v>2024.5976100000003</v>
      </c>
      <c r="O9" s="20">
        <f t="shared" si="9"/>
        <v>490.70447999999993</v>
      </c>
      <c r="P9" s="20">
        <f t="shared" si="10"/>
        <v>0</v>
      </c>
      <c r="Q9" s="20">
        <f t="shared" si="11"/>
        <v>2515.3020900000001</v>
      </c>
      <c r="R9" s="20">
        <f t="shared" si="12"/>
        <v>1081.5798987000001</v>
      </c>
      <c r="S9" s="20">
        <f t="shared" si="13"/>
        <v>399.73799660289995</v>
      </c>
      <c r="T9" s="20">
        <f t="shared" si="2"/>
        <v>16.5</v>
      </c>
      <c r="U9" s="20">
        <f t="shared" si="14"/>
        <v>17.250078129186605</v>
      </c>
      <c r="V9" s="20">
        <f t="shared" si="15"/>
        <v>6595.6769439478494</v>
      </c>
      <c r="W9" s="40">
        <f t="shared" si="16"/>
        <v>11.914588847368424</v>
      </c>
      <c r="X9" s="40">
        <f t="shared" si="17"/>
        <v>47.658355389473698</v>
      </c>
      <c r="Y9" s="40">
        <v>600</v>
      </c>
      <c r="Z9" s="40">
        <f t="shared" si="18"/>
        <v>79.430592315789497</v>
      </c>
      <c r="AA9" s="40">
        <f t="shared" si="19"/>
        <v>6.2940114798290683E-6</v>
      </c>
      <c r="AB9" s="40"/>
    </row>
    <row r="10" spans="1:28" x14ac:dyDescent="0.25">
      <c r="A10" s="26" t="s">
        <v>11</v>
      </c>
      <c r="B10" s="26">
        <v>0.95</v>
      </c>
      <c r="C10" s="26"/>
      <c r="D10" s="43"/>
      <c r="E10" s="20">
        <f t="shared" si="3"/>
        <v>160</v>
      </c>
      <c r="F10" s="20">
        <f t="shared" si="0"/>
        <v>64.8</v>
      </c>
      <c r="G10" s="20">
        <f t="shared" si="4"/>
        <v>64</v>
      </c>
      <c r="H10" s="20">
        <f t="shared" si="1"/>
        <v>18</v>
      </c>
      <c r="I10" s="21">
        <f t="shared" si="5"/>
        <v>0</v>
      </c>
      <c r="J10" s="20">
        <f t="shared" si="6"/>
        <v>6427.2940000000008</v>
      </c>
      <c r="K10" s="20">
        <v>0</v>
      </c>
      <c r="L10" s="20">
        <v>0</v>
      </c>
      <c r="M10" s="20">
        <f t="shared" si="7"/>
        <v>0</v>
      </c>
      <c r="N10" s="20">
        <f t="shared" si="8"/>
        <v>2024.5976100000003</v>
      </c>
      <c r="O10" s="20">
        <f t="shared" si="9"/>
        <v>490.70447999999993</v>
      </c>
      <c r="P10" s="20">
        <f t="shared" si="10"/>
        <v>0</v>
      </c>
      <c r="Q10" s="20">
        <f t="shared" si="11"/>
        <v>2515.3020900000001</v>
      </c>
      <c r="R10" s="20">
        <f t="shared" si="12"/>
        <v>1081.5798987000001</v>
      </c>
      <c r="S10" s="20">
        <f t="shared" si="13"/>
        <v>399.73799660289995</v>
      </c>
      <c r="T10" s="20">
        <f t="shared" si="2"/>
        <v>16.5</v>
      </c>
      <c r="U10" s="20">
        <f t="shared" si="14"/>
        <v>17.250078129186605</v>
      </c>
      <c r="V10" s="20">
        <f t="shared" si="15"/>
        <v>6595.6769439478494</v>
      </c>
      <c r="W10" s="40">
        <f t="shared" si="16"/>
        <v>11.914588847368424</v>
      </c>
      <c r="X10" s="40">
        <f t="shared" si="17"/>
        <v>47.658355389473698</v>
      </c>
      <c r="Y10" s="40">
        <v>600</v>
      </c>
      <c r="Z10" s="40">
        <f t="shared" si="18"/>
        <v>79.430592315789497</v>
      </c>
      <c r="AA10" s="40">
        <f t="shared" si="19"/>
        <v>6.2940114798290683E-6</v>
      </c>
      <c r="AB10" s="40"/>
    </row>
    <row r="11" spans="1:28" x14ac:dyDescent="0.25">
      <c r="A11" s="26" t="s">
        <v>127</v>
      </c>
      <c r="B11" s="26">
        <v>20</v>
      </c>
      <c r="C11" s="26" t="s">
        <v>15</v>
      </c>
      <c r="D11" s="43"/>
      <c r="E11" s="24">
        <f t="shared" si="3"/>
        <v>180</v>
      </c>
      <c r="F11" s="24">
        <f t="shared" si="0"/>
        <v>3.5999999999999999E-3</v>
      </c>
      <c r="G11" s="24">
        <f t="shared" si="4"/>
        <v>72</v>
      </c>
      <c r="H11" s="24">
        <v>1E-3</v>
      </c>
      <c r="I11" s="25">
        <v>0</v>
      </c>
      <c r="J11" s="24">
        <f t="shared" si="6"/>
        <v>115691292.00000001</v>
      </c>
      <c r="K11" s="24">
        <f>Table2[[#This Row],[Value]]</f>
        <v>20</v>
      </c>
      <c r="L11" s="24">
        <f>ATAN2(100, K11)</f>
        <v>0.19739555984988078</v>
      </c>
      <c r="M11" s="24">
        <f t="shared" si="7"/>
        <v>56722.322640457787</v>
      </c>
      <c r="N11" s="24">
        <f t="shared" si="8"/>
        <v>1985.2812924160221</v>
      </c>
      <c r="O11" s="24">
        <f t="shared" si="9"/>
        <v>1.5145199999999998E-6</v>
      </c>
      <c r="P11" s="24">
        <f t="shared" si="10"/>
        <v>0</v>
      </c>
      <c r="Q11" s="24">
        <f t="shared" si="11"/>
        <v>58707.603934388331</v>
      </c>
      <c r="R11" s="24">
        <f t="shared" si="12"/>
        <v>25244.269691786983</v>
      </c>
      <c r="S11" s="24">
        <f t="shared" si="13"/>
        <v>2.2207666477938884E-2</v>
      </c>
      <c r="T11" s="24">
        <f t="shared" si="2"/>
        <v>16.5</v>
      </c>
      <c r="U11" s="24">
        <f t="shared" si="14"/>
        <v>402.61993128846865</v>
      </c>
      <c r="V11" s="24">
        <f>S11*T11</f>
        <v>0.3664264968859916</v>
      </c>
      <c r="W11" s="38">
        <f t="shared" si="16"/>
        <v>1.5449369456417981E-2</v>
      </c>
      <c r="X11" s="38">
        <f t="shared" si="17"/>
        <v>6.1797477825671923E-2</v>
      </c>
      <c r="Y11" s="38">
        <v>600</v>
      </c>
      <c r="Z11" s="38">
        <f t="shared" si="18"/>
        <v>0.10299579637611987</v>
      </c>
      <c r="AA11" s="40">
        <f t="shared" si="19"/>
        <v>4.4249433698904236E-3</v>
      </c>
      <c r="AB11" s="38"/>
    </row>
    <row r="12" spans="1:28" x14ac:dyDescent="0.25">
      <c r="A12" s="26" t="s">
        <v>148</v>
      </c>
      <c r="B12" s="26">
        <v>20</v>
      </c>
      <c r="C12" s="26" t="s">
        <v>15</v>
      </c>
      <c r="D12" s="43"/>
      <c r="E12" s="22">
        <f t="shared" si="3"/>
        <v>200</v>
      </c>
      <c r="F12" s="22">
        <f t="shared" si="0"/>
        <v>7.2</v>
      </c>
      <c r="G12" s="22">
        <f t="shared" si="4"/>
        <v>80</v>
      </c>
      <c r="H12" s="34">
        <v>2</v>
      </c>
      <c r="I12" s="23">
        <v>0</v>
      </c>
      <c r="J12" s="22">
        <f t="shared" si="6"/>
        <v>57845.646000000008</v>
      </c>
      <c r="K12" s="34">
        <v>5</v>
      </c>
      <c r="L12" s="22">
        <f t="shared" ref="L12:L15" si="20">ATAN2(100, K12)</f>
        <v>4.9958395721942765E-2</v>
      </c>
      <c r="M12" s="22">
        <f t="shared" si="7"/>
        <v>14443.368559099963</v>
      </c>
      <c r="N12" s="22">
        <f t="shared" si="8"/>
        <v>2022.0715982739946</v>
      </c>
      <c r="O12" s="22">
        <f t="shared" si="9"/>
        <v>6.0580799999999995</v>
      </c>
      <c r="P12" s="22">
        <f t="shared" si="10"/>
        <v>0</v>
      </c>
      <c r="Q12" s="22">
        <f t="shared" si="11"/>
        <v>16471.498237373955</v>
      </c>
      <c r="R12" s="22">
        <f t="shared" si="12"/>
        <v>7082.7442420708003</v>
      </c>
      <c r="S12" s="22">
        <f t="shared" si="13"/>
        <v>44.415332955877773</v>
      </c>
      <c r="T12" s="22">
        <f t="shared" si="2"/>
        <v>16.5</v>
      </c>
      <c r="U12" s="22">
        <f t="shared" si="14"/>
        <v>112.96242810320257</v>
      </c>
      <c r="V12" s="22">
        <f t="shared" si="15"/>
        <v>732.85299377198328</v>
      </c>
      <c r="W12" s="39">
        <f t="shared" si="16"/>
        <v>8.6692095986178721</v>
      </c>
      <c r="X12" s="39">
        <f t="shared" si="17"/>
        <v>34.676838394471488</v>
      </c>
      <c r="Y12" s="39">
        <v>600</v>
      </c>
      <c r="Z12" s="39">
        <f t="shared" si="18"/>
        <v>57.794730657452483</v>
      </c>
      <c r="AA12" s="40">
        <f t="shared" si="19"/>
        <v>8.6498110848915002E-6</v>
      </c>
      <c r="AB12" s="39"/>
    </row>
    <row r="13" spans="1:28" x14ac:dyDescent="0.25">
      <c r="A13" s="26" t="s">
        <v>128</v>
      </c>
      <c r="B13" s="26">
        <v>0.3</v>
      </c>
      <c r="C13" s="26" t="s">
        <v>18</v>
      </c>
      <c r="D13" s="43"/>
      <c r="E13" s="22">
        <f t="shared" si="3"/>
        <v>220</v>
      </c>
      <c r="F13" s="22">
        <f t="shared" si="0"/>
        <v>3.6</v>
      </c>
      <c r="G13" s="22">
        <f t="shared" si="4"/>
        <v>88</v>
      </c>
      <c r="H13" s="34">
        <v>1</v>
      </c>
      <c r="I13" s="23">
        <v>0</v>
      </c>
      <c r="J13" s="22">
        <f t="shared" si="6"/>
        <v>115691.29200000002</v>
      </c>
      <c r="K13" s="34">
        <v>10</v>
      </c>
      <c r="L13" s="22">
        <f t="shared" si="20"/>
        <v>9.9668652491162038E-2</v>
      </c>
      <c r="M13" s="22">
        <f t="shared" si="7"/>
        <v>28779.284530860856</v>
      </c>
      <c r="N13" s="22">
        <f t="shared" si="8"/>
        <v>2014.5499171602596</v>
      </c>
      <c r="O13" s="22">
        <f t="shared" si="9"/>
        <v>1.5145199999999999</v>
      </c>
      <c r="P13" s="22">
        <f t="shared" si="10"/>
        <v>0</v>
      </c>
      <c r="Q13" s="22">
        <f t="shared" si="11"/>
        <v>30795.348968021117</v>
      </c>
      <c r="R13" s="22">
        <f t="shared" si="12"/>
        <v>13242.00005624908</v>
      </c>
      <c r="S13" s="22">
        <f t="shared" si="13"/>
        <v>22.207666477938886</v>
      </c>
      <c r="T13" s="22">
        <f t="shared" si="2"/>
        <v>16.5</v>
      </c>
      <c r="U13" s="22">
        <f t="shared" si="14"/>
        <v>211.19617314591835</v>
      </c>
      <c r="V13" s="22">
        <f t="shared" si="15"/>
        <v>366.42649688599164</v>
      </c>
      <c r="W13" s="39">
        <f t="shared" si="16"/>
        <v>8.1040392021108225</v>
      </c>
      <c r="X13" s="39">
        <f t="shared" si="17"/>
        <v>32.41615680844329</v>
      </c>
      <c r="Y13" s="39">
        <v>600</v>
      </c>
      <c r="Z13" s="39">
        <f t="shared" si="18"/>
        <v>54.026928014072155</v>
      </c>
      <c r="AA13" s="40">
        <f t="shared" si="19"/>
        <v>9.2529316224229342E-6</v>
      </c>
      <c r="AB13" s="39"/>
    </row>
    <row r="14" spans="1:28" x14ac:dyDescent="0.25">
      <c r="A14" s="26" t="s">
        <v>16</v>
      </c>
      <c r="B14" s="26">
        <v>0.4</v>
      </c>
      <c r="C14" s="26" t="s">
        <v>5</v>
      </c>
      <c r="D14" s="43"/>
      <c r="E14" s="22">
        <f t="shared" si="3"/>
        <v>240</v>
      </c>
      <c r="F14" s="22">
        <f t="shared" si="0"/>
        <v>2.88</v>
      </c>
      <c r="G14" s="22">
        <f t="shared" si="4"/>
        <v>96</v>
      </c>
      <c r="H14" s="34">
        <v>0.8</v>
      </c>
      <c r="I14" s="23">
        <v>0</v>
      </c>
      <c r="J14" s="22">
        <f t="shared" si="6"/>
        <v>144614.11500000002</v>
      </c>
      <c r="K14" s="34">
        <v>20</v>
      </c>
      <c r="L14" s="22">
        <f t="shared" si="20"/>
        <v>0.19739555984988078</v>
      </c>
      <c r="M14" s="22">
        <f t="shared" si="7"/>
        <v>56722.322640457787</v>
      </c>
      <c r="N14" s="22">
        <f t="shared" si="8"/>
        <v>1985.2812924160221</v>
      </c>
      <c r="O14" s="22">
        <f t="shared" si="9"/>
        <v>0.96929280000000007</v>
      </c>
      <c r="P14" s="22">
        <f t="shared" si="10"/>
        <v>0</v>
      </c>
      <c r="Q14" s="22">
        <f t="shared" si="11"/>
        <v>58708.573225673812</v>
      </c>
      <c r="R14" s="22">
        <f t="shared" si="12"/>
        <v>25244.68648703974</v>
      </c>
      <c r="S14" s="22">
        <f t="shared" si="13"/>
        <v>17.766133182351108</v>
      </c>
      <c r="T14" s="22">
        <f t="shared" si="2"/>
        <v>16.5</v>
      </c>
      <c r="U14" s="22">
        <f t="shared" si="14"/>
        <v>402.62657874066571</v>
      </c>
      <c r="V14" s="22">
        <f t="shared" si="15"/>
        <v>293.14119750879331</v>
      </c>
      <c r="W14" s="39">
        <f t="shared" si="16"/>
        <v>12.359699626457646</v>
      </c>
      <c r="X14" s="39">
        <f t="shared" si="17"/>
        <v>49.438798505830583</v>
      </c>
      <c r="Y14" s="39">
        <v>600</v>
      </c>
      <c r="Z14" s="39">
        <f t="shared" si="18"/>
        <v>82.397997509717641</v>
      </c>
      <c r="AA14" s="40">
        <f t="shared" si="19"/>
        <v>6.0673722831456914E-6</v>
      </c>
      <c r="AB14" s="39"/>
    </row>
    <row r="15" spans="1:28" x14ac:dyDescent="0.25">
      <c r="A15" s="26" t="s">
        <v>17</v>
      </c>
      <c r="B15" s="26">
        <v>18</v>
      </c>
      <c r="C15" s="26" t="s">
        <v>18</v>
      </c>
      <c r="D15" s="43"/>
      <c r="E15" s="22">
        <f t="shared" si="3"/>
        <v>260</v>
      </c>
      <c r="F15" s="22">
        <f t="shared" si="0"/>
        <v>1.08</v>
      </c>
      <c r="G15" s="22">
        <f t="shared" si="4"/>
        <v>104</v>
      </c>
      <c r="H15" s="34">
        <f>B13</f>
        <v>0.3</v>
      </c>
      <c r="I15" s="23">
        <v>0</v>
      </c>
      <c r="J15" s="22">
        <f t="shared" si="6"/>
        <v>385637.64000000007</v>
      </c>
      <c r="K15" s="34">
        <f>B12</f>
        <v>20</v>
      </c>
      <c r="L15" s="22">
        <f t="shared" si="20"/>
        <v>0.19739555984988078</v>
      </c>
      <c r="M15" s="22">
        <f t="shared" si="7"/>
        <v>56722.322640457787</v>
      </c>
      <c r="N15" s="22">
        <f t="shared" si="8"/>
        <v>1985.2812924160221</v>
      </c>
      <c r="O15" s="22">
        <f t="shared" si="9"/>
        <v>0.13630679999999998</v>
      </c>
      <c r="P15" s="22">
        <f t="shared" si="10"/>
        <v>0</v>
      </c>
      <c r="Q15" s="22">
        <f t="shared" si="11"/>
        <v>58707.740239673811</v>
      </c>
      <c r="R15" s="22">
        <f t="shared" si="12"/>
        <v>25244.328303059738</v>
      </c>
      <c r="S15" s="22">
        <f t="shared" si="13"/>
        <v>6.6622999433816652</v>
      </c>
      <c r="T15" s="22">
        <f t="shared" si="2"/>
        <v>16.5</v>
      </c>
      <c r="U15" s="22">
        <f t="shared" si="14"/>
        <v>402.6208660775078</v>
      </c>
      <c r="V15" s="22">
        <f t="shared" si="15"/>
        <v>109.92794906579748</v>
      </c>
      <c r="W15" s="39">
        <f t="shared" si="16"/>
        <v>4.6348215978689851</v>
      </c>
      <c r="X15" s="39">
        <f t="shared" si="17"/>
        <v>18.53928639147594</v>
      </c>
      <c r="Y15" s="39">
        <v>600</v>
      </c>
      <c r="Z15" s="39">
        <f t="shared" si="18"/>
        <v>30.8988106524599</v>
      </c>
      <c r="AA15" s="40">
        <f t="shared" si="19"/>
        <v>1.6176617263667089E-5</v>
      </c>
      <c r="AB15" s="39"/>
    </row>
    <row r="16" spans="1:28" x14ac:dyDescent="0.25">
      <c r="A16" s="26" t="s">
        <v>31</v>
      </c>
      <c r="B16" s="26">
        <v>4</v>
      </c>
      <c r="C16" s="26"/>
      <c r="D16" s="43"/>
      <c r="I16" s="1"/>
      <c r="J16" s="1"/>
      <c r="S16" s="1"/>
    </row>
    <row r="17" spans="1:29" x14ac:dyDescent="0.25">
      <c r="A17" s="26" t="s">
        <v>82</v>
      </c>
      <c r="B17" s="26">
        <v>1</v>
      </c>
      <c r="C17" s="26"/>
      <c r="D17" s="43"/>
      <c r="I17" s="1"/>
      <c r="J17" s="1"/>
      <c r="AC17">
        <f>SUM(X2:X15)*E15/3600</f>
        <v>60.188046975724454</v>
      </c>
    </row>
    <row r="18" spans="1:29" x14ac:dyDescent="0.25">
      <c r="A18" s="26" t="s">
        <v>83</v>
      </c>
      <c r="B18" s="26">
        <v>16.5</v>
      </c>
      <c r="C18" s="26"/>
      <c r="D18" s="43"/>
    </row>
    <row r="19" spans="1:29" ht="15.75" thickBot="1" x14ac:dyDescent="0.3">
      <c r="A19" s="26" t="s">
        <v>143</v>
      </c>
      <c r="B19" s="26">
        <v>100</v>
      </c>
      <c r="C19" s="26" t="s">
        <v>47</v>
      </c>
      <c r="D19" s="43"/>
    </row>
    <row r="20" spans="1:29" ht="16.5" thickTop="1" thickBot="1" x14ac:dyDescent="0.3">
      <c r="A20" s="26" t="s">
        <v>144</v>
      </c>
      <c r="B20" s="26">
        <v>3</v>
      </c>
      <c r="C20" s="26" t="s">
        <v>145</v>
      </c>
      <c r="D20" s="43"/>
      <c r="E20" s="44" t="s">
        <v>56</v>
      </c>
      <c r="F20" s="44"/>
      <c r="G20" s="44"/>
      <c r="H20" s="44"/>
      <c r="I20" s="44"/>
      <c r="J20" s="44"/>
      <c r="K20" s="44"/>
      <c r="L20" s="44"/>
    </row>
    <row r="21" spans="1:29" ht="45.75" thickTop="1" x14ac:dyDescent="0.25">
      <c r="A21" s="42" t="s">
        <v>36</v>
      </c>
      <c r="B21" s="42"/>
      <c r="C21" s="42"/>
      <c r="D21" s="43"/>
      <c r="E21" s="2" t="s">
        <v>49</v>
      </c>
      <c r="F21" s="2" t="s">
        <v>50</v>
      </c>
      <c r="G21" s="2" t="s">
        <v>51</v>
      </c>
      <c r="H21" s="2" t="s">
        <v>52</v>
      </c>
      <c r="I21" s="2" t="s">
        <v>53</v>
      </c>
      <c r="J21" s="2" t="s">
        <v>54</v>
      </c>
      <c r="K21" s="2" t="s">
        <v>55</v>
      </c>
    </row>
    <row r="22" spans="1:29" x14ac:dyDescent="0.25">
      <c r="A22" s="3"/>
      <c r="B22" s="29" t="s">
        <v>123</v>
      </c>
      <c r="C22" s="29" t="s">
        <v>124</v>
      </c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21">H22*$J$22/$F$22</f>
        <v>71.314285714285717</v>
      </c>
    </row>
    <row r="23" spans="1:29" x14ac:dyDescent="0.25">
      <c r="A23" s="3"/>
      <c r="B23" s="29" t="s">
        <v>37</v>
      </c>
      <c r="C23" s="29" t="s">
        <v>2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21"/>
        <v>71.314285714285717</v>
      </c>
    </row>
    <row r="24" spans="1:29" x14ac:dyDescent="0.25">
      <c r="B24" s="31">
        <v>65000</v>
      </c>
      <c r="C24" s="31">
        <f>B24*0.453592</f>
        <v>29483.48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21"/>
        <v>71.314285714285717</v>
      </c>
    </row>
    <row r="25" spans="1:29" x14ac:dyDescent="0.25">
      <c r="B25" s="32" t="s">
        <v>38</v>
      </c>
      <c r="C25" s="32" t="s">
        <v>39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21"/>
        <v>71.314285714285717</v>
      </c>
    </row>
    <row r="26" spans="1:29" x14ac:dyDescent="0.25">
      <c r="B26" s="31">
        <v>1</v>
      </c>
      <c r="C26" s="31">
        <f>B26*0.0254</f>
        <v>2.5399999999999999E-2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2">F26*$J$22/$F$22</f>
        <v>187.2</v>
      </c>
      <c r="K26" s="1">
        <f t="shared" si="21"/>
        <v>71.314285714285717</v>
      </c>
    </row>
    <row r="27" spans="1:29" x14ac:dyDescent="0.25">
      <c r="B27" s="32" t="s">
        <v>40</v>
      </c>
      <c r="C27" s="32" t="s">
        <v>41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2"/>
        <v>149.76</v>
      </c>
      <c r="K27" s="1">
        <f t="shared" si="21"/>
        <v>71.314285714285717</v>
      </c>
    </row>
    <row r="28" spans="1:29" x14ac:dyDescent="0.25">
      <c r="B28" s="31">
        <v>1</v>
      </c>
      <c r="C28" s="31">
        <f>B28*4.44822</f>
        <v>4.4482200000000001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2"/>
        <v>124.8</v>
      </c>
      <c r="K28" s="1">
        <f t="shared" si="21"/>
        <v>59.428571428571445</v>
      </c>
    </row>
    <row r="29" spans="1:29" x14ac:dyDescent="0.25">
      <c r="B29" s="32" t="s">
        <v>42</v>
      </c>
      <c r="C29" s="32" t="s">
        <v>18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2"/>
        <v>106.97142857142858</v>
      </c>
      <c r="K29" s="1">
        <f t="shared" si="21"/>
        <v>50.938775510204088</v>
      </c>
    </row>
    <row r="30" spans="1:29" x14ac:dyDescent="0.25">
      <c r="B30" s="31">
        <v>1.9</v>
      </c>
      <c r="C30" s="31">
        <f>B30/2.23694</f>
        <v>0.84937459207667609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2"/>
        <v>93.6</v>
      </c>
      <c r="K30" s="1">
        <f t="shared" si="21"/>
        <v>44.571428571428577</v>
      </c>
    </row>
    <row r="31" spans="1:29" x14ac:dyDescent="0.25">
      <c r="B31" s="32" t="s">
        <v>43</v>
      </c>
      <c r="C31" s="32" t="s">
        <v>18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2"/>
        <v>83.2</v>
      </c>
      <c r="K31" s="1">
        <f t="shared" si="21"/>
        <v>39.619047619047628</v>
      </c>
    </row>
    <row r="32" spans="1:29" ht="15.75" thickBot="1" x14ac:dyDescent="0.3">
      <c r="B32" s="31">
        <v>50</v>
      </c>
      <c r="C32" s="31">
        <f>B32*0.277778</f>
        <v>13.888900000000001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44</v>
      </c>
      <c r="C33" s="32" t="s">
        <v>45</v>
      </c>
      <c r="D33" s="43"/>
      <c r="E33" s="41" t="s">
        <v>57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1">
        <v>1</v>
      </c>
      <c r="C34" s="31">
        <f>B34*1.35582</f>
        <v>1.35582</v>
      </c>
      <c r="D34" s="43"/>
      <c r="E34" s="4" t="s">
        <v>49</v>
      </c>
      <c r="F34" s="4" t="s">
        <v>50</v>
      </c>
      <c r="G34" s="4" t="s">
        <v>51</v>
      </c>
      <c r="H34" s="4" t="s">
        <v>52</v>
      </c>
      <c r="I34" s="4" t="s">
        <v>53</v>
      </c>
      <c r="J34" s="2" t="s">
        <v>54</v>
      </c>
      <c r="K34" s="2" t="s">
        <v>55</v>
      </c>
    </row>
    <row r="35" spans="1:12" x14ac:dyDescent="0.25">
      <c r="B35" s="32" t="s">
        <v>46</v>
      </c>
      <c r="C35" s="32" t="s">
        <v>47</v>
      </c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3">H35*$J$35/$F$35</f>
        <v>119.17241379310344</v>
      </c>
    </row>
    <row r="36" spans="1:12" x14ac:dyDescent="0.25">
      <c r="B36" s="31">
        <v>100</v>
      </c>
      <c r="C36" s="31">
        <f>B36*0.7457</f>
        <v>74.570000000000007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4">F36*$J$35/$F$35</f>
        <v>384</v>
      </c>
      <c r="K36" s="1">
        <f t="shared" si="23"/>
        <v>119.17241379310344</v>
      </c>
    </row>
    <row r="37" spans="1:12" x14ac:dyDescent="0.25">
      <c r="B37" s="33" t="s">
        <v>16</v>
      </c>
      <c r="C37" s="33"/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4"/>
        <v>384</v>
      </c>
      <c r="K37" s="1">
        <f t="shared" si="23"/>
        <v>119.17241379310344</v>
      </c>
    </row>
    <row r="38" spans="1:12" x14ac:dyDescent="0.25">
      <c r="B38" s="28" t="s">
        <v>84</v>
      </c>
      <c r="C38" s="28">
        <v>100</v>
      </c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4"/>
        <v>384</v>
      </c>
      <c r="K38" s="1">
        <f t="shared" si="23"/>
        <v>119.17241379310344</v>
      </c>
    </row>
    <row r="39" spans="1:12" x14ac:dyDescent="0.25">
      <c r="B39" s="28" t="s">
        <v>85</v>
      </c>
      <c r="C39" s="28">
        <v>60</v>
      </c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4"/>
        <v>384</v>
      </c>
      <c r="K39" s="1">
        <f t="shared" si="23"/>
        <v>119.17241379310344</v>
      </c>
    </row>
    <row r="40" spans="1:12" x14ac:dyDescent="0.25">
      <c r="B40" s="28" t="s">
        <v>5</v>
      </c>
      <c r="C40" s="30">
        <f>1000*C38/3600/C39</f>
        <v>0.46296296296296297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4"/>
        <v>289.81132075471697</v>
      </c>
      <c r="K40" s="1">
        <f t="shared" si="23"/>
        <v>119.17241379310344</v>
      </c>
    </row>
    <row r="41" spans="1:12" ht="15.75" thickBot="1" x14ac:dyDescent="0.3"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4"/>
        <v>256</v>
      </c>
      <c r="K41" s="1">
        <f t="shared" si="23"/>
        <v>105.26896551724138</v>
      </c>
    </row>
    <row r="42" spans="1:12" ht="16.5" thickTop="1" thickBot="1" x14ac:dyDescent="0.3">
      <c r="A42" s="35" t="s">
        <v>129</v>
      </c>
      <c r="B42" s="36">
        <v>20</v>
      </c>
      <c r="C42" s="35" t="s">
        <v>85</v>
      </c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4"/>
        <v>219.42857142857147</v>
      </c>
      <c r="K42" s="1">
        <f t="shared" si="23"/>
        <v>90.23054187192119</v>
      </c>
    </row>
    <row r="43" spans="1:12" ht="15.75" thickTop="1" x14ac:dyDescent="0.25"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4"/>
        <v>192</v>
      </c>
      <c r="K43" s="1">
        <f t="shared" si="23"/>
        <v>78.951724137931052</v>
      </c>
    </row>
    <row r="44" spans="1:12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4"/>
        <v>170.66666666666669</v>
      </c>
      <c r="K44" s="1">
        <f t="shared" si="23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58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49</v>
      </c>
      <c r="F47" s="4" t="s">
        <v>50</v>
      </c>
      <c r="G47" s="4" t="s">
        <v>51</v>
      </c>
      <c r="H47" s="4" t="s">
        <v>52</v>
      </c>
      <c r="I47" s="4" t="s">
        <v>53</v>
      </c>
      <c r="J47" s="2" t="s">
        <v>54</v>
      </c>
      <c r="K47" s="2" t="s">
        <v>55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5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6">F49*$J$48/$F$48</f>
        <v>638</v>
      </c>
      <c r="K49" s="1">
        <f t="shared" si="25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6"/>
        <v>638</v>
      </c>
      <c r="K50" s="1">
        <f t="shared" si="25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6"/>
        <v>638</v>
      </c>
      <c r="K51" s="1">
        <f t="shared" si="25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6"/>
        <v>638</v>
      </c>
      <c r="K52" s="1">
        <f t="shared" si="25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6"/>
        <v>638</v>
      </c>
      <c r="K53" s="1">
        <f t="shared" si="25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6"/>
        <v>588.92307692307691</v>
      </c>
      <c r="K54" s="1">
        <f t="shared" si="25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6"/>
        <v>483.02839116719241</v>
      </c>
      <c r="K55" s="1">
        <f t="shared" si="25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6"/>
        <v>382.8</v>
      </c>
      <c r="K56" s="1">
        <f t="shared" si="25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6"/>
        <v>340.26666666666665</v>
      </c>
      <c r="K57" s="1">
        <f t="shared" si="25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6"/>
        <v>306.24</v>
      </c>
      <c r="K58" s="1">
        <f t="shared" si="25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6"/>
        <v>278.39999999999998</v>
      </c>
      <c r="K59" s="1">
        <f t="shared" si="25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6"/>
        <v>255.2</v>
      </c>
      <c r="K60" s="1">
        <f t="shared" si="25"/>
        <v>126.40374999999999</v>
      </c>
    </row>
    <row r="61" spans="5:13" ht="15.75" thickBot="1" x14ac:dyDescent="0.3"/>
    <row r="62" spans="5:13" ht="16.5" thickTop="1" thickBot="1" x14ac:dyDescent="0.3">
      <c r="E62" s="41" t="s">
        <v>94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49</v>
      </c>
      <c r="F63" s="4" t="s">
        <v>86</v>
      </c>
      <c r="G63" s="4" t="s">
        <v>88</v>
      </c>
      <c r="H63" s="4" t="s">
        <v>87</v>
      </c>
      <c r="I63" s="4" t="s">
        <v>89</v>
      </c>
      <c r="J63" s="4" t="s">
        <v>90</v>
      </c>
      <c r="K63" s="4" t="s">
        <v>91</v>
      </c>
      <c r="L63" s="2" t="s">
        <v>92</v>
      </c>
      <c r="M63" s="2" t="s">
        <v>93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95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49</v>
      </c>
      <c r="F82" s="4" t="s">
        <v>104</v>
      </c>
      <c r="G82" s="4" t="s">
        <v>105</v>
      </c>
      <c r="H82" s="4" t="s">
        <v>106</v>
      </c>
      <c r="I82" s="4" t="s">
        <v>107</v>
      </c>
      <c r="J82" s="4" t="s">
        <v>108</v>
      </c>
      <c r="K82" s="4" t="s">
        <v>109</v>
      </c>
      <c r="L82" s="2" t="s">
        <v>110</v>
      </c>
      <c r="M82" s="4" t="s">
        <v>111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112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49</v>
      </c>
      <c r="F112" s="4" t="s">
        <v>101</v>
      </c>
      <c r="G112" s="4" t="s">
        <v>102</v>
      </c>
      <c r="H112" s="4" t="s">
        <v>103</v>
      </c>
      <c r="I112" s="4" t="s">
        <v>96</v>
      </c>
      <c r="J112" s="4" t="s">
        <v>97</v>
      </c>
      <c r="K112" s="4" t="s">
        <v>98</v>
      </c>
      <c r="L112" s="2" t="s">
        <v>99</v>
      </c>
      <c r="M112" s="2" t="s">
        <v>100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113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49</v>
      </c>
      <c r="F134" s="4" t="s">
        <v>114</v>
      </c>
      <c r="G134" s="4" t="s">
        <v>115</v>
      </c>
      <c r="H134" s="4" t="s">
        <v>116</v>
      </c>
      <c r="I134" s="4" t="s">
        <v>117</v>
      </c>
      <c r="J134" s="4" t="s">
        <v>118</v>
      </c>
      <c r="K134" s="4" t="s">
        <v>119</v>
      </c>
      <c r="L134" s="2" t="s">
        <v>120</v>
      </c>
      <c r="M134" s="2" t="s">
        <v>121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138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49</v>
      </c>
      <c r="F154" s="4" t="s">
        <v>130</v>
      </c>
      <c r="G154" s="4" t="s">
        <v>131</v>
      </c>
      <c r="H154" s="4" t="s">
        <v>132</v>
      </c>
      <c r="I154" s="4" t="s">
        <v>133</v>
      </c>
      <c r="J154" s="4" t="s">
        <v>134</v>
      </c>
      <c r="K154" s="4" t="s">
        <v>135</v>
      </c>
      <c r="L154" s="2" t="s">
        <v>136</v>
      </c>
      <c r="M154" s="2" t="s">
        <v>137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21:C21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19" workbookViewId="0">
      <selection activeCell="AA64" sqref="AA6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75</v>
      </c>
      <c r="B1" s="9" t="s">
        <v>67</v>
      </c>
      <c r="C1" s="9" t="s">
        <v>68</v>
      </c>
      <c r="D1" s="9" t="s">
        <v>69</v>
      </c>
      <c r="E1" s="10" t="s">
        <v>70</v>
      </c>
      <c r="G1" s="11" t="s">
        <v>76</v>
      </c>
      <c r="H1" s="9" t="s">
        <v>67</v>
      </c>
      <c r="I1" s="9" t="s">
        <v>77</v>
      </c>
      <c r="J1" s="9" t="s">
        <v>50</v>
      </c>
      <c r="K1" s="10" t="s">
        <v>70</v>
      </c>
    </row>
    <row r="2" spans="1:11" x14ac:dyDescent="0.25">
      <c r="A2" s="54" t="s">
        <v>59</v>
      </c>
      <c r="B2" s="51">
        <v>15000</v>
      </c>
      <c r="C2" s="51">
        <v>300</v>
      </c>
      <c r="D2" s="51">
        <v>1330</v>
      </c>
      <c r="E2" s="12">
        <v>1.35</v>
      </c>
      <c r="G2" s="54" t="s">
        <v>74</v>
      </c>
      <c r="H2" s="51">
        <v>4000</v>
      </c>
      <c r="I2" s="51">
        <v>125</v>
      </c>
      <c r="J2" s="51">
        <v>250</v>
      </c>
      <c r="K2" s="15">
        <v>35.01</v>
      </c>
    </row>
    <row r="3" spans="1:11" ht="15.75" thickBot="1" x14ac:dyDescent="0.3">
      <c r="A3" s="55"/>
      <c r="B3" s="52"/>
      <c r="C3" s="52"/>
      <c r="D3" s="52"/>
      <c r="E3" s="13">
        <v>2.5299999999999998</v>
      </c>
      <c r="G3" s="56"/>
      <c r="H3" s="53"/>
      <c r="I3" s="53"/>
      <c r="J3" s="53"/>
      <c r="K3" s="16">
        <v>47.74</v>
      </c>
    </row>
    <row r="4" spans="1:11" ht="15.75" thickBot="1" x14ac:dyDescent="0.3">
      <c r="A4" s="55"/>
      <c r="B4" s="52"/>
      <c r="C4" s="52"/>
      <c r="D4" s="52"/>
      <c r="E4" s="13">
        <v>3.5</v>
      </c>
      <c r="G4" s="6" t="s">
        <v>78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55"/>
      <c r="B5" s="52"/>
      <c r="C5" s="52"/>
      <c r="D5" s="52"/>
      <c r="E5" s="13">
        <v>4</v>
      </c>
      <c r="G5" s="6" t="s">
        <v>79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6"/>
      <c r="B6" s="53"/>
      <c r="C6" s="53"/>
      <c r="D6" s="53"/>
      <c r="E6" s="14">
        <v>4.43</v>
      </c>
      <c r="G6" s="54" t="s">
        <v>80</v>
      </c>
      <c r="H6" s="51">
        <v>1106</v>
      </c>
      <c r="I6" s="51">
        <v>500</v>
      </c>
      <c r="J6" s="51">
        <v>1000</v>
      </c>
      <c r="K6" s="15">
        <v>21.26</v>
      </c>
    </row>
    <row r="7" spans="1:11" x14ac:dyDescent="0.25">
      <c r="A7" s="45" t="s">
        <v>60</v>
      </c>
      <c r="B7" s="48">
        <v>15000</v>
      </c>
      <c r="C7" s="48">
        <v>300</v>
      </c>
      <c r="D7" s="48">
        <v>4000</v>
      </c>
      <c r="E7" s="12">
        <v>5.2</v>
      </c>
      <c r="G7" s="55"/>
      <c r="H7" s="52"/>
      <c r="I7" s="52"/>
      <c r="J7" s="52"/>
      <c r="K7" s="18">
        <v>30.68</v>
      </c>
    </row>
    <row r="8" spans="1:11" x14ac:dyDescent="0.25">
      <c r="A8" s="46"/>
      <c r="B8" s="49"/>
      <c r="C8" s="49"/>
      <c r="D8" s="49"/>
      <c r="E8" s="13">
        <v>6.04</v>
      </c>
      <c r="G8" s="55"/>
      <c r="H8" s="52"/>
      <c r="I8" s="52"/>
      <c r="J8" s="52"/>
      <c r="K8" s="18">
        <v>45.13</v>
      </c>
    </row>
    <row r="9" spans="1:11" ht="15.75" thickBot="1" x14ac:dyDescent="0.3">
      <c r="A9" s="46"/>
      <c r="B9" s="49"/>
      <c r="C9" s="49"/>
      <c r="D9" s="49"/>
      <c r="E9" s="13">
        <v>7.04</v>
      </c>
      <c r="G9" s="56"/>
      <c r="H9" s="53"/>
      <c r="I9" s="53"/>
      <c r="J9" s="53"/>
      <c r="K9" s="16">
        <v>50.62</v>
      </c>
    </row>
    <row r="10" spans="1:11" x14ac:dyDescent="0.25">
      <c r="A10" s="46"/>
      <c r="B10" s="49"/>
      <c r="C10" s="49"/>
      <c r="D10" s="49"/>
      <c r="E10" s="13">
        <v>8.08</v>
      </c>
      <c r="G10" s="54" t="s">
        <v>81</v>
      </c>
      <c r="H10" s="51">
        <v>5000</v>
      </c>
      <c r="I10" s="51">
        <v>3500</v>
      </c>
      <c r="J10" s="51">
        <v>7000</v>
      </c>
      <c r="K10" s="15">
        <v>18.78</v>
      </c>
    </row>
    <row r="11" spans="1:11" x14ac:dyDescent="0.25">
      <c r="A11" s="46"/>
      <c r="B11" s="49"/>
      <c r="C11" s="49"/>
      <c r="D11" s="49"/>
      <c r="E11" s="13">
        <v>9.1</v>
      </c>
      <c r="G11" s="55"/>
      <c r="H11" s="52"/>
      <c r="I11" s="52"/>
      <c r="J11" s="52"/>
      <c r="K11" s="18">
        <v>24.92</v>
      </c>
    </row>
    <row r="12" spans="1:11" x14ac:dyDescent="0.25">
      <c r="A12" s="46"/>
      <c r="B12" s="49"/>
      <c r="C12" s="49"/>
      <c r="D12" s="49"/>
      <c r="E12" s="13">
        <v>10.11</v>
      </c>
      <c r="G12" s="55"/>
      <c r="H12" s="52"/>
      <c r="I12" s="52"/>
      <c r="J12" s="52"/>
      <c r="K12" s="18">
        <v>25.92</v>
      </c>
    </row>
    <row r="13" spans="1:11" x14ac:dyDescent="0.25">
      <c r="A13" s="46"/>
      <c r="B13" s="49"/>
      <c r="C13" s="49"/>
      <c r="D13" s="49"/>
      <c r="E13" s="13">
        <v>11.05</v>
      </c>
      <c r="G13" s="55"/>
      <c r="H13" s="52"/>
      <c r="I13" s="52"/>
      <c r="J13" s="52"/>
      <c r="K13" s="18">
        <v>47.6</v>
      </c>
    </row>
    <row r="14" spans="1:11" x14ac:dyDescent="0.25">
      <c r="A14" s="46"/>
      <c r="B14" s="49"/>
      <c r="C14" s="49"/>
      <c r="D14" s="49"/>
      <c r="E14" s="13">
        <v>11.9</v>
      </c>
      <c r="G14" s="55"/>
      <c r="H14" s="52"/>
      <c r="I14" s="52"/>
      <c r="J14" s="52"/>
      <c r="K14" s="18">
        <v>57.49</v>
      </c>
    </row>
    <row r="15" spans="1:11" ht="15.75" thickBot="1" x14ac:dyDescent="0.3">
      <c r="A15" s="47"/>
      <c r="B15" s="50"/>
      <c r="C15" s="50"/>
      <c r="D15" s="50"/>
      <c r="E15" s="14">
        <v>13.35</v>
      </c>
      <c r="G15" s="56"/>
      <c r="H15" s="53"/>
      <c r="I15" s="53"/>
      <c r="J15" s="53"/>
      <c r="K15" s="16">
        <v>64.08</v>
      </c>
    </row>
    <row r="16" spans="1:11" x14ac:dyDescent="0.25">
      <c r="A16" s="45" t="s">
        <v>61</v>
      </c>
      <c r="B16" s="48">
        <v>12000</v>
      </c>
      <c r="C16" s="48">
        <v>600</v>
      </c>
      <c r="D16" s="48">
        <v>2100</v>
      </c>
      <c r="E16" s="12">
        <v>1.1000000000000001</v>
      </c>
    </row>
    <row r="17" spans="1:5" x14ac:dyDescent="0.25">
      <c r="A17" s="46"/>
      <c r="B17" s="49"/>
      <c r="C17" s="49"/>
      <c r="D17" s="49"/>
      <c r="E17" s="13">
        <v>1.97</v>
      </c>
    </row>
    <row r="18" spans="1:5" x14ac:dyDescent="0.25">
      <c r="A18" s="46"/>
      <c r="B18" s="49"/>
      <c r="C18" s="49"/>
      <c r="D18" s="49"/>
      <c r="E18" s="13">
        <v>2.88</v>
      </c>
    </row>
    <row r="19" spans="1:5" ht="15.75" thickBot="1" x14ac:dyDescent="0.3">
      <c r="A19" s="47"/>
      <c r="B19" s="50"/>
      <c r="C19" s="50"/>
      <c r="D19" s="50"/>
      <c r="E19" s="14">
        <v>3.5</v>
      </c>
    </row>
    <row r="20" spans="1:5" x14ac:dyDescent="0.25">
      <c r="A20" s="45" t="s">
        <v>62</v>
      </c>
      <c r="B20" s="48">
        <v>12000</v>
      </c>
      <c r="C20" s="48">
        <v>600</v>
      </c>
      <c r="D20" s="48">
        <v>6500</v>
      </c>
      <c r="E20" s="12">
        <v>5.9</v>
      </c>
    </row>
    <row r="21" spans="1:5" x14ac:dyDescent="0.25">
      <c r="A21" s="46"/>
      <c r="B21" s="49"/>
      <c r="C21" s="49"/>
      <c r="D21" s="49"/>
      <c r="E21" s="13">
        <v>7.42</v>
      </c>
    </row>
    <row r="22" spans="1:5" x14ac:dyDescent="0.25">
      <c r="A22" s="46"/>
      <c r="B22" s="49"/>
      <c r="C22" s="49"/>
      <c r="D22" s="49"/>
      <c r="E22" s="13">
        <v>8.5500000000000007</v>
      </c>
    </row>
    <row r="23" spans="1:5" x14ac:dyDescent="0.25">
      <c r="A23" s="46"/>
      <c r="B23" s="49"/>
      <c r="C23" s="49"/>
      <c r="D23" s="49"/>
      <c r="E23" s="13">
        <v>9.4600000000000009</v>
      </c>
    </row>
    <row r="24" spans="1:5" x14ac:dyDescent="0.25">
      <c r="A24" s="46"/>
      <c r="B24" s="49"/>
      <c r="C24" s="49"/>
      <c r="D24" s="49"/>
      <c r="E24" s="13">
        <v>9.94</v>
      </c>
    </row>
    <row r="25" spans="1:5" x14ac:dyDescent="0.25">
      <c r="A25" s="46"/>
      <c r="B25" s="49"/>
      <c r="C25" s="49"/>
      <c r="D25" s="49"/>
      <c r="E25" s="13">
        <v>10.79</v>
      </c>
    </row>
    <row r="26" spans="1:5" x14ac:dyDescent="0.25">
      <c r="A26" s="46"/>
      <c r="B26" s="49"/>
      <c r="C26" s="49"/>
      <c r="D26" s="49"/>
      <c r="E26" s="13">
        <v>12.36</v>
      </c>
    </row>
    <row r="27" spans="1:5" ht="15.75" thickBot="1" x14ac:dyDescent="0.3">
      <c r="A27" s="47"/>
      <c r="B27" s="50"/>
      <c r="C27" s="50"/>
      <c r="D27" s="50"/>
      <c r="E27" s="14">
        <v>13.32</v>
      </c>
    </row>
    <row r="28" spans="1:5" x14ac:dyDescent="0.25">
      <c r="A28" s="45" t="s">
        <v>63</v>
      </c>
      <c r="B28" s="48">
        <v>7500</v>
      </c>
      <c r="C28" s="48">
        <v>1200</v>
      </c>
      <c r="D28" s="48">
        <v>4770</v>
      </c>
      <c r="E28" s="12" t="s">
        <v>71</v>
      </c>
    </row>
    <row r="29" spans="1:5" x14ac:dyDescent="0.25">
      <c r="A29" s="46"/>
      <c r="B29" s="49"/>
      <c r="C29" s="49"/>
      <c r="D29" s="49"/>
      <c r="E29" s="13">
        <v>1</v>
      </c>
    </row>
    <row r="30" spans="1:5" x14ac:dyDescent="0.25">
      <c r="A30" s="46"/>
      <c r="B30" s="49"/>
      <c r="C30" s="49"/>
      <c r="D30" s="49"/>
      <c r="E30" s="13">
        <v>2</v>
      </c>
    </row>
    <row r="31" spans="1:5" x14ac:dyDescent="0.25">
      <c r="A31" s="46"/>
      <c r="B31" s="49"/>
      <c r="C31" s="49"/>
      <c r="D31" s="49"/>
      <c r="E31" s="13">
        <v>2.97</v>
      </c>
    </row>
    <row r="32" spans="1:5" ht="15.75" thickBot="1" x14ac:dyDescent="0.3">
      <c r="A32" s="47"/>
      <c r="B32" s="50"/>
      <c r="C32" s="50"/>
      <c r="D32" s="50"/>
      <c r="E32" s="14">
        <v>3.94</v>
      </c>
    </row>
    <row r="33" spans="1:5" x14ac:dyDescent="0.25">
      <c r="A33" s="45" t="s">
        <v>64</v>
      </c>
      <c r="B33" s="48"/>
      <c r="C33" s="48">
        <v>265</v>
      </c>
      <c r="D33" s="48"/>
      <c r="E33" s="12">
        <v>2.98</v>
      </c>
    </row>
    <row r="34" spans="1:5" x14ac:dyDescent="0.25">
      <c r="A34" s="46"/>
      <c r="B34" s="49"/>
      <c r="C34" s="49"/>
      <c r="D34" s="49"/>
      <c r="E34" s="13">
        <v>3.98</v>
      </c>
    </row>
    <row r="35" spans="1:5" ht="15.75" thickBot="1" x14ac:dyDescent="0.3">
      <c r="A35" s="47"/>
      <c r="B35" s="50"/>
      <c r="C35" s="50"/>
      <c r="D35" s="50"/>
      <c r="E35" s="14">
        <v>6.03</v>
      </c>
    </row>
    <row r="36" spans="1:5" x14ac:dyDescent="0.25">
      <c r="A36" s="45" t="s">
        <v>65</v>
      </c>
      <c r="B36" s="48">
        <v>12500</v>
      </c>
      <c r="C36" s="48" t="s">
        <v>72</v>
      </c>
      <c r="D36" s="48" t="s">
        <v>73</v>
      </c>
      <c r="E36" s="12">
        <v>5.67</v>
      </c>
    </row>
    <row r="37" spans="1:5" ht="15.75" thickBot="1" x14ac:dyDescent="0.3">
      <c r="A37" s="47"/>
      <c r="B37" s="50"/>
      <c r="C37" s="50"/>
      <c r="D37" s="50"/>
      <c r="E37" s="14">
        <v>6</v>
      </c>
    </row>
    <row r="38" spans="1:5" x14ac:dyDescent="0.25">
      <c r="A38" s="45" t="s">
        <v>66</v>
      </c>
      <c r="B38" s="48">
        <v>12500</v>
      </c>
      <c r="C38" s="48" t="s">
        <v>72</v>
      </c>
      <c r="D38" s="48" t="s">
        <v>73</v>
      </c>
      <c r="E38" s="12">
        <v>5.67</v>
      </c>
    </row>
    <row r="39" spans="1:5" ht="15.75" thickBot="1" x14ac:dyDescent="0.3">
      <c r="A39" s="47"/>
      <c r="B39" s="50"/>
      <c r="C39" s="50"/>
      <c r="D39" s="50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2021-02-22T19:04:49Z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