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3985FAE4-486D-491E-9E6E-C83E17ABC8D3}" xr6:coauthVersionLast="46" xr6:coauthVersionMax="46" xr10:uidLastSave="{00000000-0000-0000-0000-000000000000}"/>
  <bookViews>
    <workbookView xWindow="-120" yWindow="-120" windowWidth="38640" windowHeight="21240" xr2:uid="{0626AE80-454B-4539-8E37-8436CB968B23}"/>
  </bookViews>
  <sheets>
    <sheet name="Application" sheetId="1" r:id="rId1"/>
    <sheet name="LV Motors" sheetId="4" r:id="rId2"/>
    <sheet name="HV Motors" sheetId="5" r:id="rId3"/>
    <sheet name="Gearbox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H15" i="1"/>
  <c r="K15" i="1"/>
  <c r="L15" i="1" s="1"/>
  <c r="K11" i="1"/>
  <c r="L11" i="1" s="1"/>
  <c r="F11" i="1"/>
  <c r="F12" i="1"/>
  <c r="F13" i="1"/>
  <c r="F14" i="1"/>
  <c r="F15" i="1"/>
  <c r="C40" i="1"/>
  <c r="C32" i="1"/>
  <c r="C3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L12" i="1"/>
  <c r="L13" i="1"/>
  <c r="L14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J48" i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6" i="1"/>
  <c r="C34" i="1"/>
  <c r="C28" i="1"/>
  <c r="C26" i="1"/>
  <c r="C24" i="1"/>
  <c r="J2" i="1"/>
  <c r="J11" i="1" s="1"/>
  <c r="P2" i="1"/>
  <c r="N3" i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N12" i="1"/>
  <c r="N13" i="1"/>
  <c r="M14" i="1"/>
  <c r="M15" i="1"/>
  <c r="M11" i="1"/>
  <c r="H2" i="1"/>
  <c r="S2" i="1" l="1"/>
  <c r="V2" i="1" s="1"/>
  <c r="F2" i="1"/>
  <c r="N15" i="1"/>
  <c r="N14" i="1"/>
  <c r="M13" i="1"/>
  <c r="H6" i="1"/>
  <c r="O14" i="1"/>
  <c r="H10" i="1"/>
  <c r="O2" i="1"/>
  <c r="Q2" i="1"/>
  <c r="R2" i="1" s="1"/>
  <c r="U2" i="1" s="1"/>
  <c r="S15" i="1"/>
  <c r="V15" i="1" s="1"/>
  <c r="O15" i="1"/>
  <c r="J15" i="1"/>
  <c r="N11" i="1"/>
  <c r="H9" i="1"/>
  <c r="M12" i="1"/>
  <c r="H8" i="1"/>
  <c r="F8" i="1" s="1"/>
  <c r="H4" i="1"/>
  <c r="H5" i="1"/>
  <c r="F5" i="1" s="1"/>
  <c r="H7" i="1"/>
  <c r="F7" i="1" s="1"/>
  <c r="H3" i="1"/>
  <c r="W2" i="1" l="1"/>
  <c r="X2" i="1" s="1"/>
  <c r="Z2" i="1" s="1"/>
  <c r="AA2" i="1" s="1"/>
  <c r="J3" i="1"/>
  <c r="F3" i="1"/>
  <c r="O10" i="1"/>
  <c r="F10" i="1"/>
  <c r="J4" i="1"/>
  <c r="F4" i="1"/>
  <c r="O6" i="1"/>
  <c r="F6" i="1"/>
  <c r="J9" i="1"/>
  <c r="F9" i="1"/>
  <c r="P15" i="1"/>
  <c r="Q15" i="1" s="1"/>
  <c r="R15" i="1" s="1"/>
  <c r="U15" i="1" s="1"/>
  <c r="W15" i="1" s="1"/>
  <c r="X15" i="1" s="1"/>
  <c r="Z15" i="1" s="1"/>
  <c r="AA15" i="1" s="1"/>
  <c r="S6" i="1"/>
  <c r="V6" i="1" s="1"/>
  <c r="I6" i="1"/>
  <c r="P6" i="1" s="1"/>
  <c r="S10" i="1"/>
  <c r="V10" i="1" s="1"/>
  <c r="J6" i="1"/>
  <c r="J14" i="1"/>
  <c r="S14" i="1"/>
  <c r="V14" i="1" s="1"/>
  <c r="J10" i="1"/>
  <c r="J5" i="1"/>
  <c r="J12" i="1"/>
  <c r="P12" i="1"/>
  <c r="O12" i="1"/>
  <c r="S12" i="1"/>
  <c r="V12" i="1" s="1"/>
  <c r="S9" i="1"/>
  <c r="V9" i="1" s="1"/>
  <c r="I9" i="1"/>
  <c r="P9" i="1" s="1"/>
  <c r="O9" i="1"/>
  <c r="I10" i="1"/>
  <c r="P10" i="1" s="1"/>
  <c r="Q10" i="1" s="1"/>
  <c r="R10" i="1" s="1"/>
  <c r="U10" i="1" s="1"/>
  <c r="W10" i="1" s="1"/>
  <c r="X10" i="1" s="1"/>
  <c r="Z10" i="1" s="1"/>
  <c r="AA10" i="1" s="1"/>
  <c r="I4" i="1"/>
  <c r="P4" i="1" s="1"/>
  <c r="O4" i="1"/>
  <c r="S4" i="1"/>
  <c r="V4" i="1" s="1"/>
  <c r="S13" i="1"/>
  <c r="V13" i="1" s="1"/>
  <c r="O13" i="1"/>
  <c r="P13" i="1"/>
  <c r="I3" i="1"/>
  <c r="P3" i="1" s="1"/>
  <c r="S3" i="1"/>
  <c r="V3" i="1" s="1"/>
  <c r="O3" i="1"/>
  <c r="J13" i="1"/>
  <c r="O7" i="1"/>
  <c r="S7" i="1"/>
  <c r="V7" i="1" s="1"/>
  <c r="J7" i="1"/>
  <c r="I7" i="1"/>
  <c r="P7" i="1" s="1"/>
  <c r="S11" i="1"/>
  <c r="V11" i="1" s="1"/>
  <c r="P11" i="1"/>
  <c r="O11" i="1"/>
  <c r="S5" i="1"/>
  <c r="V5" i="1" s="1"/>
  <c r="O5" i="1"/>
  <c r="I5" i="1"/>
  <c r="P5" i="1" s="1"/>
  <c r="J8" i="1"/>
  <c r="I8" i="1"/>
  <c r="P8" i="1" s="1"/>
  <c r="S8" i="1"/>
  <c r="V8" i="1" s="1"/>
  <c r="O8" i="1"/>
  <c r="P14" i="1"/>
  <c r="Q14" i="1" s="1"/>
  <c r="R14" i="1" s="1"/>
  <c r="U14" i="1" s="1"/>
  <c r="W14" i="1" l="1"/>
  <c r="X14" i="1" s="1"/>
  <c r="Z14" i="1" s="1"/>
  <c r="AA14" i="1" s="1"/>
  <c r="Q6" i="1"/>
  <c r="R6" i="1" s="1"/>
  <c r="U6" i="1" s="1"/>
  <c r="W6" i="1" s="1"/>
  <c r="X6" i="1" s="1"/>
  <c r="Z6" i="1" s="1"/>
  <c r="AA6" i="1" s="1"/>
  <c r="Q12" i="1"/>
  <c r="R12" i="1" s="1"/>
  <c r="U12" i="1" s="1"/>
  <c r="W12" i="1" s="1"/>
  <c r="X12" i="1" s="1"/>
  <c r="Z12" i="1" s="1"/>
  <c r="AA12" i="1" s="1"/>
  <c r="Q3" i="1"/>
  <c r="R3" i="1" s="1"/>
  <c r="U3" i="1" s="1"/>
  <c r="W3" i="1" s="1"/>
  <c r="X3" i="1" s="1"/>
  <c r="Q8" i="1"/>
  <c r="R8" i="1" s="1"/>
  <c r="U8" i="1" s="1"/>
  <c r="W8" i="1" s="1"/>
  <c r="X8" i="1" s="1"/>
  <c r="Z8" i="1" s="1"/>
  <c r="AA8" i="1" s="1"/>
  <c r="Q9" i="1"/>
  <c r="R9" i="1" s="1"/>
  <c r="U9" i="1" s="1"/>
  <c r="W9" i="1" s="1"/>
  <c r="X9" i="1" s="1"/>
  <c r="Z9" i="1" s="1"/>
  <c r="AA9" i="1" s="1"/>
  <c r="Q4" i="1"/>
  <c r="R4" i="1" s="1"/>
  <c r="U4" i="1" s="1"/>
  <c r="W4" i="1" s="1"/>
  <c r="X4" i="1" s="1"/>
  <c r="Z4" i="1" s="1"/>
  <c r="AA4" i="1" s="1"/>
  <c r="Q11" i="1"/>
  <c r="R11" i="1" s="1"/>
  <c r="U11" i="1" s="1"/>
  <c r="W11" i="1" s="1"/>
  <c r="X11" i="1" s="1"/>
  <c r="Z11" i="1" s="1"/>
  <c r="AA11" i="1" s="1"/>
  <c r="Q5" i="1"/>
  <c r="R5" i="1" s="1"/>
  <c r="U5" i="1" s="1"/>
  <c r="W5" i="1" s="1"/>
  <c r="X5" i="1" s="1"/>
  <c r="Z5" i="1" s="1"/>
  <c r="AA5" i="1" s="1"/>
  <c r="Q13" i="1"/>
  <c r="R13" i="1" s="1"/>
  <c r="U13" i="1" s="1"/>
  <c r="W13" i="1" s="1"/>
  <c r="X13" i="1" s="1"/>
  <c r="Z13" i="1" s="1"/>
  <c r="AA13" i="1" s="1"/>
  <c r="Q7" i="1"/>
  <c r="R7" i="1" s="1"/>
  <c r="U7" i="1" s="1"/>
  <c r="W7" i="1" s="1"/>
  <c r="X7" i="1" s="1"/>
  <c r="Z7" i="1" s="1"/>
  <c r="AA7" i="1" s="1"/>
  <c r="Z3" i="1" l="1"/>
  <c r="AA3" i="1" s="1"/>
  <c r="AC17" i="1"/>
</calcChain>
</file>

<file path=xl/sharedStrings.xml><?xml version="1.0" encoding="utf-8"?>
<sst xmlns="http://schemas.openxmlformats.org/spreadsheetml/2006/main" count="183" uniqueCount="149">
  <si>
    <t>Value</t>
  </si>
  <si>
    <t>Unit</t>
  </si>
  <si>
    <t>Kg</t>
  </si>
  <si>
    <t>GVW</t>
  </si>
  <si>
    <t>g</t>
  </si>
  <si>
    <t>m/s^2</t>
  </si>
  <si>
    <t>Air Desnsity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</si>
  <si>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</si>
  <si>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</si>
  <si>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</si>
  <si>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</si>
  <si>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</si>
  <si>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</si>
  <si>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</si>
  <si>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</si>
  <si>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</si>
  <si>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</si>
  <si>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</si>
  <si>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</si>
  <si>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</si>
  <si>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</si>
  <si>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</si>
  <si>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</si>
  <si>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</si>
  <si>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</si>
  <si>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</si>
  <si>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</si>
  <si>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</si>
  <si>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</si>
  <si>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</si>
  <si>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</si>
  <si>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</si>
  <si>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</si>
  <si>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</si>
  <si>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</si>
  <si>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</si>
  <si>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</si>
  <si>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</si>
  <si>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</si>
  <si>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</si>
  <si>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</si>
  <si>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</si>
  <si>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</si>
  <si>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</si>
  <si>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</si>
  <si>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</si>
  <si>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</si>
  <si>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</si>
  <si>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</si>
  <si>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</si>
  <si>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</si>
  <si>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</si>
  <si>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</si>
  <si>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</si>
  <si>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</si>
  <si>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</si>
  <si>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</si>
  <si>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</si>
  <si>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</si>
  <si>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</si>
  <si>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</si>
  <si>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</si>
  <si>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</si>
  <si>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</si>
  <si>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</si>
  <si>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</si>
  <si>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</si>
  <si>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</si>
  <si>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</si>
  <si>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</si>
  <si>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</si>
  <si>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</si>
  <si>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</si>
  <si>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</si>
  <si>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</si>
  <si>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</si>
  <si>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</si>
  <si>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</si>
  <si>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</si>
  <si>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</si>
  <si>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</si>
  <si>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</si>
  <si>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</si>
  <si>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</si>
  <si>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</si>
  <si>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</si>
  <si>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</si>
  <si>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</si>
  <si>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</si>
  <si>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</si>
  <si>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</si>
  <si>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</si>
  <si>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</si>
  <si>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</si>
  <si>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</si>
  <si>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</si>
  <si>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</si>
  <si>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</si>
  <si>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</si>
  <si>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</si>
  <si>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</si>
  <si>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</si>
  <si>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</si>
  <si>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</si>
  <si>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</si>
  <si>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</si>
  <si>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</si>
  <si>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</si>
  <si>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</si>
  <si>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</si>
  <si>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</si>
  <si>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</si>
  <si>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</si>
  <si>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</si>
  <si>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</si>
  <si>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</si>
  <si>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</si>
  <si>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</si>
  <si>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</si>
  <si>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</si>
  <si>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</si>
  <si>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</si>
  <si>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</si>
  <si>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</si>
  <si>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</si>
  <si>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</si>
  <si>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</si>
  <si>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</si>
  <si>
    <t>Startability</t>
  </si>
  <si>
    <t xml:space="preserve">Gradability </t>
  </si>
  <si>
    <t>Max Speed on Max Grade</t>
  </si>
  <si>
    <t>Time Step</t>
  </si>
  <si>
    <t>M34-P4-360V Ct</t>
  </si>
  <si>
    <t>M34-P4-600V Ct</t>
  </si>
  <si>
    <t>M34-P5-360V Ct</t>
  </si>
  <si>
    <t>M34-P5-600V Ct</t>
  </si>
  <si>
    <t>M34-P4-360V Pk</t>
  </si>
  <si>
    <t>M34-P4-600V Pk</t>
  </si>
  <si>
    <t>M34-P5-360V Pk</t>
  </si>
  <si>
    <t>M34-P5-600V Pk</t>
  </si>
  <si>
    <t>M34Px, 25°C Amb, 55°C Coolant, 78 Kg, 0.08 kgm^2</t>
  </si>
  <si>
    <t>kW/Motor</t>
  </si>
  <si>
    <t>Total kW</t>
  </si>
  <si>
    <t>Battery Voltage [V]</t>
  </si>
  <si>
    <t>Battery Current [A]</t>
  </si>
  <si>
    <t>Battery Capacity</t>
  </si>
  <si>
    <t>Machine Run Time</t>
  </si>
  <si>
    <t>Hr</t>
  </si>
  <si>
    <t>Battery Discharge Rate [unit/hr]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</si>
</sst>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7" borderId="12" applyNumberFormat="0" applyAlignment="0" applyProtection="0"/>
  </cellStyleXfs>
  <cellXfs count="57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3" borderId="0" xfId="0" applyNumberFormat="1" applyFill="1"/>
    <xf numFmtId="164" fontId="0" fillId="3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2" fontId="0" fillId="6" borderId="0" xfId="0" applyNumberFormat="1" applyFill="1"/>
    <xf numFmtId="0" fontId="3" fillId="7" borderId="12" xfId="1"/>
    <xf numFmtId="0" fontId="3" fillId="7" borderId="12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8" borderId="0" xfId="0" applyFill="1"/>
    <xf numFmtId="2" fontId="3" fillId="7" borderId="12" xfId="1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textRotation="90" wrapText="1"/>
    </xf>
    <xf numFmtId="0" fontId="3" fillId="7" borderId="12" xfId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Velocity and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Application!$H$1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Application!$F$2:$F$15</c:f>
              <c:numCache>
                <c:formatCode>0.00</c:formatCode>
                <c:ptCount val="14"/>
                <c:pt idx="0">
                  <c:v>0</c:v>
                </c:pt>
                <c:pt idx="1">
                  <c:v>28.8</c:v>
                </c:pt>
                <c:pt idx="2">
                  <c:v>57.6</c:v>
                </c:pt>
                <c:pt idx="3">
                  <c:v>79.92</c:v>
                </c:pt>
                <c:pt idx="4">
                  <c:v>79.92</c:v>
                </c:pt>
                <c:pt idx="5">
                  <c:v>79.92</c:v>
                </c:pt>
                <c:pt idx="6">
                  <c:v>79.92</c:v>
                </c:pt>
                <c:pt idx="7">
                  <c:v>79.92</c:v>
                </c:pt>
                <c:pt idx="8">
                  <c:v>79.92</c:v>
                </c:pt>
                <c:pt idx="9">
                  <c:v>3.5999999999999999E-3</c:v>
                </c:pt>
                <c:pt idx="10">
                  <c:v>7.2</c:v>
                </c:pt>
                <c:pt idx="11">
                  <c:v>3.6</c:v>
                </c:pt>
                <c:pt idx="12">
                  <c:v>2.88</c:v>
                </c:pt>
                <c:pt idx="13">
                  <c:v>1.08</c:v>
                </c:pt>
              </c:numCache>
            </c:numRef>
          </c:xVal>
          <c:y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scatterChart>
        <c:scatterStyle val="smoothMarker"/>
        <c:varyColors val="0"/>
        <c:ser>
          <c:idx val="1"/>
          <c:order val="1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Application!$H$2:$H$15</c:f>
              <c:numCache>
                <c:formatCode>0.00</c:formatCode>
                <c:ptCount val="14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1E-3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0.3</c:v>
                </c:pt>
              </c:numCache>
            </c:numRef>
          </c:xVal>
          <c:yVal>
            <c:numRef>
              <c:f>Application!$K$2:$K$15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5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C-4945-AEE1-85676FD5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64976"/>
        <c:axId val="778794072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  <a:r>
                  <a:rPr lang="en-US" baseline="0"/>
                  <a:t> speed [km/hr]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valAx>
        <c:axId val="778794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64976"/>
        <c:crosses val="max"/>
        <c:crossBetween val="midCat"/>
      </c:valAx>
      <c:valAx>
        <c:axId val="784764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7879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Application!$X$1</c:f>
              <c:strCache>
                <c:ptCount val="1"/>
                <c:pt idx="0">
                  <c:v>Total kW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Application!$V$2:$V$15</c:f>
              <c:numCache>
                <c:formatCode>0.00</c:formatCode>
                <c:ptCount val="14"/>
                <c:pt idx="0">
                  <c:v>0</c:v>
                </c:pt>
                <c:pt idx="1">
                  <c:v>11549.763181846456</c:v>
                </c:pt>
                <c:pt idx="2">
                  <c:v>23099.526363692912</c:v>
                </c:pt>
                <c:pt idx="3">
                  <c:v>32050.592829623918</c:v>
                </c:pt>
                <c:pt idx="4">
                  <c:v>32050.592829623918</c:v>
                </c:pt>
                <c:pt idx="5">
                  <c:v>32050.592829623918</c:v>
                </c:pt>
                <c:pt idx="6">
                  <c:v>32050.592829623918</c:v>
                </c:pt>
                <c:pt idx="7">
                  <c:v>32050.592829623918</c:v>
                </c:pt>
                <c:pt idx="8">
                  <c:v>32050.592829623918</c:v>
                </c:pt>
                <c:pt idx="9">
                  <c:v>1.4437203977308068</c:v>
                </c:pt>
                <c:pt idx="10">
                  <c:v>2887.440795461614</c:v>
                </c:pt>
                <c:pt idx="11">
                  <c:v>1443.720397730807</c:v>
                </c:pt>
                <c:pt idx="12">
                  <c:v>1154.9763181846456</c:v>
                </c:pt>
                <c:pt idx="13">
                  <c:v>433.1161193192421</c:v>
                </c:pt>
              </c:numCache>
            </c:numRef>
          </c:xVal>
          <c:yVal>
            <c:numRef>
              <c:f>Application!$X$2:$X$15</c:f>
              <c:numCache>
                <c:formatCode>General</c:formatCode>
                <c:ptCount val="14"/>
                <c:pt idx="0">
                  <c:v>0</c:v>
                </c:pt>
                <c:pt idx="1">
                  <c:v>117.17664749473686</c:v>
                </c:pt>
                <c:pt idx="2">
                  <c:v>239.25077440000004</c:v>
                </c:pt>
                <c:pt idx="3">
                  <c:v>278.33527258837893</c:v>
                </c:pt>
                <c:pt idx="4">
                  <c:v>64.754213641010537</c:v>
                </c:pt>
                <c:pt idx="5">
                  <c:v>64.754213641010537</c:v>
                </c:pt>
                <c:pt idx="6">
                  <c:v>64.754213641010537</c:v>
                </c:pt>
                <c:pt idx="7">
                  <c:v>64.754213641010537</c:v>
                </c:pt>
                <c:pt idx="8">
                  <c:v>64.754213641010537</c:v>
                </c:pt>
                <c:pt idx="9">
                  <c:v>6.1797477825671909E-2</c:v>
                </c:pt>
                <c:pt idx="10">
                  <c:v>34.676838394471481</c:v>
                </c:pt>
                <c:pt idx="11">
                  <c:v>32.41615680844329</c:v>
                </c:pt>
                <c:pt idx="12">
                  <c:v>49.438798505830583</c:v>
                </c:pt>
                <c:pt idx="13">
                  <c:v>18.53928639147594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4-49F3-84F6-01DE4B74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48608"/>
        <c:axId val="830442048"/>
      </c:scatterChart>
      <c:valAx>
        <c:axId val="830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2048"/>
        <c:crosses val="autoZero"/>
        <c:crossBetween val="midCat"/>
      </c:valAx>
      <c:valAx>
        <c:axId val="830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  <a:r>
                  <a:rPr lang="en-US" baseline="0"/>
                  <a:t> power [kW]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Application!$AA$2:$AA$15</c:f>
              <c:numCache>
                <c:formatCode>General</c:formatCode>
                <c:ptCount val="14"/>
                <c:pt idx="0">
                  <c:v>0.05</c:v>
                </c:pt>
                <c:pt idx="1">
                  <c:v>2.5601060089846005E-6</c:v>
                </c:pt>
                <c:pt idx="2">
                  <c:v>1.2538829914109215E-6</c:v>
                </c:pt>
                <c:pt idx="3">
                  <c:v>1.0778135675324399E-6</c:v>
                </c:pt>
                <c:pt idx="4">
                  <c:v>4.6324739084866102E-6</c:v>
                </c:pt>
                <c:pt idx="5">
                  <c:v>4.6324739084866102E-6</c:v>
                </c:pt>
                <c:pt idx="6">
                  <c:v>4.6324739084866102E-6</c:v>
                </c:pt>
                <c:pt idx="7">
                  <c:v>4.6324739084866102E-6</c:v>
                </c:pt>
                <c:pt idx="8">
                  <c:v>4.6324739084866102E-6</c:v>
                </c:pt>
                <c:pt idx="9">
                  <c:v>4.4249433698904236E-3</c:v>
                </c:pt>
                <c:pt idx="10">
                  <c:v>8.6498110848915019E-6</c:v>
                </c:pt>
                <c:pt idx="11">
                  <c:v>9.2529316224229342E-6</c:v>
                </c:pt>
                <c:pt idx="12">
                  <c:v>6.0673722831456914E-6</c:v>
                </c:pt>
                <c:pt idx="13">
                  <c:v>1.6176617263667089E-5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2-4D63-B8E7-759A7CEC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20560"/>
        <c:axId val="358225808"/>
      </c:scatterChart>
      <c:valAx>
        <c:axId val="3582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5808"/>
        <c:crosses val="autoZero"/>
        <c:crossBetween val="midCat"/>
      </c:valAx>
      <c:valAx>
        <c:axId val="3582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2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3-4F8E-BD02-D740AE422E0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3-4F8E-BD02-D740AE422E0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3-4F8E-BD02-D740AE422E0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3-4F8E-BD02-D740AE422E0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3-4F8E-BD02-D740AE422E0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3-4F8E-BD02-D740AE422E0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11549.763181846456</c:v>
                </c:pt>
                <c:pt idx="2">
                  <c:v>23099.526363692912</c:v>
                </c:pt>
                <c:pt idx="3">
                  <c:v>32050.592829623918</c:v>
                </c:pt>
                <c:pt idx="4">
                  <c:v>32050.592829623918</c:v>
                </c:pt>
                <c:pt idx="5">
                  <c:v>32050.592829623918</c:v>
                </c:pt>
                <c:pt idx="6">
                  <c:v>32050.592829623918</c:v>
                </c:pt>
                <c:pt idx="7">
                  <c:v>32050.592829623918</c:v>
                </c:pt>
                <c:pt idx="8">
                  <c:v>32050.592829623918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7.0481219269909898</c:v>
                </c:pt>
                <c:pt idx="1">
                  <c:v>48.440584547316611</c:v>
                </c:pt>
                <c:pt idx="2">
                  <c:v>49.45288849407784</c:v>
                </c:pt>
                <c:pt idx="3">
                  <c:v>41.464226298172747</c:v>
                </c:pt>
                <c:pt idx="4">
                  <c:v>9.6465796203337124</c:v>
                </c:pt>
                <c:pt idx="5">
                  <c:v>9.6465796203337124</c:v>
                </c:pt>
                <c:pt idx="6">
                  <c:v>9.6465796203337124</c:v>
                </c:pt>
                <c:pt idx="7">
                  <c:v>9.6465796203337124</c:v>
                </c:pt>
                <c:pt idx="8">
                  <c:v>9.6465796203337124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03-4F8E-BD02-D740AE422E0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1.4437203977308068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204.37559963881654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03-4F8E-BD02-D740AE422E0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2887.440795461614</c:v>
                </c:pt>
                <c:pt idx="1">
                  <c:v>1443.720397730807</c:v>
                </c:pt>
                <c:pt idx="2">
                  <c:v>1154.9763181846456</c:v>
                </c:pt>
                <c:pt idx="3">
                  <c:v>433.1161193192421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57.341334062539367</c:v>
                </c:pt>
                <c:pt idx="1">
                  <c:v>107.20617926188748</c:v>
                </c:pt>
                <c:pt idx="2">
                  <c:v>204.37897398003335</c:v>
                </c:pt>
                <c:pt idx="3">
                  <c:v>204.37607415101917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03-4F8E-BD02-D740AE4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D1F-9120-7BCE2E1C336F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D1F-9120-7BCE2E1C336F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D1F-9120-7BCE2E1C336F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D1F-9120-7BCE2E1C336F}"/>
            </c:ext>
          </c:extLst>
        </c:ser>
        <c:ser>
          <c:idx val="4"/>
          <c:order val="4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D1F-9120-7BCE2E1C336F}"/>
            </c:ext>
          </c:extLst>
        </c:ser>
        <c:ser>
          <c:idx val="5"/>
          <c:order val="5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D1F-9120-7BCE2E1C336F}"/>
            </c:ext>
          </c:extLst>
        </c:ser>
        <c:ser>
          <c:idx val="6"/>
          <c:order val="6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D1F-9120-7BCE2E1C336F}"/>
            </c:ext>
          </c:extLst>
        </c:ser>
        <c:ser>
          <c:idx val="7"/>
          <c:order val="7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D1F-9120-7BCE2E1C336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11549.763181846456</c:v>
                </c:pt>
                <c:pt idx="2">
                  <c:v>23099.526363692912</c:v>
                </c:pt>
                <c:pt idx="3">
                  <c:v>32050.592829623918</c:v>
                </c:pt>
                <c:pt idx="4">
                  <c:v>32050.592829623918</c:v>
                </c:pt>
                <c:pt idx="5">
                  <c:v>32050.592829623918</c:v>
                </c:pt>
                <c:pt idx="6">
                  <c:v>32050.592829623918</c:v>
                </c:pt>
                <c:pt idx="7">
                  <c:v>32050.592829623918</c:v>
                </c:pt>
                <c:pt idx="8">
                  <c:v>32050.592829623918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7.0481219269909898</c:v>
                </c:pt>
                <c:pt idx="1">
                  <c:v>48.440584547316611</c:v>
                </c:pt>
                <c:pt idx="2">
                  <c:v>49.45288849407784</c:v>
                </c:pt>
                <c:pt idx="3">
                  <c:v>41.464226298172747</c:v>
                </c:pt>
                <c:pt idx="4">
                  <c:v>9.6465796203337124</c:v>
                </c:pt>
                <c:pt idx="5">
                  <c:v>9.6465796203337124</c:v>
                </c:pt>
                <c:pt idx="6">
                  <c:v>9.6465796203337124</c:v>
                </c:pt>
                <c:pt idx="7">
                  <c:v>9.6465796203337124</c:v>
                </c:pt>
                <c:pt idx="8">
                  <c:v>9.6465796203337124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D1F-9120-7BCE2E1C336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1.4437203977308068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204.37559963881654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1-4D1F-9120-7BCE2E1C336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2887.440795461614</c:v>
                </c:pt>
                <c:pt idx="1">
                  <c:v>1443.720397730807</c:v>
                </c:pt>
                <c:pt idx="2">
                  <c:v>1154.9763181846456</c:v>
                </c:pt>
                <c:pt idx="3">
                  <c:v>433.1161193192421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57.341334062539367</c:v>
                </c:pt>
                <c:pt idx="1">
                  <c:v>107.20617926188748</c:v>
                </c:pt>
                <c:pt idx="2">
                  <c:v>204.37897398003335</c:v>
                </c:pt>
                <c:pt idx="3">
                  <c:v>204.37607415101917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1-4D1F-9120-7BCE2E1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214-9EB8-564EA455F785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214-9EB8-564EA455F785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4214-9EB8-564EA455F785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4214-9EB8-564EA455F785}"/>
            </c:ext>
          </c:extLst>
        </c:ser>
        <c:ser>
          <c:idx val="4"/>
          <c:order val="4"/>
          <c:tx>
            <c:strRef>
              <c:f>Application!$J$82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Application!$J$83:$J$108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4214-9EB8-564EA455F785}"/>
            </c:ext>
          </c:extLst>
        </c:ser>
        <c:ser>
          <c:idx val="5"/>
          <c:order val="5"/>
          <c:tx>
            <c:strRef>
              <c:f>Application!$K$82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Application!$K$83:$K$108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4214-9EB8-564EA455F785}"/>
            </c:ext>
          </c:extLst>
        </c:ser>
        <c:ser>
          <c:idx val="6"/>
          <c:order val="6"/>
          <c:tx>
            <c:strRef>
              <c:f>Application!$L$82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Application!$L$83:$L$108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D-4214-9EB8-564EA455F785}"/>
            </c:ext>
          </c:extLst>
        </c:ser>
        <c:ser>
          <c:idx val="7"/>
          <c:order val="7"/>
          <c:tx>
            <c:strRef>
              <c:f>Application!$M$82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Application!$M$83:$M$108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4214-9EB8-564EA455F785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11549.763181846456</c:v>
                </c:pt>
                <c:pt idx="2">
                  <c:v>23099.526363692912</c:v>
                </c:pt>
                <c:pt idx="3">
                  <c:v>32050.592829623918</c:v>
                </c:pt>
                <c:pt idx="4">
                  <c:v>32050.592829623918</c:v>
                </c:pt>
                <c:pt idx="5">
                  <c:v>32050.592829623918</c:v>
                </c:pt>
                <c:pt idx="6">
                  <c:v>32050.592829623918</c:v>
                </c:pt>
                <c:pt idx="7">
                  <c:v>32050.592829623918</c:v>
                </c:pt>
                <c:pt idx="8">
                  <c:v>32050.592829623918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7.0481219269909898</c:v>
                </c:pt>
                <c:pt idx="1">
                  <c:v>48.440584547316611</c:v>
                </c:pt>
                <c:pt idx="2">
                  <c:v>49.45288849407784</c:v>
                </c:pt>
                <c:pt idx="3">
                  <c:v>41.464226298172747</c:v>
                </c:pt>
                <c:pt idx="4">
                  <c:v>9.6465796203337124</c:v>
                </c:pt>
                <c:pt idx="5">
                  <c:v>9.6465796203337124</c:v>
                </c:pt>
                <c:pt idx="6">
                  <c:v>9.6465796203337124</c:v>
                </c:pt>
                <c:pt idx="7">
                  <c:v>9.6465796203337124</c:v>
                </c:pt>
                <c:pt idx="8">
                  <c:v>9.6465796203337124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D-4214-9EB8-564EA455F785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1.4437203977308068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204.37559963881654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7D-4214-9EB8-564EA455F785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2887.440795461614</c:v>
                </c:pt>
                <c:pt idx="1">
                  <c:v>1443.720397730807</c:v>
                </c:pt>
                <c:pt idx="2">
                  <c:v>1154.9763181846456</c:v>
                </c:pt>
                <c:pt idx="3">
                  <c:v>433.1161193192421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57.341334062539367</c:v>
                </c:pt>
                <c:pt idx="1">
                  <c:v>107.20617926188748</c:v>
                </c:pt>
                <c:pt idx="2">
                  <c:v>204.37897398003335</c:v>
                </c:pt>
                <c:pt idx="3">
                  <c:v>204.37607415101917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7D-4214-9EB8-564EA45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ax val="1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[rpm]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[nm]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Application!$F$113:$F$131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C24-A04B-7A25A887CFFC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Application!$G$113:$G$131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3-4C24-A04B-7A25A887CFFC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Application!$H$113:$H$131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3-4C24-A04B-7A25A887CFFC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Application!$I$113:$I$131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3-4C24-A04B-7A25A887CFFC}"/>
            </c:ext>
          </c:extLst>
        </c:ser>
        <c:ser>
          <c:idx val="4"/>
          <c:order val="4"/>
          <c:tx>
            <c:strRef>
              <c:f>Application!$J$112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Application!$J$113:$J$131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3-4C24-A04B-7A25A887CFFC}"/>
            </c:ext>
          </c:extLst>
        </c:ser>
        <c:ser>
          <c:idx val="5"/>
          <c:order val="5"/>
          <c:tx>
            <c:strRef>
              <c:f>Application!$K$112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Application!$K$113:$K$131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3-4C24-A04B-7A25A887CFFC}"/>
            </c:ext>
          </c:extLst>
        </c:ser>
        <c:ser>
          <c:idx val="6"/>
          <c:order val="6"/>
          <c:tx>
            <c:strRef>
              <c:f>Application!$L$112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Application!$L$113:$L$131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3-4C24-A04B-7A25A887CFFC}"/>
            </c:ext>
          </c:extLst>
        </c:ser>
        <c:ser>
          <c:idx val="7"/>
          <c:order val="7"/>
          <c:tx>
            <c:strRef>
              <c:f>Application!$M$112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Application!$M$113:$M$131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3-4C24-A04B-7A25A887CFFC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11549.763181846456</c:v>
                </c:pt>
                <c:pt idx="2">
                  <c:v>23099.526363692912</c:v>
                </c:pt>
                <c:pt idx="3">
                  <c:v>32050.592829623918</c:v>
                </c:pt>
                <c:pt idx="4">
                  <c:v>32050.592829623918</c:v>
                </c:pt>
                <c:pt idx="5">
                  <c:v>32050.592829623918</c:v>
                </c:pt>
                <c:pt idx="6">
                  <c:v>32050.592829623918</c:v>
                </c:pt>
                <c:pt idx="7">
                  <c:v>32050.592829623918</c:v>
                </c:pt>
                <c:pt idx="8">
                  <c:v>32050.592829623918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7.0481219269909898</c:v>
                </c:pt>
                <c:pt idx="1">
                  <c:v>48.440584547316611</c:v>
                </c:pt>
                <c:pt idx="2">
                  <c:v>49.45288849407784</c:v>
                </c:pt>
                <c:pt idx="3">
                  <c:v>41.464226298172747</c:v>
                </c:pt>
                <c:pt idx="4">
                  <c:v>9.6465796203337124</c:v>
                </c:pt>
                <c:pt idx="5">
                  <c:v>9.6465796203337124</c:v>
                </c:pt>
                <c:pt idx="6">
                  <c:v>9.6465796203337124</c:v>
                </c:pt>
                <c:pt idx="7">
                  <c:v>9.6465796203337124</c:v>
                </c:pt>
                <c:pt idx="8">
                  <c:v>9.6465796203337124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3-4C24-A04B-7A25A887CFFC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1.4437203977308068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204.37559963881654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3-4C24-A04B-7A25A887CFFC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2887.440795461614</c:v>
                </c:pt>
                <c:pt idx="1">
                  <c:v>1443.720397730807</c:v>
                </c:pt>
                <c:pt idx="2">
                  <c:v>1154.9763181846456</c:v>
                </c:pt>
                <c:pt idx="3">
                  <c:v>433.1161193192421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57.341334062539367</c:v>
                </c:pt>
                <c:pt idx="1">
                  <c:v>107.20617926188748</c:v>
                </c:pt>
                <c:pt idx="2">
                  <c:v>204.37897398003335</c:v>
                </c:pt>
                <c:pt idx="3">
                  <c:v>204.37607415101917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3-4C24-A04B-7A25A88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Application!$F$134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Application!$F$135:$F$150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B-4505-9B15-CE0688BC716A}"/>
            </c:ext>
          </c:extLst>
        </c:ser>
        <c:ser>
          <c:idx val="1"/>
          <c:order val="1"/>
          <c:tx>
            <c:strRef>
              <c:f>Application!$G$134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Application!$G$135:$G$150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B-4505-9B15-CE0688BC716A}"/>
            </c:ext>
          </c:extLst>
        </c:ser>
        <c:ser>
          <c:idx val="2"/>
          <c:order val="2"/>
          <c:tx>
            <c:strRef>
              <c:f>Application!$H$134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Application!$H$135:$H$150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B-4505-9B15-CE0688BC716A}"/>
            </c:ext>
          </c:extLst>
        </c:ser>
        <c:ser>
          <c:idx val="3"/>
          <c:order val="3"/>
          <c:tx>
            <c:strRef>
              <c:f>Application!$I$134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Application!$I$135:$I$150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B-4505-9B15-CE0688BC716A}"/>
            </c:ext>
          </c:extLst>
        </c:ser>
        <c:ser>
          <c:idx val="4"/>
          <c:order val="4"/>
          <c:tx>
            <c:strRef>
              <c:f>Application!$J$134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Application!$J$135:$J$150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B-4505-9B15-CE0688BC716A}"/>
            </c:ext>
          </c:extLst>
        </c:ser>
        <c:ser>
          <c:idx val="5"/>
          <c:order val="5"/>
          <c:tx>
            <c:strRef>
              <c:f>Application!$K$134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Application!$K$135:$K$150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B-4505-9B15-CE0688BC716A}"/>
            </c:ext>
          </c:extLst>
        </c:ser>
        <c:ser>
          <c:idx val="6"/>
          <c:order val="6"/>
          <c:tx>
            <c:strRef>
              <c:f>Application!$L$134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Application!$L$135:$L$150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B-4505-9B15-CE0688BC716A}"/>
            </c:ext>
          </c:extLst>
        </c:ser>
        <c:ser>
          <c:idx val="7"/>
          <c:order val="7"/>
          <c:tx>
            <c:strRef>
              <c:f>Application!$M$134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Application!$M$135:$M$150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B-4505-9B15-CE0688BC716A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11549.763181846456</c:v>
                </c:pt>
                <c:pt idx="2">
                  <c:v>23099.526363692912</c:v>
                </c:pt>
                <c:pt idx="3">
                  <c:v>32050.592829623918</c:v>
                </c:pt>
                <c:pt idx="4">
                  <c:v>32050.592829623918</c:v>
                </c:pt>
                <c:pt idx="5">
                  <c:v>32050.592829623918</c:v>
                </c:pt>
                <c:pt idx="6">
                  <c:v>32050.592829623918</c:v>
                </c:pt>
                <c:pt idx="7">
                  <c:v>32050.592829623918</c:v>
                </c:pt>
                <c:pt idx="8">
                  <c:v>32050.592829623918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7.0481219269909898</c:v>
                </c:pt>
                <c:pt idx="1">
                  <c:v>48.440584547316611</c:v>
                </c:pt>
                <c:pt idx="2">
                  <c:v>49.45288849407784</c:v>
                </c:pt>
                <c:pt idx="3">
                  <c:v>41.464226298172747</c:v>
                </c:pt>
                <c:pt idx="4">
                  <c:v>9.6465796203337124</c:v>
                </c:pt>
                <c:pt idx="5">
                  <c:v>9.6465796203337124</c:v>
                </c:pt>
                <c:pt idx="6">
                  <c:v>9.6465796203337124</c:v>
                </c:pt>
                <c:pt idx="7">
                  <c:v>9.6465796203337124</c:v>
                </c:pt>
                <c:pt idx="8">
                  <c:v>9.6465796203337124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B-4505-9B15-CE0688BC716A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1.4437203977308068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204.37559963881654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B-4505-9B15-CE0688BC716A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2887.440795461614</c:v>
                </c:pt>
                <c:pt idx="1">
                  <c:v>1443.720397730807</c:v>
                </c:pt>
                <c:pt idx="2">
                  <c:v>1154.9763181846456</c:v>
                </c:pt>
                <c:pt idx="3">
                  <c:v>433.1161193192421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57.341334062539367</c:v>
                </c:pt>
                <c:pt idx="1">
                  <c:v>107.20617926188748</c:v>
                </c:pt>
                <c:pt idx="2">
                  <c:v>204.37897398003335</c:v>
                </c:pt>
                <c:pt idx="3">
                  <c:v>204.37607415101917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B-4505-9B15-CE0688BC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Application!$I$154</c:f>
              <c:strCache>
                <c:ptCount val="1"/>
                <c:pt idx="0">
                  <c:v>M34-P5-600V Ct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/>
              </a:soli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Application!$E$155:$E$164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Application!$I$155:$I$164</c:f>
              <c:numCache>
                <c:formatCode>General</c:formatCode>
                <c:ptCount val="10"/>
                <c:pt idx="0">
                  <c:v>445</c:v>
                </c:pt>
                <c:pt idx="1">
                  <c:v>445</c:v>
                </c:pt>
                <c:pt idx="2">
                  <c:v>445</c:v>
                </c:pt>
                <c:pt idx="3">
                  <c:v>445</c:v>
                </c:pt>
                <c:pt idx="4">
                  <c:v>445</c:v>
                </c:pt>
                <c:pt idx="5">
                  <c:v>309.36399999999998</c:v>
                </c:pt>
                <c:pt idx="6">
                  <c:v>257.80333333333334</c:v>
                </c:pt>
                <c:pt idx="7">
                  <c:v>215.43454038997214</c:v>
                </c:pt>
                <c:pt idx="8">
                  <c:v>193.35249999999999</c:v>
                </c:pt>
                <c:pt idx="9">
                  <c:v>166.32473118279569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6E-4521-916A-5D052154DCDB}"/>
            </c:ext>
          </c:extLst>
        </c:ser>
        <c:ser>
          <c:idx val="1"/>
          <c:order val="1"/>
          <c:tx>
            <c:strRef>
              <c:f>Application!$M$154</c:f>
              <c:strCache>
                <c:ptCount val="1"/>
                <c:pt idx="0">
                  <c:v>M34-P5-600V Pk</c:v>
                </c:pt>
              </c:strCache>
            </c:strRef>
          </c:tx>
          <c:spPr>
            <a:ln w="95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 cap="rnd">
                <a:solidFill>
                  <a:srgbClr val="FFC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Application!$E$155:$E$164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Application!$M$155:$M$164</c:f>
              <c:numCache>
                <c:formatCode>General</c:formatCode>
                <c:ptCount val="10"/>
                <c:pt idx="0">
                  <c:v>1114</c:v>
                </c:pt>
                <c:pt idx="1">
                  <c:v>1114</c:v>
                </c:pt>
                <c:pt idx="2">
                  <c:v>1114</c:v>
                </c:pt>
                <c:pt idx="3">
                  <c:v>1114</c:v>
                </c:pt>
                <c:pt idx="4">
                  <c:v>999.90794016110476</c:v>
                </c:pt>
                <c:pt idx="5">
                  <c:v>695.13599999999997</c:v>
                </c:pt>
                <c:pt idx="6">
                  <c:v>579.28</c:v>
                </c:pt>
                <c:pt idx="7">
                  <c:v>484.07799442896936</c:v>
                </c:pt>
                <c:pt idx="8">
                  <c:v>434.46</c:v>
                </c:pt>
                <c:pt idx="9">
                  <c:v>373.72903225806454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6E-4521-916A-5D052154DCDB}"/>
            </c:ext>
          </c:extLst>
        </c:ser>
        <c:ser>
          <c:idx val="2"/>
          <c:order val="2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Application!$V$2:$V$10</c:f>
              <c:numCache>
                <c:formatCode>0.00</c:formatCode>
                <c:ptCount val="9"/>
                <c:pt idx="0">
                  <c:v>0</c:v>
                </c:pt>
                <c:pt idx="1">
                  <c:v>11549.763181846456</c:v>
                </c:pt>
                <c:pt idx="2">
                  <c:v>23099.526363692912</c:v>
                </c:pt>
                <c:pt idx="3">
                  <c:v>32050.592829623918</c:v>
                </c:pt>
                <c:pt idx="4">
                  <c:v>32050.592829623918</c:v>
                </c:pt>
                <c:pt idx="5">
                  <c:v>32050.592829623918</c:v>
                </c:pt>
                <c:pt idx="6">
                  <c:v>32050.592829623918</c:v>
                </c:pt>
                <c:pt idx="7">
                  <c:v>32050.592829623918</c:v>
                </c:pt>
                <c:pt idx="8">
                  <c:v>32050.592829623918</c:v>
                </c:pt>
              </c:numCache>
            </c:numRef>
          </c:xVal>
          <c:yVal>
            <c:numRef>
              <c:f>Application!$U$2:$U$10</c:f>
              <c:numCache>
                <c:formatCode>0.00</c:formatCode>
                <c:ptCount val="9"/>
                <c:pt idx="0">
                  <c:v>7.0481219269909898</c:v>
                </c:pt>
                <c:pt idx="1">
                  <c:v>48.440584547316611</c:v>
                </c:pt>
                <c:pt idx="2">
                  <c:v>49.45288849407784</c:v>
                </c:pt>
                <c:pt idx="3">
                  <c:v>41.464226298172747</c:v>
                </c:pt>
                <c:pt idx="4">
                  <c:v>9.6465796203337124</c:v>
                </c:pt>
                <c:pt idx="5">
                  <c:v>9.6465796203337124</c:v>
                </c:pt>
                <c:pt idx="6">
                  <c:v>9.6465796203337124</c:v>
                </c:pt>
                <c:pt idx="7">
                  <c:v>9.6465796203337124</c:v>
                </c:pt>
                <c:pt idx="8">
                  <c:v>9.6465796203337124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6E-4521-916A-5D052154DCDB}"/>
            </c:ext>
          </c:extLst>
        </c:ser>
        <c:ser>
          <c:idx val="3"/>
          <c:order val="3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Application!$V$11</c:f>
              <c:numCache>
                <c:formatCode>0.00</c:formatCode>
                <c:ptCount val="1"/>
                <c:pt idx="0">
                  <c:v>1.4437203977308068</c:v>
                </c:pt>
              </c:numCache>
            </c:numRef>
          </c:xVal>
          <c:yVal>
            <c:numRef>
              <c:f>Application!$U$11</c:f>
              <c:numCache>
                <c:formatCode>0.00</c:formatCode>
                <c:ptCount val="1"/>
                <c:pt idx="0">
                  <c:v>204.37559963881654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6E-4521-916A-5D052154DCDB}"/>
            </c:ext>
          </c:extLst>
        </c:ser>
        <c:ser>
          <c:idx val="4"/>
          <c:order val="4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solidFill>
                  <a:srgbClr val="7030A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Application!$V$12:$V$15</c:f>
              <c:numCache>
                <c:formatCode>0.00</c:formatCode>
                <c:ptCount val="4"/>
                <c:pt idx="0">
                  <c:v>2887.440795461614</c:v>
                </c:pt>
                <c:pt idx="1">
                  <c:v>1443.720397730807</c:v>
                </c:pt>
                <c:pt idx="2">
                  <c:v>1154.9763181846456</c:v>
                </c:pt>
                <c:pt idx="3">
                  <c:v>433.1161193192421</c:v>
                </c:pt>
              </c:numCache>
            </c:numRef>
          </c:xVal>
          <c:yVal>
            <c:numRef>
              <c:f>Application!$U$12:$U$15</c:f>
              <c:numCache>
                <c:formatCode>0.00</c:formatCode>
                <c:ptCount val="4"/>
                <c:pt idx="0">
                  <c:v>57.341334062539367</c:v>
                </c:pt>
                <c:pt idx="1">
                  <c:v>107.20617926188748</c:v>
                </c:pt>
                <c:pt idx="2">
                  <c:v>204.37897398003335</c:v>
                </c:pt>
                <c:pt idx="3">
                  <c:v>204.37607415101917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6E-4521-916A-5D052154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80968"/>
        <c:axId val="814778344"/>
      </c:scatterChart>
      <c:valAx>
        <c:axId val="8147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78344"/>
        <c:crosses val="autoZero"/>
        <c:crossBetween val="midCat"/>
      </c:valAx>
      <c:valAx>
        <c:axId val="8147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0F4A2-D7A5-4DAF-9BFA-7435D72E787A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300036</xdr:colOff>
      <xdr:row>18</xdr:row>
      <xdr:rowOff>100011</xdr:rowOff>
    </xdr:from>
    <xdr:to>
      <xdr:col>24</xdr:col>
      <xdr:colOff>171450</xdr:colOff>
      <xdr:row>37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300037</xdr:colOff>
      <xdr:row>37</xdr:row>
      <xdr:rowOff>61912</xdr:rowOff>
    </xdr:from>
    <xdr:to>
      <xdr:col>24</xdr:col>
      <xdr:colOff>161925</xdr:colOff>
      <xdr:row>52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0B538-0300-4F38-9027-4DC692D72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409575</xdr:colOff>
      <xdr:row>18</xdr:row>
      <xdr:rowOff>52387</xdr:rowOff>
    </xdr:from>
    <xdr:to>
      <xdr:col>32</xdr:col>
      <xdr:colOff>104775</xdr:colOff>
      <xdr:row>30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9ECB7-CA36-4789-9F54-78136B9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B9CA-E1AD-4411-A9D4-060964359D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52385</xdr:rowOff>
    </xdr:from>
    <xdr:to>
      <xdr:col>12</xdr:col>
      <xdr:colOff>114299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6E7B2-971B-4865-81F9-DD2070C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0</xdr:row>
      <xdr:rowOff>61912</xdr:rowOff>
    </xdr:from>
    <xdr:to>
      <xdr:col>24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79F5-4591-4E08-972D-28D0BDEB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128586</xdr:rowOff>
    </xdr:from>
    <xdr:to>
      <xdr:col>12</xdr:col>
      <xdr:colOff>152400</xdr:colOff>
      <xdr:row>54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2CBB5C7-63E5-4780-8630-D175C3F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209548</xdr:colOff>
      <xdr:row>27</xdr:row>
      <xdr:rowOff>166686</xdr:rowOff>
    </xdr:from>
    <xdr:to>
      <xdr:col>24</xdr:col>
      <xdr:colOff>552449</xdr:colOff>
      <xdr:row>54</xdr:row>
      <xdr:rowOff>38099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462229B-233E-452A-B05F-19403926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352424</xdr:colOff>
      <xdr:row>54</xdr:row>
      <xdr:rowOff>157161</xdr:rowOff>
    </xdr:from>
    <xdr:to>
      <xdr:col>19</xdr:col>
      <xdr:colOff>323850</xdr:colOff>
      <xdr:row>81</xdr:row>
      <xdr:rowOff>104775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EFA53B9-1127-4F33-A724-98954BEC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20" totalsRowShown="0" headerRowDxfId="4" headerRowBorderDxfId="3" tableBorderDxfId="2">
  <autoFilter ref="A1:C20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2:C40" totalsRowShown="0" headerRowDxfId="1">
  <autoFilter ref="B22:C40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AC164"/>
  <sheetViews>
    <sheetView tabSelected="1" zoomScaleNormal="100" workbookViewId="0">
      <selection activeCell="B37" sqref="B37"/>
    </sheetView>
  </sheetViews>
  <sheetFormatPr defaultRowHeight="15" x14ac:dyDescent="0.25"/>
  <cols>
    <col min="1" max="1" width="34.28515625" customWidth="1"/>
    <col min="2" max="3" width="11" customWidth="1"/>
    <col min="4" max="4" width="7.42578125" customWidth="1"/>
    <col min="5" max="8" width="11.5703125" customWidth="1"/>
    <col min="9" max="10" width="12" customWidth="1"/>
    <col min="19" max="19" width="8" customWidth="1"/>
    <col min="23" max="23" width="10.28515625" customWidth="1"/>
  </cols>
  <sheetData>
    <row r="1" spans="1:28" ht="60.75" thickBot="1" x14ac:dyDescent="0.3">
      <c r="A1" s="27" t="s">
        <v>11</v>
      </c>
      <c r="B1" s="27" t="s">
        <v>0</v>
      </c>
      <c r="C1" s="27" t="s">
        <v>1</v>
      </c>
      <c r="D1" s="43" t="s">
        <v>49</v>
      </c>
      <c r="E1" s="2" t="s">
        <v>20</v>
      </c>
      <c r="F1" s="2" t="s">
        <v>127</v>
      </c>
      <c r="G1" s="2" t="s">
        <v>21</v>
      </c>
      <c r="H1" s="2" t="s">
        <v>36</v>
      </c>
      <c r="I1" s="2" t="s">
        <v>28</v>
      </c>
      <c r="J1" s="2" t="s">
        <v>22</v>
      </c>
      <c r="K1" s="2" t="s">
        <v>126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29</v>
      </c>
      <c r="R1" s="2" t="s">
        <v>30</v>
      </c>
      <c r="S1" s="2" t="s">
        <v>34</v>
      </c>
      <c r="T1" s="2" t="s">
        <v>31</v>
      </c>
      <c r="U1" s="2" t="s">
        <v>33</v>
      </c>
      <c r="V1" s="2" t="s">
        <v>35</v>
      </c>
      <c r="W1" s="37" t="s">
        <v>141</v>
      </c>
      <c r="X1" s="37" t="s">
        <v>142</v>
      </c>
      <c r="Y1" s="37" t="s">
        <v>143</v>
      </c>
      <c r="Z1" s="37" t="s">
        <v>144</v>
      </c>
      <c r="AA1" s="37" t="s">
        <v>148</v>
      </c>
    </row>
    <row r="2" spans="1:28" x14ac:dyDescent="0.25">
      <c r="A2" s="26" t="s">
        <v>3</v>
      </c>
      <c r="B2" s="26">
        <v>29483</v>
      </c>
      <c r="C2" s="26" t="s">
        <v>2</v>
      </c>
      <c r="D2" s="43"/>
      <c r="E2" s="20">
        <v>0</v>
      </c>
      <c r="F2" s="20">
        <f t="shared" ref="F2:F15" si="0">3600*H2/1000</f>
        <v>0</v>
      </c>
      <c r="G2" s="20">
        <v>0</v>
      </c>
      <c r="H2" s="20">
        <f t="shared" ref="H2:H10" si="1">IF(G2&gt;$B$15,$B$15,G2)</f>
        <v>0</v>
      </c>
      <c r="I2" s="21">
        <v>0</v>
      </c>
      <c r="J2" s="20">
        <f>$B$2*$B$3*$B$8</f>
        <v>115691.29200000002</v>
      </c>
      <c r="K2" s="20">
        <v>0</v>
      </c>
      <c r="L2" s="20">
        <v>0</v>
      </c>
      <c r="M2" s="20">
        <f>$B$2*$B$3*SIN(L2)</f>
        <v>0</v>
      </c>
      <c r="N2" s="20">
        <f>$B$2*$B$3*$B$7*COS(L2)</f>
        <v>2024.5976100000003</v>
      </c>
      <c r="O2" s="20">
        <f>0.5*$B$5*$B$6*$B$4*H2^2</f>
        <v>0</v>
      </c>
      <c r="P2" s="20">
        <f>$B$2*I2</f>
        <v>0</v>
      </c>
      <c r="Q2" s="20">
        <f>SUM(M2,N2,O2,P2)</f>
        <v>2024.5976100000003</v>
      </c>
      <c r="R2" s="20">
        <f>Q2*$B$9</f>
        <v>870.57697230000008</v>
      </c>
      <c r="S2" s="20">
        <f>H2*60/2/PI()/$B$9</f>
        <v>0</v>
      </c>
      <c r="T2" s="20">
        <f t="shared" ref="T2:T15" si="2">$B$17*$B$18</f>
        <v>65.010000000000005</v>
      </c>
      <c r="U2" s="20">
        <f>R2/T2/$B$16/$B$10</f>
        <v>7.0481219269909898</v>
      </c>
      <c r="V2" s="20">
        <f>S2*T2</f>
        <v>0</v>
      </c>
      <c r="W2" s="40">
        <f>U2*V2*2*PI()/60/1000</f>
        <v>0</v>
      </c>
      <c r="X2" s="40">
        <f>W2*$B$16</f>
        <v>0</v>
      </c>
      <c r="Y2" s="40">
        <v>600</v>
      </c>
      <c r="Z2" s="40">
        <f>1000*X2/Y2</f>
        <v>0</v>
      </c>
      <c r="AA2" s="40">
        <f>($B$19*$B$20/(Z2+0.01)/Y2/1000)</f>
        <v>0.05</v>
      </c>
      <c r="AB2" s="40"/>
    </row>
    <row r="3" spans="1:28" x14ac:dyDescent="0.25">
      <c r="A3" s="26" t="s">
        <v>4</v>
      </c>
      <c r="B3" s="26">
        <v>9.81</v>
      </c>
      <c r="C3" s="26" t="s">
        <v>5</v>
      </c>
      <c r="D3" s="43"/>
      <c r="E3" s="20">
        <f t="shared" ref="E3:E15" si="3">E2+$B$42</f>
        <v>20</v>
      </c>
      <c r="F3" s="20">
        <f t="shared" si="0"/>
        <v>28.8</v>
      </c>
      <c r="G3" s="20">
        <f t="shared" ref="G3:G15" si="4">G2+$B$14*(E3-E2)</f>
        <v>8</v>
      </c>
      <c r="H3" s="20">
        <f t="shared" si="1"/>
        <v>8</v>
      </c>
      <c r="I3" s="21">
        <f t="shared" ref="I3:I10" si="5">(H3-H2)/(E3-E2)</f>
        <v>0.4</v>
      </c>
      <c r="J3" s="20">
        <f t="shared" ref="J3:J15" si="6">$J$2/H3</f>
        <v>14461.411500000002</v>
      </c>
      <c r="K3" s="20">
        <v>0</v>
      </c>
      <c r="L3" s="20">
        <v>0</v>
      </c>
      <c r="M3" s="20">
        <f t="shared" ref="M3:M15" si="7">$B$2*$B$3*SIN(L3)</f>
        <v>0</v>
      </c>
      <c r="N3" s="20">
        <f t="shared" ref="N3:N15" si="8">$B$2*$B$3*$B$7*COS(L3)</f>
        <v>2024.5976100000003</v>
      </c>
      <c r="O3" s="20">
        <f t="shared" ref="O3:O15" si="9">0.5*$B$5*$B$6*$B$4*H3^2</f>
        <v>96.929279999999991</v>
      </c>
      <c r="P3" s="20">
        <f t="shared" ref="P3:P15" si="10">$B$2*I3</f>
        <v>11793.2</v>
      </c>
      <c r="Q3" s="20">
        <f t="shared" ref="Q3:Q15" si="11">SUM(M3,N3,O3,P3)</f>
        <v>13914.726890000002</v>
      </c>
      <c r="R3" s="20">
        <f t="shared" ref="R3:R15" si="12">Q3*$B$9</f>
        <v>5983.3325627000004</v>
      </c>
      <c r="S3" s="20">
        <f t="shared" ref="S3:S15" si="13">H3*60/2/PI()/$B$9</f>
        <v>177.66133182351109</v>
      </c>
      <c r="T3" s="20">
        <f t="shared" si="2"/>
        <v>65.010000000000005</v>
      </c>
      <c r="U3" s="20">
        <f t="shared" ref="U3:U15" si="14">R3/T3/$B$16/$B$10</f>
        <v>48.440584547316611</v>
      </c>
      <c r="V3" s="20">
        <f t="shared" ref="V3:V15" si="15">S3*T3</f>
        <v>11549.763181846456</v>
      </c>
      <c r="W3" s="40">
        <f t="shared" ref="W3:W15" si="16">U3*V3*2*PI()/60/1000</f>
        <v>58.588323747368428</v>
      </c>
      <c r="X3" s="40">
        <f t="shared" ref="X3:X15" si="17">W3*$B$16</f>
        <v>117.17664749473686</v>
      </c>
      <c r="Y3" s="40">
        <v>600</v>
      </c>
      <c r="Z3" s="40">
        <f t="shared" ref="Z3:Z15" si="18">1000*X3/Y3</f>
        <v>195.29441249122809</v>
      </c>
      <c r="AA3" s="40">
        <f t="shared" ref="AA3:AA15" si="19">($B$19*$B$20/(Z3+0.01)/Y3/1000)</f>
        <v>2.5601060089846005E-6</v>
      </c>
      <c r="AB3" s="40"/>
    </row>
    <row r="4" spans="1:28" x14ac:dyDescent="0.25">
      <c r="A4" s="26" t="s">
        <v>13</v>
      </c>
      <c r="B4" s="26">
        <v>4.2</v>
      </c>
      <c r="C4" s="26" t="s">
        <v>14</v>
      </c>
      <c r="D4" s="43"/>
      <c r="E4" s="20">
        <f t="shared" si="3"/>
        <v>40</v>
      </c>
      <c r="F4" s="20">
        <f t="shared" si="0"/>
        <v>57.6</v>
      </c>
      <c r="G4" s="20">
        <f t="shared" si="4"/>
        <v>16</v>
      </c>
      <c r="H4" s="20">
        <f t="shared" si="1"/>
        <v>16</v>
      </c>
      <c r="I4" s="21">
        <f t="shared" si="5"/>
        <v>0.4</v>
      </c>
      <c r="J4" s="20">
        <f t="shared" si="6"/>
        <v>7230.705750000001</v>
      </c>
      <c r="K4" s="20">
        <v>0</v>
      </c>
      <c r="L4" s="20">
        <v>0</v>
      </c>
      <c r="M4" s="20">
        <f t="shared" si="7"/>
        <v>0</v>
      </c>
      <c r="N4" s="20">
        <f t="shared" si="8"/>
        <v>2024.5976100000003</v>
      </c>
      <c r="O4" s="20">
        <f t="shared" si="9"/>
        <v>387.71711999999997</v>
      </c>
      <c r="P4" s="20">
        <f t="shared" si="10"/>
        <v>11793.2</v>
      </c>
      <c r="Q4" s="20">
        <f t="shared" si="11"/>
        <v>14205.514730000001</v>
      </c>
      <c r="R4" s="20">
        <f t="shared" si="12"/>
        <v>6108.3713339000005</v>
      </c>
      <c r="S4" s="20">
        <f t="shared" si="13"/>
        <v>355.32266364702218</v>
      </c>
      <c r="T4" s="20">
        <f t="shared" si="2"/>
        <v>65.010000000000005</v>
      </c>
      <c r="U4" s="20">
        <f t="shared" si="14"/>
        <v>49.45288849407784</v>
      </c>
      <c r="V4" s="20">
        <f t="shared" si="15"/>
        <v>23099.526363692912</v>
      </c>
      <c r="W4" s="40">
        <f t="shared" si="16"/>
        <v>119.62538720000002</v>
      </c>
      <c r="X4" s="40">
        <f t="shared" si="17"/>
        <v>239.25077440000004</v>
      </c>
      <c r="Y4" s="40">
        <v>600</v>
      </c>
      <c r="Z4" s="40">
        <f t="shared" si="18"/>
        <v>398.75129066666676</v>
      </c>
      <c r="AA4" s="40">
        <f t="shared" si="19"/>
        <v>1.2538829914109215E-6</v>
      </c>
      <c r="AB4" s="40"/>
    </row>
    <row r="5" spans="1:28" x14ac:dyDescent="0.25">
      <c r="A5" s="26" t="s">
        <v>6</v>
      </c>
      <c r="B5" s="26">
        <v>1.202</v>
      </c>
      <c r="C5" s="26" t="s">
        <v>7</v>
      </c>
      <c r="D5" s="43"/>
      <c r="E5" s="20">
        <f t="shared" si="3"/>
        <v>60</v>
      </c>
      <c r="F5" s="20">
        <f t="shared" si="0"/>
        <v>79.92</v>
      </c>
      <c r="G5" s="20">
        <f t="shared" si="4"/>
        <v>24</v>
      </c>
      <c r="H5" s="20">
        <f t="shared" si="1"/>
        <v>22.2</v>
      </c>
      <c r="I5" s="21">
        <f t="shared" si="5"/>
        <v>0.30999999999999994</v>
      </c>
      <c r="J5" s="20">
        <f t="shared" si="6"/>
        <v>5211.3194594594606</v>
      </c>
      <c r="K5" s="20">
        <v>0</v>
      </c>
      <c r="L5" s="20">
        <v>0</v>
      </c>
      <c r="M5" s="20">
        <f t="shared" si="7"/>
        <v>0</v>
      </c>
      <c r="N5" s="20">
        <f t="shared" si="8"/>
        <v>2024.5976100000003</v>
      </c>
      <c r="O5" s="20">
        <f t="shared" si="9"/>
        <v>746.41603679999992</v>
      </c>
      <c r="P5" s="20">
        <f t="shared" si="10"/>
        <v>9139.7299999999977</v>
      </c>
      <c r="Q5" s="20">
        <f t="shared" si="11"/>
        <v>11910.743646799998</v>
      </c>
      <c r="R5" s="20">
        <f t="shared" si="12"/>
        <v>5121.6197681239992</v>
      </c>
      <c r="S5" s="20">
        <f t="shared" si="13"/>
        <v>493.01019581024326</v>
      </c>
      <c r="T5" s="20">
        <f t="shared" si="2"/>
        <v>65.010000000000005</v>
      </c>
      <c r="U5" s="20">
        <f t="shared" si="14"/>
        <v>41.464226298172747</v>
      </c>
      <c r="V5" s="20">
        <f t="shared" si="15"/>
        <v>32050.592829623918</v>
      </c>
      <c r="W5" s="40">
        <f t="shared" si="16"/>
        <v>139.16763629418946</v>
      </c>
      <c r="X5" s="40">
        <f t="shared" si="17"/>
        <v>278.33527258837893</v>
      </c>
      <c r="Y5" s="40">
        <v>600</v>
      </c>
      <c r="Z5" s="40">
        <f t="shared" si="18"/>
        <v>463.89212098063155</v>
      </c>
      <c r="AA5" s="40">
        <f t="shared" si="19"/>
        <v>1.0778135675324399E-6</v>
      </c>
      <c r="AB5" s="40"/>
    </row>
    <row r="6" spans="1:28" x14ac:dyDescent="0.25">
      <c r="A6" s="26" t="s">
        <v>15</v>
      </c>
      <c r="B6" s="26">
        <v>0.6</v>
      </c>
      <c r="C6" s="26"/>
      <c r="D6" s="43"/>
      <c r="E6" s="20">
        <f t="shared" si="3"/>
        <v>80</v>
      </c>
      <c r="F6" s="20">
        <f t="shared" si="0"/>
        <v>79.92</v>
      </c>
      <c r="G6" s="20">
        <f t="shared" si="4"/>
        <v>32</v>
      </c>
      <c r="H6" s="20">
        <f t="shared" si="1"/>
        <v>22.2</v>
      </c>
      <c r="I6" s="21">
        <f t="shared" si="5"/>
        <v>0</v>
      </c>
      <c r="J6" s="20">
        <f t="shared" si="6"/>
        <v>5211.3194594594606</v>
      </c>
      <c r="K6" s="20">
        <v>0</v>
      </c>
      <c r="L6" s="20">
        <v>0</v>
      </c>
      <c r="M6" s="20">
        <f t="shared" si="7"/>
        <v>0</v>
      </c>
      <c r="N6" s="20">
        <f t="shared" si="8"/>
        <v>2024.5976100000003</v>
      </c>
      <c r="O6" s="20">
        <f t="shared" si="9"/>
        <v>746.41603679999992</v>
      </c>
      <c r="P6" s="20">
        <f t="shared" si="10"/>
        <v>0</v>
      </c>
      <c r="Q6" s="20">
        <f t="shared" si="11"/>
        <v>2771.0136468000001</v>
      </c>
      <c r="R6" s="20">
        <f t="shared" si="12"/>
        <v>1191.535868124</v>
      </c>
      <c r="S6" s="20">
        <f t="shared" si="13"/>
        <v>493.01019581024326</v>
      </c>
      <c r="T6" s="20">
        <f t="shared" si="2"/>
        <v>65.010000000000005</v>
      </c>
      <c r="U6" s="20">
        <f t="shared" si="14"/>
        <v>9.6465796203337124</v>
      </c>
      <c r="V6" s="20">
        <f t="shared" si="15"/>
        <v>32050.592829623918</v>
      </c>
      <c r="W6" s="40">
        <f t="shared" si="16"/>
        <v>32.377106820505269</v>
      </c>
      <c r="X6" s="40">
        <f t="shared" si="17"/>
        <v>64.754213641010537</v>
      </c>
      <c r="Y6" s="40">
        <v>600</v>
      </c>
      <c r="Z6" s="40">
        <f t="shared" si="18"/>
        <v>107.92368940168423</v>
      </c>
      <c r="AA6" s="40">
        <f t="shared" si="19"/>
        <v>4.6324739084866102E-6</v>
      </c>
      <c r="AB6" s="40"/>
    </row>
    <row r="7" spans="1:28" x14ac:dyDescent="0.25">
      <c r="A7" s="26" t="s">
        <v>123</v>
      </c>
      <c r="B7" s="26">
        <v>7.0000000000000001E-3</v>
      </c>
      <c r="C7" s="26"/>
      <c r="D7" s="43"/>
      <c r="E7" s="20">
        <f t="shared" si="3"/>
        <v>100</v>
      </c>
      <c r="F7" s="20">
        <f t="shared" si="0"/>
        <v>79.92</v>
      </c>
      <c r="G7" s="20">
        <f t="shared" si="4"/>
        <v>40</v>
      </c>
      <c r="H7" s="20">
        <f t="shared" si="1"/>
        <v>22.2</v>
      </c>
      <c r="I7" s="21">
        <f t="shared" si="5"/>
        <v>0</v>
      </c>
      <c r="J7" s="20">
        <f t="shared" si="6"/>
        <v>5211.3194594594606</v>
      </c>
      <c r="K7" s="20">
        <v>0</v>
      </c>
      <c r="L7" s="20">
        <v>0</v>
      </c>
      <c r="M7" s="20">
        <f t="shared" si="7"/>
        <v>0</v>
      </c>
      <c r="N7" s="20">
        <f t="shared" si="8"/>
        <v>2024.5976100000003</v>
      </c>
      <c r="O7" s="20">
        <f t="shared" si="9"/>
        <v>746.41603679999992</v>
      </c>
      <c r="P7" s="20">
        <f t="shared" si="10"/>
        <v>0</v>
      </c>
      <c r="Q7" s="20">
        <f t="shared" si="11"/>
        <v>2771.0136468000001</v>
      </c>
      <c r="R7" s="20">
        <f t="shared" si="12"/>
        <v>1191.535868124</v>
      </c>
      <c r="S7" s="20">
        <f t="shared" si="13"/>
        <v>493.01019581024326</v>
      </c>
      <c r="T7" s="20">
        <f t="shared" si="2"/>
        <v>65.010000000000005</v>
      </c>
      <c r="U7" s="20">
        <f t="shared" si="14"/>
        <v>9.6465796203337124</v>
      </c>
      <c r="V7" s="20">
        <f t="shared" si="15"/>
        <v>32050.592829623918</v>
      </c>
      <c r="W7" s="40">
        <f t="shared" si="16"/>
        <v>32.377106820505269</v>
      </c>
      <c r="X7" s="40">
        <f t="shared" si="17"/>
        <v>64.754213641010537</v>
      </c>
      <c r="Y7" s="40">
        <v>600</v>
      </c>
      <c r="Z7" s="40">
        <f t="shared" si="18"/>
        <v>107.92368940168423</v>
      </c>
      <c r="AA7" s="40">
        <f t="shared" si="19"/>
        <v>4.6324739084866102E-6</v>
      </c>
      <c r="AB7" s="40"/>
    </row>
    <row r="8" spans="1:28" x14ac:dyDescent="0.25">
      <c r="A8" s="26" t="s">
        <v>8</v>
      </c>
      <c r="B8" s="26">
        <v>0.4</v>
      </c>
      <c r="C8" s="26"/>
      <c r="D8" s="43"/>
      <c r="E8" s="20">
        <f t="shared" si="3"/>
        <v>120</v>
      </c>
      <c r="F8" s="20">
        <f t="shared" si="0"/>
        <v>79.92</v>
      </c>
      <c r="G8" s="20">
        <f t="shared" si="4"/>
        <v>48</v>
      </c>
      <c r="H8" s="20">
        <f t="shared" si="1"/>
        <v>22.2</v>
      </c>
      <c r="I8" s="21">
        <f t="shared" si="5"/>
        <v>0</v>
      </c>
      <c r="J8" s="20">
        <f t="shared" si="6"/>
        <v>5211.3194594594606</v>
      </c>
      <c r="K8" s="20">
        <v>0</v>
      </c>
      <c r="L8" s="20">
        <v>0</v>
      </c>
      <c r="M8" s="20">
        <f t="shared" si="7"/>
        <v>0</v>
      </c>
      <c r="N8" s="20">
        <f t="shared" si="8"/>
        <v>2024.5976100000003</v>
      </c>
      <c r="O8" s="20">
        <f t="shared" si="9"/>
        <v>746.41603679999992</v>
      </c>
      <c r="P8" s="20">
        <f t="shared" si="10"/>
        <v>0</v>
      </c>
      <c r="Q8" s="20">
        <f t="shared" si="11"/>
        <v>2771.0136468000001</v>
      </c>
      <c r="R8" s="20">
        <f t="shared" si="12"/>
        <v>1191.535868124</v>
      </c>
      <c r="S8" s="20">
        <f t="shared" si="13"/>
        <v>493.01019581024326</v>
      </c>
      <c r="T8" s="20">
        <f t="shared" si="2"/>
        <v>65.010000000000005</v>
      </c>
      <c r="U8" s="20">
        <f t="shared" si="14"/>
        <v>9.6465796203337124</v>
      </c>
      <c r="V8" s="20">
        <f t="shared" si="15"/>
        <v>32050.592829623918</v>
      </c>
      <c r="W8" s="40">
        <f t="shared" si="16"/>
        <v>32.377106820505269</v>
      </c>
      <c r="X8" s="40">
        <f t="shared" si="17"/>
        <v>64.754213641010537</v>
      </c>
      <c r="Y8" s="40">
        <v>600</v>
      </c>
      <c r="Z8" s="40">
        <f t="shared" si="18"/>
        <v>107.92368940168423</v>
      </c>
      <c r="AA8" s="40">
        <f t="shared" si="19"/>
        <v>4.6324739084866102E-6</v>
      </c>
      <c r="AB8" s="40"/>
    </row>
    <row r="9" spans="1:28" x14ac:dyDescent="0.25">
      <c r="A9" s="26" t="s">
        <v>9</v>
      </c>
      <c r="B9" s="26">
        <v>0.43</v>
      </c>
      <c r="C9" s="26" t="s">
        <v>10</v>
      </c>
      <c r="D9" s="43"/>
      <c r="E9" s="20">
        <f t="shared" si="3"/>
        <v>140</v>
      </c>
      <c r="F9" s="20">
        <f t="shared" si="0"/>
        <v>79.92</v>
      </c>
      <c r="G9" s="20">
        <f t="shared" si="4"/>
        <v>56</v>
      </c>
      <c r="H9" s="20">
        <f t="shared" si="1"/>
        <v>22.2</v>
      </c>
      <c r="I9" s="21">
        <f t="shared" si="5"/>
        <v>0</v>
      </c>
      <c r="J9" s="20">
        <f t="shared" si="6"/>
        <v>5211.3194594594606</v>
      </c>
      <c r="K9" s="20">
        <v>0</v>
      </c>
      <c r="L9" s="20">
        <v>0</v>
      </c>
      <c r="M9" s="20">
        <f t="shared" si="7"/>
        <v>0</v>
      </c>
      <c r="N9" s="20">
        <f t="shared" si="8"/>
        <v>2024.5976100000003</v>
      </c>
      <c r="O9" s="20">
        <f t="shared" si="9"/>
        <v>746.41603679999992</v>
      </c>
      <c r="P9" s="20">
        <f t="shared" si="10"/>
        <v>0</v>
      </c>
      <c r="Q9" s="20">
        <f t="shared" si="11"/>
        <v>2771.0136468000001</v>
      </c>
      <c r="R9" s="20">
        <f t="shared" si="12"/>
        <v>1191.535868124</v>
      </c>
      <c r="S9" s="20">
        <f t="shared" si="13"/>
        <v>493.01019581024326</v>
      </c>
      <c r="T9" s="20">
        <f t="shared" si="2"/>
        <v>65.010000000000005</v>
      </c>
      <c r="U9" s="20">
        <f t="shared" si="14"/>
        <v>9.6465796203337124</v>
      </c>
      <c r="V9" s="20">
        <f t="shared" si="15"/>
        <v>32050.592829623918</v>
      </c>
      <c r="W9" s="40">
        <f t="shared" si="16"/>
        <v>32.377106820505269</v>
      </c>
      <c r="X9" s="40">
        <f t="shared" si="17"/>
        <v>64.754213641010537</v>
      </c>
      <c r="Y9" s="40">
        <v>600</v>
      </c>
      <c r="Z9" s="40">
        <f t="shared" si="18"/>
        <v>107.92368940168423</v>
      </c>
      <c r="AA9" s="40">
        <f t="shared" si="19"/>
        <v>4.6324739084866102E-6</v>
      </c>
      <c r="AB9" s="40"/>
    </row>
    <row r="10" spans="1:28" x14ac:dyDescent="0.25">
      <c r="A10" s="26" t="s">
        <v>12</v>
      </c>
      <c r="B10" s="26">
        <v>0.95</v>
      </c>
      <c r="C10" s="26"/>
      <c r="D10" s="43"/>
      <c r="E10" s="20">
        <f t="shared" si="3"/>
        <v>160</v>
      </c>
      <c r="F10" s="20">
        <f t="shared" si="0"/>
        <v>79.92</v>
      </c>
      <c r="G10" s="20">
        <f t="shared" si="4"/>
        <v>64</v>
      </c>
      <c r="H10" s="20">
        <f t="shared" si="1"/>
        <v>22.2</v>
      </c>
      <c r="I10" s="21">
        <f t="shared" si="5"/>
        <v>0</v>
      </c>
      <c r="J10" s="20">
        <f t="shared" si="6"/>
        <v>5211.3194594594606</v>
      </c>
      <c r="K10" s="20">
        <v>0</v>
      </c>
      <c r="L10" s="20">
        <v>0</v>
      </c>
      <c r="M10" s="20">
        <f t="shared" si="7"/>
        <v>0</v>
      </c>
      <c r="N10" s="20">
        <f t="shared" si="8"/>
        <v>2024.5976100000003</v>
      </c>
      <c r="O10" s="20">
        <f t="shared" si="9"/>
        <v>746.41603679999992</v>
      </c>
      <c r="P10" s="20">
        <f t="shared" si="10"/>
        <v>0</v>
      </c>
      <c r="Q10" s="20">
        <f t="shared" si="11"/>
        <v>2771.0136468000001</v>
      </c>
      <c r="R10" s="20">
        <f t="shared" si="12"/>
        <v>1191.535868124</v>
      </c>
      <c r="S10" s="20">
        <f t="shared" si="13"/>
        <v>493.01019581024326</v>
      </c>
      <c r="T10" s="20">
        <f t="shared" si="2"/>
        <v>65.010000000000005</v>
      </c>
      <c r="U10" s="20">
        <f t="shared" si="14"/>
        <v>9.6465796203337124</v>
      </c>
      <c r="V10" s="20">
        <f t="shared" si="15"/>
        <v>32050.592829623918</v>
      </c>
      <c r="W10" s="40">
        <f t="shared" si="16"/>
        <v>32.377106820505269</v>
      </c>
      <c r="X10" s="40">
        <f t="shared" si="17"/>
        <v>64.754213641010537</v>
      </c>
      <c r="Y10" s="40">
        <v>600</v>
      </c>
      <c r="Z10" s="40">
        <f t="shared" si="18"/>
        <v>107.92368940168423</v>
      </c>
      <c r="AA10" s="40">
        <f t="shared" si="19"/>
        <v>4.6324739084866102E-6</v>
      </c>
      <c r="AB10" s="40"/>
    </row>
    <row r="11" spans="1:28" x14ac:dyDescent="0.25">
      <c r="A11" s="26" t="s">
        <v>128</v>
      </c>
      <c r="B11" s="26">
        <v>20</v>
      </c>
      <c r="C11" s="26" t="s">
        <v>16</v>
      </c>
      <c r="D11" s="43"/>
      <c r="E11" s="24">
        <f t="shared" si="3"/>
        <v>180</v>
      </c>
      <c r="F11" s="24">
        <f t="shared" si="0"/>
        <v>3.5999999999999999E-3</v>
      </c>
      <c r="G11" s="24">
        <f t="shared" si="4"/>
        <v>72</v>
      </c>
      <c r="H11" s="24">
        <v>1E-3</v>
      </c>
      <c r="I11" s="25">
        <v>0</v>
      </c>
      <c r="J11" s="24">
        <f t="shared" si="6"/>
        <v>115691292.00000001</v>
      </c>
      <c r="K11" s="24">
        <f>Table2[[#This Row],[Value]]</f>
        <v>20</v>
      </c>
      <c r="L11" s="24">
        <f>ATAN2(100, K11)</f>
        <v>0.19739555984988078</v>
      </c>
      <c r="M11" s="24">
        <f t="shared" si="7"/>
        <v>56722.322640457787</v>
      </c>
      <c r="N11" s="24">
        <f t="shared" si="8"/>
        <v>1985.2812924160221</v>
      </c>
      <c r="O11" s="24">
        <f t="shared" si="9"/>
        <v>1.5145199999999998E-6</v>
      </c>
      <c r="P11" s="24">
        <f t="shared" si="10"/>
        <v>0</v>
      </c>
      <c r="Q11" s="24">
        <f t="shared" si="11"/>
        <v>58707.603934388331</v>
      </c>
      <c r="R11" s="24">
        <f t="shared" si="12"/>
        <v>25244.269691786983</v>
      </c>
      <c r="S11" s="24">
        <f t="shared" si="13"/>
        <v>2.2207666477938884E-2</v>
      </c>
      <c r="T11" s="24">
        <f t="shared" si="2"/>
        <v>65.010000000000005</v>
      </c>
      <c r="U11" s="24">
        <f t="shared" si="14"/>
        <v>204.37559963881654</v>
      </c>
      <c r="V11" s="24">
        <f>S11*T11</f>
        <v>1.4437203977308068</v>
      </c>
      <c r="W11" s="38">
        <f t="shared" si="16"/>
        <v>3.0898738912835955E-2</v>
      </c>
      <c r="X11" s="38">
        <f t="shared" si="17"/>
        <v>6.1797477825671909E-2</v>
      </c>
      <c r="Y11" s="38">
        <v>600</v>
      </c>
      <c r="Z11" s="38">
        <f t="shared" si="18"/>
        <v>0.10299579637611986</v>
      </c>
      <c r="AA11" s="40">
        <f t="shared" si="19"/>
        <v>4.4249433698904236E-3</v>
      </c>
      <c r="AB11" s="38"/>
    </row>
    <row r="12" spans="1:28" x14ac:dyDescent="0.25">
      <c r="A12" s="26" t="s">
        <v>129</v>
      </c>
      <c r="B12" s="26">
        <v>20</v>
      </c>
      <c r="C12" s="26" t="s">
        <v>16</v>
      </c>
      <c r="D12" s="43"/>
      <c r="E12" s="22">
        <f t="shared" si="3"/>
        <v>200</v>
      </c>
      <c r="F12" s="22">
        <f t="shared" si="0"/>
        <v>7.2</v>
      </c>
      <c r="G12" s="22">
        <f t="shared" si="4"/>
        <v>80</v>
      </c>
      <c r="H12" s="34">
        <v>2</v>
      </c>
      <c r="I12" s="23">
        <v>0</v>
      </c>
      <c r="J12" s="22">
        <f t="shared" si="6"/>
        <v>57845.646000000008</v>
      </c>
      <c r="K12" s="34">
        <v>5</v>
      </c>
      <c r="L12" s="22">
        <f t="shared" ref="L12:L15" si="20">ATAN2(100, K12)</f>
        <v>4.9958395721942765E-2</v>
      </c>
      <c r="M12" s="22">
        <f t="shared" si="7"/>
        <v>14443.368559099963</v>
      </c>
      <c r="N12" s="22">
        <f t="shared" si="8"/>
        <v>2022.0715982739946</v>
      </c>
      <c r="O12" s="22">
        <f t="shared" si="9"/>
        <v>6.0580799999999995</v>
      </c>
      <c r="P12" s="22">
        <f t="shared" si="10"/>
        <v>0</v>
      </c>
      <c r="Q12" s="22">
        <f t="shared" si="11"/>
        <v>16471.498237373955</v>
      </c>
      <c r="R12" s="22">
        <f t="shared" si="12"/>
        <v>7082.7442420708003</v>
      </c>
      <c r="S12" s="22">
        <f t="shared" si="13"/>
        <v>44.415332955877773</v>
      </c>
      <c r="T12" s="22">
        <f t="shared" si="2"/>
        <v>65.010000000000005</v>
      </c>
      <c r="U12" s="22">
        <f t="shared" si="14"/>
        <v>57.341334062539367</v>
      </c>
      <c r="V12" s="22">
        <f t="shared" si="15"/>
        <v>2887.440795461614</v>
      </c>
      <c r="W12" s="39">
        <f t="shared" si="16"/>
        <v>17.338419197235741</v>
      </c>
      <c r="X12" s="39">
        <f t="shared" si="17"/>
        <v>34.676838394471481</v>
      </c>
      <c r="Y12" s="39">
        <v>600</v>
      </c>
      <c r="Z12" s="39">
        <f t="shared" si="18"/>
        <v>57.794730657452469</v>
      </c>
      <c r="AA12" s="40">
        <f t="shared" si="19"/>
        <v>8.6498110848915019E-6</v>
      </c>
      <c r="AB12" s="39"/>
    </row>
    <row r="13" spans="1:28" x14ac:dyDescent="0.25">
      <c r="A13" s="26" t="s">
        <v>130</v>
      </c>
      <c r="B13" s="26">
        <v>0.3</v>
      </c>
      <c r="C13" s="26" t="s">
        <v>19</v>
      </c>
      <c r="D13" s="43"/>
      <c r="E13" s="22">
        <f t="shared" si="3"/>
        <v>220</v>
      </c>
      <c r="F13" s="22">
        <f t="shared" si="0"/>
        <v>3.6</v>
      </c>
      <c r="G13" s="22">
        <f t="shared" si="4"/>
        <v>88</v>
      </c>
      <c r="H13" s="34">
        <v>1</v>
      </c>
      <c r="I13" s="23">
        <v>0</v>
      </c>
      <c r="J13" s="22">
        <f t="shared" si="6"/>
        <v>115691.29200000002</v>
      </c>
      <c r="K13" s="34">
        <v>10</v>
      </c>
      <c r="L13" s="22">
        <f t="shared" si="20"/>
        <v>9.9668652491162038E-2</v>
      </c>
      <c r="M13" s="22">
        <f t="shared" si="7"/>
        <v>28779.284530860856</v>
      </c>
      <c r="N13" s="22">
        <f t="shared" si="8"/>
        <v>2014.5499171602596</v>
      </c>
      <c r="O13" s="22">
        <f t="shared" si="9"/>
        <v>1.5145199999999999</v>
      </c>
      <c r="P13" s="22">
        <f t="shared" si="10"/>
        <v>0</v>
      </c>
      <c r="Q13" s="22">
        <f t="shared" si="11"/>
        <v>30795.348968021117</v>
      </c>
      <c r="R13" s="22">
        <f t="shared" si="12"/>
        <v>13242.00005624908</v>
      </c>
      <c r="S13" s="22">
        <f t="shared" si="13"/>
        <v>22.207666477938886</v>
      </c>
      <c r="T13" s="22">
        <f t="shared" si="2"/>
        <v>65.010000000000005</v>
      </c>
      <c r="U13" s="22">
        <f t="shared" si="14"/>
        <v>107.20617926188748</v>
      </c>
      <c r="V13" s="22">
        <f t="shared" si="15"/>
        <v>1443.720397730807</v>
      </c>
      <c r="W13" s="39">
        <f t="shared" si="16"/>
        <v>16.208078404221645</v>
      </c>
      <c r="X13" s="39">
        <f t="shared" si="17"/>
        <v>32.41615680844329</v>
      </c>
      <c r="Y13" s="39">
        <v>600</v>
      </c>
      <c r="Z13" s="39">
        <f t="shared" si="18"/>
        <v>54.026928014072155</v>
      </c>
      <c r="AA13" s="40">
        <f t="shared" si="19"/>
        <v>9.2529316224229342E-6</v>
      </c>
      <c r="AB13" s="39"/>
    </row>
    <row r="14" spans="1:28" x14ac:dyDescent="0.25">
      <c r="A14" s="26" t="s">
        <v>17</v>
      </c>
      <c r="B14" s="26">
        <v>0.4</v>
      </c>
      <c r="C14" s="26" t="s">
        <v>5</v>
      </c>
      <c r="D14" s="43"/>
      <c r="E14" s="22">
        <f t="shared" si="3"/>
        <v>240</v>
      </c>
      <c r="F14" s="22">
        <f t="shared" si="0"/>
        <v>2.88</v>
      </c>
      <c r="G14" s="22">
        <f t="shared" si="4"/>
        <v>96</v>
      </c>
      <c r="H14" s="34">
        <v>0.8</v>
      </c>
      <c r="I14" s="23">
        <v>0</v>
      </c>
      <c r="J14" s="22">
        <f t="shared" si="6"/>
        <v>144614.11500000002</v>
      </c>
      <c r="K14" s="34">
        <v>20</v>
      </c>
      <c r="L14" s="22">
        <f t="shared" si="20"/>
        <v>0.19739555984988078</v>
      </c>
      <c r="M14" s="22">
        <f t="shared" si="7"/>
        <v>56722.322640457787</v>
      </c>
      <c r="N14" s="22">
        <f t="shared" si="8"/>
        <v>1985.2812924160221</v>
      </c>
      <c r="O14" s="22">
        <f t="shared" si="9"/>
        <v>0.96929280000000007</v>
      </c>
      <c r="P14" s="22">
        <f t="shared" si="10"/>
        <v>0</v>
      </c>
      <c r="Q14" s="22">
        <f t="shared" si="11"/>
        <v>58708.573225673812</v>
      </c>
      <c r="R14" s="22">
        <f t="shared" si="12"/>
        <v>25244.68648703974</v>
      </c>
      <c r="S14" s="22">
        <f t="shared" si="13"/>
        <v>17.766133182351108</v>
      </c>
      <c r="T14" s="22">
        <f t="shared" si="2"/>
        <v>65.010000000000005</v>
      </c>
      <c r="U14" s="22">
        <f t="shared" si="14"/>
        <v>204.37897398003335</v>
      </c>
      <c r="V14" s="22">
        <f t="shared" si="15"/>
        <v>1154.9763181846456</v>
      </c>
      <c r="W14" s="39">
        <f t="shared" si="16"/>
        <v>24.719399252915291</v>
      </c>
      <c r="X14" s="39">
        <f t="shared" si="17"/>
        <v>49.438798505830583</v>
      </c>
      <c r="Y14" s="39">
        <v>600</v>
      </c>
      <c r="Z14" s="39">
        <f t="shared" si="18"/>
        <v>82.397997509717641</v>
      </c>
      <c r="AA14" s="40">
        <f t="shared" si="19"/>
        <v>6.0673722831456914E-6</v>
      </c>
      <c r="AB14" s="39"/>
    </row>
    <row r="15" spans="1:28" x14ac:dyDescent="0.25">
      <c r="A15" s="26" t="s">
        <v>18</v>
      </c>
      <c r="B15" s="26">
        <v>22.2</v>
      </c>
      <c r="C15" s="26" t="s">
        <v>19</v>
      </c>
      <c r="D15" s="43"/>
      <c r="E15" s="22">
        <f t="shared" si="3"/>
        <v>260</v>
      </c>
      <c r="F15" s="22">
        <f t="shared" si="0"/>
        <v>1.08</v>
      </c>
      <c r="G15" s="22">
        <f t="shared" si="4"/>
        <v>104</v>
      </c>
      <c r="H15" s="34">
        <f>B13</f>
        <v>0.3</v>
      </c>
      <c r="I15" s="23">
        <v>0</v>
      </c>
      <c r="J15" s="22">
        <f t="shared" si="6"/>
        <v>385637.64000000007</v>
      </c>
      <c r="K15" s="34">
        <f>B12</f>
        <v>20</v>
      </c>
      <c r="L15" s="22">
        <f t="shared" si="20"/>
        <v>0.19739555984988078</v>
      </c>
      <c r="M15" s="22">
        <f t="shared" si="7"/>
        <v>56722.322640457787</v>
      </c>
      <c r="N15" s="22">
        <f t="shared" si="8"/>
        <v>1985.2812924160221</v>
      </c>
      <c r="O15" s="22">
        <f t="shared" si="9"/>
        <v>0.13630679999999998</v>
      </c>
      <c r="P15" s="22">
        <f t="shared" si="10"/>
        <v>0</v>
      </c>
      <c r="Q15" s="22">
        <f t="shared" si="11"/>
        <v>58707.740239673811</v>
      </c>
      <c r="R15" s="22">
        <f t="shared" si="12"/>
        <v>25244.328303059738</v>
      </c>
      <c r="S15" s="22">
        <f t="shared" si="13"/>
        <v>6.6622999433816652</v>
      </c>
      <c r="T15" s="22">
        <f t="shared" si="2"/>
        <v>65.010000000000005</v>
      </c>
      <c r="U15" s="22">
        <f t="shared" si="14"/>
        <v>204.37607415101917</v>
      </c>
      <c r="V15" s="22">
        <f t="shared" si="15"/>
        <v>433.1161193192421</v>
      </c>
      <c r="W15" s="39">
        <f t="shared" si="16"/>
        <v>9.2696431957379701</v>
      </c>
      <c r="X15" s="39">
        <f t="shared" si="17"/>
        <v>18.53928639147594</v>
      </c>
      <c r="Y15" s="39">
        <v>600</v>
      </c>
      <c r="Z15" s="39">
        <f t="shared" si="18"/>
        <v>30.8988106524599</v>
      </c>
      <c r="AA15" s="40">
        <f t="shared" si="19"/>
        <v>1.6176617263667089E-5</v>
      </c>
      <c r="AB15" s="39"/>
    </row>
    <row r="16" spans="1:28" x14ac:dyDescent="0.25">
      <c r="A16" s="26" t="s">
        <v>32</v>
      </c>
      <c r="B16" s="26">
        <v>2</v>
      </c>
      <c r="C16" s="26"/>
      <c r="D16" s="43"/>
      <c r="I16" s="1"/>
      <c r="J16" s="1"/>
      <c r="S16" s="1"/>
    </row>
    <row r="17" spans="1:29" x14ac:dyDescent="0.25">
      <c r="A17" s="26" t="s">
        <v>83</v>
      </c>
      <c r="B17" s="26">
        <v>3.94</v>
      </c>
      <c r="C17" s="26"/>
      <c r="D17" s="43"/>
      <c r="I17" s="1"/>
      <c r="J17" s="1"/>
      <c r="AC17">
        <f>SUM(X2:X15)*E15/3600</f>
        <v>78.987035130337787</v>
      </c>
    </row>
    <row r="18" spans="1:29" x14ac:dyDescent="0.25">
      <c r="A18" s="26" t="s">
        <v>84</v>
      </c>
      <c r="B18" s="26">
        <v>16.5</v>
      </c>
      <c r="C18" s="26"/>
      <c r="D18" s="43"/>
    </row>
    <row r="19" spans="1:29" ht="15.75" thickBot="1" x14ac:dyDescent="0.3">
      <c r="A19" s="26" t="s">
        <v>145</v>
      </c>
      <c r="B19" s="26">
        <v>100</v>
      </c>
      <c r="C19" s="26" t="s">
        <v>48</v>
      </c>
      <c r="D19" s="43"/>
    </row>
    <row r="20" spans="1:29" ht="16.5" thickTop="1" thickBot="1" x14ac:dyDescent="0.3">
      <c r="A20" s="26" t="s">
        <v>146</v>
      </c>
      <c r="B20" s="26">
        <v>3</v>
      </c>
      <c r="C20" s="26" t="s">
        <v>147</v>
      </c>
      <c r="D20" s="43"/>
      <c r="E20" s="44" t="s">
        <v>57</v>
      </c>
      <c r="F20" s="44"/>
      <c r="G20" s="44"/>
      <c r="H20" s="44"/>
      <c r="I20" s="44"/>
      <c r="J20" s="44"/>
      <c r="K20" s="44"/>
      <c r="L20" s="44"/>
    </row>
    <row r="21" spans="1:29" ht="45.75" thickTop="1" x14ac:dyDescent="0.25">
      <c r="A21" s="42" t="s">
        <v>37</v>
      </c>
      <c r="B21" s="42"/>
      <c r="C21" s="42"/>
      <c r="D21" s="43"/>
      <c r="E21" s="2" t="s">
        <v>50</v>
      </c>
      <c r="F21" s="2" t="s">
        <v>51</v>
      </c>
      <c r="G21" s="2" t="s">
        <v>52</v>
      </c>
      <c r="H21" s="2" t="s">
        <v>53</v>
      </c>
      <c r="I21" s="2" t="s">
        <v>54</v>
      </c>
      <c r="J21" s="2" t="s">
        <v>55</v>
      </c>
      <c r="K21" s="2" t="s">
        <v>56</v>
      </c>
    </row>
    <row r="22" spans="1:29" x14ac:dyDescent="0.25">
      <c r="A22" s="3"/>
      <c r="B22" s="29" t="s">
        <v>124</v>
      </c>
      <c r="C22" s="29" t="s">
        <v>125</v>
      </c>
      <c r="D22" s="43"/>
      <c r="E22" s="5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21">H22*$J$22/$F$22</f>
        <v>71.314285714285717</v>
      </c>
    </row>
    <row r="23" spans="1:29" x14ac:dyDescent="0.25">
      <c r="A23" s="3"/>
      <c r="B23" s="29" t="s">
        <v>38</v>
      </c>
      <c r="C23" s="29" t="s">
        <v>2</v>
      </c>
      <c r="D23" s="43"/>
      <c r="E23" s="5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21"/>
        <v>71.314285714285717</v>
      </c>
    </row>
    <row r="24" spans="1:29" x14ac:dyDescent="0.25">
      <c r="B24" s="31">
        <v>597</v>
      </c>
      <c r="C24" s="31">
        <f>B24*0.453592</f>
        <v>270.79442399999999</v>
      </c>
      <c r="D24" s="43"/>
      <c r="E24" s="5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21"/>
        <v>71.314285714285717</v>
      </c>
    </row>
    <row r="25" spans="1:29" x14ac:dyDescent="0.25">
      <c r="B25" s="32" t="s">
        <v>39</v>
      </c>
      <c r="C25" s="32" t="s">
        <v>40</v>
      </c>
      <c r="D25" s="43"/>
      <c r="E25" s="5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21"/>
        <v>71.314285714285717</v>
      </c>
    </row>
    <row r="26" spans="1:29" x14ac:dyDescent="0.25">
      <c r="B26" s="31">
        <v>1</v>
      </c>
      <c r="C26" s="31">
        <f>B26*0.0254</f>
        <v>2.5399999999999999E-2</v>
      </c>
      <c r="D26" s="43"/>
      <c r="E26" s="5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22">F26*$J$22/$F$22</f>
        <v>187.2</v>
      </c>
      <c r="K26" s="1">
        <f t="shared" si="21"/>
        <v>71.314285714285717</v>
      </c>
    </row>
    <row r="27" spans="1:29" x14ac:dyDescent="0.25">
      <c r="B27" s="32" t="s">
        <v>41</v>
      </c>
      <c r="C27" s="32" t="s">
        <v>42</v>
      </c>
      <c r="D27" s="43"/>
      <c r="E27" s="5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22"/>
        <v>149.76</v>
      </c>
      <c r="K27" s="1">
        <f t="shared" si="21"/>
        <v>71.314285714285717</v>
      </c>
    </row>
    <row r="28" spans="1:29" x14ac:dyDescent="0.25">
      <c r="B28" s="31">
        <v>1</v>
      </c>
      <c r="C28" s="31">
        <f>B28*4.44822</f>
        <v>4.4482200000000001</v>
      </c>
      <c r="D28" s="43"/>
      <c r="E28" s="5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22"/>
        <v>124.8</v>
      </c>
      <c r="K28" s="1">
        <f t="shared" si="21"/>
        <v>59.428571428571445</v>
      </c>
    </row>
    <row r="29" spans="1:29" x14ac:dyDescent="0.25">
      <c r="B29" s="32" t="s">
        <v>43</v>
      </c>
      <c r="C29" s="32" t="s">
        <v>19</v>
      </c>
      <c r="D29" s="43"/>
      <c r="E29" s="5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22"/>
        <v>106.97142857142858</v>
      </c>
      <c r="K29" s="1">
        <f t="shared" si="21"/>
        <v>50.938775510204088</v>
      </c>
    </row>
    <row r="30" spans="1:29" x14ac:dyDescent="0.25">
      <c r="B30" s="31">
        <v>1.9</v>
      </c>
      <c r="C30" s="31">
        <f>B30/2.23694</f>
        <v>0.84937459207667609</v>
      </c>
      <c r="D30" s="43"/>
      <c r="E30" s="5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22"/>
        <v>93.6</v>
      </c>
      <c r="K30" s="1">
        <f t="shared" si="21"/>
        <v>44.571428571428577</v>
      </c>
    </row>
    <row r="31" spans="1:29" x14ac:dyDescent="0.25">
      <c r="B31" s="32" t="s">
        <v>44</v>
      </c>
      <c r="C31" s="32" t="s">
        <v>19</v>
      </c>
      <c r="D31" s="43"/>
      <c r="E31" s="5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22"/>
        <v>83.2</v>
      </c>
      <c r="K31" s="1">
        <f t="shared" si="21"/>
        <v>39.619047619047628</v>
      </c>
    </row>
    <row r="32" spans="1:29" ht="15.75" thickBot="1" x14ac:dyDescent="0.3">
      <c r="B32" s="31">
        <v>100</v>
      </c>
      <c r="C32" s="31">
        <f>B32*0.277778</f>
        <v>27.777800000000003</v>
      </c>
      <c r="D32" s="43"/>
      <c r="E32" s="1"/>
      <c r="F32" s="1"/>
      <c r="G32" s="1"/>
      <c r="H32" s="1"/>
      <c r="I32" s="1"/>
      <c r="J32" s="1"/>
    </row>
    <row r="33" spans="1:12" ht="16.5" thickTop="1" thickBot="1" x14ac:dyDescent="0.3">
      <c r="B33" s="32" t="s">
        <v>45</v>
      </c>
      <c r="C33" s="32" t="s">
        <v>46</v>
      </c>
      <c r="D33" s="43"/>
      <c r="E33" s="41" t="s">
        <v>58</v>
      </c>
      <c r="F33" s="41"/>
      <c r="G33" s="41"/>
      <c r="H33" s="41"/>
      <c r="I33" s="41"/>
      <c r="J33" s="41"/>
      <c r="K33" s="41"/>
      <c r="L33" s="41"/>
    </row>
    <row r="34" spans="1:12" ht="45.75" thickTop="1" x14ac:dyDescent="0.25">
      <c r="B34" s="31">
        <v>1</v>
      </c>
      <c r="C34" s="31">
        <f>B34*1.35582</f>
        <v>1.35582</v>
      </c>
      <c r="D34" s="43"/>
      <c r="E34" s="4" t="s">
        <v>50</v>
      </c>
      <c r="F34" s="4" t="s">
        <v>51</v>
      </c>
      <c r="G34" s="4" t="s">
        <v>52</v>
      </c>
      <c r="H34" s="4" t="s">
        <v>53</v>
      </c>
      <c r="I34" s="4" t="s">
        <v>54</v>
      </c>
      <c r="J34" s="2" t="s">
        <v>55</v>
      </c>
      <c r="K34" s="2" t="s">
        <v>56</v>
      </c>
    </row>
    <row r="35" spans="1:12" x14ac:dyDescent="0.25">
      <c r="B35" s="32" t="s">
        <v>47</v>
      </c>
      <c r="C35" s="32" t="s">
        <v>48</v>
      </c>
      <c r="D35" s="43"/>
      <c r="E35" s="5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23">H35*$J$35/$F$35</f>
        <v>119.17241379310344</v>
      </c>
    </row>
    <row r="36" spans="1:12" x14ac:dyDescent="0.25">
      <c r="B36" s="31">
        <v>100</v>
      </c>
      <c r="C36" s="31">
        <f>B36*0.7457</f>
        <v>74.570000000000007</v>
      </c>
      <c r="D36" s="43"/>
      <c r="E36" s="5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24">F36*$J$35/$F$35</f>
        <v>384</v>
      </c>
      <c r="K36" s="1">
        <f t="shared" si="23"/>
        <v>119.17241379310344</v>
      </c>
    </row>
    <row r="37" spans="1:12" x14ac:dyDescent="0.25">
      <c r="B37" s="33" t="s">
        <v>17</v>
      </c>
      <c r="C37" s="33"/>
      <c r="D37" s="43"/>
      <c r="E37" s="5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24"/>
        <v>384</v>
      </c>
      <c r="K37" s="1">
        <f t="shared" si="23"/>
        <v>119.17241379310344</v>
      </c>
    </row>
    <row r="38" spans="1:12" x14ac:dyDescent="0.25">
      <c r="B38" s="28" t="s">
        <v>85</v>
      </c>
      <c r="C38" s="28">
        <v>100</v>
      </c>
      <c r="D38" s="43"/>
      <c r="E38" s="5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24"/>
        <v>384</v>
      </c>
      <c r="K38" s="1">
        <f t="shared" si="23"/>
        <v>119.17241379310344</v>
      </c>
    </row>
    <row r="39" spans="1:12" x14ac:dyDescent="0.25">
      <c r="B39" s="28" t="s">
        <v>86</v>
      </c>
      <c r="C39" s="28">
        <v>60</v>
      </c>
      <c r="D39" s="43"/>
      <c r="E39" s="5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24"/>
        <v>384</v>
      </c>
      <c r="K39" s="1">
        <f t="shared" si="23"/>
        <v>119.17241379310344</v>
      </c>
    </row>
    <row r="40" spans="1:12" x14ac:dyDescent="0.25">
      <c r="B40" s="28" t="s">
        <v>5</v>
      </c>
      <c r="C40" s="30">
        <f>1000*C38/3600/C39</f>
        <v>0.46296296296296297</v>
      </c>
      <c r="D40" s="43"/>
      <c r="E40" s="5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24"/>
        <v>289.81132075471697</v>
      </c>
      <c r="K40" s="1">
        <f t="shared" si="23"/>
        <v>119.17241379310344</v>
      </c>
    </row>
    <row r="41" spans="1:12" ht="15.75" thickBot="1" x14ac:dyDescent="0.3">
      <c r="D41" s="43"/>
      <c r="E41" s="5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24"/>
        <v>256</v>
      </c>
      <c r="K41" s="1">
        <f t="shared" si="23"/>
        <v>105.26896551724138</v>
      </c>
    </row>
    <row r="42" spans="1:12" ht="16.5" thickTop="1" thickBot="1" x14ac:dyDescent="0.3">
      <c r="A42" s="35" t="s">
        <v>131</v>
      </c>
      <c r="B42" s="36">
        <v>20</v>
      </c>
      <c r="C42" s="35" t="s">
        <v>86</v>
      </c>
      <c r="D42" s="43"/>
      <c r="E42" s="5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24"/>
        <v>219.42857142857147</v>
      </c>
      <c r="K42" s="1">
        <f t="shared" si="23"/>
        <v>90.23054187192119</v>
      </c>
    </row>
    <row r="43" spans="1:12" ht="15.75" thickTop="1" x14ac:dyDescent="0.25">
      <c r="D43" s="43"/>
      <c r="E43" s="5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24"/>
        <v>192</v>
      </c>
      <c r="K43" s="1">
        <f t="shared" si="23"/>
        <v>78.951724137931052</v>
      </c>
    </row>
    <row r="44" spans="1:12" x14ac:dyDescent="0.25">
      <c r="D44" s="43"/>
      <c r="E44" s="5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24"/>
        <v>170.66666666666669</v>
      </c>
      <c r="K44" s="1">
        <f t="shared" si="23"/>
        <v>70.179310344827584</v>
      </c>
    </row>
    <row r="45" spans="1:12" ht="15.75" thickBot="1" x14ac:dyDescent="0.3">
      <c r="E45" s="1"/>
      <c r="F45" s="1"/>
      <c r="G45" s="1"/>
      <c r="H45" s="1"/>
      <c r="I45" s="1"/>
      <c r="J45" s="1"/>
    </row>
    <row r="46" spans="1:12" ht="16.5" thickTop="1" thickBot="1" x14ac:dyDescent="0.3">
      <c r="E46" s="41" t="s">
        <v>59</v>
      </c>
      <c r="F46" s="41"/>
      <c r="G46" s="41"/>
      <c r="H46" s="41"/>
      <c r="I46" s="41"/>
      <c r="J46" s="41"/>
      <c r="K46" s="41"/>
      <c r="L46" s="41"/>
    </row>
    <row r="47" spans="1:12" ht="45.75" thickTop="1" x14ac:dyDescent="0.25">
      <c r="E47" s="4" t="s">
        <v>50</v>
      </c>
      <c r="F47" s="4" t="s">
        <v>51</v>
      </c>
      <c r="G47" s="4" t="s">
        <v>52</v>
      </c>
      <c r="H47" s="4" t="s">
        <v>53</v>
      </c>
      <c r="I47" s="4" t="s">
        <v>54</v>
      </c>
      <c r="J47" s="2" t="s">
        <v>55</v>
      </c>
      <c r="K47" s="2" t="s">
        <v>56</v>
      </c>
    </row>
    <row r="48" spans="1:12" x14ac:dyDescent="0.25">
      <c r="E48" s="5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25">H48*$J$48/$F$48</f>
        <v>239.25</v>
      </c>
    </row>
    <row r="49" spans="5:13" x14ac:dyDescent="0.25">
      <c r="E49" s="5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6">F49*$J$48/$F$48</f>
        <v>638</v>
      </c>
      <c r="K49" s="1">
        <f t="shared" si="25"/>
        <v>239.25</v>
      </c>
    </row>
    <row r="50" spans="5:13" x14ac:dyDescent="0.25">
      <c r="E50" s="5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6"/>
        <v>638</v>
      </c>
      <c r="K50" s="1">
        <f t="shared" si="25"/>
        <v>239.25</v>
      </c>
    </row>
    <row r="51" spans="5:13" x14ac:dyDescent="0.25">
      <c r="E51" s="5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6"/>
        <v>638</v>
      </c>
      <c r="K51" s="1">
        <f t="shared" si="25"/>
        <v>239.25</v>
      </c>
    </row>
    <row r="52" spans="5:13" x14ac:dyDescent="0.25">
      <c r="E52" s="5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6"/>
        <v>638</v>
      </c>
      <c r="K52" s="1">
        <f t="shared" si="25"/>
        <v>239.25</v>
      </c>
    </row>
    <row r="53" spans="5:13" x14ac:dyDescent="0.25">
      <c r="E53" s="5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6"/>
        <v>638</v>
      </c>
      <c r="K53" s="1">
        <f t="shared" si="25"/>
        <v>239.25</v>
      </c>
    </row>
    <row r="54" spans="5:13" x14ac:dyDescent="0.25">
      <c r="E54" s="5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6"/>
        <v>588.92307692307691</v>
      </c>
      <c r="K54" s="1">
        <f t="shared" si="25"/>
        <v>239.25</v>
      </c>
    </row>
    <row r="55" spans="5:13" x14ac:dyDescent="0.25">
      <c r="E55" s="5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6"/>
        <v>483.02839116719241</v>
      </c>
      <c r="K55" s="1">
        <f t="shared" si="25"/>
        <v>239.25</v>
      </c>
    </row>
    <row r="56" spans="5:13" x14ac:dyDescent="0.25">
      <c r="E56" s="5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6"/>
        <v>382.8</v>
      </c>
      <c r="K56" s="1">
        <f t="shared" si="25"/>
        <v>189.60562499999997</v>
      </c>
    </row>
    <row r="57" spans="5:13" x14ac:dyDescent="0.25">
      <c r="E57" s="5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6"/>
        <v>340.26666666666665</v>
      </c>
      <c r="K57" s="1">
        <f t="shared" si="25"/>
        <v>168.53833333333333</v>
      </c>
    </row>
    <row r="58" spans="5:13" x14ac:dyDescent="0.25">
      <c r="E58" s="5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6"/>
        <v>306.24</v>
      </c>
      <c r="K58" s="1">
        <f t="shared" si="25"/>
        <v>151.68450000000001</v>
      </c>
    </row>
    <row r="59" spans="5:13" x14ac:dyDescent="0.25">
      <c r="E59" s="5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6"/>
        <v>278.39999999999998</v>
      </c>
      <c r="K59" s="1">
        <f t="shared" si="25"/>
        <v>137.89499999999998</v>
      </c>
    </row>
    <row r="60" spans="5:13" x14ac:dyDescent="0.25">
      <c r="E60" s="5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6"/>
        <v>255.2</v>
      </c>
      <c r="K60" s="1">
        <f t="shared" si="25"/>
        <v>126.40374999999999</v>
      </c>
    </row>
    <row r="61" spans="5:13" ht="15.75" thickBot="1" x14ac:dyDescent="0.3"/>
    <row r="62" spans="5:13" ht="16.5" thickTop="1" thickBot="1" x14ac:dyDescent="0.3">
      <c r="E62" s="41" t="s">
        <v>95</v>
      </c>
      <c r="F62" s="41"/>
      <c r="G62" s="41"/>
      <c r="H62" s="41"/>
      <c r="I62" s="41"/>
      <c r="J62" s="41"/>
      <c r="K62" s="41"/>
      <c r="L62" s="41"/>
      <c r="M62" s="41"/>
    </row>
    <row r="63" spans="5:13" ht="30.75" thickTop="1" x14ac:dyDescent="0.25">
      <c r="E63" s="19" t="s">
        <v>50</v>
      </c>
      <c r="F63" s="4" t="s">
        <v>87</v>
      </c>
      <c r="G63" s="4" t="s">
        <v>89</v>
      </c>
      <c r="H63" s="4" t="s">
        <v>88</v>
      </c>
      <c r="I63" s="4" t="s">
        <v>90</v>
      </c>
      <c r="J63" s="4" t="s">
        <v>91</v>
      </c>
      <c r="K63" s="4" t="s">
        <v>92</v>
      </c>
      <c r="L63" s="2" t="s">
        <v>93</v>
      </c>
      <c r="M63" s="2" t="s">
        <v>94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0" spans="5:13" ht="15.75" thickBot="1" x14ac:dyDescent="0.3"/>
    <row r="81" spans="5:13" ht="16.5" thickTop="1" thickBot="1" x14ac:dyDescent="0.3">
      <c r="E81" s="41" t="s">
        <v>96</v>
      </c>
      <c r="F81" s="41"/>
      <c r="G81" s="41"/>
      <c r="H81" s="41"/>
      <c r="I81" s="41"/>
      <c r="J81" s="41"/>
      <c r="K81" s="41"/>
      <c r="L81" s="41"/>
    </row>
    <row r="82" spans="5:13" ht="30.75" thickTop="1" x14ac:dyDescent="0.25">
      <c r="E82" s="4" t="s">
        <v>50</v>
      </c>
      <c r="F82" s="4" t="s">
        <v>105</v>
      </c>
      <c r="G82" s="4" t="s">
        <v>106</v>
      </c>
      <c r="H82" s="4" t="s">
        <v>107</v>
      </c>
      <c r="I82" s="4" t="s">
        <v>108</v>
      </c>
      <c r="J82" s="4" t="s">
        <v>109</v>
      </c>
      <c r="K82" s="4" t="s">
        <v>110</v>
      </c>
      <c r="L82" s="2" t="s">
        <v>111</v>
      </c>
      <c r="M82" s="4" t="s">
        <v>112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>
        <v>206</v>
      </c>
      <c r="K83">
        <v>206</v>
      </c>
      <c r="L83">
        <v>206</v>
      </c>
      <c r="M83">
        <v>206</v>
      </c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>
        <v>206</v>
      </c>
      <c r="K84">
        <v>206</v>
      </c>
      <c r="L84">
        <v>206</v>
      </c>
      <c r="M84">
        <v>206</v>
      </c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>
        <v>206</v>
      </c>
      <c r="K85">
        <v>206</v>
      </c>
      <c r="L85">
        <v>206</v>
      </c>
      <c r="M85">
        <v>206</v>
      </c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>
        <v>206</v>
      </c>
      <c r="K86">
        <v>206</v>
      </c>
      <c r="L86">
        <v>206</v>
      </c>
      <c r="M86">
        <v>206</v>
      </c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>
        <v>206</v>
      </c>
      <c r="K87">
        <v>206</v>
      </c>
      <c r="L87">
        <v>206</v>
      </c>
      <c r="M87">
        <v>206</v>
      </c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>
        <v>206</v>
      </c>
      <c r="K88">
        <v>206</v>
      </c>
      <c r="L88">
        <v>206</v>
      </c>
      <c r="M88">
        <v>206</v>
      </c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>
        <v>206</v>
      </c>
      <c r="K89">
        <v>206</v>
      </c>
      <c r="L89">
        <v>206</v>
      </c>
      <c r="M89">
        <v>206</v>
      </c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>
        <v>206</v>
      </c>
      <c r="K90">
        <v>206</v>
      </c>
      <c r="L90">
        <v>170.62152660528199</v>
      </c>
      <c r="M90">
        <v>206</v>
      </c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>
        <v>206</v>
      </c>
      <c r="K91">
        <v>206</v>
      </c>
      <c r="L91">
        <v>162.73023549777918</v>
      </c>
      <c r="M91">
        <v>206</v>
      </c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>
        <v>174.74052058137607</v>
      </c>
      <c r="K92">
        <v>206</v>
      </c>
      <c r="L92">
        <v>154.83894439027642</v>
      </c>
      <c r="M92">
        <v>206</v>
      </c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>
        <v>166.81192556497638</v>
      </c>
      <c r="K93">
        <v>206</v>
      </c>
      <c r="L93">
        <v>146.94765328277362</v>
      </c>
      <c r="M93">
        <v>206</v>
      </c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>
        <v>158.88333054857668</v>
      </c>
      <c r="K94">
        <v>206</v>
      </c>
      <c r="L94">
        <v>139.05636217527086</v>
      </c>
      <c r="M94">
        <v>190.19739947900223</v>
      </c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>
        <v>150.95473553217698</v>
      </c>
      <c r="K95">
        <v>206</v>
      </c>
      <c r="L95">
        <v>131.16507106776805</v>
      </c>
      <c r="M95">
        <v>182.11841073830482</v>
      </c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>
        <v>143.02614051577731</v>
      </c>
      <c r="K96">
        <v>206</v>
      </c>
      <c r="L96">
        <v>123.27377996026529</v>
      </c>
      <c r="M96">
        <v>174.03942199760743</v>
      </c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>
        <v>139.22041490790548</v>
      </c>
      <c r="K97">
        <v>200.97548345059164</v>
      </c>
      <c r="L97">
        <v>119.48596022866396</v>
      </c>
      <c r="M97">
        <v>170.16150740207269</v>
      </c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>
        <v>127.16895048297793</v>
      </c>
      <c r="K98">
        <v>188.25242231928104</v>
      </c>
      <c r="L98">
        <v>107.49119774525974</v>
      </c>
      <c r="M98">
        <v>157.88144451621264</v>
      </c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>
        <v>119.24035546657824</v>
      </c>
      <c r="K99">
        <v>179.88198736447146</v>
      </c>
      <c r="L99">
        <v>99.599906637756959</v>
      </c>
      <c r="M99">
        <v>149.80245577551526</v>
      </c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>
        <v>111.31176045017855</v>
      </c>
      <c r="K100">
        <v>171.51155240966185</v>
      </c>
      <c r="L100">
        <v>91.708615530254178</v>
      </c>
      <c r="M100">
        <v>141.72346703481784</v>
      </c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>
        <v>103.38316543377886</v>
      </c>
      <c r="K101">
        <v>163.14111745485224</v>
      </c>
      <c r="L101">
        <v>83.817324422751398</v>
      </c>
      <c r="M101">
        <v>133.64447829412046</v>
      </c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>
        <v>95.454570417379159</v>
      </c>
      <c r="K102">
        <v>154.77068250004262</v>
      </c>
      <c r="L102">
        <v>75.926033315248617</v>
      </c>
      <c r="M102">
        <v>125.56548955342305</v>
      </c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>
        <v>87.52597540097949</v>
      </c>
      <c r="K103">
        <v>146.40024754523301</v>
      </c>
      <c r="L103">
        <v>68.034742207745836</v>
      </c>
      <c r="M103">
        <v>117.48650081272567</v>
      </c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>
        <v>79.597380384579793</v>
      </c>
      <c r="K104">
        <v>138.02981259042343</v>
      </c>
      <c r="L104">
        <v>60.143451100243055</v>
      </c>
      <c r="M104">
        <v>109.40751207202825</v>
      </c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>
        <v>71.668785368180096</v>
      </c>
      <c r="K105">
        <v>129.65937763561382</v>
      </c>
      <c r="L105">
        <v>52.252159992740275</v>
      </c>
      <c r="M105">
        <v>101.32852333133087</v>
      </c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>
        <v>63.740190351780399</v>
      </c>
      <c r="K106">
        <v>121.28894268080421</v>
      </c>
      <c r="L106">
        <v>44.360868885237494</v>
      </c>
      <c r="M106">
        <v>93.249534590633459</v>
      </c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>
        <v>55.811595335380701</v>
      </c>
      <c r="K107">
        <v>112.9185077259946</v>
      </c>
      <c r="L107">
        <v>36.469577777734713</v>
      </c>
      <c r="M107">
        <v>85.170545849936076</v>
      </c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>
        <v>47.883000318981033</v>
      </c>
      <c r="K108">
        <v>104.54807277118502</v>
      </c>
      <c r="L108">
        <v>28.578286670231932</v>
      </c>
      <c r="M108">
        <v>77.091557109238693</v>
      </c>
    </row>
    <row r="110" spans="5:13" ht="15.75" thickBot="1" x14ac:dyDescent="0.3"/>
    <row r="111" spans="5:13" ht="16.5" thickTop="1" thickBot="1" x14ac:dyDescent="0.3">
      <c r="E111" s="41" t="s">
        <v>113</v>
      </c>
      <c r="F111" s="41"/>
      <c r="G111" s="41"/>
      <c r="H111" s="41"/>
      <c r="I111" s="41"/>
      <c r="J111" s="41"/>
      <c r="K111" s="41"/>
      <c r="L111" s="41"/>
    </row>
    <row r="112" spans="5:13" ht="30.75" thickTop="1" x14ac:dyDescent="0.25">
      <c r="E112" s="4" t="s">
        <v>50</v>
      </c>
      <c r="F112" s="4" t="s">
        <v>102</v>
      </c>
      <c r="G112" s="4" t="s">
        <v>103</v>
      </c>
      <c r="H112" s="4" t="s">
        <v>104</v>
      </c>
      <c r="I112" s="4" t="s">
        <v>97</v>
      </c>
      <c r="J112" s="4" t="s">
        <v>98</v>
      </c>
      <c r="K112" s="4" t="s">
        <v>99</v>
      </c>
      <c r="L112" s="2" t="s">
        <v>100</v>
      </c>
      <c r="M112" s="2" t="s">
        <v>101</v>
      </c>
    </row>
    <row r="113" spans="5:13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 s="1">
        <v>368</v>
      </c>
      <c r="L113" s="1">
        <v>368</v>
      </c>
      <c r="M113" s="1">
        <v>368</v>
      </c>
    </row>
    <row r="114" spans="5:13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 s="1">
        <v>368</v>
      </c>
      <c r="L114" s="1">
        <v>368</v>
      </c>
      <c r="M114" s="1">
        <v>368</v>
      </c>
    </row>
    <row r="115" spans="5:13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 s="1">
        <v>368</v>
      </c>
      <c r="L115" s="1">
        <v>368</v>
      </c>
      <c r="M115" s="1">
        <v>368</v>
      </c>
    </row>
    <row r="116" spans="5:13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 s="1">
        <v>368</v>
      </c>
      <c r="L116" s="1">
        <v>368</v>
      </c>
      <c r="M116" s="1">
        <v>368</v>
      </c>
    </row>
    <row r="117" spans="5:13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 s="1">
        <v>368</v>
      </c>
      <c r="L117" s="1">
        <v>368</v>
      </c>
      <c r="M117" s="1">
        <v>368</v>
      </c>
    </row>
    <row r="118" spans="5:13" x14ac:dyDescent="0.25">
      <c r="E118" s="1">
        <v>2500</v>
      </c>
      <c r="F118" s="1">
        <v>162</v>
      </c>
      <c r="G118" s="1">
        <v>162</v>
      </c>
      <c r="H118" s="1">
        <v>139.14231226195326</v>
      </c>
      <c r="I118" s="1">
        <v>162</v>
      </c>
      <c r="J118" s="1">
        <v>368</v>
      </c>
      <c r="K118" s="1">
        <v>368</v>
      </c>
      <c r="L118" s="1">
        <v>302.64119820350203</v>
      </c>
      <c r="M118" s="1">
        <v>368</v>
      </c>
    </row>
    <row r="119" spans="5:13" x14ac:dyDescent="0.25">
      <c r="E119" s="1">
        <v>3088</v>
      </c>
      <c r="F119" s="1">
        <v>145.25944787457217</v>
      </c>
      <c r="G119" s="1">
        <v>162</v>
      </c>
      <c r="H119" s="1">
        <v>129.39308158758379</v>
      </c>
      <c r="I119" s="1">
        <v>162</v>
      </c>
      <c r="J119" s="1">
        <v>314.11146628890765</v>
      </c>
      <c r="K119" s="1">
        <v>368</v>
      </c>
      <c r="L119" s="1">
        <v>280.7441244737322</v>
      </c>
      <c r="M119" s="1">
        <v>368</v>
      </c>
    </row>
    <row r="120" spans="5:13" x14ac:dyDescent="0.25">
      <c r="E120" s="1">
        <v>3300</v>
      </c>
      <c r="F120" s="1">
        <v>141.7277537057596</v>
      </c>
      <c r="G120" s="1">
        <v>162</v>
      </c>
      <c r="H120" s="1">
        <v>125.87805284104243</v>
      </c>
      <c r="I120" s="1">
        <v>162</v>
      </c>
      <c r="J120" s="1">
        <v>306.33655961861166</v>
      </c>
      <c r="K120" s="1">
        <v>368</v>
      </c>
      <c r="L120" s="1">
        <v>272.84926115619618</v>
      </c>
      <c r="M120" s="1">
        <v>368</v>
      </c>
    </row>
    <row r="121" spans="5:13" x14ac:dyDescent="0.25">
      <c r="E121" s="1">
        <v>4000</v>
      </c>
      <c r="F121" s="1">
        <v>130.06649937477476</v>
      </c>
      <c r="G121" s="1">
        <v>162</v>
      </c>
      <c r="H121" s="1">
        <v>114.27182584774546</v>
      </c>
      <c r="I121" s="1">
        <v>162</v>
      </c>
      <c r="J121" s="1">
        <v>280.66469797140786</v>
      </c>
      <c r="K121" s="1">
        <v>368</v>
      </c>
      <c r="L121" s="1">
        <v>246.78131623980354</v>
      </c>
      <c r="M121" s="1">
        <v>368</v>
      </c>
    </row>
    <row r="122" spans="5:13" x14ac:dyDescent="0.25">
      <c r="E122" s="1">
        <v>4500</v>
      </c>
      <c r="F122" s="1">
        <v>121.73703199549988</v>
      </c>
      <c r="G122" s="1">
        <v>162</v>
      </c>
      <c r="H122" s="1">
        <v>105.9816637096762</v>
      </c>
      <c r="I122" s="1">
        <v>150.64705403301733</v>
      </c>
      <c r="J122" s="1">
        <v>262.32765393769091</v>
      </c>
      <c r="K122" s="1">
        <v>368</v>
      </c>
      <c r="L122" s="1">
        <v>228.1613555852374</v>
      </c>
      <c r="M122" s="1">
        <v>327.34627796420045</v>
      </c>
    </row>
    <row r="123" spans="5:13" x14ac:dyDescent="0.25">
      <c r="E123" s="1">
        <v>5000</v>
      </c>
      <c r="F123" s="1">
        <v>113.40756461622499</v>
      </c>
      <c r="G123" s="1">
        <v>162</v>
      </c>
      <c r="H123" s="1">
        <v>97.691501571606935</v>
      </c>
      <c r="I123" s="1">
        <v>141.79200239305555</v>
      </c>
      <c r="J123" s="1">
        <v>243.9906099039739</v>
      </c>
      <c r="K123" s="1">
        <v>368</v>
      </c>
      <c r="L123" s="1">
        <v>209.54139493067123</v>
      </c>
      <c r="M123" s="1">
        <v>307.51477001028894</v>
      </c>
    </row>
    <row r="124" spans="5:13" x14ac:dyDescent="0.25">
      <c r="E124" s="1">
        <v>5215</v>
      </c>
      <c r="F124" s="1">
        <v>109.82589364313679</v>
      </c>
      <c r="G124" s="1">
        <v>162</v>
      </c>
      <c r="H124" s="1">
        <v>94.126731852237157</v>
      </c>
      <c r="I124" s="1">
        <v>137.98433018787199</v>
      </c>
      <c r="J124" s="1">
        <v>236.1056809694756</v>
      </c>
      <c r="K124" s="1">
        <v>352.50533703308446</v>
      </c>
      <c r="L124" s="1">
        <v>201.53481184920778</v>
      </c>
      <c r="M124" s="1">
        <v>298.98722159010697</v>
      </c>
    </row>
    <row r="125" spans="5:13" x14ac:dyDescent="0.25">
      <c r="E125" s="1">
        <v>5540</v>
      </c>
      <c r="F125" s="1">
        <v>104.41173984660811</v>
      </c>
      <c r="G125" s="1">
        <v>157.02234714393529</v>
      </c>
      <c r="H125" s="1">
        <v>88.738126462492133</v>
      </c>
      <c r="I125" s="1">
        <v>132.22854662189684</v>
      </c>
      <c r="J125" s="1">
        <v>224.18660234755956</v>
      </c>
      <c r="K125" s="1">
        <v>339.52828005470553</v>
      </c>
      <c r="L125" s="1">
        <v>189.43183742373978</v>
      </c>
      <c r="M125" s="1">
        <v>286.09674142006452</v>
      </c>
    </row>
    <row r="126" spans="5:13" x14ac:dyDescent="0.25">
      <c r="E126" s="1">
        <v>6500</v>
      </c>
      <c r="F126" s="1">
        <v>88.419162478400324</v>
      </c>
      <c r="G126" s="1">
        <v>139.60952266290417</v>
      </c>
      <c r="H126" s="1">
        <v>72.821015157399145</v>
      </c>
      <c r="I126" s="1">
        <v>115.22684747317025</v>
      </c>
      <c r="J126" s="1">
        <v>188.97947780282294</v>
      </c>
      <c r="K126" s="1">
        <v>301.19605021087864</v>
      </c>
      <c r="L126" s="1">
        <v>153.68151296697275</v>
      </c>
      <c r="M126" s="1">
        <v>248.02024614855441</v>
      </c>
    </row>
    <row r="127" spans="5:13" x14ac:dyDescent="0.25">
      <c r="E127" s="1">
        <v>6740</v>
      </c>
      <c r="F127" s="1">
        <v>84.42101813634838</v>
      </c>
      <c r="G127" s="1">
        <v>135.2563165426464</v>
      </c>
      <c r="H127" s="1">
        <v>68.841737331125898</v>
      </c>
      <c r="I127" s="1">
        <v>110.97642268598861</v>
      </c>
      <c r="J127" s="1">
        <v>180.17769666663881</v>
      </c>
      <c r="K127" s="1">
        <v>291.61299274992189</v>
      </c>
      <c r="L127" s="1">
        <v>144.743931852781</v>
      </c>
      <c r="M127" s="1">
        <v>238.50112233067688</v>
      </c>
    </row>
    <row r="128" spans="5:13" x14ac:dyDescent="0.25">
      <c r="E128" s="1">
        <v>7500</v>
      </c>
      <c r="F128" s="1">
        <v>71.760227719850548</v>
      </c>
      <c r="G128" s="1">
        <v>121.47116382849677</v>
      </c>
      <c r="H128" s="1">
        <v>56.240690881260619</v>
      </c>
      <c r="I128" s="1">
        <v>97.516744193246723</v>
      </c>
      <c r="J128" s="1">
        <v>152.30538973538899</v>
      </c>
      <c r="K128" s="1">
        <v>261.26664412355893</v>
      </c>
      <c r="L128" s="1">
        <v>116.44159165784043</v>
      </c>
      <c r="M128" s="1">
        <v>208.35723024073138</v>
      </c>
    </row>
    <row r="129" spans="5:13" x14ac:dyDescent="0.25">
      <c r="E129" s="1">
        <v>8000</v>
      </c>
      <c r="F129" s="1">
        <v>63.430760340575659</v>
      </c>
      <c r="G129" s="1">
        <v>112.40198441129306</v>
      </c>
      <c r="H129" s="1">
        <v>47.950528743191342</v>
      </c>
      <c r="I129" s="1">
        <v>88.661692553284951</v>
      </c>
      <c r="J129" s="1">
        <v>133.96834570167198</v>
      </c>
      <c r="K129" s="1">
        <v>241.30194107989911</v>
      </c>
      <c r="L129" s="1">
        <v>97.821631003274263</v>
      </c>
      <c r="M129" s="1">
        <v>188.52572228681987</v>
      </c>
    </row>
    <row r="130" spans="5:13" x14ac:dyDescent="0.25">
      <c r="E130" s="1">
        <v>8500</v>
      </c>
      <c r="F130" s="1">
        <v>55.101292961300771</v>
      </c>
      <c r="G130" s="1">
        <v>103.33280499408937</v>
      </c>
      <c r="H130" s="1">
        <v>39.660366605122078</v>
      </c>
      <c r="I130" s="1">
        <v>79.806640913323179</v>
      </c>
      <c r="J130" s="1">
        <v>115.63130166795503</v>
      </c>
      <c r="K130" s="1">
        <v>221.33723803623923</v>
      </c>
      <c r="L130" s="1">
        <v>79.201670348708092</v>
      </c>
      <c r="M130" s="1">
        <v>168.69421433290836</v>
      </c>
    </row>
    <row r="131" spans="5:13" x14ac:dyDescent="0.25">
      <c r="E131" s="1">
        <v>9000</v>
      </c>
      <c r="F131" s="1">
        <v>46.771825582025883</v>
      </c>
      <c r="G131" s="1">
        <v>94.263625576885659</v>
      </c>
      <c r="H131" s="1">
        <v>31.370204467052815</v>
      </c>
      <c r="I131" s="1">
        <v>70.951589273361407</v>
      </c>
      <c r="J131" s="1">
        <v>97.294257634238022</v>
      </c>
      <c r="K131" s="1">
        <v>201.3725349925794</v>
      </c>
      <c r="L131" s="1">
        <v>60.581709694141978</v>
      </c>
      <c r="M131" s="1">
        <v>148.8627063789969</v>
      </c>
    </row>
    <row r="132" spans="5:13" ht="15.75" thickBot="1" x14ac:dyDescent="0.3"/>
    <row r="133" spans="5:13" ht="16.5" thickTop="1" thickBot="1" x14ac:dyDescent="0.3">
      <c r="E133" s="41" t="s">
        <v>114</v>
      </c>
      <c r="F133" s="41"/>
      <c r="G133" s="41"/>
      <c r="H133" s="41"/>
      <c r="I133" s="41"/>
      <c r="J133" s="41"/>
      <c r="K133" s="41"/>
      <c r="L133" s="41"/>
    </row>
    <row r="134" spans="5:13" ht="30.75" thickTop="1" x14ac:dyDescent="0.25">
      <c r="E134" s="4" t="s">
        <v>50</v>
      </c>
      <c r="F134" s="4" t="s">
        <v>115</v>
      </c>
      <c r="G134" s="4" t="s">
        <v>116</v>
      </c>
      <c r="H134" s="4" t="s">
        <v>117</v>
      </c>
      <c r="I134" s="4" t="s">
        <v>118</v>
      </c>
      <c r="J134" s="4" t="s">
        <v>119</v>
      </c>
      <c r="K134" s="4" t="s">
        <v>120</v>
      </c>
      <c r="L134" s="2" t="s">
        <v>121</v>
      </c>
      <c r="M134" s="2" t="s">
        <v>122</v>
      </c>
    </row>
    <row r="135" spans="5:13" x14ac:dyDescent="0.25">
      <c r="E135">
        <v>0</v>
      </c>
      <c r="F135" s="1">
        <v>215</v>
      </c>
      <c r="G135" s="1">
        <v>215</v>
      </c>
      <c r="H135" s="1">
        <v>215</v>
      </c>
      <c r="I135" s="1">
        <v>215</v>
      </c>
      <c r="J135" s="1">
        <v>581</v>
      </c>
      <c r="K135">
        <v>581</v>
      </c>
      <c r="L135">
        <v>581</v>
      </c>
      <c r="M135">
        <v>581</v>
      </c>
    </row>
    <row r="136" spans="5:13" x14ac:dyDescent="0.25">
      <c r="E136">
        <v>500</v>
      </c>
      <c r="F136" s="1">
        <v>215</v>
      </c>
      <c r="G136" s="1">
        <v>215</v>
      </c>
      <c r="H136" s="1">
        <v>215</v>
      </c>
      <c r="I136" s="1">
        <v>215</v>
      </c>
      <c r="J136" s="1">
        <v>581</v>
      </c>
      <c r="K136">
        <v>581</v>
      </c>
      <c r="L136">
        <v>581</v>
      </c>
      <c r="M136">
        <v>581</v>
      </c>
    </row>
    <row r="137" spans="5:13" x14ac:dyDescent="0.25">
      <c r="E137">
        <v>1000</v>
      </c>
      <c r="F137" s="1">
        <v>215</v>
      </c>
      <c r="G137" s="1">
        <v>215</v>
      </c>
      <c r="H137" s="1">
        <v>215</v>
      </c>
      <c r="I137" s="1">
        <v>215</v>
      </c>
      <c r="J137" s="1">
        <v>581</v>
      </c>
      <c r="K137">
        <v>581</v>
      </c>
      <c r="L137">
        <v>581</v>
      </c>
      <c r="M137">
        <v>581</v>
      </c>
    </row>
    <row r="138" spans="5:13" x14ac:dyDescent="0.25">
      <c r="E138">
        <v>1500</v>
      </c>
      <c r="F138" s="1">
        <v>215</v>
      </c>
      <c r="G138" s="1">
        <v>215</v>
      </c>
      <c r="H138" s="1">
        <v>215</v>
      </c>
      <c r="I138" s="1">
        <v>215</v>
      </c>
      <c r="J138" s="1">
        <v>581</v>
      </c>
      <c r="K138">
        <v>581</v>
      </c>
      <c r="L138">
        <v>581</v>
      </c>
      <c r="M138">
        <v>581</v>
      </c>
    </row>
    <row r="139" spans="5:13" x14ac:dyDescent="0.25">
      <c r="E139">
        <v>2000</v>
      </c>
      <c r="F139" s="1">
        <v>215</v>
      </c>
      <c r="G139" s="1">
        <v>215</v>
      </c>
      <c r="H139" s="1">
        <v>164.84726041945046</v>
      </c>
      <c r="I139" s="1">
        <v>215</v>
      </c>
      <c r="J139" s="1">
        <v>581</v>
      </c>
      <c r="K139">
        <v>581</v>
      </c>
      <c r="L139">
        <v>427.58393230642827</v>
      </c>
      <c r="M139">
        <v>581</v>
      </c>
    </row>
    <row r="140" spans="5:13" x14ac:dyDescent="0.25">
      <c r="E140">
        <v>2500</v>
      </c>
      <c r="F140" s="1">
        <v>169.50059609856103</v>
      </c>
      <c r="G140" s="1">
        <v>215</v>
      </c>
      <c r="H140" s="1">
        <v>152.10403302165628</v>
      </c>
      <c r="I140" s="1">
        <v>215</v>
      </c>
      <c r="J140" s="1">
        <v>439.4569727387879</v>
      </c>
      <c r="K140">
        <v>581</v>
      </c>
      <c r="L140">
        <v>394.19626383740268</v>
      </c>
      <c r="M140">
        <v>581</v>
      </c>
    </row>
    <row r="141" spans="5:13" x14ac:dyDescent="0.25">
      <c r="E141">
        <v>3000</v>
      </c>
      <c r="F141" s="1">
        <v>157.01541991327036</v>
      </c>
      <c r="G141" s="1">
        <v>215</v>
      </c>
      <c r="H141" s="1">
        <v>139.36080562386212</v>
      </c>
      <c r="I141" s="1">
        <v>215</v>
      </c>
      <c r="J141" s="1">
        <v>402.95423259649931</v>
      </c>
      <c r="K141">
        <v>581</v>
      </c>
      <c r="L141">
        <v>360.80859536837715</v>
      </c>
      <c r="M141">
        <v>499.09289748962442</v>
      </c>
    </row>
    <row r="142" spans="5:13" x14ac:dyDescent="0.25">
      <c r="E142">
        <v>3590</v>
      </c>
      <c r="F142" s="1">
        <v>142.28291201462741</v>
      </c>
      <c r="G142" s="1">
        <v>215</v>
      </c>
      <c r="H142" s="1">
        <v>124.32379729446498</v>
      </c>
      <c r="I142" s="1">
        <v>192.3883307658559</v>
      </c>
      <c r="J142" s="1">
        <v>359.88099922859868</v>
      </c>
      <c r="K142">
        <v>524.467769117383</v>
      </c>
      <c r="L142">
        <v>321.41114657492699</v>
      </c>
      <c r="M142">
        <v>457.08777596073094</v>
      </c>
    </row>
    <row r="143" spans="5:13" x14ac:dyDescent="0.25">
      <c r="E143">
        <v>4000</v>
      </c>
      <c r="F143" s="1">
        <v>132.04506754268908</v>
      </c>
      <c r="G143" s="1">
        <v>215</v>
      </c>
      <c r="H143" s="1">
        <v>113.87435082827376</v>
      </c>
      <c r="I143" s="1">
        <v>181.09838253948158</v>
      </c>
      <c r="J143" s="1">
        <v>329.94875231192202</v>
      </c>
      <c r="K143">
        <v>492.25545613845401</v>
      </c>
      <c r="L143">
        <v>294.03325843032599</v>
      </c>
      <c r="M143">
        <v>427.89777625421175</v>
      </c>
    </row>
    <row r="144" spans="5:13" x14ac:dyDescent="0.25">
      <c r="E144">
        <v>4265</v>
      </c>
      <c r="F144" s="1">
        <v>125.42792416448503</v>
      </c>
      <c r="G144" s="1">
        <v>215</v>
      </c>
      <c r="H144" s="1">
        <v>107.12044030744285</v>
      </c>
      <c r="I144" s="1">
        <v>173.80122088097136</v>
      </c>
      <c r="J144" s="1">
        <v>310.60230003650906</v>
      </c>
      <c r="K144">
        <v>471.43530262768286</v>
      </c>
      <c r="L144">
        <v>276.33779414174245</v>
      </c>
      <c r="M144">
        <v>409.03106912682739</v>
      </c>
    </row>
    <row r="145" spans="5:13" x14ac:dyDescent="0.25">
      <c r="E145">
        <v>5000</v>
      </c>
      <c r="F145" s="1">
        <v>107.07471517210779</v>
      </c>
      <c r="G145" s="1">
        <v>182.60323453185572</v>
      </c>
      <c r="H145" s="1">
        <v>88.387896032685404</v>
      </c>
      <c r="I145" s="1">
        <v>153.56192345076374</v>
      </c>
      <c r="J145" s="1">
        <v>256.94327202734473</v>
      </c>
      <c r="K145">
        <v>413.68883911667604</v>
      </c>
      <c r="L145">
        <v>227.25792149227482</v>
      </c>
      <c r="M145">
        <v>356.70265501879908</v>
      </c>
    </row>
    <row r="146" spans="5:13" x14ac:dyDescent="0.25">
      <c r="E146">
        <v>5500</v>
      </c>
      <c r="F146" s="1">
        <v>94.589538986817132</v>
      </c>
      <c r="G146" s="1">
        <v>168.68004639919934</v>
      </c>
      <c r="H146" s="1">
        <v>75.644668634891218</v>
      </c>
      <c r="I146" s="1">
        <v>139.79369390640485</v>
      </c>
      <c r="J146" s="1">
        <v>220.44053188505615</v>
      </c>
      <c r="K146">
        <v>374.40553060578702</v>
      </c>
      <c r="L146">
        <v>193.87025302324929</v>
      </c>
      <c r="M146">
        <v>321.10509440109274</v>
      </c>
    </row>
    <row r="147" spans="5:13" x14ac:dyDescent="0.25">
      <c r="E147">
        <v>6000</v>
      </c>
      <c r="F147" s="1">
        <v>82.104362801526491</v>
      </c>
      <c r="G147" s="1">
        <v>154.75685826654296</v>
      </c>
      <c r="H147" s="1">
        <v>62.90144123709706</v>
      </c>
      <c r="I147" s="1">
        <v>126.02546436204594</v>
      </c>
      <c r="J147" s="1">
        <v>183.9377917427675</v>
      </c>
      <c r="K147">
        <v>335.12222209489801</v>
      </c>
      <c r="L147">
        <v>160.48258455422371</v>
      </c>
      <c r="M147">
        <v>285.50753378338641</v>
      </c>
    </row>
    <row r="148" spans="5:13" x14ac:dyDescent="0.25">
      <c r="E148">
        <v>6500</v>
      </c>
      <c r="F148" s="1">
        <v>69.619186616235851</v>
      </c>
      <c r="G148" s="1">
        <v>140.83367013388659</v>
      </c>
      <c r="H148" s="1">
        <v>50.158213839302874</v>
      </c>
      <c r="I148" s="1">
        <v>112.25723481768702</v>
      </c>
      <c r="J148" s="1">
        <v>147.43505160047886</v>
      </c>
      <c r="K148">
        <v>295.83891358400905</v>
      </c>
      <c r="L148">
        <v>127.09491608519812</v>
      </c>
      <c r="M148">
        <v>249.90997316568001</v>
      </c>
    </row>
    <row r="149" spans="5:13" x14ac:dyDescent="0.25">
      <c r="E149">
        <v>7000</v>
      </c>
      <c r="F149" s="1">
        <v>57.134010430945182</v>
      </c>
      <c r="G149" s="1">
        <v>126.91048200123021</v>
      </c>
      <c r="H149" s="1">
        <v>37.414986441508688</v>
      </c>
      <c r="I149" s="1">
        <v>98.489005273328104</v>
      </c>
      <c r="J149" s="1">
        <v>110.93231145819021</v>
      </c>
      <c r="K149">
        <v>256.55560507312009</v>
      </c>
      <c r="L149">
        <v>93.707247616172538</v>
      </c>
      <c r="M149">
        <v>214.31241254797368</v>
      </c>
    </row>
    <row r="150" spans="5:13" x14ac:dyDescent="0.25">
      <c r="E150">
        <v>7350</v>
      </c>
      <c r="F150" s="1">
        <v>48.394387101241733</v>
      </c>
      <c r="G150" s="1">
        <v>117.16425030837075</v>
      </c>
      <c r="H150" s="1">
        <v>28.494727263052766</v>
      </c>
      <c r="I150" s="1">
        <v>88.851244592276856</v>
      </c>
      <c r="J150" s="1">
        <v>85.380393358588208</v>
      </c>
      <c r="K150">
        <v>229.05728911549772</v>
      </c>
      <c r="L150">
        <v>70.335879687854685</v>
      </c>
      <c r="M150">
        <v>189.39412011557931</v>
      </c>
    </row>
    <row r="152" spans="5:13" ht="15.75" thickBot="1" x14ac:dyDescent="0.3"/>
    <row r="153" spans="5:13" ht="16.5" thickTop="1" thickBot="1" x14ac:dyDescent="0.3">
      <c r="E153" s="41" t="s">
        <v>140</v>
      </c>
      <c r="F153" s="41"/>
      <c r="G153" s="41"/>
      <c r="H153" s="41"/>
      <c r="I153" s="41"/>
      <c r="J153" s="41"/>
      <c r="K153" s="41"/>
      <c r="L153" s="41"/>
    </row>
    <row r="154" spans="5:13" ht="30.75" thickTop="1" x14ac:dyDescent="0.25">
      <c r="E154" s="4" t="s">
        <v>50</v>
      </c>
      <c r="F154" s="4" t="s">
        <v>132</v>
      </c>
      <c r="G154" s="4" t="s">
        <v>133</v>
      </c>
      <c r="H154" s="4" t="s">
        <v>134</v>
      </c>
      <c r="I154" s="4" t="s">
        <v>135</v>
      </c>
      <c r="J154" s="4" t="s">
        <v>136</v>
      </c>
      <c r="K154" s="4" t="s">
        <v>137</v>
      </c>
      <c r="L154" s="2" t="s">
        <v>138</v>
      </c>
      <c r="M154" s="2" t="s">
        <v>139</v>
      </c>
    </row>
    <row r="155" spans="5:13" x14ac:dyDescent="0.25">
      <c r="E155">
        <v>0</v>
      </c>
      <c r="I155">
        <v>445</v>
      </c>
      <c r="M155">
        <v>1114</v>
      </c>
    </row>
    <row r="156" spans="5:13" x14ac:dyDescent="0.25">
      <c r="E156">
        <v>500</v>
      </c>
      <c r="I156">
        <v>445</v>
      </c>
      <c r="M156">
        <v>1114</v>
      </c>
    </row>
    <row r="157" spans="5:13" x14ac:dyDescent="0.25">
      <c r="E157">
        <v>1000</v>
      </c>
      <c r="I157">
        <v>445</v>
      </c>
      <c r="M157">
        <v>1114</v>
      </c>
    </row>
    <row r="158" spans="5:13" x14ac:dyDescent="0.25">
      <c r="E158">
        <v>1560</v>
      </c>
      <c r="I158">
        <v>445</v>
      </c>
      <c r="M158">
        <v>1114</v>
      </c>
    </row>
    <row r="159" spans="5:13" x14ac:dyDescent="0.25">
      <c r="E159">
        <v>1738</v>
      </c>
      <c r="I159">
        <v>445</v>
      </c>
      <c r="M159">
        <v>999.90794016110476</v>
      </c>
    </row>
    <row r="160" spans="5:13" x14ac:dyDescent="0.25">
      <c r="E160">
        <v>2500</v>
      </c>
      <c r="I160">
        <v>309.36399999999998</v>
      </c>
      <c r="M160">
        <v>695.13599999999997</v>
      </c>
    </row>
    <row r="161" spans="5:13" x14ac:dyDescent="0.25">
      <c r="E161">
        <v>3000</v>
      </c>
      <c r="I161">
        <v>257.80333333333334</v>
      </c>
      <c r="M161">
        <v>579.28</v>
      </c>
    </row>
    <row r="162" spans="5:13" x14ac:dyDescent="0.25">
      <c r="E162">
        <v>3590</v>
      </c>
      <c r="I162">
        <v>215.43454038997214</v>
      </c>
      <c r="M162">
        <v>484.07799442896936</v>
      </c>
    </row>
    <row r="163" spans="5:13" x14ac:dyDescent="0.25">
      <c r="E163">
        <v>4000</v>
      </c>
      <c r="I163">
        <v>193.35249999999999</v>
      </c>
      <c r="M163">
        <v>434.46</v>
      </c>
    </row>
    <row r="164" spans="5:13" x14ac:dyDescent="0.25">
      <c r="E164">
        <v>4650</v>
      </c>
      <c r="I164">
        <v>166.32473118279569</v>
      </c>
      <c r="M164">
        <v>373.72903225806454</v>
      </c>
    </row>
  </sheetData>
  <mergeCells count="10">
    <mergeCell ref="E153:L153"/>
    <mergeCell ref="A21:C21"/>
    <mergeCell ref="E133:L133"/>
    <mergeCell ref="E111:L111"/>
    <mergeCell ref="E81:L81"/>
    <mergeCell ref="E62:M62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workbookViewId="0">
      <selection activeCell="D74" sqref="D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C28" sqref="C28:C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8" t="s">
        <v>76</v>
      </c>
      <c r="B1" s="9" t="s">
        <v>68</v>
      </c>
      <c r="C1" s="9" t="s">
        <v>69</v>
      </c>
      <c r="D1" s="9" t="s">
        <v>70</v>
      </c>
      <c r="E1" s="10" t="s">
        <v>71</v>
      </c>
      <c r="G1" s="11" t="s">
        <v>77</v>
      </c>
      <c r="H1" s="9" t="s">
        <v>68</v>
      </c>
      <c r="I1" s="9" t="s">
        <v>78</v>
      </c>
      <c r="J1" s="9" t="s">
        <v>51</v>
      </c>
      <c r="K1" s="10" t="s">
        <v>71</v>
      </c>
    </row>
    <row r="2" spans="1:11" x14ac:dyDescent="0.25">
      <c r="A2" s="45" t="s">
        <v>60</v>
      </c>
      <c r="B2" s="48">
        <v>15000</v>
      </c>
      <c r="C2" s="48">
        <v>300</v>
      </c>
      <c r="D2" s="48">
        <v>1330</v>
      </c>
      <c r="E2" s="12">
        <v>1.35</v>
      </c>
      <c r="G2" s="45" t="s">
        <v>75</v>
      </c>
      <c r="H2" s="48">
        <v>4000</v>
      </c>
      <c r="I2" s="48">
        <v>125</v>
      </c>
      <c r="J2" s="48">
        <v>250</v>
      </c>
      <c r="K2" s="15">
        <v>35.01</v>
      </c>
    </row>
    <row r="3" spans="1:11" ht="15.75" thickBot="1" x14ac:dyDescent="0.3">
      <c r="A3" s="46"/>
      <c r="B3" s="49"/>
      <c r="C3" s="49"/>
      <c r="D3" s="49"/>
      <c r="E3" s="13">
        <v>2.5299999999999998</v>
      </c>
      <c r="G3" s="47"/>
      <c r="H3" s="50"/>
      <c r="I3" s="50"/>
      <c r="J3" s="50"/>
      <c r="K3" s="16">
        <v>47.74</v>
      </c>
    </row>
    <row r="4" spans="1:11" ht="15.75" thickBot="1" x14ac:dyDescent="0.3">
      <c r="A4" s="46"/>
      <c r="B4" s="49"/>
      <c r="C4" s="49"/>
      <c r="D4" s="49"/>
      <c r="E4" s="13">
        <v>3.5</v>
      </c>
      <c r="G4" s="6" t="s">
        <v>79</v>
      </c>
      <c r="H4" s="7">
        <v>5000</v>
      </c>
      <c r="I4" s="7">
        <v>250</v>
      </c>
      <c r="J4" s="7">
        <v>500</v>
      </c>
      <c r="K4" s="17">
        <v>52.31</v>
      </c>
    </row>
    <row r="5" spans="1:11" ht="15.75" thickBot="1" x14ac:dyDescent="0.3">
      <c r="A5" s="46"/>
      <c r="B5" s="49"/>
      <c r="C5" s="49"/>
      <c r="D5" s="49"/>
      <c r="E5" s="13">
        <v>4</v>
      </c>
      <c r="G5" s="6" t="s">
        <v>80</v>
      </c>
      <c r="H5" s="7">
        <v>5000</v>
      </c>
      <c r="I5" s="7">
        <v>450</v>
      </c>
      <c r="J5" s="7">
        <v>900</v>
      </c>
      <c r="K5" s="17">
        <v>57.11</v>
      </c>
    </row>
    <row r="6" spans="1:11" ht="15.75" thickBot="1" x14ac:dyDescent="0.3">
      <c r="A6" s="47"/>
      <c r="B6" s="50"/>
      <c r="C6" s="50"/>
      <c r="D6" s="50"/>
      <c r="E6" s="14">
        <v>4.43</v>
      </c>
      <c r="G6" s="45" t="s">
        <v>81</v>
      </c>
      <c r="H6" s="48">
        <v>1106</v>
      </c>
      <c r="I6" s="48">
        <v>500</v>
      </c>
      <c r="J6" s="48">
        <v>1000</v>
      </c>
      <c r="K6" s="15">
        <v>21.26</v>
      </c>
    </row>
    <row r="7" spans="1:11" x14ac:dyDescent="0.25">
      <c r="A7" s="51" t="s">
        <v>61</v>
      </c>
      <c r="B7" s="53">
        <v>15000</v>
      </c>
      <c r="C7" s="53">
        <v>300</v>
      </c>
      <c r="D7" s="53">
        <v>4000</v>
      </c>
      <c r="E7" s="12">
        <v>5.2</v>
      </c>
      <c r="G7" s="46"/>
      <c r="H7" s="49"/>
      <c r="I7" s="49"/>
      <c r="J7" s="49"/>
      <c r="K7" s="18">
        <v>30.68</v>
      </c>
    </row>
    <row r="8" spans="1:11" x14ac:dyDescent="0.25">
      <c r="A8" s="55"/>
      <c r="B8" s="56"/>
      <c r="C8" s="56"/>
      <c r="D8" s="56"/>
      <c r="E8" s="13">
        <v>6.04</v>
      </c>
      <c r="G8" s="46"/>
      <c r="H8" s="49"/>
      <c r="I8" s="49"/>
      <c r="J8" s="49"/>
      <c r="K8" s="18">
        <v>45.13</v>
      </c>
    </row>
    <row r="9" spans="1:11" ht="15.75" thickBot="1" x14ac:dyDescent="0.3">
      <c r="A9" s="55"/>
      <c r="B9" s="56"/>
      <c r="C9" s="56"/>
      <c r="D9" s="56"/>
      <c r="E9" s="13">
        <v>7.04</v>
      </c>
      <c r="G9" s="47"/>
      <c r="H9" s="50"/>
      <c r="I9" s="50"/>
      <c r="J9" s="50"/>
      <c r="K9" s="16">
        <v>50.62</v>
      </c>
    </row>
    <row r="10" spans="1:11" x14ac:dyDescent="0.25">
      <c r="A10" s="55"/>
      <c r="B10" s="56"/>
      <c r="C10" s="56"/>
      <c r="D10" s="56"/>
      <c r="E10" s="13">
        <v>8.08</v>
      </c>
      <c r="G10" s="45" t="s">
        <v>82</v>
      </c>
      <c r="H10" s="48">
        <v>5000</v>
      </c>
      <c r="I10" s="48">
        <v>3500</v>
      </c>
      <c r="J10" s="48">
        <v>7000</v>
      </c>
      <c r="K10" s="15">
        <v>18.78</v>
      </c>
    </row>
    <row r="11" spans="1:11" x14ac:dyDescent="0.25">
      <c r="A11" s="55"/>
      <c r="B11" s="56"/>
      <c r="C11" s="56"/>
      <c r="D11" s="56"/>
      <c r="E11" s="13">
        <v>9.1</v>
      </c>
      <c r="G11" s="46"/>
      <c r="H11" s="49"/>
      <c r="I11" s="49"/>
      <c r="J11" s="49"/>
      <c r="K11" s="18">
        <v>24.92</v>
      </c>
    </row>
    <row r="12" spans="1:11" x14ac:dyDescent="0.25">
      <c r="A12" s="55"/>
      <c r="B12" s="56"/>
      <c r="C12" s="56"/>
      <c r="D12" s="56"/>
      <c r="E12" s="13">
        <v>10.11</v>
      </c>
      <c r="G12" s="46"/>
      <c r="H12" s="49"/>
      <c r="I12" s="49"/>
      <c r="J12" s="49"/>
      <c r="K12" s="18">
        <v>25.92</v>
      </c>
    </row>
    <row r="13" spans="1:11" x14ac:dyDescent="0.25">
      <c r="A13" s="55"/>
      <c r="B13" s="56"/>
      <c r="C13" s="56"/>
      <c r="D13" s="56"/>
      <c r="E13" s="13">
        <v>11.05</v>
      </c>
      <c r="G13" s="46"/>
      <c r="H13" s="49"/>
      <c r="I13" s="49"/>
      <c r="J13" s="49"/>
      <c r="K13" s="18">
        <v>47.6</v>
      </c>
    </row>
    <row r="14" spans="1:11" x14ac:dyDescent="0.25">
      <c r="A14" s="55"/>
      <c r="B14" s="56"/>
      <c r="C14" s="56"/>
      <c r="D14" s="56"/>
      <c r="E14" s="13">
        <v>11.9</v>
      </c>
      <c r="G14" s="46"/>
      <c r="H14" s="49"/>
      <c r="I14" s="49"/>
      <c r="J14" s="49"/>
      <c r="K14" s="18">
        <v>57.49</v>
      </c>
    </row>
    <row r="15" spans="1:11" ht="15.75" thickBot="1" x14ac:dyDescent="0.3">
      <c r="A15" s="52"/>
      <c r="B15" s="54"/>
      <c r="C15" s="54"/>
      <c r="D15" s="54"/>
      <c r="E15" s="14">
        <v>13.35</v>
      </c>
      <c r="G15" s="47"/>
      <c r="H15" s="50"/>
      <c r="I15" s="50"/>
      <c r="J15" s="50"/>
      <c r="K15" s="16">
        <v>64.08</v>
      </c>
    </row>
    <row r="16" spans="1:11" x14ac:dyDescent="0.25">
      <c r="A16" s="51" t="s">
        <v>62</v>
      </c>
      <c r="B16" s="53">
        <v>12000</v>
      </c>
      <c r="C16" s="53">
        <v>600</v>
      </c>
      <c r="D16" s="53">
        <v>2100</v>
      </c>
      <c r="E16" s="12">
        <v>1.1000000000000001</v>
      </c>
    </row>
    <row r="17" spans="1:5" x14ac:dyDescent="0.25">
      <c r="A17" s="55"/>
      <c r="B17" s="56"/>
      <c r="C17" s="56"/>
      <c r="D17" s="56"/>
      <c r="E17" s="13">
        <v>1.97</v>
      </c>
    </row>
    <row r="18" spans="1:5" x14ac:dyDescent="0.25">
      <c r="A18" s="55"/>
      <c r="B18" s="56"/>
      <c r="C18" s="56"/>
      <c r="D18" s="56"/>
      <c r="E18" s="13">
        <v>2.88</v>
      </c>
    </row>
    <row r="19" spans="1:5" ht="15.75" thickBot="1" x14ac:dyDescent="0.3">
      <c r="A19" s="52"/>
      <c r="B19" s="54"/>
      <c r="C19" s="54"/>
      <c r="D19" s="54"/>
      <c r="E19" s="14">
        <v>3.5</v>
      </c>
    </row>
    <row r="20" spans="1:5" x14ac:dyDescent="0.25">
      <c r="A20" s="51" t="s">
        <v>63</v>
      </c>
      <c r="B20" s="53">
        <v>12000</v>
      </c>
      <c r="C20" s="53">
        <v>600</v>
      </c>
      <c r="D20" s="53">
        <v>6500</v>
      </c>
      <c r="E20" s="12">
        <v>5.9</v>
      </c>
    </row>
    <row r="21" spans="1:5" x14ac:dyDescent="0.25">
      <c r="A21" s="55"/>
      <c r="B21" s="56"/>
      <c r="C21" s="56"/>
      <c r="D21" s="56"/>
      <c r="E21" s="13">
        <v>7.42</v>
      </c>
    </row>
    <row r="22" spans="1:5" x14ac:dyDescent="0.25">
      <c r="A22" s="55"/>
      <c r="B22" s="56"/>
      <c r="C22" s="56"/>
      <c r="D22" s="56"/>
      <c r="E22" s="13">
        <v>8.5500000000000007</v>
      </c>
    </row>
    <row r="23" spans="1:5" x14ac:dyDescent="0.25">
      <c r="A23" s="55"/>
      <c r="B23" s="56"/>
      <c r="C23" s="56"/>
      <c r="D23" s="56"/>
      <c r="E23" s="13">
        <v>9.4600000000000009</v>
      </c>
    </row>
    <row r="24" spans="1:5" x14ac:dyDescent="0.25">
      <c r="A24" s="55"/>
      <c r="B24" s="56"/>
      <c r="C24" s="56"/>
      <c r="D24" s="56"/>
      <c r="E24" s="13">
        <v>9.94</v>
      </c>
    </row>
    <row r="25" spans="1:5" x14ac:dyDescent="0.25">
      <c r="A25" s="55"/>
      <c r="B25" s="56"/>
      <c r="C25" s="56"/>
      <c r="D25" s="56"/>
      <c r="E25" s="13">
        <v>10.79</v>
      </c>
    </row>
    <row r="26" spans="1:5" x14ac:dyDescent="0.25">
      <c r="A26" s="55"/>
      <c r="B26" s="56"/>
      <c r="C26" s="56"/>
      <c r="D26" s="56"/>
      <c r="E26" s="13">
        <v>12.36</v>
      </c>
    </row>
    <row r="27" spans="1:5" ht="15.75" thickBot="1" x14ac:dyDescent="0.3">
      <c r="A27" s="52"/>
      <c r="B27" s="54"/>
      <c r="C27" s="54"/>
      <c r="D27" s="54"/>
      <c r="E27" s="14">
        <v>13.32</v>
      </c>
    </row>
    <row r="28" spans="1:5" x14ac:dyDescent="0.25">
      <c r="A28" s="51" t="s">
        <v>64</v>
      </c>
      <c r="B28" s="53">
        <v>7500</v>
      </c>
      <c r="C28" s="53">
        <v>1200</v>
      </c>
      <c r="D28" s="53">
        <v>4770</v>
      </c>
      <c r="E28" s="12" t="s">
        <v>72</v>
      </c>
    </row>
    <row r="29" spans="1:5" x14ac:dyDescent="0.25">
      <c r="A29" s="55"/>
      <c r="B29" s="56"/>
      <c r="C29" s="56"/>
      <c r="D29" s="56"/>
      <c r="E29" s="13">
        <v>1</v>
      </c>
    </row>
    <row r="30" spans="1:5" x14ac:dyDescent="0.25">
      <c r="A30" s="55"/>
      <c r="B30" s="56"/>
      <c r="C30" s="56"/>
      <c r="D30" s="56"/>
      <c r="E30" s="13">
        <v>2</v>
      </c>
    </row>
    <row r="31" spans="1:5" x14ac:dyDescent="0.25">
      <c r="A31" s="55"/>
      <c r="B31" s="56"/>
      <c r="C31" s="56"/>
      <c r="D31" s="56"/>
      <c r="E31" s="13">
        <v>2.97</v>
      </c>
    </row>
    <row r="32" spans="1:5" ht="15.75" thickBot="1" x14ac:dyDescent="0.3">
      <c r="A32" s="52"/>
      <c r="B32" s="54"/>
      <c r="C32" s="54"/>
      <c r="D32" s="54"/>
      <c r="E32" s="14">
        <v>3.94</v>
      </c>
    </row>
    <row r="33" spans="1:5" x14ac:dyDescent="0.25">
      <c r="A33" s="51" t="s">
        <v>65</v>
      </c>
      <c r="B33" s="53"/>
      <c r="C33" s="53">
        <v>265</v>
      </c>
      <c r="D33" s="53"/>
      <c r="E33" s="12">
        <v>2.98</v>
      </c>
    </row>
    <row r="34" spans="1:5" x14ac:dyDescent="0.25">
      <c r="A34" s="55"/>
      <c r="B34" s="56"/>
      <c r="C34" s="56"/>
      <c r="D34" s="56"/>
      <c r="E34" s="13">
        <v>3.98</v>
      </c>
    </row>
    <row r="35" spans="1:5" ht="15.75" thickBot="1" x14ac:dyDescent="0.3">
      <c r="A35" s="52"/>
      <c r="B35" s="54"/>
      <c r="C35" s="54"/>
      <c r="D35" s="54"/>
      <c r="E35" s="14">
        <v>6.03</v>
      </c>
    </row>
    <row r="36" spans="1:5" x14ac:dyDescent="0.25">
      <c r="A36" s="51" t="s">
        <v>66</v>
      </c>
      <c r="B36" s="53">
        <v>12500</v>
      </c>
      <c r="C36" s="53" t="s">
        <v>73</v>
      </c>
      <c r="D36" s="53" t="s">
        <v>74</v>
      </c>
      <c r="E36" s="12">
        <v>5.67</v>
      </c>
    </row>
    <row r="37" spans="1:5" ht="15.75" thickBot="1" x14ac:dyDescent="0.3">
      <c r="A37" s="52"/>
      <c r="B37" s="54"/>
      <c r="C37" s="54"/>
      <c r="D37" s="54"/>
      <c r="E37" s="14">
        <v>6</v>
      </c>
    </row>
    <row r="38" spans="1:5" x14ac:dyDescent="0.25">
      <c r="A38" s="51" t="s">
        <v>67</v>
      </c>
      <c r="B38" s="53">
        <v>12500</v>
      </c>
      <c r="C38" s="53" t="s">
        <v>73</v>
      </c>
      <c r="D38" s="53" t="s">
        <v>74</v>
      </c>
      <c r="E38" s="12">
        <v>5.67</v>
      </c>
    </row>
    <row r="39" spans="1:5" ht="15.75" thickBot="1" x14ac:dyDescent="0.3">
      <c r="A39" s="52"/>
      <c r="B39" s="54"/>
      <c r="C39" s="54"/>
      <c r="D39" s="54"/>
      <c r="E39" s="14">
        <v>6</v>
      </c>
    </row>
  </sheetData>
  <mergeCells count="44"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  <mergeCell ref="D20:D27"/>
    <mergeCell ref="A28:A32"/>
    <mergeCell ref="B28:B32"/>
    <mergeCell ref="C28:C32"/>
    <mergeCell ref="D28:D32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Application</vt:lpstr>
      <vt:lpstr>HV Motors</vt:lpstr>
      <vt:lpstr>Gearbox</vt:lpstr>
      <vt:lpstr>LV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2021-02-22T14:31:51Z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