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nigear.sharepoint.com/sites/Engineering/Shared Documents/Electrification/Customer_Related/TrovaCV/"/>
    </mc:Choice>
  </mc:AlternateContent>
  <xr:revisionPtr revIDLastSave="67" documentId="8_{3866E8CC-F120-4580-BB5C-0FAD16DD0AEC}" xr6:coauthVersionLast="46" xr6:coauthVersionMax="46" xr10:uidLastSave="{33D09417-6CE8-4396-9E9D-DE66292ECF97}"/>
  <bookViews>
    <workbookView xWindow="-120" yWindow="-120" windowWidth="38640" windowHeight="21240" activeTab="2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W6" i="1" s="1"/>
  <c r="X6" i="1" s="1"/>
  <c r="U7" i="1"/>
  <c r="U8" i="1"/>
  <c r="U9" i="1"/>
  <c r="U10" i="1"/>
  <c r="U11" i="1"/>
  <c r="U12" i="1"/>
  <c r="W12" i="1" s="1"/>
  <c r="X12" i="1" s="1"/>
  <c r="U13" i="1"/>
  <c r="W13" i="1" s="1"/>
  <c r="X13" i="1" s="1"/>
  <c r="U14" i="1"/>
  <c r="W14" i="1" s="1"/>
  <c r="X14" i="1" s="1"/>
  <c r="U15" i="1"/>
  <c r="U2" i="1"/>
  <c r="W2" i="1" s="1"/>
  <c r="X2" i="1" s="1"/>
  <c r="W3" i="1"/>
  <c r="X3" i="1" s="1"/>
  <c r="W4" i="1"/>
  <c r="X4" i="1" s="1"/>
  <c r="W5" i="1"/>
  <c r="X5" i="1" s="1"/>
  <c r="W7" i="1"/>
  <c r="X7" i="1" s="1"/>
  <c r="W8" i="1"/>
  <c r="X8" i="1" s="1"/>
  <c r="W9" i="1"/>
  <c r="X9" i="1" s="1"/>
  <c r="W10" i="1"/>
  <c r="X10" i="1" s="1"/>
  <c r="W11" i="1"/>
  <c r="X11" i="1" s="1"/>
  <c r="W15" i="1"/>
  <c r="X1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38" i="1"/>
  <c r="C30" i="1"/>
  <c r="C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4" i="1"/>
  <c r="C32" i="1"/>
  <c r="C26" i="1"/>
  <c r="C24" i="1"/>
  <c r="C22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J3" i="1" l="1"/>
  <c r="F3" i="1"/>
  <c r="O10" i="1"/>
  <c r="F10" i="1"/>
  <c r="J4" i="1"/>
  <c r="F4" i="1"/>
  <c r="O6" i="1"/>
  <c r="F6" i="1"/>
  <c r="J9" i="1"/>
  <c r="F9" i="1"/>
  <c r="P15" i="1"/>
  <c r="Q15" i="1" s="1"/>
  <c r="R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Q6" i="1" l="1"/>
  <c r="R6" i="1" s="1"/>
  <c r="Q12" i="1"/>
  <c r="R12" i="1" s="1"/>
  <c r="Q3" i="1"/>
  <c r="R3" i="1" s="1"/>
  <c r="Q8" i="1"/>
  <c r="R8" i="1" s="1"/>
  <c r="Q9" i="1"/>
  <c r="R9" i="1" s="1"/>
  <c r="Q4" i="1"/>
  <c r="R4" i="1" s="1"/>
  <c r="Q11" i="1"/>
  <c r="R11" i="1" s="1"/>
  <c r="Q5" i="1"/>
  <c r="R5" i="1" s="1"/>
  <c r="Q13" i="1"/>
  <c r="R13" i="1" s="1"/>
  <c r="Q7" i="1"/>
  <c r="R7" i="1" s="1"/>
</calcChain>
</file>

<file path=xl/sharedStrings.xml><?xml version="1.0" encoding="utf-8"?>
<sst xmlns="http://schemas.openxmlformats.org/spreadsheetml/2006/main" count="176" uniqueCount="143">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</sst>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7" borderId="12" xfId="1" applyAlignment="1">
      <alignment horizontal="center" vertical="center"/>
    </xf>
    <xf numFmtId="2" fontId="3" fillId="7" borderId="12" xfId="1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  <c:pt idx="9">
                  <c:v>0.28418300285442638</c:v>
                </c:pt>
                <c:pt idx="10">
                  <c:v>568.36600570885275</c:v>
                </c:pt>
                <c:pt idx="11">
                  <c:v>284.18300285442638</c:v>
                </c:pt>
                <c:pt idx="12">
                  <c:v>227.3464022835411</c:v>
                </c:pt>
                <c:pt idx="13">
                  <c:v>85.254900856327907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21.83435957894736</c:v>
                </c:pt>
                <c:pt idx="2">
                  <c:v>44.433950315789474</c:v>
                </c:pt>
                <c:pt idx="3">
                  <c:v>68.564003368421055</c:v>
                </c:pt>
                <c:pt idx="4">
                  <c:v>94.98974989473686</c:v>
                </c:pt>
                <c:pt idx="5">
                  <c:v>124.47642105263157</c:v>
                </c:pt>
                <c:pt idx="6">
                  <c:v>96.0065884433684</c:v>
                </c:pt>
                <c:pt idx="7">
                  <c:v>39.455009495999995</c:v>
                </c:pt>
                <c:pt idx="8">
                  <c:v>39.455009495999995</c:v>
                </c:pt>
                <c:pt idx="9">
                  <c:v>2.3056414073317096E-2</c:v>
                </c:pt>
                <c:pt idx="10">
                  <c:v>12.948986102386463</c:v>
                </c:pt>
                <c:pt idx="11">
                  <c:v>12.095748117815699</c:v>
                </c:pt>
                <c:pt idx="12">
                  <c:v>18.446151565269972</c:v>
                </c:pt>
                <c:pt idx="13">
                  <c:v>6.9169780267130818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61911</xdr:colOff>
      <xdr:row>19</xdr:row>
      <xdr:rowOff>4761</xdr:rowOff>
    </xdr:from>
    <xdr:to>
      <xdr:col>22</xdr:col>
      <xdr:colOff>9525</xdr:colOff>
      <xdr:row>37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37</xdr:row>
      <xdr:rowOff>185737</xdr:rowOff>
    </xdr:from>
    <xdr:to>
      <xdr:col>21</xdr:col>
      <xdr:colOff>581025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18" totalsRowShown="0" headerRowDxfId="4" headerRowBorderDxfId="3" tableBorderDxfId="2">
  <autoFilter ref="A1:C18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0:C38" totalsRowShown="0" headerRowDxfId="1">
  <autoFilter ref="B20:C38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X164"/>
  <sheetViews>
    <sheetView topLeftCell="A10" zoomScaleNormal="100" workbookViewId="0">
      <selection activeCell="B17" sqref="B17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24" ht="60.75" thickBot="1" x14ac:dyDescent="0.3">
      <c r="A1" s="27" t="s">
        <v>11</v>
      </c>
      <c r="B1" s="27" t="s">
        <v>0</v>
      </c>
      <c r="C1" s="27" t="s">
        <v>1</v>
      </c>
      <c r="D1" s="38" t="s">
        <v>49</v>
      </c>
      <c r="E1" s="2" t="s">
        <v>20</v>
      </c>
      <c r="F1" s="2" t="s">
        <v>127</v>
      </c>
      <c r="G1" s="2" t="s">
        <v>21</v>
      </c>
      <c r="H1" s="2" t="s">
        <v>36</v>
      </c>
      <c r="I1" s="2" t="s">
        <v>28</v>
      </c>
      <c r="J1" s="2" t="s">
        <v>22</v>
      </c>
      <c r="K1" s="2" t="s">
        <v>126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30</v>
      </c>
      <c r="S1" s="2" t="s">
        <v>34</v>
      </c>
      <c r="T1" s="2" t="s">
        <v>31</v>
      </c>
      <c r="U1" s="2" t="s">
        <v>33</v>
      </c>
      <c r="V1" s="2" t="s">
        <v>35</v>
      </c>
      <c r="W1" s="53" t="s">
        <v>141</v>
      </c>
      <c r="X1" s="53" t="s">
        <v>142</v>
      </c>
    </row>
    <row r="2" spans="1:24" x14ac:dyDescent="0.25">
      <c r="A2" s="26" t="s">
        <v>3</v>
      </c>
      <c r="B2" s="26">
        <v>11000</v>
      </c>
      <c r="C2" s="26" t="s">
        <v>2</v>
      </c>
      <c r="D2" s="38"/>
      <c r="E2" s="20">
        <v>0</v>
      </c>
      <c r="F2" s="20">
        <f>3600*H2/1000</f>
        <v>0</v>
      </c>
      <c r="G2" s="20">
        <v>0</v>
      </c>
      <c r="H2" s="20">
        <f t="shared" ref="H2:H10" si="0">IF(G2&gt;$B$15,$B$15,G2)</f>
        <v>0</v>
      </c>
      <c r="I2" s="21">
        <v>0</v>
      </c>
      <c r="J2" s="20">
        <f>$B$2*$B$3*$B$8</f>
        <v>43164</v>
      </c>
      <c r="K2" s="20">
        <v>0</v>
      </c>
      <c r="L2" s="20">
        <v>0</v>
      </c>
      <c r="M2" s="20">
        <f>$B$2*$B$3*SIN(L2)</f>
        <v>0</v>
      </c>
      <c r="N2" s="20">
        <f>$B$2*$B$3*$B$7*COS(L2)</f>
        <v>755.37</v>
      </c>
      <c r="O2" s="20">
        <f>0.5*$B$5*$B$6*$B$4*H2^2</f>
        <v>0</v>
      </c>
      <c r="P2" s="20">
        <f>$B$2*I2</f>
        <v>0</v>
      </c>
      <c r="Q2" s="20">
        <f>SUM(M2,N2,O2,P2)</f>
        <v>755.37</v>
      </c>
      <c r="R2" s="20">
        <f>Q2*$B$9</f>
        <v>355.02389999999997</v>
      </c>
      <c r="S2" s="20">
        <f>H2*60/2/PI()/$B$9</f>
        <v>0</v>
      </c>
      <c r="T2" s="20">
        <f t="shared" ref="T2:T15" si="1">$B$17*$B$18</f>
        <v>13.986999999999998</v>
      </c>
      <c r="U2" s="20">
        <f>R2/T2/$B$16/$B$10</f>
        <v>13.359168099701604</v>
      </c>
      <c r="V2" s="20">
        <f>S2*T2</f>
        <v>0</v>
      </c>
      <c r="W2" s="56">
        <f>U2*V2*2*PI()/60/1000</f>
        <v>0</v>
      </c>
      <c r="X2" s="56">
        <f>W2*$B$16</f>
        <v>0</v>
      </c>
    </row>
    <row r="3" spans="1:24" x14ac:dyDescent="0.25">
      <c r="A3" s="26" t="s">
        <v>4</v>
      </c>
      <c r="B3" s="26">
        <v>9.81</v>
      </c>
      <c r="C3" s="26" t="s">
        <v>5</v>
      </c>
      <c r="D3" s="38"/>
      <c r="E3" s="20">
        <f>E2+$B$40</f>
        <v>10</v>
      </c>
      <c r="F3" s="20">
        <f>3600*H3/1000</f>
        <v>14.4</v>
      </c>
      <c r="G3" s="20">
        <f>G2+$B$14*(E3-E2)</f>
        <v>4</v>
      </c>
      <c r="H3" s="20">
        <f t="shared" si="0"/>
        <v>4</v>
      </c>
      <c r="I3" s="21">
        <f>(H3-H2)/(E3-E2)</f>
        <v>0.4</v>
      </c>
      <c r="J3" s="20">
        <f>$J$2/H3</f>
        <v>10791</v>
      </c>
      <c r="K3" s="20">
        <v>0</v>
      </c>
      <c r="L3" s="20">
        <v>0</v>
      </c>
      <c r="M3" s="20">
        <f t="shared" ref="M3:M15" si="2">$B$2*$B$3*SIN(L3)</f>
        <v>0</v>
      </c>
      <c r="N3" s="20">
        <f t="shared" ref="N3:N15" si="3">$B$2*$B$3*$B$7*COS(L3)</f>
        <v>755.37</v>
      </c>
      <c r="O3" s="20">
        <f t="shared" ref="O3:O15" si="4">0.5*$B$5*$B$6*$B$4*H3^2</f>
        <v>30.290400000000002</v>
      </c>
      <c r="P3" s="20">
        <f t="shared" ref="P3:P15" si="5">$B$2*I3</f>
        <v>4400</v>
      </c>
      <c r="Q3" s="20">
        <f t="shared" ref="Q3:Q15" si="6">SUM(M3,N3,O3,P3)</f>
        <v>5185.6603999999998</v>
      </c>
      <c r="R3" s="20">
        <f t="shared" ref="R3:R15" si="7">Q3*$B$9</f>
        <v>2437.2603879999997</v>
      </c>
      <c r="S3" s="20">
        <f t="shared" ref="S3:S15" si="8">H3*60/2/PI()/$B$9</f>
        <v>81.27060923841465</v>
      </c>
      <c r="T3" s="20">
        <f t="shared" si="1"/>
        <v>13.986999999999998</v>
      </c>
      <c r="U3" s="20">
        <f t="shared" ref="U3:U15" si="9">R3/T3/$B$16/$B$10</f>
        <v>91.711491046197025</v>
      </c>
      <c r="V3" s="20">
        <f t="shared" ref="V3:V15" si="10">S3*T3</f>
        <v>1136.7320114177055</v>
      </c>
      <c r="W3" s="56">
        <f t="shared" ref="W3:W15" si="11">U3*V3*2*PI()/60/1000</f>
        <v>10.91717978947368</v>
      </c>
      <c r="X3" s="56">
        <f t="shared" ref="X3:X15" si="12">W3*$B$16</f>
        <v>21.83435957894736</v>
      </c>
    </row>
    <row r="4" spans="1:24" x14ac:dyDescent="0.25">
      <c r="A4" s="26" t="s">
        <v>13</v>
      </c>
      <c r="B4" s="26">
        <v>4.2</v>
      </c>
      <c r="C4" s="26" t="s">
        <v>14</v>
      </c>
      <c r="D4" s="38"/>
      <c r="E4" s="20">
        <f t="shared" ref="E4:E15" si="13">E3+$B$40</f>
        <v>20</v>
      </c>
      <c r="F4" s="20">
        <f>3600*H4/1000</f>
        <v>28.8</v>
      </c>
      <c r="G4" s="20">
        <f>G3+$B$14*(E4-E3)</f>
        <v>8</v>
      </c>
      <c r="H4" s="20">
        <f t="shared" si="0"/>
        <v>8</v>
      </c>
      <c r="I4" s="21">
        <f>(H4-H3)/(E4-E3)</f>
        <v>0.4</v>
      </c>
      <c r="J4" s="20">
        <f>$J$2/H4</f>
        <v>5395.5</v>
      </c>
      <c r="K4" s="20">
        <v>0</v>
      </c>
      <c r="L4" s="20">
        <v>0</v>
      </c>
      <c r="M4" s="20">
        <f t="shared" si="2"/>
        <v>0</v>
      </c>
      <c r="N4" s="20">
        <f t="shared" si="3"/>
        <v>755.37</v>
      </c>
      <c r="O4" s="20">
        <f t="shared" si="4"/>
        <v>121.16160000000001</v>
      </c>
      <c r="P4" s="20">
        <f t="shared" si="5"/>
        <v>4400</v>
      </c>
      <c r="Q4" s="20">
        <f t="shared" si="6"/>
        <v>5276.5316000000003</v>
      </c>
      <c r="R4" s="20">
        <f t="shared" si="7"/>
        <v>2479.9698520000002</v>
      </c>
      <c r="S4" s="20">
        <f t="shared" si="8"/>
        <v>162.5412184768293</v>
      </c>
      <c r="T4" s="20">
        <f t="shared" si="1"/>
        <v>13.986999999999998</v>
      </c>
      <c r="U4" s="20">
        <f t="shared" si="9"/>
        <v>93.318602311168661</v>
      </c>
      <c r="V4" s="20">
        <f t="shared" si="10"/>
        <v>2273.464022835411</v>
      </c>
      <c r="W4" s="56">
        <f t="shared" si="11"/>
        <v>22.216975157894737</v>
      </c>
      <c r="X4" s="56">
        <f t="shared" si="12"/>
        <v>44.433950315789474</v>
      </c>
    </row>
    <row r="5" spans="1:24" x14ac:dyDescent="0.25">
      <c r="A5" s="26" t="s">
        <v>6</v>
      </c>
      <c r="B5" s="26">
        <v>1.202</v>
      </c>
      <c r="C5" s="26" t="s">
        <v>7</v>
      </c>
      <c r="D5" s="38"/>
      <c r="E5" s="20">
        <f t="shared" si="13"/>
        <v>30</v>
      </c>
      <c r="F5" s="20">
        <f>3600*H5/1000</f>
        <v>43.2</v>
      </c>
      <c r="G5" s="20">
        <f>G4+$B$14*(E5-E4)</f>
        <v>12</v>
      </c>
      <c r="H5" s="20">
        <f t="shared" si="0"/>
        <v>12</v>
      </c>
      <c r="I5" s="21">
        <f>(H5-H4)/(E5-E4)</f>
        <v>0.4</v>
      </c>
      <c r="J5" s="20">
        <f>$J$2/H5</f>
        <v>3597</v>
      </c>
      <c r="K5" s="20">
        <v>0</v>
      </c>
      <c r="L5" s="20">
        <v>0</v>
      </c>
      <c r="M5" s="20">
        <f t="shared" si="2"/>
        <v>0</v>
      </c>
      <c r="N5" s="20">
        <f t="shared" si="3"/>
        <v>755.37</v>
      </c>
      <c r="O5" s="20">
        <f t="shared" si="4"/>
        <v>272.61360000000002</v>
      </c>
      <c r="P5" s="20">
        <f t="shared" si="5"/>
        <v>4400</v>
      </c>
      <c r="Q5" s="20">
        <f t="shared" si="6"/>
        <v>5427.9835999999996</v>
      </c>
      <c r="R5" s="20">
        <f t="shared" si="7"/>
        <v>2551.1522919999998</v>
      </c>
      <c r="S5" s="20">
        <f t="shared" si="8"/>
        <v>243.81182771524394</v>
      </c>
      <c r="T5" s="20">
        <f t="shared" si="1"/>
        <v>13.986999999999998</v>
      </c>
      <c r="U5" s="20">
        <f t="shared" si="9"/>
        <v>95.997121086121339</v>
      </c>
      <c r="V5" s="20">
        <f t="shared" si="10"/>
        <v>3410.1960342531165</v>
      </c>
      <c r="W5" s="56">
        <f t="shared" si="11"/>
        <v>34.282001684210528</v>
      </c>
      <c r="X5" s="56">
        <f t="shared" si="12"/>
        <v>68.564003368421055</v>
      </c>
    </row>
    <row r="6" spans="1:24" x14ac:dyDescent="0.25">
      <c r="A6" s="26" t="s">
        <v>15</v>
      </c>
      <c r="B6" s="26">
        <v>0.75</v>
      </c>
      <c r="C6" s="26"/>
      <c r="D6" s="38"/>
      <c r="E6" s="20">
        <f t="shared" si="13"/>
        <v>40</v>
      </c>
      <c r="F6" s="20">
        <f>3600*H6/1000</f>
        <v>57.6</v>
      </c>
      <c r="G6" s="20">
        <f>G5+$B$14*(E6-E5)</f>
        <v>16</v>
      </c>
      <c r="H6" s="20">
        <f t="shared" si="0"/>
        <v>16</v>
      </c>
      <c r="I6" s="21">
        <f>(H6-H5)/(E6-E5)</f>
        <v>0.4</v>
      </c>
      <c r="J6" s="20">
        <f>$J$2/H6</f>
        <v>2697.75</v>
      </c>
      <c r="K6" s="20">
        <v>0</v>
      </c>
      <c r="L6" s="20">
        <v>0</v>
      </c>
      <c r="M6" s="20">
        <f t="shared" si="2"/>
        <v>0</v>
      </c>
      <c r="N6" s="20">
        <f t="shared" si="3"/>
        <v>755.37</v>
      </c>
      <c r="O6" s="20">
        <f t="shared" si="4"/>
        <v>484.64640000000003</v>
      </c>
      <c r="P6" s="20">
        <f t="shared" si="5"/>
        <v>4400</v>
      </c>
      <c r="Q6" s="20">
        <f t="shared" si="6"/>
        <v>5640.0164000000004</v>
      </c>
      <c r="R6" s="20">
        <f t="shared" si="7"/>
        <v>2650.8077080000003</v>
      </c>
      <c r="S6" s="20">
        <f t="shared" si="8"/>
        <v>325.0824369536586</v>
      </c>
      <c r="T6" s="20">
        <f t="shared" si="1"/>
        <v>13.986999999999998</v>
      </c>
      <c r="U6" s="20">
        <f t="shared" si="9"/>
        <v>99.747047371055103</v>
      </c>
      <c r="V6" s="20">
        <f t="shared" si="10"/>
        <v>4546.928045670822</v>
      </c>
      <c r="W6" s="56">
        <f t="shared" si="11"/>
        <v>47.49487494736843</v>
      </c>
      <c r="X6" s="56">
        <f t="shared" si="12"/>
        <v>94.98974989473686</v>
      </c>
    </row>
    <row r="7" spans="1:24" x14ac:dyDescent="0.25">
      <c r="A7" s="26" t="s">
        <v>123</v>
      </c>
      <c r="B7" s="26">
        <v>7.0000000000000001E-3</v>
      </c>
      <c r="C7" s="26"/>
      <c r="D7" s="38"/>
      <c r="E7" s="20">
        <f t="shared" si="13"/>
        <v>50</v>
      </c>
      <c r="F7" s="20">
        <f>3600*H7/1000</f>
        <v>72</v>
      </c>
      <c r="G7" s="20">
        <f>G6+$B$14*(E7-E6)</f>
        <v>20</v>
      </c>
      <c r="H7" s="20">
        <f t="shared" si="0"/>
        <v>20</v>
      </c>
      <c r="I7" s="21">
        <f>(H7-H6)/(E7-E6)</f>
        <v>0.4</v>
      </c>
      <c r="J7" s="20">
        <f>$J$2/H7</f>
        <v>2158.1999999999998</v>
      </c>
      <c r="K7" s="20">
        <v>0</v>
      </c>
      <c r="L7" s="20">
        <v>0</v>
      </c>
      <c r="M7" s="20">
        <f t="shared" si="2"/>
        <v>0</v>
      </c>
      <c r="N7" s="20">
        <f t="shared" si="3"/>
        <v>755.37</v>
      </c>
      <c r="O7" s="20">
        <f t="shared" si="4"/>
        <v>757.26</v>
      </c>
      <c r="P7" s="20">
        <f t="shared" si="5"/>
        <v>4400</v>
      </c>
      <c r="Q7" s="20">
        <f t="shared" si="6"/>
        <v>5912.63</v>
      </c>
      <c r="R7" s="20">
        <f t="shared" si="7"/>
        <v>2778.9360999999999</v>
      </c>
      <c r="S7" s="20">
        <f t="shared" si="8"/>
        <v>406.35304619207324</v>
      </c>
      <c r="T7" s="20">
        <f t="shared" si="1"/>
        <v>13.986999999999998</v>
      </c>
      <c r="U7" s="20">
        <f t="shared" si="9"/>
        <v>104.56838116596991</v>
      </c>
      <c r="V7" s="20">
        <f t="shared" si="10"/>
        <v>5683.6600570885275</v>
      </c>
      <c r="W7" s="56">
        <f t="shared" si="11"/>
        <v>62.238210526315783</v>
      </c>
      <c r="X7" s="56">
        <f t="shared" si="12"/>
        <v>124.47642105263157</v>
      </c>
    </row>
    <row r="8" spans="1:24" x14ac:dyDescent="0.25">
      <c r="A8" s="26" t="s">
        <v>8</v>
      </c>
      <c r="B8" s="26">
        <v>0.4</v>
      </c>
      <c r="C8" s="26"/>
      <c r="D8" s="38"/>
      <c r="E8" s="20">
        <f t="shared" si="13"/>
        <v>60</v>
      </c>
      <c r="F8" s="20">
        <f>3600*H8/1000</f>
        <v>79.92</v>
      </c>
      <c r="G8" s="20">
        <f>G7+$B$14*(E8-E7)</f>
        <v>24</v>
      </c>
      <c r="H8" s="20">
        <f t="shared" si="0"/>
        <v>22.2</v>
      </c>
      <c r="I8" s="21">
        <f>(H8-H7)/(E8-E7)</f>
        <v>0.21999999999999992</v>
      </c>
      <c r="J8" s="20">
        <f>$J$2/H8</f>
        <v>1944.3243243243244</v>
      </c>
      <c r="K8" s="20">
        <v>0</v>
      </c>
      <c r="L8" s="20">
        <v>0</v>
      </c>
      <c r="M8" s="20">
        <f t="shared" si="2"/>
        <v>0</v>
      </c>
      <c r="N8" s="20">
        <f t="shared" si="3"/>
        <v>755.37</v>
      </c>
      <c r="O8" s="20">
        <f t="shared" si="4"/>
        <v>933.02004599999998</v>
      </c>
      <c r="P8" s="20">
        <f t="shared" si="5"/>
        <v>2419.9999999999991</v>
      </c>
      <c r="Q8" s="20">
        <f t="shared" si="6"/>
        <v>4108.3900459999986</v>
      </c>
      <c r="R8" s="20">
        <f t="shared" si="7"/>
        <v>1930.9433216199993</v>
      </c>
      <c r="S8" s="20">
        <f t="shared" si="8"/>
        <v>451.05188127320127</v>
      </c>
      <c r="T8" s="20">
        <f t="shared" si="1"/>
        <v>13.986999999999998</v>
      </c>
      <c r="U8" s="20">
        <f t="shared" si="9"/>
        <v>72.659323568125274</v>
      </c>
      <c r="V8" s="20">
        <f t="shared" si="10"/>
        <v>6308.8626633682652</v>
      </c>
      <c r="W8" s="56">
        <f t="shared" si="11"/>
        <v>48.0032942216842</v>
      </c>
      <c r="X8" s="56">
        <f t="shared" si="12"/>
        <v>96.0065884433684</v>
      </c>
    </row>
    <row r="9" spans="1:24" x14ac:dyDescent="0.25">
      <c r="A9" s="26" t="s">
        <v>9</v>
      </c>
      <c r="B9" s="26">
        <v>0.47</v>
      </c>
      <c r="C9" s="26" t="s">
        <v>10</v>
      </c>
      <c r="D9" s="38"/>
      <c r="E9" s="20">
        <f t="shared" si="13"/>
        <v>70</v>
      </c>
      <c r="F9" s="20">
        <f>3600*H9/1000</f>
        <v>79.92</v>
      </c>
      <c r="G9" s="20">
        <f>G8+$B$14*(E9-E8)</f>
        <v>28</v>
      </c>
      <c r="H9" s="20">
        <f t="shared" si="0"/>
        <v>22.2</v>
      </c>
      <c r="I9" s="21">
        <f>(H9-H8)/(E9-E8)</f>
        <v>0</v>
      </c>
      <c r="J9" s="20">
        <f>$J$2/H9</f>
        <v>1944.3243243243244</v>
      </c>
      <c r="K9" s="20">
        <v>0</v>
      </c>
      <c r="L9" s="20">
        <v>0</v>
      </c>
      <c r="M9" s="20">
        <f t="shared" si="2"/>
        <v>0</v>
      </c>
      <c r="N9" s="20">
        <f t="shared" si="3"/>
        <v>755.37</v>
      </c>
      <c r="O9" s="20">
        <f t="shared" si="4"/>
        <v>933.02004599999998</v>
      </c>
      <c r="P9" s="20">
        <f t="shared" si="5"/>
        <v>0</v>
      </c>
      <c r="Q9" s="20">
        <f t="shared" si="6"/>
        <v>1688.390046</v>
      </c>
      <c r="R9" s="20">
        <f t="shared" si="7"/>
        <v>793.54332161999992</v>
      </c>
      <c r="S9" s="20">
        <f t="shared" si="8"/>
        <v>451.05188127320127</v>
      </c>
      <c r="T9" s="20">
        <f t="shared" si="1"/>
        <v>13.986999999999998</v>
      </c>
      <c r="U9" s="20">
        <f t="shared" si="9"/>
        <v>29.860183012797599</v>
      </c>
      <c r="V9" s="20">
        <f t="shared" si="10"/>
        <v>6308.8626633682652</v>
      </c>
      <c r="W9" s="56">
        <f t="shared" si="11"/>
        <v>19.727504747999998</v>
      </c>
      <c r="X9" s="56">
        <f t="shared" si="12"/>
        <v>39.455009495999995</v>
      </c>
    </row>
    <row r="10" spans="1:24" x14ac:dyDescent="0.25">
      <c r="A10" s="26" t="s">
        <v>12</v>
      </c>
      <c r="B10" s="26">
        <v>0.95</v>
      </c>
      <c r="C10" s="26"/>
      <c r="D10" s="38"/>
      <c r="E10" s="20">
        <f t="shared" si="13"/>
        <v>80</v>
      </c>
      <c r="F10" s="20">
        <f>3600*H10/1000</f>
        <v>79.92</v>
      </c>
      <c r="G10" s="20">
        <f>G9+$B$14*(E10-E9)</f>
        <v>32</v>
      </c>
      <c r="H10" s="20">
        <f t="shared" si="0"/>
        <v>22.2</v>
      </c>
      <c r="I10" s="21">
        <f>(H10-H9)/(E10-E9)</f>
        <v>0</v>
      </c>
      <c r="J10" s="20">
        <f>$J$2/H10</f>
        <v>1944.3243243243244</v>
      </c>
      <c r="K10" s="20">
        <v>0</v>
      </c>
      <c r="L10" s="20">
        <v>0</v>
      </c>
      <c r="M10" s="20">
        <f t="shared" si="2"/>
        <v>0</v>
      </c>
      <c r="N10" s="20">
        <f t="shared" si="3"/>
        <v>755.37</v>
      </c>
      <c r="O10" s="20">
        <f t="shared" si="4"/>
        <v>933.02004599999998</v>
      </c>
      <c r="P10" s="20">
        <f t="shared" si="5"/>
        <v>0</v>
      </c>
      <c r="Q10" s="20">
        <f t="shared" si="6"/>
        <v>1688.390046</v>
      </c>
      <c r="R10" s="20">
        <f t="shared" si="7"/>
        <v>793.54332161999992</v>
      </c>
      <c r="S10" s="20">
        <f t="shared" si="8"/>
        <v>451.05188127320127</v>
      </c>
      <c r="T10" s="20">
        <f t="shared" si="1"/>
        <v>13.986999999999998</v>
      </c>
      <c r="U10" s="20">
        <f t="shared" si="9"/>
        <v>29.860183012797599</v>
      </c>
      <c r="V10" s="20">
        <f t="shared" si="10"/>
        <v>6308.8626633682652</v>
      </c>
      <c r="W10" s="56">
        <f t="shared" si="11"/>
        <v>19.727504747999998</v>
      </c>
      <c r="X10" s="56">
        <f t="shared" si="12"/>
        <v>39.455009495999995</v>
      </c>
    </row>
    <row r="11" spans="1:24" x14ac:dyDescent="0.25">
      <c r="A11" s="26" t="s">
        <v>128</v>
      </c>
      <c r="B11" s="26">
        <v>20</v>
      </c>
      <c r="C11" s="26" t="s">
        <v>16</v>
      </c>
      <c r="D11" s="38"/>
      <c r="E11" s="24">
        <f t="shared" si="13"/>
        <v>90</v>
      </c>
      <c r="F11" s="24">
        <f>3600*H11/1000</f>
        <v>3.5999999999999999E-3</v>
      </c>
      <c r="G11" s="24">
        <f>G10+$B$14*(E11-E10)</f>
        <v>36</v>
      </c>
      <c r="H11" s="24">
        <v>1E-3</v>
      </c>
      <c r="I11" s="25">
        <v>0</v>
      </c>
      <c r="J11" s="24">
        <f>$J$2/H11</f>
        <v>43164000</v>
      </c>
      <c r="K11" s="24">
        <f>Table2[[#This Row],[Value]]</f>
        <v>20</v>
      </c>
      <c r="L11" s="24">
        <f>ATAN2(100, K11)</f>
        <v>0.19739555984988078</v>
      </c>
      <c r="M11" s="24">
        <f t="shared" si="2"/>
        <v>21162.89214276144</v>
      </c>
      <c r="N11" s="24">
        <f t="shared" si="3"/>
        <v>740.70122499665035</v>
      </c>
      <c r="O11" s="24">
        <f t="shared" si="4"/>
        <v>1.89315E-6</v>
      </c>
      <c r="P11" s="24">
        <f t="shared" si="5"/>
        <v>0</v>
      </c>
      <c r="Q11" s="24">
        <f t="shared" si="6"/>
        <v>21903.59336965124</v>
      </c>
      <c r="R11" s="24">
        <f t="shared" si="7"/>
        <v>10294.688883736082</v>
      </c>
      <c r="S11" s="24">
        <f t="shared" si="8"/>
        <v>2.0317652309603661E-2</v>
      </c>
      <c r="T11" s="24">
        <f t="shared" si="1"/>
        <v>13.986999999999998</v>
      </c>
      <c r="U11" s="24">
        <f t="shared" si="9"/>
        <v>387.37808731175505</v>
      </c>
      <c r="V11" s="24">
        <f>S11*T11</f>
        <v>0.28418300285442638</v>
      </c>
      <c r="W11" s="54">
        <f t="shared" si="11"/>
        <v>1.1528207036658548E-2</v>
      </c>
      <c r="X11" s="54">
        <f t="shared" si="12"/>
        <v>2.3056414073317096E-2</v>
      </c>
    </row>
    <row r="12" spans="1:24" x14ac:dyDescent="0.25">
      <c r="A12" s="26" t="s">
        <v>129</v>
      </c>
      <c r="B12" s="26">
        <v>20</v>
      </c>
      <c r="C12" s="26" t="s">
        <v>16</v>
      </c>
      <c r="D12" s="38"/>
      <c r="E12" s="22">
        <f t="shared" si="13"/>
        <v>100</v>
      </c>
      <c r="F12" s="22">
        <f>3600*H12/1000</f>
        <v>7.2</v>
      </c>
      <c r="G12" s="22">
        <f>G11+$B$14*(E12-E11)</f>
        <v>40</v>
      </c>
      <c r="H12" s="34">
        <v>2</v>
      </c>
      <c r="I12" s="23">
        <v>0</v>
      </c>
      <c r="J12" s="22">
        <f>$J$2/H12</f>
        <v>21582</v>
      </c>
      <c r="K12" s="34">
        <v>5</v>
      </c>
      <c r="L12" s="22">
        <f t="shared" ref="L12:L15" si="14">ATAN2(100, K12)</f>
        <v>4.9958395721942765E-2</v>
      </c>
      <c r="M12" s="22">
        <f t="shared" si="2"/>
        <v>5388.7682444154116</v>
      </c>
      <c r="N12" s="22">
        <f t="shared" si="3"/>
        <v>754.42755421815752</v>
      </c>
      <c r="O12" s="22">
        <f t="shared" si="4"/>
        <v>7.5726000000000004</v>
      </c>
      <c r="P12" s="22">
        <f t="shared" si="5"/>
        <v>0</v>
      </c>
      <c r="Q12" s="22">
        <f t="shared" si="6"/>
        <v>6150.7683986335696</v>
      </c>
      <c r="R12" s="22">
        <f t="shared" si="7"/>
        <v>2890.8611473577776</v>
      </c>
      <c r="S12" s="22">
        <f t="shared" si="8"/>
        <v>40.635304619207325</v>
      </c>
      <c r="T12" s="22">
        <f t="shared" si="1"/>
        <v>13.986999999999998</v>
      </c>
      <c r="U12" s="22">
        <f t="shared" si="9"/>
        <v>108.78000050263884</v>
      </c>
      <c r="V12" s="22">
        <f t="shared" si="10"/>
        <v>568.36600570885275</v>
      </c>
      <c r="W12" s="55">
        <f t="shared" si="11"/>
        <v>6.4744930511932317</v>
      </c>
      <c r="X12" s="55">
        <f t="shared" si="12"/>
        <v>12.948986102386463</v>
      </c>
    </row>
    <row r="13" spans="1:24" x14ac:dyDescent="0.25">
      <c r="A13" s="26" t="s">
        <v>130</v>
      </c>
      <c r="B13" s="26">
        <v>0.3</v>
      </c>
      <c r="C13" s="26" t="s">
        <v>19</v>
      </c>
      <c r="D13" s="38"/>
      <c r="E13" s="22">
        <f t="shared" si="13"/>
        <v>110</v>
      </c>
      <c r="F13" s="22">
        <f>3600*H13/1000</f>
        <v>3.6</v>
      </c>
      <c r="G13" s="22">
        <f>G12+$B$14*(E13-E12)</f>
        <v>44</v>
      </c>
      <c r="H13" s="34">
        <v>1</v>
      </c>
      <c r="I13" s="23">
        <v>0</v>
      </c>
      <c r="J13" s="22">
        <f>$J$2/H13</f>
        <v>43164</v>
      </c>
      <c r="K13" s="34">
        <v>10</v>
      </c>
      <c r="L13" s="22">
        <f t="shared" si="14"/>
        <v>9.9668652491162038E-2</v>
      </c>
      <c r="M13" s="22">
        <f t="shared" si="2"/>
        <v>10737.446319555995</v>
      </c>
      <c r="N13" s="22">
        <f t="shared" si="3"/>
        <v>751.62124236891952</v>
      </c>
      <c r="O13" s="22">
        <f t="shared" si="4"/>
        <v>1.8931500000000001</v>
      </c>
      <c r="P13" s="22">
        <f t="shared" si="5"/>
        <v>0</v>
      </c>
      <c r="Q13" s="22">
        <f t="shared" si="6"/>
        <v>11490.960711924914</v>
      </c>
      <c r="R13" s="22">
        <f t="shared" si="7"/>
        <v>5400.7515346047094</v>
      </c>
      <c r="S13" s="22">
        <f t="shared" si="8"/>
        <v>20.317652309603663</v>
      </c>
      <c r="T13" s="22">
        <f t="shared" si="1"/>
        <v>13.986999999999998</v>
      </c>
      <c r="U13" s="22">
        <f t="shared" si="9"/>
        <v>203.22448042372844</v>
      </c>
      <c r="V13" s="22">
        <f t="shared" si="10"/>
        <v>284.18300285442638</v>
      </c>
      <c r="W13" s="55">
        <f t="shared" si="11"/>
        <v>6.0478740589078495</v>
      </c>
      <c r="X13" s="55">
        <f t="shared" si="12"/>
        <v>12.095748117815699</v>
      </c>
    </row>
    <row r="14" spans="1:24" x14ac:dyDescent="0.25">
      <c r="A14" s="26" t="s">
        <v>17</v>
      </c>
      <c r="B14" s="26">
        <v>0.4</v>
      </c>
      <c r="C14" s="26" t="s">
        <v>5</v>
      </c>
      <c r="D14" s="38"/>
      <c r="E14" s="22">
        <f t="shared" si="13"/>
        <v>120</v>
      </c>
      <c r="F14" s="22">
        <f>3600*H14/1000</f>
        <v>2.88</v>
      </c>
      <c r="G14" s="22">
        <f>G13+$B$14*(E14-E13)</f>
        <v>48</v>
      </c>
      <c r="H14" s="34">
        <v>0.8</v>
      </c>
      <c r="I14" s="23">
        <v>0</v>
      </c>
      <c r="J14" s="22">
        <f>$J$2/H14</f>
        <v>53955</v>
      </c>
      <c r="K14" s="34">
        <v>20</v>
      </c>
      <c r="L14" s="22">
        <f t="shared" si="14"/>
        <v>0.19739555984988078</v>
      </c>
      <c r="M14" s="22">
        <f t="shared" si="2"/>
        <v>21162.89214276144</v>
      </c>
      <c r="N14" s="22">
        <f t="shared" si="3"/>
        <v>740.70122499665035</v>
      </c>
      <c r="O14" s="22">
        <f t="shared" si="4"/>
        <v>1.2116160000000002</v>
      </c>
      <c r="P14" s="22">
        <f t="shared" si="5"/>
        <v>0</v>
      </c>
      <c r="Q14" s="22">
        <f t="shared" si="6"/>
        <v>21904.804983758091</v>
      </c>
      <c r="R14" s="22">
        <f t="shared" si="7"/>
        <v>10295.258342366302</v>
      </c>
      <c r="S14" s="22">
        <f t="shared" si="8"/>
        <v>16.254121847682928</v>
      </c>
      <c r="T14" s="22">
        <f t="shared" si="1"/>
        <v>13.986999999999998</v>
      </c>
      <c r="U14" s="22">
        <f t="shared" si="9"/>
        <v>387.39951542847319</v>
      </c>
      <c r="V14" s="22">
        <f t="shared" si="10"/>
        <v>227.3464022835411</v>
      </c>
      <c r="W14" s="55">
        <f t="shared" si="11"/>
        <v>9.2230757826349858</v>
      </c>
      <c r="X14" s="55">
        <f t="shared" si="12"/>
        <v>18.446151565269972</v>
      </c>
    </row>
    <row r="15" spans="1:24" x14ac:dyDescent="0.25">
      <c r="A15" s="26" t="s">
        <v>18</v>
      </c>
      <c r="B15" s="26">
        <v>22.2</v>
      </c>
      <c r="C15" s="26" t="s">
        <v>19</v>
      </c>
      <c r="D15" s="38"/>
      <c r="E15" s="22">
        <f t="shared" si="13"/>
        <v>130</v>
      </c>
      <c r="F15" s="22">
        <f>3600*H15/1000</f>
        <v>1.08</v>
      </c>
      <c r="G15" s="22">
        <f>G14+$B$14*(E15-E14)</f>
        <v>52</v>
      </c>
      <c r="H15" s="34">
        <f>B13</f>
        <v>0.3</v>
      </c>
      <c r="I15" s="23">
        <v>0</v>
      </c>
      <c r="J15" s="22">
        <f>$J$2/H15</f>
        <v>143880</v>
      </c>
      <c r="K15" s="34">
        <f>B12</f>
        <v>20</v>
      </c>
      <c r="L15" s="22">
        <f t="shared" si="14"/>
        <v>0.19739555984988078</v>
      </c>
      <c r="M15" s="22">
        <f t="shared" si="2"/>
        <v>21162.89214276144</v>
      </c>
      <c r="N15" s="22">
        <f t="shared" si="3"/>
        <v>740.70122499665035</v>
      </c>
      <c r="O15" s="22">
        <f t="shared" si="4"/>
        <v>0.17038349999999999</v>
      </c>
      <c r="P15" s="22">
        <f t="shared" si="5"/>
        <v>0</v>
      </c>
      <c r="Q15" s="22">
        <f t="shared" si="6"/>
        <v>21903.763751258091</v>
      </c>
      <c r="R15" s="22">
        <f t="shared" si="7"/>
        <v>10294.768963091303</v>
      </c>
      <c r="S15" s="22">
        <f t="shared" si="8"/>
        <v>6.0952956928810984</v>
      </c>
      <c r="T15" s="22">
        <f t="shared" si="1"/>
        <v>13.986999999999998</v>
      </c>
      <c r="U15" s="22">
        <f t="shared" si="9"/>
        <v>387.38110061189542</v>
      </c>
      <c r="V15" s="22">
        <f t="shared" si="10"/>
        <v>85.254900856327907</v>
      </c>
      <c r="W15" s="55">
        <f t="shared" si="11"/>
        <v>3.4584890133565409</v>
      </c>
      <c r="X15" s="55">
        <f t="shared" si="12"/>
        <v>6.9169780267130818</v>
      </c>
    </row>
    <row r="16" spans="1:24" x14ac:dyDescent="0.25">
      <c r="A16" s="26" t="s">
        <v>32</v>
      </c>
      <c r="B16" s="26">
        <v>2</v>
      </c>
      <c r="C16" s="26"/>
      <c r="D16" s="38"/>
      <c r="I16" s="1"/>
      <c r="J16" s="1"/>
      <c r="S16" s="1"/>
    </row>
    <row r="17" spans="1:12" x14ac:dyDescent="0.25">
      <c r="A17" s="26" t="s">
        <v>83</v>
      </c>
      <c r="B17" s="26">
        <v>3.94</v>
      </c>
      <c r="C17" s="26"/>
      <c r="D17" s="38"/>
      <c r="I17" s="1"/>
      <c r="J17" s="1"/>
    </row>
    <row r="18" spans="1:12" x14ac:dyDescent="0.25">
      <c r="A18" s="26" t="s">
        <v>84</v>
      </c>
      <c r="B18" s="26">
        <v>3.55</v>
      </c>
      <c r="C18" s="26"/>
      <c r="D18" s="38"/>
    </row>
    <row r="19" spans="1:12" ht="15.75" thickBot="1" x14ac:dyDescent="0.3">
      <c r="A19" s="37" t="s">
        <v>37</v>
      </c>
      <c r="B19" s="37"/>
      <c r="C19" s="37"/>
      <c r="D19" s="38"/>
    </row>
    <row r="20" spans="1:12" ht="16.5" thickTop="1" thickBot="1" x14ac:dyDescent="0.3">
      <c r="A20" s="3"/>
      <c r="B20" s="29" t="s">
        <v>124</v>
      </c>
      <c r="C20" s="29" t="s">
        <v>125</v>
      </c>
      <c r="D20" s="38"/>
      <c r="E20" s="51" t="s">
        <v>57</v>
      </c>
      <c r="F20" s="51"/>
      <c r="G20" s="51"/>
      <c r="H20" s="51"/>
      <c r="I20" s="51"/>
      <c r="J20" s="51"/>
      <c r="K20" s="51"/>
      <c r="L20" s="51"/>
    </row>
    <row r="21" spans="1:12" ht="45.75" thickTop="1" x14ac:dyDescent="0.25">
      <c r="A21" s="3"/>
      <c r="B21" s="29" t="s">
        <v>38</v>
      </c>
      <c r="C21" s="29" t="s">
        <v>2</v>
      </c>
      <c r="D21" s="38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12" x14ac:dyDescent="0.25">
      <c r="B22" s="31">
        <v>65000</v>
      </c>
      <c r="C22" s="31">
        <f>B22*0.453592</f>
        <v>29483.48</v>
      </c>
      <c r="D22" s="38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x14ac:dyDescent="0.25">
      <c r="B23" s="32" t="s">
        <v>39</v>
      </c>
      <c r="C23" s="32" t="s">
        <v>40</v>
      </c>
      <c r="D23" s="38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31">
        <v>1</v>
      </c>
      <c r="C24" s="31">
        <f>B24*0.0254</f>
        <v>2.5399999999999999E-2</v>
      </c>
      <c r="D24" s="38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x14ac:dyDescent="0.25">
      <c r="B25" s="32" t="s">
        <v>41</v>
      </c>
      <c r="C25" s="32" t="s">
        <v>42</v>
      </c>
      <c r="D25" s="38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31">
        <v>1</v>
      </c>
      <c r="C26" s="31">
        <f>B26*4.44822</f>
        <v>4.4482200000000001</v>
      </c>
      <c r="D26" s="38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x14ac:dyDescent="0.25">
      <c r="B27" s="32" t="s">
        <v>43</v>
      </c>
      <c r="C27" s="32" t="s">
        <v>19</v>
      </c>
      <c r="D27" s="38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31">
        <v>50</v>
      </c>
      <c r="C28" s="31">
        <f>B28/2.23694</f>
        <v>22.351962949386213</v>
      </c>
      <c r="D28" s="38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x14ac:dyDescent="0.25">
      <c r="B29" s="32" t="s">
        <v>44</v>
      </c>
      <c r="C29" s="32" t="s">
        <v>19</v>
      </c>
      <c r="D29" s="38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31">
        <v>100</v>
      </c>
      <c r="C30" s="31">
        <f>B30*0.277778</f>
        <v>27.777800000000003</v>
      </c>
      <c r="D30" s="38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x14ac:dyDescent="0.25">
      <c r="B31" s="32" t="s">
        <v>45</v>
      </c>
      <c r="C31" s="32" t="s">
        <v>46</v>
      </c>
      <c r="D31" s="38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ht="15.75" thickBot="1" x14ac:dyDescent="0.3">
      <c r="B32" s="31">
        <v>1</v>
      </c>
      <c r="C32" s="31">
        <f>B32*1.35582</f>
        <v>1.35582</v>
      </c>
      <c r="D32" s="38"/>
      <c r="E32" s="1"/>
      <c r="F32" s="1"/>
      <c r="G32" s="1"/>
      <c r="H32" s="1"/>
      <c r="I32" s="1"/>
      <c r="J32" s="1"/>
    </row>
    <row r="33" spans="1:12" ht="16.5" thickTop="1" thickBot="1" x14ac:dyDescent="0.3">
      <c r="B33" s="32" t="s">
        <v>47</v>
      </c>
      <c r="C33" s="32" t="s">
        <v>48</v>
      </c>
      <c r="D33" s="38"/>
      <c r="E33" s="52" t="s">
        <v>58</v>
      </c>
      <c r="F33" s="52"/>
      <c r="G33" s="52"/>
      <c r="H33" s="52"/>
      <c r="I33" s="52"/>
      <c r="J33" s="52"/>
      <c r="K33" s="52"/>
      <c r="L33" s="52"/>
    </row>
    <row r="34" spans="1:12" ht="45.75" thickTop="1" x14ac:dyDescent="0.25">
      <c r="B34" s="31">
        <v>1</v>
      </c>
      <c r="C34" s="31">
        <f>B34*0.7457</f>
        <v>0.74570000000000003</v>
      </c>
      <c r="D34" s="38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3" t="s">
        <v>17</v>
      </c>
      <c r="C35" s="33"/>
      <c r="D35" s="38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1:12" x14ac:dyDescent="0.25">
      <c r="B36" s="28" t="s">
        <v>85</v>
      </c>
      <c r="C36" s="28">
        <v>100</v>
      </c>
      <c r="D36" s="38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1:12" x14ac:dyDescent="0.25">
      <c r="B37" s="28" t="s">
        <v>86</v>
      </c>
      <c r="C37" s="28">
        <v>16</v>
      </c>
      <c r="D37" s="38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1:12" x14ac:dyDescent="0.25">
      <c r="B38" s="28" t="s">
        <v>5</v>
      </c>
      <c r="C38" s="30">
        <f>1000*C36/3600/C37</f>
        <v>1.7361111111111112</v>
      </c>
      <c r="D38" s="38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1:12" ht="15.75" thickBot="1" x14ac:dyDescent="0.3">
      <c r="D39" s="38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1:12" ht="16.5" thickTop="1" thickBot="1" x14ac:dyDescent="0.3">
      <c r="A40" s="35" t="s">
        <v>131</v>
      </c>
      <c r="B40" s="36">
        <v>10</v>
      </c>
      <c r="C40" s="35" t="s">
        <v>86</v>
      </c>
      <c r="D40" s="38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1:12" ht="15.75" thickTop="1" x14ac:dyDescent="0.25">
      <c r="D41" s="38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1:12" x14ac:dyDescent="0.25">
      <c r="D42" s="38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1:12" x14ac:dyDescent="0.25">
      <c r="D43" s="38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1:12" x14ac:dyDescent="0.25">
      <c r="D44" s="38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52" t="s">
        <v>59</v>
      </c>
      <c r="F46" s="52"/>
      <c r="G46" s="52"/>
      <c r="H46" s="52"/>
      <c r="I46" s="52"/>
      <c r="J46" s="52"/>
      <c r="K46" s="52"/>
      <c r="L46" s="52"/>
    </row>
    <row r="47" spans="1:12" ht="45.75" thickTop="1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1" spans="5:13" ht="15.75" thickBot="1" x14ac:dyDescent="0.3"/>
    <row r="62" spans="5:13" ht="16.5" thickTop="1" thickBot="1" x14ac:dyDescent="0.3">
      <c r="E62" s="52" t="s">
        <v>95</v>
      </c>
      <c r="F62" s="52"/>
      <c r="G62" s="52"/>
      <c r="H62" s="52"/>
      <c r="I62" s="52"/>
      <c r="J62" s="52"/>
      <c r="K62" s="52"/>
      <c r="L62" s="52"/>
      <c r="M62" s="52"/>
    </row>
    <row r="63" spans="5:13" ht="30.75" thickTop="1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52" t="s">
        <v>96</v>
      </c>
      <c r="F81" s="52"/>
      <c r="G81" s="52"/>
      <c r="H81" s="52"/>
      <c r="I81" s="52"/>
      <c r="J81" s="52"/>
      <c r="K81" s="52"/>
      <c r="L81" s="52"/>
    </row>
    <row r="82" spans="5:13" ht="30.75" thickTop="1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52" t="s">
        <v>113</v>
      </c>
      <c r="F111" s="52"/>
      <c r="G111" s="52"/>
      <c r="H111" s="52"/>
      <c r="I111" s="52"/>
      <c r="J111" s="52"/>
      <c r="K111" s="52"/>
      <c r="L111" s="52"/>
    </row>
    <row r="112" spans="5:13" ht="30.75" thickTop="1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52" t="s">
        <v>114</v>
      </c>
      <c r="F133" s="52"/>
      <c r="G133" s="52"/>
      <c r="H133" s="52"/>
      <c r="I133" s="52"/>
      <c r="J133" s="52"/>
      <c r="K133" s="52"/>
      <c r="L133" s="52"/>
    </row>
    <row r="134" spans="5:13" ht="30.75" thickTop="1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52" t="s">
        <v>140</v>
      </c>
      <c r="F153" s="52"/>
      <c r="G153" s="52"/>
      <c r="H153" s="52"/>
      <c r="I153" s="52"/>
      <c r="J153" s="52"/>
      <c r="K153" s="52"/>
      <c r="L153" s="52"/>
    </row>
    <row r="154" spans="5:13" ht="30.75" thickTop="1" x14ac:dyDescent="0.25">
      <c r="E154" s="4" t="s">
        <v>50</v>
      </c>
      <c r="F154" s="4" t="s">
        <v>132</v>
      </c>
      <c r="G154" s="4" t="s">
        <v>133</v>
      </c>
      <c r="H154" s="4" t="s">
        <v>134</v>
      </c>
      <c r="I154" s="4" t="s">
        <v>135</v>
      </c>
      <c r="J154" s="4" t="s">
        <v>136</v>
      </c>
      <c r="K154" s="4" t="s">
        <v>137</v>
      </c>
      <c r="L154" s="2" t="s">
        <v>138</v>
      </c>
      <c r="M154" s="2" t="s">
        <v>139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19:C19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abSelected="1" workbookViewId="0">
      <selection activeCell="D74" sqref="D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39" t="s">
        <v>60</v>
      </c>
      <c r="B2" s="42">
        <v>15000</v>
      </c>
      <c r="C2" s="42">
        <v>300</v>
      </c>
      <c r="D2" s="42">
        <v>1330</v>
      </c>
      <c r="E2" s="12">
        <v>1.35</v>
      </c>
      <c r="G2" s="39" t="s">
        <v>75</v>
      </c>
      <c r="H2" s="42">
        <v>4000</v>
      </c>
      <c r="I2" s="42">
        <v>125</v>
      </c>
      <c r="J2" s="42">
        <v>250</v>
      </c>
      <c r="K2" s="15">
        <v>35.01</v>
      </c>
    </row>
    <row r="3" spans="1:11" ht="15.75" thickBot="1" x14ac:dyDescent="0.3">
      <c r="A3" s="40"/>
      <c r="B3" s="43"/>
      <c r="C3" s="43"/>
      <c r="D3" s="43"/>
      <c r="E3" s="13">
        <v>2.5299999999999998</v>
      </c>
      <c r="G3" s="41"/>
      <c r="H3" s="44"/>
      <c r="I3" s="44"/>
      <c r="J3" s="44"/>
      <c r="K3" s="16">
        <v>47.74</v>
      </c>
    </row>
    <row r="4" spans="1:11" ht="15.75" thickBot="1" x14ac:dyDescent="0.3">
      <c r="A4" s="40"/>
      <c r="B4" s="43"/>
      <c r="C4" s="43"/>
      <c r="D4" s="43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0"/>
      <c r="B5" s="43"/>
      <c r="C5" s="43"/>
      <c r="D5" s="43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1"/>
      <c r="B6" s="44"/>
      <c r="C6" s="44"/>
      <c r="D6" s="44"/>
      <c r="E6" s="14">
        <v>4.43</v>
      </c>
      <c r="G6" s="39" t="s">
        <v>81</v>
      </c>
      <c r="H6" s="42">
        <v>1106</v>
      </c>
      <c r="I6" s="42">
        <v>500</v>
      </c>
      <c r="J6" s="42">
        <v>1000</v>
      </c>
      <c r="K6" s="15">
        <v>21.26</v>
      </c>
    </row>
    <row r="7" spans="1:11" x14ac:dyDescent="0.25">
      <c r="A7" s="45" t="s">
        <v>61</v>
      </c>
      <c r="B7" s="47">
        <v>15000</v>
      </c>
      <c r="C7" s="47">
        <v>300</v>
      </c>
      <c r="D7" s="47">
        <v>4000</v>
      </c>
      <c r="E7" s="12">
        <v>5.2</v>
      </c>
      <c r="G7" s="40"/>
      <c r="H7" s="43"/>
      <c r="I7" s="43"/>
      <c r="J7" s="43"/>
      <c r="K7" s="18">
        <v>30.68</v>
      </c>
    </row>
    <row r="8" spans="1:11" x14ac:dyDescent="0.25">
      <c r="A8" s="49"/>
      <c r="B8" s="50"/>
      <c r="C8" s="50"/>
      <c r="D8" s="50"/>
      <c r="E8" s="13">
        <v>6.04</v>
      </c>
      <c r="G8" s="40"/>
      <c r="H8" s="43"/>
      <c r="I8" s="43"/>
      <c r="J8" s="43"/>
      <c r="K8" s="18">
        <v>45.13</v>
      </c>
    </row>
    <row r="9" spans="1:11" ht="15.75" thickBot="1" x14ac:dyDescent="0.3">
      <c r="A9" s="49"/>
      <c r="B9" s="50"/>
      <c r="C9" s="50"/>
      <c r="D9" s="50"/>
      <c r="E9" s="13">
        <v>7.04</v>
      </c>
      <c r="G9" s="41"/>
      <c r="H9" s="44"/>
      <c r="I9" s="44"/>
      <c r="J9" s="44"/>
      <c r="K9" s="16">
        <v>50.62</v>
      </c>
    </row>
    <row r="10" spans="1:11" x14ac:dyDescent="0.25">
      <c r="A10" s="49"/>
      <c r="B10" s="50"/>
      <c r="C10" s="50"/>
      <c r="D10" s="50"/>
      <c r="E10" s="13">
        <v>8.08</v>
      </c>
      <c r="G10" s="39" t="s">
        <v>82</v>
      </c>
      <c r="H10" s="42">
        <v>5000</v>
      </c>
      <c r="I10" s="42">
        <v>3500</v>
      </c>
      <c r="J10" s="42">
        <v>7000</v>
      </c>
      <c r="K10" s="15">
        <v>18.78</v>
      </c>
    </row>
    <row r="11" spans="1:11" x14ac:dyDescent="0.25">
      <c r="A11" s="49"/>
      <c r="B11" s="50"/>
      <c r="C11" s="50"/>
      <c r="D11" s="50"/>
      <c r="E11" s="13">
        <v>9.1</v>
      </c>
      <c r="G11" s="40"/>
      <c r="H11" s="43"/>
      <c r="I11" s="43"/>
      <c r="J11" s="43"/>
      <c r="K11" s="18">
        <v>24.92</v>
      </c>
    </row>
    <row r="12" spans="1:11" x14ac:dyDescent="0.25">
      <c r="A12" s="49"/>
      <c r="B12" s="50"/>
      <c r="C12" s="50"/>
      <c r="D12" s="50"/>
      <c r="E12" s="13">
        <v>10.11</v>
      </c>
      <c r="G12" s="40"/>
      <c r="H12" s="43"/>
      <c r="I12" s="43"/>
      <c r="J12" s="43"/>
      <c r="K12" s="18">
        <v>25.92</v>
      </c>
    </row>
    <row r="13" spans="1:11" x14ac:dyDescent="0.25">
      <c r="A13" s="49"/>
      <c r="B13" s="50"/>
      <c r="C13" s="50"/>
      <c r="D13" s="50"/>
      <c r="E13" s="13">
        <v>11.05</v>
      </c>
      <c r="G13" s="40"/>
      <c r="H13" s="43"/>
      <c r="I13" s="43"/>
      <c r="J13" s="43"/>
      <c r="K13" s="18">
        <v>47.6</v>
      </c>
    </row>
    <row r="14" spans="1:11" x14ac:dyDescent="0.25">
      <c r="A14" s="49"/>
      <c r="B14" s="50"/>
      <c r="C14" s="50"/>
      <c r="D14" s="50"/>
      <c r="E14" s="13">
        <v>11.9</v>
      </c>
      <c r="G14" s="40"/>
      <c r="H14" s="43"/>
      <c r="I14" s="43"/>
      <c r="J14" s="43"/>
      <c r="K14" s="18">
        <v>57.49</v>
      </c>
    </row>
    <row r="15" spans="1:11" ht="15.75" thickBot="1" x14ac:dyDescent="0.3">
      <c r="A15" s="46"/>
      <c r="B15" s="48"/>
      <c r="C15" s="48"/>
      <c r="D15" s="48"/>
      <c r="E15" s="14">
        <v>13.35</v>
      </c>
      <c r="G15" s="41"/>
      <c r="H15" s="44"/>
      <c r="I15" s="44"/>
      <c r="J15" s="44"/>
      <c r="K15" s="16">
        <v>64.08</v>
      </c>
    </row>
    <row r="16" spans="1:11" x14ac:dyDescent="0.25">
      <c r="A16" s="45" t="s">
        <v>62</v>
      </c>
      <c r="B16" s="47">
        <v>12000</v>
      </c>
      <c r="C16" s="47">
        <v>600</v>
      </c>
      <c r="D16" s="47">
        <v>2100</v>
      </c>
      <c r="E16" s="12">
        <v>1.1000000000000001</v>
      </c>
    </row>
    <row r="17" spans="1:5" x14ac:dyDescent="0.25">
      <c r="A17" s="49"/>
      <c r="B17" s="50"/>
      <c r="C17" s="50"/>
      <c r="D17" s="50"/>
      <c r="E17" s="13">
        <v>1.97</v>
      </c>
    </row>
    <row r="18" spans="1:5" x14ac:dyDescent="0.25">
      <c r="A18" s="49"/>
      <c r="B18" s="50"/>
      <c r="C18" s="50"/>
      <c r="D18" s="50"/>
      <c r="E18" s="13">
        <v>2.88</v>
      </c>
    </row>
    <row r="19" spans="1:5" ht="15.75" thickBot="1" x14ac:dyDescent="0.3">
      <c r="A19" s="46"/>
      <c r="B19" s="48"/>
      <c r="C19" s="48"/>
      <c r="D19" s="48"/>
      <c r="E19" s="14">
        <v>3.5</v>
      </c>
    </row>
    <row r="20" spans="1:5" x14ac:dyDescent="0.25">
      <c r="A20" s="45" t="s">
        <v>63</v>
      </c>
      <c r="B20" s="47">
        <v>12000</v>
      </c>
      <c r="C20" s="47">
        <v>600</v>
      </c>
      <c r="D20" s="47">
        <v>6500</v>
      </c>
      <c r="E20" s="12">
        <v>5.9</v>
      </c>
    </row>
    <row r="21" spans="1:5" x14ac:dyDescent="0.25">
      <c r="A21" s="49"/>
      <c r="B21" s="50"/>
      <c r="C21" s="50"/>
      <c r="D21" s="50"/>
      <c r="E21" s="13">
        <v>7.42</v>
      </c>
    </row>
    <row r="22" spans="1:5" x14ac:dyDescent="0.25">
      <c r="A22" s="49"/>
      <c r="B22" s="50"/>
      <c r="C22" s="50"/>
      <c r="D22" s="50"/>
      <c r="E22" s="13">
        <v>8.5500000000000007</v>
      </c>
    </row>
    <row r="23" spans="1:5" x14ac:dyDescent="0.25">
      <c r="A23" s="49"/>
      <c r="B23" s="50"/>
      <c r="C23" s="50"/>
      <c r="D23" s="50"/>
      <c r="E23" s="13">
        <v>9.4600000000000009</v>
      </c>
    </row>
    <row r="24" spans="1:5" x14ac:dyDescent="0.25">
      <c r="A24" s="49"/>
      <c r="B24" s="50"/>
      <c r="C24" s="50"/>
      <c r="D24" s="50"/>
      <c r="E24" s="13">
        <v>9.94</v>
      </c>
    </row>
    <row r="25" spans="1:5" x14ac:dyDescent="0.25">
      <c r="A25" s="49"/>
      <c r="B25" s="50"/>
      <c r="C25" s="50"/>
      <c r="D25" s="50"/>
      <c r="E25" s="13">
        <v>10.79</v>
      </c>
    </row>
    <row r="26" spans="1:5" x14ac:dyDescent="0.25">
      <c r="A26" s="49"/>
      <c r="B26" s="50"/>
      <c r="C26" s="50"/>
      <c r="D26" s="50"/>
      <c r="E26" s="13">
        <v>12.36</v>
      </c>
    </row>
    <row r="27" spans="1:5" ht="15.75" thickBot="1" x14ac:dyDescent="0.3">
      <c r="A27" s="46"/>
      <c r="B27" s="48"/>
      <c r="C27" s="48"/>
      <c r="D27" s="48"/>
      <c r="E27" s="14">
        <v>13.32</v>
      </c>
    </row>
    <row r="28" spans="1:5" x14ac:dyDescent="0.25">
      <c r="A28" s="45" t="s">
        <v>64</v>
      </c>
      <c r="B28" s="47">
        <v>7500</v>
      </c>
      <c r="C28" s="47">
        <v>1200</v>
      </c>
      <c r="D28" s="47">
        <v>4770</v>
      </c>
      <c r="E28" s="12" t="s">
        <v>72</v>
      </c>
    </row>
    <row r="29" spans="1:5" x14ac:dyDescent="0.25">
      <c r="A29" s="49"/>
      <c r="B29" s="50"/>
      <c r="C29" s="50"/>
      <c r="D29" s="50"/>
      <c r="E29" s="13">
        <v>1</v>
      </c>
    </row>
    <row r="30" spans="1:5" x14ac:dyDescent="0.25">
      <c r="A30" s="49"/>
      <c r="B30" s="50"/>
      <c r="C30" s="50"/>
      <c r="D30" s="50"/>
      <c r="E30" s="13">
        <v>2</v>
      </c>
    </row>
    <row r="31" spans="1:5" x14ac:dyDescent="0.25">
      <c r="A31" s="49"/>
      <c r="B31" s="50"/>
      <c r="C31" s="50"/>
      <c r="D31" s="50"/>
      <c r="E31" s="13">
        <v>2.97</v>
      </c>
    </row>
    <row r="32" spans="1:5" ht="15.75" thickBot="1" x14ac:dyDescent="0.3">
      <c r="A32" s="46"/>
      <c r="B32" s="48"/>
      <c r="C32" s="48"/>
      <c r="D32" s="48"/>
      <c r="E32" s="14">
        <v>3.94</v>
      </c>
    </row>
    <row r="33" spans="1:5" x14ac:dyDescent="0.25">
      <c r="A33" s="45" t="s">
        <v>65</v>
      </c>
      <c r="B33" s="47"/>
      <c r="C33" s="47">
        <v>265</v>
      </c>
      <c r="D33" s="47"/>
      <c r="E33" s="12">
        <v>2.98</v>
      </c>
    </row>
    <row r="34" spans="1:5" x14ac:dyDescent="0.25">
      <c r="A34" s="49"/>
      <c r="B34" s="50"/>
      <c r="C34" s="50"/>
      <c r="D34" s="50"/>
      <c r="E34" s="13">
        <v>3.98</v>
      </c>
    </row>
    <row r="35" spans="1:5" ht="15.75" thickBot="1" x14ac:dyDescent="0.3">
      <c r="A35" s="46"/>
      <c r="B35" s="48"/>
      <c r="C35" s="48"/>
      <c r="D35" s="48"/>
      <c r="E35" s="14">
        <v>6.03</v>
      </c>
    </row>
    <row r="36" spans="1:5" x14ac:dyDescent="0.25">
      <c r="A36" s="45" t="s">
        <v>66</v>
      </c>
      <c r="B36" s="47">
        <v>12500</v>
      </c>
      <c r="C36" s="47" t="s">
        <v>73</v>
      </c>
      <c r="D36" s="47" t="s">
        <v>74</v>
      </c>
      <c r="E36" s="12">
        <v>5.67</v>
      </c>
    </row>
    <row r="37" spans="1:5" ht="15.75" thickBot="1" x14ac:dyDescent="0.3">
      <c r="A37" s="46"/>
      <c r="B37" s="48"/>
      <c r="C37" s="48"/>
      <c r="D37" s="48"/>
      <c r="E37" s="14">
        <v>6</v>
      </c>
    </row>
    <row r="38" spans="1:5" x14ac:dyDescent="0.25">
      <c r="A38" s="45" t="s">
        <v>67</v>
      </c>
      <c r="B38" s="47">
        <v>12500</v>
      </c>
      <c r="C38" s="47" t="s">
        <v>73</v>
      </c>
      <c r="D38" s="47" t="s">
        <v>74</v>
      </c>
      <c r="E38" s="12">
        <v>5.67</v>
      </c>
    </row>
    <row r="39" spans="1:5" ht="15.75" thickBot="1" x14ac:dyDescent="0.3">
      <c r="A39" s="46"/>
      <c r="B39" s="48"/>
      <c r="C39" s="48"/>
      <c r="D39" s="48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2021-02-10T20:54:33Z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