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_2327\ElectricMotors\Sizing\"/>
    </mc:Choice>
  </mc:AlternateContent>
  <xr:revisionPtr revIDLastSave="0" documentId="13_ncr:1_{01C9ACCB-8B95-4A14-8447-D4ADA29EF1C2}" xr6:coauthVersionLast="46" xr6:coauthVersionMax="46" xr10:uidLastSave="{00000000-0000-0000-0000-000000000000}"/>
  <bookViews>
    <workbookView xWindow="4290" yWindow="345" windowWidth="31365" windowHeight="20655" xr2:uid="{0626AE80-454B-4539-8E37-8436CB968B23}"/>
  </bookViews>
  <sheets>
    <sheet name="Application" sheetId="1" r:id="rId1"/>
    <sheet name="Duty Cycle" sheetId="8" r:id="rId2"/>
    <sheet name="HV Plots" sheetId="5" r:id="rId3"/>
    <sheet name="Gearbox" sheetId="2" r:id="rId4"/>
    <sheet name="Magelec Motor Da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8" l="1"/>
  <c r="P54" i="8"/>
  <c r="G54" i="8"/>
  <c r="H54" i="8" s="1"/>
  <c r="J54" i="8" s="1"/>
  <c r="Z53" i="8"/>
  <c r="P53" i="8"/>
  <c r="G53" i="8"/>
  <c r="H53" i="8" s="1"/>
  <c r="Z52" i="8"/>
  <c r="P52" i="8"/>
  <c r="G52" i="8"/>
  <c r="H52" i="8" s="1"/>
  <c r="Z51" i="8"/>
  <c r="P51" i="8"/>
  <c r="G51" i="8"/>
  <c r="H51" i="8" s="1"/>
  <c r="I51" i="8" s="1"/>
  <c r="Z50" i="8"/>
  <c r="P50" i="8"/>
  <c r="G50" i="8"/>
  <c r="H50" i="8" s="1"/>
  <c r="Z49" i="8"/>
  <c r="P49" i="8"/>
  <c r="G49" i="8"/>
  <c r="H49" i="8" s="1"/>
  <c r="Z48" i="8"/>
  <c r="P48" i="8"/>
  <c r="G48" i="8"/>
  <c r="H48" i="8" s="1"/>
  <c r="J48" i="8" s="1"/>
  <c r="Z47" i="8"/>
  <c r="P47" i="8"/>
  <c r="G47" i="8"/>
  <c r="H47" i="8" s="1"/>
  <c r="Z46" i="8"/>
  <c r="P46" i="8"/>
  <c r="G46" i="8"/>
  <c r="H46" i="8" s="1"/>
  <c r="J46" i="8" s="1"/>
  <c r="Z45" i="8"/>
  <c r="P45" i="8"/>
  <c r="G45" i="8"/>
  <c r="H45" i="8" s="1"/>
  <c r="Z44" i="8"/>
  <c r="P44" i="8"/>
  <c r="G44" i="8"/>
  <c r="H44" i="8" s="1"/>
  <c r="Z43" i="8"/>
  <c r="P43" i="8"/>
  <c r="G43" i="8"/>
  <c r="H43" i="8" s="1"/>
  <c r="J43" i="8" s="1"/>
  <c r="Z42" i="8"/>
  <c r="P42" i="8"/>
  <c r="G42" i="8"/>
  <c r="H42" i="8" s="1"/>
  <c r="Z41" i="8"/>
  <c r="P41" i="8"/>
  <c r="G41" i="8"/>
  <c r="H41" i="8" s="1"/>
  <c r="Z40" i="8"/>
  <c r="P40" i="8"/>
  <c r="G40" i="8"/>
  <c r="H40" i="8" s="1"/>
  <c r="I40" i="8" s="1"/>
  <c r="Z39" i="8"/>
  <c r="P39" i="8"/>
  <c r="G39" i="8"/>
  <c r="H39" i="8" s="1"/>
  <c r="Z38" i="8"/>
  <c r="P38" i="8"/>
  <c r="G38" i="8"/>
  <c r="H38" i="8" s="1"/>
  <c r="J38" i="8" s="1"/>
  <c r="Z37" i="8"/>
  <c r="P37" i="8"/>
  <c r="G37" i="8"/>
  <c r="H37" i="8" s="1"/>
  <c r="Z36" i="8"/>
  <c r="P36" i="8"/>
  <c r="G36" i="8"/>
  <c r="H36" i="8" s="1"/>
  <c r="Z35" i="8"/>
  <c r="P35" i="8"/>
  <c r="G35" i="8"/>
  <c r="H35" i="8" s="1"/>
  <c r="Z55" i="8"/>
  <c r="P55" i="8"/>
  <c r="O55" i="8"/>
  <c r="R55" i="8" s="1"/>
  <c r="L55" i="8"/>
  <c r="K55" i="8"/>
  <c r="G55" i="8"/>
  <c r="H55" i="8" s="1"/>
  <c r="I55" i="8" s="1"/>
  <c r="B55" i="8"/>
  <c r="Z34" i="8"/>
  <c r="P34" i="8"/>
  <c r="J34" i="8"/>
  <c r="I34" i="8"/>
  <c r="Z33" i="8"/>
  <c r="P33" i="8"/>
  <c r="J33" i="8"/>
  <c r="I33" i="8"/>
  <c r="Z32" i="8"/>
  <c r="P32" i="8"/>
  <c r="J32" i="8"/>
  <c r="I32" i="8"/>
  <c r="Z31" i="8"/>
  <c r="P31" i="8"/>
  <c r="J31" i="8"/>
  <c r="I31" i="8"/>
  <c r="Z30" i="8"/>
  <c r="P30" i="8"/>
  <c r="J30" i="8"/>
  <c r="I30" i="8"/>
  <c r="Z29" i="8"/>
  <c r="P29" i="8"/>
  <c r="J29" i="8"/>
  <c r="I29" i="8"/>
  <c r="Z28" i="8"/>
  <c r="P28" i="8"/>
  <c r="J28" i="8"/>
  <c r="I28" i="8"/>
  <c r="Z27" i="8"/>
  <c r="P27" i="8"/>
  <c r="J27" i="8"/>
  <c r="I27" i="8"/>
  <c r="Z26" i="8"/>
  <c r="P26" i="8"/>
  <c r="J26" i="8"/>
  <c r="I26" i="8"/>
  <c r="Z25" i="8"/>
  <c r="P25" i="8"/>
  <c r="J25" i="8"/>
  <c r="I25" i="8"/>
  <c r="Z24" i="8"/>
  <c r="P24" i="8"/>
  <c r="J24" i="8"/>
  <c r="I24" i="8"/>
  <c r="Z23" i="8"/>
  <c r="P23" i="8"/>
  <c r="J23" i="8"/>
  <c r="I23" i="8"/>
  <c r="Z22" i="8"/>
  <c r="P22" i="8"/>
  <c r="J22" i="8"/>
  <c r="I22" i="8"/>
  <c r="Z21" i="8"/>
  <c r="P21" i="8"/>
  <c r="J21" i="8"/>
  <c r="I21" i="8"/>
  <c r="Z20" i="8"/>
  <c r="P20" i="8"/>
  <c r="J20" i="8"/>
  <c r="I20" i="8"/>
  <c r="Z19" i="8"/>
  <c r="P19" i="8"/>
  <c r="J19" i="8"/>
  <c r="I19" i="8"/>
  <c r="Z18" i="8"/>
  <c r="P18" i="8"/>
  <c r="J18" i="8"/>
  <c r="I18" i="8"/>
  <c r="Z17" i="8"/>
  <c r="P17" i="8"/>
  <c r="J17" i="8"/>
  <c r="I17" i="8"/>
  <c r="Z16" i="8"/>
  <c r="P16" i="8"/>
  <c r="J16" i="8"/>
  <c r="I16" i="8"/>
  <c r="Z15" i="8"/>
  <c r="P15" i="8"/>
  <c r="J15" i="8"/>
  <c r="I15" i="8"/>
  <c r="Z14" i="8"/>
  <c r="P14" i="8"/>
  <c r="J14" i="8"/>
  <c r="I14" i="8"/>
  <c r="Z13" i="8"/>
  <c r="P13" i="8"/>
  <c r="J13" i="8"/>
  <c r="I13" i="8"/>
  <c r="Z12" i="8"/>
  <c r="P12" i="8"/>
  <c r="J12" i="8"/>
  <c r="I12" i="8"/>
  <c r="Z11" i="8"/>
  <c r="P11" i="8"/>
  <c r="J11" i="8"/>
  <c r="I11" i="8"/>
  <c r="Z10" i="8"/>
  <c r="P10" i="8"/>
  <c r="J10" i="8"/>
  <c r="I10" i="8"/>
  <c r="Z9" i="8"/>
  <c r="P9" i="8"/>
  <c r="J9" i="8"/>
  <c r="I9" i="8"/>
  <c r="Z8" i="8"/>
  <c r="P8" i="8"/>
  <c r="J8" i="8"/>
  <c r="I8" i="8"/>
  <c r="Z7" i="8"/>
  <c r="P7" i="8"/>
  <c r="J7" i="8"/>
  <c r="I7" i="8"/>
  <c r="Z6" i="8"/>
  <c r="P6" i="8"/>
  <c r="J6" i="8"/>
  <c r="I6" i="8"/>
  <c r="Z5" i="8"/>
  <c r="P5" i="8"/>
  <c r="J5" i="8"/>
  <c r="I5" i="8"/>
  <c r="Z4" i="8"/>
  <c r="P4" i="8"/>
  <c r="J4" i="8"/>
  <c r="I4" i="8"/>
  <c r="Z3" i="8"/>
  <c r="P3" i="8"/>
  <c r="J3" i="8"/>
  <c r="I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55" i="8" s="1"/>
  <c r="A35" i="8" s="1"/>
  <c r="Z2" i="8"/>
  <c r="P2" i="8"/>
  <c r="L2" i="8"/>
  <c r="J2" i="8"/>
  <c r="I2" i="8"/>
  <c r="F2" i="8"/>
  <c r="D2" i="8"/>
  <c r="K2" i="8" s="1"/>
  <c r="M2" i="8" l="1"/>
  <c r="N2" i="8" s="1"/>
  <c r="Q2" i="8" s="1"/>
  <c r="B2" i="8"/>
  <c r="J53" i="8"/>
  <c r="I53" i="8"/>
  <c r="J37" i="8"/>
  <c r="I37" i="8"/>
  <c r="J42" i="8"/>
  <c r="I42" i="8"/>
  <c r="J45" i="8"/>
  <c r="I45" i="8"/>
  <c r="I43" i="8"/>
  <c r="I38" i="8"/>
  <c r="I54" i="8"/>
  <c r="C3" i="8"/>
  <c r="D3" i="8" s="1"/>
  <c r="I46" i="8"/>
  <c r="A36" i="8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C35" i="8"/>
  <c r="J35" i="8"/>
  <c r="I35" i="8"/>
  <c r="I44" i="8"/>
  <c r="J44" i="8"/>
  <c r="J50" i="8"/>
  <c r="I50" i="8"/>
  <c r="O2" i="8"/>
  <c r="R2" i="8" s="1"/>
  <c r="F55" i="8"/>
  <c r="J41" i="8"/>
  <c r="I41" i="8"/>
  <c r="J40" i="8"/>
  <c r="J39" i="8"/>
  <c r="I39" i="8"/>
  <c r="J47" i="8"/>
  <c r="I47" i="8"/>
  <c r="J49" i="8"/>
  <c r="I49" i="8"/>
  <c r="I52" i="8"/>
  <c r="J52" i="8"/>
  <c r="J55" i="8"/>
  <c r="M55" i="8" s="1"/>
  <c r="N55" i="8" s="1"/>
  <c r="Q55" i="8" s="1"/>
  <c r="S55" i="8" s="1"/>
  <c r="T55" i="8" s="1"/>
  <c r="V55" i="8" s="1"/>
  <c r="I36" i="8"/>
  <c r="J36" i="8"/>
  <c r="J51" i="8"/>
  <c r="I48" i="8"/>
  <c r="F41" i="7"/>
  <c r="F40" i="7"/>
  <c r="G39" i="7"/>
  <c r="F39" i="7"/>
  <c r="G38" i="7"/>
  <c r="G37" i="7"/>
  <c r="F37" i="7"/>
  <c r="G36" i="7"/>
  <c r="F36" i="7"/>
  <c r="G35" i="7"/>
  <c r="F35" i="7"/>
  <c r="G34" i="7"/>
  <c r="G33" i="7"/>
  <c r="F33" i="7"/>
  <c r="G32" i="7"/>
  <c r="F32" i="7"/>
  <c r="G31" i="7"/>
  <c r="F31" i="7"/>
  <c r="G30" i="7"/>
  <c r="F30" i="7"/>
  <c r="G42" i="7" s="1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G6" i="7"/>
  <c r="G5" i="7"/>
  <c r="G4" i="7"/>
  <c r="C42" i="1"/>
  <c r="C34" i="1"/>
  <c r="C32" i="1"/>
  <c r="S2" i="8" l="1"/>
  <c r="T2" i="8" s="1"/>
  <c r="V2" i="8" s="1"/>
  <c r="C4" i="8"/>
  <c r="C5" i="8" s="1"/>
  <c r="D35" i="8"/>
  <c r="O35" i="8" s="1"/>
  <c r="R35" i="8" s="1"/>
  <c r="C36" i="8"/>
  <c r="B3" i="8"/>
  <c r="K3" i="8"/>
  <c r="E3" i="8"/>
  <c r="L3" i="8" s="1"/>
  <c r="O3" i="8"/>
  <c r="R3" i="8" s="1"/>
  <c r="F3" i="8"/>
  <c r="G40" i="7"/>
  <c r="G41" i="7"/>
  <c r="F34" i="7"/>
  <c r="F38" i="7"/>
  <c r="F42" i="7"/>
  <c r="D4" i="8" l="1"/>
  <c r="E4" i="8" s="1"/>
  <c r="L4" i="8" s="1"/>
  <c r="M3" i="8"/>
  <c r="N3" i="8" s="1"/>
  <c r="Q3" i="8" s="1"/>
  <c r="S3" i="8" s="1"/>
  <c r="T3" i="8" s="1"/>
  <c r="V3" i="8" s="1"/>
  <c r="W2" i="8" s="1"/>
  <c r="X2" i="8" s="1"/>
  <c r="D36" i="8"/>
  <c r="C37" i="8"/>
  <c r="K35" i="8"/>
  <c r="E35" i="8"/>
  <c r="L35" i="8" s="1"/>
  <c r="B35" i="8"/>
  <c r="F35" i="8"/>
  <c r="C6" i="8"/>
  <c r="D5" i="8"/>
  <c r="C38" i="1"/>
  <c r="C36" i="1"/>
  <c r="C30" i="1"/>
  <c r="C28" i="1"/>
  <c r="C26" i="1"/>
  <c r="O4" i="8" l="1"/>
  <c r="R4" i="8" s="1"/>
  <c r="K4" i="8"/>
  <c r="M4" i="8" s="1"/>
  <c r="N4" i="8" s="1"/>
  <c r="Q4" i="8" s="1"/>
  <c r="S4" i="8" s="1"/>
  <c r="T4" i="8" s="1"/>
  <c r="V4" i="8" s="1"/>
  <c r="B4" i="8"/>
  <c r="F4" i="8"/>
  <c r="M35" i="8"/>
  <c r="N35" i="8" s="1"/>
  <c r="Q35" i="8" s="1"/>
  <c r="S35" i="8" s="1"/>
  <c r="T35" i="8" s="1"/>
  <c r="V35" i="8" s="1"/>
  <c r="W55" i="8" s="1"/>
  <c r="X55" i="8" s="1"/>
  <c r="Y2" i="8"/>
  <c r="C38" i="8"/>
  <c r="D37" i="8"/>
  <c r="B5" i="8"/>
  <c r="K5" i="8"/>
  <c r="O5" i="8"/>
  <c r="R5" i="8" s="1"/>
  <c r="E5" i="8"/>
  <c r="L5" i="8" s="1"/>
  <c r="F5" i="8"/>
  <c r="E36" i="8"/>
  <c r="L36" i="8" s="1"/>
  <c r="K36" i="8"/>
  <c r="B36" i="8"/>
  <c r="O36" i="8"/>
  <c r="R36" i="8" s="1"/>
  <c r="F36" i="8"/>
  <c r="C7" i="8"/>
  <c r="D6" i="8"/>
  <c r="K6" i="8" l="1"/>
  <c r="E6" i="8"/>
  <c r="L6" i="8" s="1"/>
  <c r="O6" i="8"/>
  <c r="R6" i="8" s="1"/>
  <c r="B6" i="8"/>
  <c r="F6" i="8"/>
  <c r="M5" i="8"/>
  <c r="N5" i="8" s="1"/>
  <c r="Q5" i="8" s="1"/>
  <c r="S5" i="8" s="1"/>
  <c r="T5" i="8" s="1"/>
  <c r="V5" i="8" s="1"/>
  <c r="D7" i="8"/>
  <c r="C8" i="8"/>
  <c r="E37" i="8"/>
  <c r="L37" i="8" s="1"/>
  <c r="B37" i="8"/>
  <c r="O37" i="8"/>
  <c r="R37" i="8" s="1"/>
  <c r="K37" i="8"/>
  <c r="F37" i="8"/>
  <c r="AB2" i="8"/>
  <c r="AA2" i="8"/>
  <c r="M36" i="8"/>
  <c r="N36" i="8" s="1"/>
  <c r="Q36" i="8" s="1"/>
  <c r="S36" i="8" s="1"/>
  <c r="T36" i="8" s="1"/>
  <c r="V36" i="8" s="1"/>
  <c r="D38" i="8"/>
  <c r="C39" i="8"/>
  <c r="W3" i="8"/>
  <c r="X3" i="8" s="1"/>
  <c r="M6" i="8" l="1"/>
  <c r="N6" i="8" s="1"/>
  <c r="Q6" i="8" s="1"/>
  <c r="S6" i="8" s="1"/>
  <c r="T6" i="8" s="1"/>
  <c r="V6" i="8" s="1"/>
  <c r="W5" i="8" s="1"/>
  <c r="X5" i="8" s="1"/>
  <c r="W35" i="8"/>
  <c r="X35" i="8" s="1"/>
  <c r="B7" i="8"/>
  <c r="E7" i="8"/>
  <c r="L7" i="8" s="1"/>
  <c r="F7" i="8"/>
  <c r="O7" i="8"/>
  <c r="R7" i="8" s="1"/>
  <c r="K7" i="8"/>
  <c r="K38" i="8"/>
  <c r="M38" i="8" s="1"/>
  <c r="N38" i="8" s="1"/>
  <c r="Q38" i="8" s="1"/>
  <c r="B38" i="8"/>
  <c r="O38" i="8"/>
  <c r="R38" i="8" s="1"/>
  <c r="E38" i="8"/>
  <c r="L38" i="8" s="1"/>
  <c r="F38" i="8"/>
  <c r="C9" i="8"/>
  <c r="D8" i="8"/>
  <c r="Y3" i="8"/>
  <c r="M37" i="8"/>
  <c r="N37" i="8" s="1"/>
  <c r="Q37" i="8" s="1"/>
  <c r="S37" i="8" s="1"/>
  <c r="T37" i="8" s="1"/>
  <c r="V37" i="8" s="1"/>
  <c r="W36" i="8" s="1"/>
  <c r="X36" i="8" s="1"/>
  <c r="W4" i="8"/>
  <c r="X4" i="8" s="1"/>
  <c r="D39" i="8"/>
  <c r="C40" i="8"/>
  <c r="S38" i="8" l="1"/>
  <c r="T38" i="8" s="1"/>
  <c r="V38" i="8" s="1"/>
  <c r="M7" i="8"/>
  <c r="N7" i="8" s="1"/>
  <c r="Q7" i="8" s="1"/>
  <c r="S7" i="8" s="1"/>
  <c r="T7" i="8" s="1"/>
  <c r="V7" i="8" s="1"/>
  <c r="W6" i="8" s="1"/>
  <c r="X6" i="8" s="1"/>
  <c r="O39" i="8"/>
  <c r="R39" i="8" s="1"/>
  <c r="B39" i="8"/>
  <c r="K39" i="8"/>
  <c r="E39" i="8"/>
  <c r="L39" i="8" s="1"/>
  <c r="F39" i="8"/>
  <c r="C10" i="8"/>
  <c r="D9" i="8"/>
  <c r="W37" i="8"/>
  <c r="X37" i="8" s="1"/>
  <c r="AB3" i="8"/>
  <c r="AA3" i="8"/>
  <c r="D40" i="8"/>
  <c r="C41" i="8"/>
  <c r="K8" i="8"/>
  <c r="O8" i="8"/>
  <c r="R8" i="8" s="1"/>
  <c r="B8" i="8"/>
  <c r="E8" i="8"/>
  <c r="L8" i="8" s="1"/>
  <c r="F8" i="8"/>
  <c r="Y4" i="8"/>
  <c r="Y5" i="8"/>
  <c r="Y6" i="8" l="1"/>
  <c r="O9" i="8"/>
  <c r="R9" i="8" s="1"/>
  <c r="E9" i="8"/>
  <c r="L9" i="8" s="1"/>
  <c r="K9" i="8"/>
  <c r="M9" i="8" s="1"/>
  <c r="N9" i="8" s="1"/>
  <c r="Q9" i="8" s="1"/>
  <c r="B9" i="8"/>
  <c r="F9" i="8"/>
  <c r="M39" i="8"/>
  <c r="N39" i="8" s="1"/>
  <c r="Q39" i="8" s="1"/>
  <c r="S39" i="8" s="1"/>
  <c r="T39" i="8" s="1"/>
  <c r="V39" i="8" s="1"/>
  <c r="M8" i="8"/>
  <c r="N8" i="8" s="1"/>
  <c r="Q8" i="8" s="1"/>
  <c r="S8" i="8" s="1"/>
  <c r="T8" i="8" s="1"/>
  <c r="V8" i="8" s="1"/>
  <c r="AB5" i="8"/>
  <c r="AA5" i="8"/>
  <c r="AB4" i="8"/>
  <c r="AA4" i="8"/>
  <c r="C11" i="8"/>
  <c r="D10" i="8"/>
  <c r="C42" i="8"/>
  <c r="D41" i="8"/>
  <c r="E40" i="8"/>
  <c r="L40" i="8" s="1"/>
  <c r="O40" i="8"/>
  <c r="R40" i="8" s="1"/>
  <c r="B40" i="8"/>
  <c r="K40" i="8"/>
  <c r="F40" i="8"/>
  <c r="S9" i="8" l="1"/>
  <c r="T9" i="8" s="1"/>
  <c r="V9" i="8" s="1"/>
  <c r="W8" i="8" s="1"/>
  <c r="X8" i="8" s="1"/>
  <c r="W7" i="8"/>
  <c r="X7" i="8" s="1"/>
  <c r="C12" i="8"/>
  <c r="D11" i="8"/>
  <c r="O10" i="8"/>
  <c r="R10" i="8" s="1"/>
  <c r="E10" i="8"/>
  <c r="L10" i="8" s="1"/>
  <c r="B10" i="8"/>
  <c r="K10" i="8"/>
  <c r="F10" i="8"/>
  <c r="M40" i="8"/>
  <c r="N40" i="8" s="1"/>
  <c r="Q40" i="8" s="1"/>
  <c r="S40" i="8" s="1"/>
  <c r="T40" i="8" s="1"/>
  <c r="V40" i="8" s="1"/>
  <c r="W39" i="8" s="1"/>
  <c r="X39" i="8" s="1"/>
  <c r="W38" i="8"/>
  <c r="X38" i="8" s="1"/>
  <c r="B41" i="8"/>
  <c r="K41" i="8"/>
  <c r="O41" i="8"/>
  <c r="R41" i="8" s="1"/>
  <c r="E41" i="8"/>
  <c r="L41" i="8" s="1"/>
  <c r="F41" i="8"/>
  <c r="C43" i="8"/>
  <c r="D42" i="8"/>
  <c r="AB6" i="8"/>
  <c r="AA6" i="8"/>
  <c r="M41" i="8" l="1"/>
  <c r="N41" i="8" s="1"/>
  <c r="Q41" i="8" s="1"/>
  <c r="S41" i="8" s="1"/>
  <c r="T41" i="8" s="1"/>
  <c r="V41" i="8" s="1"/>
  <c r="W40" i="8" s="1"/>
  <c r="X40" i="8" s="1"/>
  <c r="B11" i="8"/>
  <c r="E11" i="8"/>
  <c r="L11" i="8" s="1"/>
  <c r="O11" i="8"/>
  <c r="R11" i="8" s="1"/>
  <c r="K11" i="8"/>
  <c r="F11" i="8"/>
  <c r="D12" i="8"/>
  <c r="C13" i="8"/>
  <c r="D43" i="8"/>
  <c r="C44" i="8"/>
  <c r="Y8" i="8"/>
  <c r="Y7" i="8"/>
  <c r="O42" i="8"/>
  <c r="R42" i="8" s="1"/>
  <c r="K42" i="8"/>
  <c r="E42" i="8"/>
  <c r="L42" i="8" s="1"/>
  <c r="B42" i="8"/>
  <c r="F42" i="8"/>
  <c r="M10" i="8"/>
  <c r="N10" i="8" s="1"/>
  <c r="Q10" i="8" s="1"/>
  <c r="S10" i="8" s="1"/>
  <c r="T10" i="8" s="1"/>
  <c r="V10" i="8" s="1"/>
  <c r="M11" i="8" l="1"/>
  <c r="N11" i="8" s="1"/>
  <c r="Q11" i="8" s="1"/>
  <c r="S11" i="8" s="1"/>
  <c r="T11" i="8" s="1"/>
  <c r="V11" i="8" s="1"/>
  <c r="W10" i="8" s="1"/>
  <c r="X10" i="8" s="1"/>
  <c r="M42" i="8"/>
  <c r="N42" i="8" s="1"/>
  <c r="Q42" i="8" s="1"/>
  <c r="S42" i="8" s="1"/>
  <c r="T42" i="8" s="1"/>
  <c r="V42" i="8" s="1"/>
  <c r="W41" i="8" s="1"/>
  <c r="X41" i="8" s="1"/>
  <c r="D44" i="8"/>
  <c r="C45" i="8"/>
  <c r="AB8" i="8"/>
  <c r="AA8" i="8"/>
  <c r="K43" i="8"/>
  <c r="E43" i="8"/>
  <c r="L43" i="8" s="1"/>
  <c r="B43" i="8"/>
  <c r="O43" i="8"/>
  <c r="R43" i="8" s="1"/>
  <c r="F43" i="8"/>
  <c r="AB7" i="8"/>
  <c r="AA7" i="8"/>
  <c r="W9" i="8"/>
  <c r="X9" i="8" s="1"/>
  <c r="C14" i="8"/>
  <c r="D13" i="8"/>
  <c r="O12" i="8"/>
  <c r="R12" i="8" s="1"/>
  <c r="E12" i="8"/>
  <c r="L12" i="8" s="1"/>
  <c r="B12" i="8"/>
  <c r="K12" i="8"/>
  <c r="F12" i="8"/>
  <c r="Y10" i="8" l="1"/>
  <c r="AB10" i="8" s="1"/>
  <c r="M12" i="8"/>
  <c r="N12" i="8" s="1"/>
  <c r="Q12" i="8" s="1"/>
  <c r="S12" i="8" s="1"/>
  <c r="T12" i="8" s="1"/>
  <c r="V12" i="8" s="1"/>
  <c r="W11" i="8" s="1"/>
  <c r="X11" i="8" s="1"/>
  <c r="Y11" i="8" s="1"/>
  <c r="D14" i="8"/>
  <c r="C15" i="8"/>
  <c r="Y9" i="8"/>
  <c r="C46" i="8"/>
  <c r="D45" i="8"/>
  <c r="M43" i="8"/>
  <c r="N43" i="8" s="1"/>
  <c r="Q43" i="8" s="1"/>
  <c r="S43" i="8" s="1"/>
  <c r="T43" i="8" s="1"/>
  <c r="V43" i="8" s="1"/>
  <c r="E44" i="8"/>
  <c r="L44" i="8" s="1"/>
  <c r="K44" i="8"/>
  <c r="B44" i="8"/>
  <c r="O44" i="8"/>
  <c r="R44" i="8" s="1"/>
  <c r="F44" i="8"/>
  <c r="B13" i="8"/>
  <c r="K13" i="8"/>
  <c r="O13" i="8"/>
  <c r="R13" i="8" s="1"/>
  <c r="E13" i="8"/>
  <c r="L13" i="8" s="1"/>
  <c r="F13" i="8"/>
  <c r="AA10" i="8" l="1"/>
  <c r="M13" i="8"/>
  <c r="N13" i="8" s="1"/>
  <c r="Q13" i="8" s="1"/>
  <c r="S13" i="8" s="1"/>
  <c r="T13" i="8" s="1"/>
  <c r="V13" i="8" s="1"/>
  <c r="W12" i="8" s="1"/>
  <c r="X12" i="8" s="1"/>
  <c r="Y12" i="8" s="1"/>
  <c r="M44" i="8"/>
  <c r="N44" i="8" s="1"/>
  <c r="Q44" i="8" s="1"/>
  <c r="S44" i="8" s="1"/>
  <c r="T44" i="8" s="1"/>
  <c r="V44" i="8" s="1"/>
  <c r="W43" i="8" s="1"/>
  <c r="X43" i="8" s="1"/>
  <c r="W42" i="8"/>
  <c r="X42" i="8" s="1"/>
  <c r="AB9" i="8"/>
  <c r="AA9" i="8"/>
  <c r="E45" i="8"/>
  <c r="L45" i="8" s="1"/>
  <c r="B45" i="8"/>
  <c r="O45" i="8"/>
  <c r="R45" i="8" s="1"/>
  <c r="K45" i="8"/>
  <c r="F45" i="8"/>
  <c r="D46" i="8"/>
  <c r="C47" i="8"/>
  <c r="D15" i="8"/>
  <c r="C16" i="8"/>
  <c r="K14" i="8"/>
  <c r="O14" i="8"/>
  <c r="R14" i="8" s="1"/>
  <c r="B14" i="8"/>
  <c r="F14" i="8"/>
  <c r="E14" i="8"/>
  <c r="L14" i="8" s="1"/>
  <c r="AB11" i="8"/>
  <c r="AA11" i="8"/>
  <c r="M45" i="8" l="1"/>
  <c r="N45" i="8" s="1"/>
  <c r="Q45" i="8" s="1"/>
  <c r="S45" i="8" s="1"/>
  <c r="T45" i="8" s="1"/>
  <c r="V45" i="8" s="1"/>
  <c r="D47" i="8"/>
  <c r="C48" i="8"/>
  <c r="B15" i="8"/>
  <c r="K15" i="8"/>
  <c r="E15" i="8"/>
  <c r="L15" i="8" s="1"/>
  <c r="O15" i="8"/>
  <c r="R15" i="8" s="1"/>
  <c r="F15" i="8"/>
  <c r="K46" i="8"/>
  <c r="M46" i="8" s="1"/>
  <c r="N46" i="8" s="1"/>
  <c r="Q46" i="8" s="1"/>
  <c r="S46" i="8" s="1"/>
  <c r="T46" i="8" s="1"/>
  <c r="V46" i="8" s="1"/>
  <c r="B46" i="8"/>
  <c r="O46" i="8"/>
  <c r="R46" i="8" s="1"/>
  <c r="E46" i="8"/>
  <c r="L46" i="8" s="1"/>
  <c r="F46" i="8"/>
  <c r="AB12" i="8"/>
  <c r="AA12" i="8"/>
  <c r="M14" i="8"/>
  <c r="N14" i="8" s="1"/>
  <c r="Q14" i="8" s="1"/>
  <c r="S14" i="8" s="1"/>
  <c r="T14" i="8" s="1"/>
  <c r="V14" i="8" s="1"/>
  <c r="C17" i="8"/>
  <c r="D16" i="8"/>
  <c r="O47" i="8" l="1"/>
  <c r="R47" i="8" s="1"/>
  <c r="E47" i="8"/>
  <c r="L47" i="8" s="1"/>
  <c r="B47" i="8"/>
  <c r="K47" i="8"/>
  <c r="F47" i="8"/>
  <c r="W13" i="8"/>
  <c r="X13" i="8" s="1"/>
  <c r="M15" i="8"/>
  <c r="N15" i="8" s="1"/>
  <c r="Q15" i="8" s="1"/>
  <c r="S15" i="8" s="1"/>
  <c r="T15" i="8" s="1"/>
  <c r="V15" i="8" s="1"/>
  <c r="K16" i="8"/>
  <c r="O16" i="8"/>
  <c r="R16" i="8" s="1"/>
  <c r="E16" i="8"/>
  <c r="L16" i="8" s="1"/>
  <c r="B16" i="8"/>
  <c r="F16" i="8"/>
  <c r="W45" i="8"/>
  <c r="X45" i="8" s="1"/>
  <c r="W44" i="8"/>
  <c r="X44" i="8" s="1"/>
  <c r="C18" i="8"/>
  <c r="D17" i="8"/>
  <c r="D48" i="8"/>
  <c r="C49" i="8"/>
  <c r="M47" i="8" l="1"/>
  <c r="N47" i="8" s="1"/>
  <c r="Q47" i="8" s="1"/>
  <c r="S47" i="8" s="1"/>
  <c r="T47" i="8" s="1"/>
  <c r="V47" i="8" s="1"/>
  <c r="W46" i="8" s="1"/>
  <c r="X46" i="8" s="1"/>
  <c r="Y13" i="8"/>
  <c r="W14" i="8"/>
  <c r="X14" i="8" s="1"/>
  <c r="Y14" i="8" s="1"/>
  <c r="C50" i="8"/>
  <c r="D49" i="8"/>
  <c r="E48" i="8"/>
  <c r="L48" i="8" s="1"/>
  <c r="B48" i="8"/>
  <c r="O48" i="8"/>
  <c r="R48" i="8" s="1"/>
  <c r="K48" i="8"/>
  <c r="F48" i="8"/>
  <c r="M16" i="8"/>
  <c r="N16" i="8" s="1"/>
  <c r="Q16" i="8" s="1"/>
  <c r="S16" i="8" s="1"/>
  <c r="T16" i="8" s="1"/>
  <c r="V16" i="8" s="1"/>
  <c r="O17" i="8"/>
  <c r="R17" i="8" s="1"/>
  <c r="E17" i="8"/>
  <c r="L17" i="8" s="1"/>
  <c r="B17" i="8"/>
  <c r="K17" i="8"/>
  <c r="F17" i="8"/>
  <c r="C19" i="8"/>
  <c r="D18" i="8"/>
  <c r="M48" i="8" l="1"/>
  <c r="N48" i="8" s="1"/>
  <c r="Q48" i="8" s="1"/>
  <c r="S48" i="8" s="1"/>
  <c r="T48" i="8" s="1"/>
  <c r="V48" i="8" s="1"/>
  <c r="W47" i="8"/>
  <c r="X47" i="8" s="1"/>
  <c r="M17" i="8"/>
  <c r="N17" i="8" s="1"/>
  <c r="Q17" i="8" s="1"/>
  <c r="S17" i="8" s="1"/>
  <c r="T17" i="8" s="1"/>
  <c r="V17" i="8" s="1"/>
  <c r="W16" i="8" s="1"/>
  <c r="X16" i="8" s="1"/>
  <c r="O18" i="8"/>
  <c r="R18" i="8" s="1"/>
  <c r="E18" i="8"/>
  <c r="L18" i="8" s="1"/>
  <c r="B18" i="8"/>
  <c r="K18" i="8"/>
  <c r="M18" i="8" s="1"/>
  <c r="N18" i="8" s="1"/>
  <c r="Q18" i="8" s="1"/>
  <c r="S18" i="8" s="1"/>
  <c r="T18" i="8" s="1"/>
  <c r="V18" i="8" s="1"/>
  <c r="F18" i="8"/>
  <c r="C20" i="8"/>
  <c r="D19" i="8"/>
  <c r="AB14" i="8"/>
  <c r="AA14" i="8"/>
  <c r="B49" i="8"/>
  <c r="O49" i="8"/>
  <c r="R49" i="8" s="1"/>
  <c r="E49" i="8"/>
  <c r="L49" i="8" s="1"/>
  <c r="K49" i="8"/>
  <c r="F49" i="8"/>
  <c r="AB13" i="8"/>
  <c r="AA13" i="8"/>
  <c r="C51" i="8"/>
  <c r="D50" i="8"/>
  <c r="W15" i="8"/>
  <c r="X15" i="8" s="1"/>
  <c r="Y15" i="8" s="1"/>
  <c r="W17" i="8" l="1"/>
  <c r="X17" i="8" s="1"/>
  <c r="Y17" i="8" s="1"/>
  <c r="M49" i="8"/>
  <c r="N49" i="8" s="1"/>
  <c r="Q49" i="8" s="1"/>
  <c r="S49" i="8" s="1"/>
  <c r="T49" i="8" s="1"/>
  <c r="V49" i="8" s="1"/>
  <c r="W48" i="8" s="1"/>
  <c r="X48" i="8" s="1"/>
  <c r="C21" i="8"/>
  <c r="D20" i="8"/>
  <c r="O19" i="8"/>
  <c r="R19" i="8" s="1"/>
  <c r="E19" i="8"/>
  <c r="L19" i="8" s="1"/>
  <c r="B19" i="8"/>
  <c r="K19" i="8"/>
  <c r="F19" i="8"/>
  <c r="AB15" i="8"/>
  <c r="AA15" i="8"/>
  <c r="O50" i="8"/>
  <c r="R50" i="8" s="1"/>
  <c r="K50" i="8"/>
  <c r="B50" i="8"/>
  <c r="E50" i="8"/>
  <c r="L50" i="8" s="1"/>
  <c r="F50" i="8"/>
  <c r="D51" i="8"/>
  <c r="C52" i="8"/>
  <c r="Y16" i="8"/>
  <c r="M50" i="8" l="1"/>
  <c r="N50" i="8" s="1"/>
  <c r="Q50" i="8" s="1"/>
  <c r="S50" i="8" s="1"/>
  <c r="T50" i="8" s="1"/>
  <c r="V50" i="8" s="1"/>
  <c r="W49" i="8" s="1"/>
  <c r="X49" i="8" s="1"/>
  <c r="AB16" i="8"/>
  <c r="AA16" i="8"/>
  <c r="C53" i="8"/>
  <c r="D52" i="8"/>
  <c r="K51" i="8"/>
  <c r="O51" i="8"/>
  <c r="R51" i="8" s="1"/>
  <c r="E51" i="8"/>
  <c r="L51" i="8" s="1"/>
  <c r="B51" i="8"/>
  <c r="F51" i="8"/>
  <c r="O20" i="8"/>
  <c r="R20" i="8" s="1"/>
  <c r="E20" i="8"/>
  <c r="L20" i="8" s="1"/>
  <c r="B20" i="8"/>
  <c r="K20" i="8"/>
  <c r="F20" i="8"/>
  <c r="C22" i="8"/>
  <c r="D21" i="8"/>
  <c r="M19" i="8"/>
  <c r="N19" i="8" s="1"/>
  <c r="Q19" i="8" s="1"/>
  <c r="S19" i="8" s="1"/>
  <c r="T19" i="8" s="1"/>
  <c r="V19" i="8" s="1"/>
  <c r="AB17" i="8"/>
  <c r="AA17" i="8"/>
  <c r="M20" i="8" l="1"/>
  <c r="N20" i="8" s="1"/>
  <c r="Q20" i="8" s="1"/>
  <c r="S20" i="8" s="1"/>
  <c r="T20" i="8" s="1"/>
  <c r="V20" i="8" s="1"/>
  <c r="W19" i="8" s="1"/>
  <c r="X19" i="8" s="1"/>
  <c r="E52" i="8"/>
  <c r="L52" i="8" s="1"/>
  <c r="K52" i="8"/>
  <c r="B52" i="8"/>
  <c r="O52" i="8"/>
  <c r="R52" i="8" s="1"/>
  <c r="F52" i="8"/>
  <c r="M51" i="8"/>
  <c r="N51" i="8" s="1"/>
  <c r="Q51" i="8" s="1"/>
  <c r="S51" i="8" s="1"/>
  <c r="T51" i="8" s="1"/>
  <c r="V51" i="8" s="1"/>
  <c r="C54" i="8"/>
  <c r="D54" i="8" s="1"/>
  <c r="D53" i="8"/>
  <c r="W18" i="8"/>
  <c r="X18" i="8" s="1"/>
  <c r="B21" i="8"/>
  <c r="K21" i="8"/>
  <c r="E21" i="8"/>
  <c r="L21" i="8" s="1"/>
  <c r="O21" i="8"/>
  <c r="R21" i="8" s="1"/>
  <c r="F21" i="8"/>
  <c r="D22" i="8"/>
  <c r="C23" i="8"/>
  <c r="M52" i="8" l="1"/>
  <c r="N52" i="8" s="1"/>
  <c r="Q52" i="8" s="1"/>
  <c r="S52" i="8" s="1"/>
  <c r="T52" i="8" s="1"/>
  <c r="V52" i="8" s="1"/>
  <c r="W51" i="8" s="1"/>
  <c r="X51" i="8" s="1"/>
  <c r="M21" i="8"/>
  <c r="N21" i="8" s="1"/>
  <c r="Q21" i="8" s="1"/>
  <c r="S21" i="8" s="1"/>
  <c r="T21" i="8" s="1"/>
  <c r="V21" i="8" s="1"/>
  <c r="W20" i="8" s="1"/>
  <c r="X20" i="8" s="1"/>
  <c r="Y20" i="8" s="1"/>
  <c r="Y19" i="8"/>
  <c r="E53" i="8"/>
  <c r="L53" i="8" s="1"/>
  <c r="K53" i="8"/>
  <c r="B53" i="8"/>
  <c r="O53" i="8"/>
  <c r="R53" i="8" s="1"/>
  <c r="F53" i="8"/>
  <c r="W50" i="8"/>
  <c r="X50" i="8" s="1"/>
  <c r="Y18" i="8"/>
  <c r="D23" i="8"/>
  <c r="C24" i="8"/>
  <c r="B22" i="8"/>
  <c r="K22" i="8"/>
  <c r="E22" i="8"/>
  <c r="L22" i="8" s="1"/>
  <c r="O22" i="8"/>
  <c r="R22" i="8" s="1"/>
  <c r="F22" i="8"/>
  <c r="K54" i="8"/>
  <c r="B54" i="8"/>
  <c r="O54" i="8"/>
  <c r="R54" i="8" s="1"/>
  <c r="E54" i="8"/>
  <c r="L54" i="8" s="1"/>
  <c r="F54" i="8"/>
  <c r="M22" i="8" l="1"/>
  <c r="N22" i="8" s="1"/>
  <c r="Q22" i="8" s="1"/>
  <c r="S22" i="8" s="1"/>
  <c r="T22" i="8" s="1"/>
  <c r="V22" i="8" s="1"/>
  <c r="W21" i="8" s="1"/>
  <c r="X21" i="8" s="1"/>
  <c r="M53" i="8"/>
  <c r="N53" i="8" s="1"/>
  <c r="Q53" i="8" s="1"/>
  <c r="S53" i="8" s="1"/>
  <c r="T53" i="8" s="1"/>
  <c r="V53" i="8" s="1"/>
  <c r="AA18" i="8"/>
  <c r="AB18" i="8"/>
  <c r="C25" i="8"/>
  <c r="D24" i="8"/>
  <c r="AB19" i="8"/>
  <c r="AA19" i="8"/>
  <c r="B23" i="8"/>
  <c r="K23" i="8"/>
  <c r="E23" i="8"/>
  <c r="L23" i="8" s="1"/>
  <c r="O23" i="8"/>
  <c r="R23" i="8" s="1"/>
  <c r="F23" i="8"/>
  <c r="M54" i="8"/>
  <c r="N54" i="8" s="1"/>
  <c r="Q54" i="8" s="1"/>
  <c r="S54" i="8" s="1"/>
  <c r="T54" i="8" s="1"/>
  <c r="V54" i="8" s="1"/>
  <c r="W54" i="8" s="1"/>
  <c r="X54" i="8" s="1"/>
  <c r="AB20" i="8"/>
  <c r="AA20" i="8"/>
  <c r="M23" i="8" l="1"/>
  <c r="N23" i="8" s="1"/>
  <c r="Q23" i="8" s="1"/>
  <c r="S23" i="8" s="1"/>
  <c r="T23" i="8" s="1"/>
  <c r="V23" i="8" s="1"/>
  <c r="W22" i="8" s="1"/>
  <c r="X22" i="8" s="1"/>
  <c r="K24" i="8"/>
  <c r="O24" i="8"/>
  <c r="R24" i="8" s="1"/>
  <c r="E24" i="8"/>
  <c r="L24" i="8" s="1"/>
  <c r="B24" i="8"/>
  <c r="F24" i="8"/>
  <c r="C26" i="8"/>
  <c r="D25" i="8"/>
  <c r="Y21" i="8"/>
  <c r="W53" i="8"/>
  <c r="X53" i="8" s="1"/>
  <c r="W52" i="8"/>
  <c r="X52" i="8" s="1"/>
  <c r="M24" i="8" l="1"/>
  <c r="N24" i="8" s="1"/>
  <c r="Q24" i="8" s="1"/>
  <c r="S24" i="8" s="1"/>
  <c r="T24" i="8" s="1"/>
  <c r="V24" i="8" s="1"/>
  <c r="W23" i="8" s="1"/>
  <c r="X23" i="8" s="1"/>
  <c r="Y23" i="8" s="1"/>
  <c r="D26" i="8"/>
  <c r="C27" i="8"/>
  <c r="O25" i="8"/>
  <c r="R25" i="8" s="1"/>
  <c r="E25" i="8"/>
  <c r="L25" i="8" s="1"/>
  <c r="B25" i="8"/>
  <c r="K25" i="8"/>
  <c r="F25" i="8"/>
  <c r="AB21" i="8"/>
  <c r="AA21" i="8"/>
  <c r="Y22" i="8"/>
  <c r="C28" i="8" l="1"/>
  <c r="D27" i="8"/>
  <c r="O26" i="8"/>
  <c r="R26" i="8" s="1"/>
  <c r="E26" i="8"/>
  <c r="L26" i="8" s="1"/>
  <c r="K26" i="8"/>
  <c r="B26" i="8"/>
  <c r="F26" i="8"/>
  <c r="AB22" i="8"/>
  <c r="AA22" i="8"/>
  <c r="M25" i="8"/>
  <c r="N25" i="8" s="1"/>
  <c r="Q25" i="8" s="1"/>
  <c r="S25" i="8" s="1"/>
  <c r="T25" i="8" s="1"/>
  <c r="V25" i="8" s="1"/>
  <c r="AB23" i="8"/>
  <c r="AA23" i="8"/>
  <c r="M26" i="8" l="1"/>
  <c r="N26" i="8" s="1"/>
  <c r="Q26" i="8" s="1"/>
  <c r="S26" i="8" s="1"/>
  <c r="T26" i="8" s="1"/>
  <c r="V26" i="8" s="1"/>
  <c r="W25" i="8" s="1"/>
  <c r="X25" i="8" s="1"/>
  <c r="W24" i="8"/>
  <c r="X24" i="8" s="1"/>
  <c r="O27" i="8"/>
  <c r="R27" i="8" s="1"/>
  <c r="E27" i="8"/>
  <c r="L27" i="8" s="1"/>
  <c r="K27" i="8"/>
  <c r="M27" i="8" s="1"/>
  <c r="N27" i="8" s="1"/>
  <c r="Q27" i="8" s="1"/>
  <c r="S27" i="8" s="1"/>
  <c r="T27" i="8" s="1"/>
  <c r="V27" i="8" s="1"/>
  <c r="B27" i="8"/>
  <c r="F27" i="8"/>
  <c r="C29" i="8"/>
  <c r="D28" i="8"/>
  <c r="Y25" i="8" l="1"/>
  <c r="AB25" i="8" s="1"/>
  <c r="Y24" i="8"/>
  <c r="E28" i="8"/>
  <c r="L28" i="8" s="1"/>
  <c r="B28" i="8"/>
  <c r="O28" i="8"/>
  <c r="R28" i="8" s="1"/>
  <c r="K28" i="8"/>
  <c r="F28" i="8"/>
  <c r="D29" i="8"/>
  <c r="C30" i="8"/>
  <c r="W26" i="8"/>
  <c r="X26" i="8" s="1"/>
  <c r="Y26" i="8" s="1"/>
  <c r="AA25" i="8" l="1"/>
  <c r="C31" i="8"/>
  <c r="D30" i="8"/>
  <c r="M28" i="8"/>
  <c r="N28" i="8" s="1"/>
  <c r="Q28" i="8" s="1"/>
  <c r="S28" i="8" s="1"/>
  <c r="T28" i="8" s="1"/>
  <c r="V28" i="8" s="1"/>
  <c r="AB24" i="8"/>
  <c r="AA24" i="8"/>
  <c r="B29" i="8"/>
  <c r="E29" i="8"/>
  <c r="L29" i="8" s="1"/>
  <c r="O29" i="8"/>
  <c r="R29" i="8" s="1"/>
  <c r="K29" i="8"/>
  <c r="F29" i="8"/>
  <c r="AB26" i="8"/>
  <c r="AA26" i="8"/>
  <c r="W27" i="8" l="1"/>
  <c r="X27" i="8" s="1"/>
  <c r="M29" i="8"/>
  <c r="N29" i="8" s="1"/>
  <c r="Q29" i="8" s="1"/>
  <c r="S29" i="8" s="1"/>
  <c r="T29" i="8" s="1"/>
  <c r="V29" i="8" s="1"/>
  <c r="K30" i="8"/>
  <c r="B30" i="8"/>
  <c r="E30" i="8"/>
  <c r="L30" i="8" s="1"/>
  <c r="O30" i="8"/>
  <c r="R30" i="8" s="1"/>
  <c r="F30" i="8"/>
  <c r="C32" i="8"/>
  <c r="D31" i="8"/>
  <c r="Y27" i="8" l="1"/>
  <c r="M30" i="8"/>
  <c r="N30" i="8" s="1"/>
  <c r="Q30" i="8" s="1"/>
  <c r="S30" i="8" s="1"/>
  <c r="T30" i="8" s="1"/>
  <c r="V30" i="8" s="1"/>
  <c r="K31" i="8"/>
  <c r="E31" i="8"/>
  <c r="L31" i="8" s="1"/>
  <c r="B31" i="8"/>
  <c r="O31" i="8"/>
  <c r="R31" i="8" s="1"/>
  <c r="F31" i="8"/>
  <c r="D32" i="8"/>
  <c r="C33" i="8"/>
  <c r="W28" i="8"/>
  <c r="X28" i="8" s="1"/>
  <c r="Y28" i="8" s="1"/>
  <c r="M31" i="8" l="1"/>
  <c r="N31" i="8" s="1"/>
  <c r="Q31" i="8" s="1"/>
  <c r="S31" i="8" s="1"/>
  <c r="T31" i="8" s="1"/>
  <c r="V31" i="8" s="1"/>
  <c r="W30" i="8" s="1"/>
  <c r="X30" i="8" s="1"/>
  <c r="AB28" i="8"/>
  <c r="AA28" i="8"/>
  <c r="C34" i="8"/>
  <c r="D34" i="8" s="1"/>
  <c r="D33" i="8"/>
  <c r="AA27" i="8"/>
  <c r="AB27" i="8"/>
  <c r="K32" i="8"/>
  <c r="E32" i="8"/>
  <c r="L32" i="8" s="1"/>
  <c r="B32" i="8"/>
  <c r="O32" i="8"/>
  <c r="R32" i="8" s="1"/>
  <c r="F32" i="8"/>
  <c r="W29" i="8"/>
  <c r="X29" i="8" s="1"/>
  <c r="Y29" i="8" s="1"/>
  <c r="M32" i="8" l="1"/>
  <c r="N32" i="8" s="1"/>
  <c r="Q32" i="8" s="1"/>
  <c r="S32" i="8" s="1"/>
  <c r="T32" i="8" s="1"/>
  <c r="V32" i="8" s="1"/>
  <c r="W31" i="8" s="1"/>
  <c r="X31" i="8" s="1"/>
  <c r="Y31" i="8" s="1"/>
  <c r="O33" i="8"/>
  <c r="R33" i="8" s="1"/>
  <c r="E33" i="8"/>
  <c r="L33" i="8" s="1"/>
  <c r="B33" i="8"/>
  <c r="K33" i="8"/>
  <c r="F33" i="8"/>
  <c r="O34" i="8"/>
  <c r="R34" i="8" s="1"/>
  <c r="E34" i="8"/>
  <c r="L34" i="8" s="1"/>
  <c r="K34" i="8"/>
  <c r="B34" i="8"/>
  <c r="F34" i="8"/>
  <c r="AB29" i="8"/>
  <c r="AA29" i="8"/>
  <c r="Y30" i="8"/>
  <c r="M33" i="8" l="1"/>
  <c r="N33" i="8" s="1"/>
  <c r="Q33" i="8" s="1"/>
  <c r="S33" i="8" s="1"/>
  <c r="T33" i="8" s="1"/>
  <c r="V33" i="8" s="1"/>
  <c r="W32" i="8" s="1"/>
  <c r="X32" i="8" s="1"/>
  <c r="Y32" i="8" s="1"/>
  <c r="M34" i="8"/>
  <c r="N34" i="8" s="1"/>
  <c r="Q34" i="8" s="1"/>
  <c r="S34" i="8" s="1"/>
  <c r="T34" i="8" s="1"/>
  <c r="V34" i="8" s="1"/>
  <c r="W34" i="8" s="1"/>
  <c r="X34" i="8" s="1"/>
  <c r="AB30" i="8"/>
  <c r="AA30" i="8"/>
  <c r="AB31" i="8"/>
  <c r="AA31" i="8"/>
  <c r="W33" i="8" l="1"/>
  <c r="X33" i="8" s="1"/>
  <c r="Y39" i="8" s="1"/>
  <c r="AB32" i="8"/>
  <c r="AA32" i="8"/>
  <c r="Y38" i="8"/>
  <c r="Y35" i="8"/>
  <c r="Y45" i="8" l="1"/>
  <c r="AA45" i="8" s="1"/>
  <c r="Y47" i="8"/>
  <c r="AB47" i="8" s="1"/>
  <c r="Y52" i="8"/>
  <c r="AA52" i="8" s="1"/>
  <c r="Y48" i="8"/>
  <c r="AA48" i="8" s="1"/>
  <c r="Y46" i="8"/>
  <c r="AB46" i="8" s="1"/>
  <c r="Y53" i="8"/>
  <c r="AB53" i="8" s="1"/>
  <c r="Y49" i="8"/>
  <c r="AB49" i="8" s="1"/>
  <c r="Y37" i="8"/>
  <c r="AB37" i="8" s="1"/>
  <c r="Y41" i="8"/>
  <c r="AB41" i="8" s="1"/>
  <c r="Y54" i="8"/>
  <c r="AA54" i="8" s="1"/>
  <c r="Y55" i="8"/>
  <c r="AB55" i="8" s="1"/>
  <c r="Y33" i="8"/>
  <c r="AA33" i="8" s="1"/>
  <c r="Y50" i="8"/>
  <c r="AB50" i="8" s="1"/>
  <c r="Y44" i="8"/>
  <c r="AB44" i="8" s="1"/>
  <c r="Y51" i="8"/>
  <c r="AB51" i="8" s="1"/>
  <c r="Y40" i="8"/>
  <c r="AB40" i="8" s="1"/>
  <c r="Y34" i="8"/>
  <c r="AB34" i="8" s="1"/>
  <c r="Y42" i="8"/>
  <c r="AA42" i="8" s="1"/>
  <c r="Y43" i="8"/>
  <c r="AA43" i="8" s="1"/>
  <c r="Y36" i="8"/>
  <c r="AB36" i="8" s="1"/>
  <c r="AB45" i="8"/>
  <c r="AB35" i="8"/>
  <c r="AA35" i="8"/>
  <c r="AB38" i="8"/>
  <c r="AA38" i="8"/>
  <c r="AA39" i="8"/>
  <c r="AB39" i="8"/>
  <c r="AA44" i="8" l="1"/>
  <c r="AA50" i="8"/>
  <c r="AA47" i="8"/>
  <c r="AA53" i="8"/>
  <c r="AA46" i="8"/>
  <c r="AA49" i="8"/>
  <c r="AA37" i="8"/>
  <c r="AA55" i="8"/>
  <c r="AB52" i="8"/>
  <c r="AB33" i="8"/>
  <c r="AB54" i="8"/>
  <c r="AB48" i="8"/>
  <c r="AA41" i="8"/>
  <c r="AA51" i="8"/>
  <c r="AB42" i="8"/>
  <c r="AA40" i="8"/>
  <c r="AB43" i="8"/>
  <c r="AA36" i="8"/>
  <c r="AA34" i="8"/>
</calcChain>
</file>

<file path=xl/sharedStrings.xml><?xml version="1.0" encoding="utf-8"?>
<sst xmlns="http://schemas.openxmlformats.org/spreadsheetml/2006/main" count="193" uniqueCount="159">
  <si>
    <t>Value</t>
  </si>
  <si>
    <t>Unit</t>
  </si>
  <si>
    <t>Kg</t>
  </si>
  <si>
    <t>GVW</t>
  </si>
  <si>
    <t>g</t>
  </si>
  <si>
    <t>m/s^2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</si>
  <si>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</si>
  <si>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</si>
  <si>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</si>
  <si>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</si>
  <si>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</si>
  <si>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</si>
  <si>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</si>
  <si>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</si>
  <si>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</si>
  <si>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</si>
  <si>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</si>
  <si>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</si>
  <si>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</si>
  <si>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</si>
  <si>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</si>
  <si>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</si>
  <si>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</si>
  <si>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</si>
  <si>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</si>
  <si>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</si>
  <si>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</si>
  <si>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</si>
  <si>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</si>
  <si>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</si>
  <si>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</si>
  <si>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</si>
  <si>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</si>
  <si>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</si>
  <si>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</si>
  <si>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</si>
  <si>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</si>
  <si>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</si>
  <si>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</si>
  <si>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</si>
  <si>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</si>
  <si>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</si>
  <si>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</si>
  <si>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</si>
  <si>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</si>
  <si>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</si>
  <si>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</si>
  <si>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</si>
  <si>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</si>
  <si>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</si>
  <si>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</si>
  <si>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</si>
  <si>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</si>
  <si>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</si>
  <si>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</si>
  <si>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</si>
  <si>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</si>
  <si>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</si>
  <si>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</si>
  <si>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</si>
  <si>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</si>
  <si>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</si>
  <si>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</si>
  <si>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</si>
  <si>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</si>
  <si>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</si>
  <si>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</si>
  <si>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</si>
  <si>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</si>
  <si>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</si>
  <si>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</si>
  <si>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</si>
  <si>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</si>
  <si>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</si>
  <si>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</si>
  <si>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</si>
  <si>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</si>
  <si>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</si>
  <si>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</si>
  <si>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</si>
  <si>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</si>
  <si>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</si>
  <si>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</si>
  <si>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</si>
  <si>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</si>
  <si>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</si>
  <si>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</si>
  <si>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</si>
  <si>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</si>
  <si>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</si>
  <si>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</si>
  <si>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</si>
  <si>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</si>
  <si>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</si>
  <si>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</si>
  <si>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</si>
  <si>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</si>
  <si>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</si>
  <si>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</si>
  <si>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</si>
  <si>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</si>
  <si>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</si>
  <si>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</si>
  <si>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</si>
  <si>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</si>
  <si>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</si>
  <si>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</si>
  <si>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</si>
  <si>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</si>
  <si>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</si>
  <si>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</si>
  <si>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</si>
  <si>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</si>
  <si>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</si>
  <si>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</si>
  <si>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</si>
  <si>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</si>
  <si>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</si>
  <si>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</si>
  <si>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</si>
  <si>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</si>
  <si>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</si>
  <si>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</si>
  <si>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</si>
  <si>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</si>
  <si>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</si>
  <si>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</si>
  <si>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</si>
  <si>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</si>
  <si>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</si>
  <si>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</si>
  <si>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</si>
  <si>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</si>
  <si>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</si>
  <si>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</si>
  <si>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</si>
  <si>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</si>
  <si>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</si>
  <si>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</si>
  <si>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</si>
  <si>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</si>
  <si>
    <t>Battery Capacity</t>
  </si>
  <si>
    <t>Machine Run Time</t>
  </si>
  <si>
    <t>Hr</t>
  </si>
  <si>
    <t>Air Density</t>
  </si>
  <si>
    <t xml:space="preserve">Gradeability </t>
  </si>
  <si>
    <t>Average Current [A]</t>
  </si>
  <si>
    <t>kWhr</t>
  </si>
  <si>
    <t>Battery Voltage</t>
  </si>
  <si>
    <t>V</t>
  </si>
  <si>
    <t>Battery Capacity Max [AmpHr]</t>
  </si>
  <si>
    <t>SOC Capacity [%]</t>
  </si>
  <si>
    <t>DOD [%]</t>
  </si>
  <si>
    <t>Amp Hr</t>
  </si>
  <si>
    <t>Integration</t>
  </si>
  <si>
    <t>Acceleration on grade</t>
  </si>
  <si>
    <t>Acceleration on Level Ground</t>
  </si>
  <si>
    <t>Max Speed on Level Ground</t>
  </si>
  <si>
    <t>Grade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</si>
</sst>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12" applyNumberFormat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4" fillId="4" borderId="13" xfId="2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" fontId="3" fillId="5" borderId="13" xfId="3" applyNumberFormat="1" applyBorder="1" applyAlignment="1">
      <alignment horizontal="center" vertical="center"/>
    </xf>
    <xf numFmtId="164" fontId="3" fillId="5" borderId="13" xfId="3" applyNumberFormat="1" applyBorder="1" applyAlignment="1">
      <alignment horizontal="center" vertical="center"/>
    </xf>
    <xf numFmtId="0" fontId="3" fillId="5" borderId="13" xfId="3" applyBorder="1" applyAlignment="1">
      <alignment horizontal="center" vertical="center"/>
    </xf>
    <xf numFmtId="0" fontId="0" fillId="7" borderId="0" xfId="0" applyFill="1"/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2" xfId="1" applyAlignment="1">
      <alignment horizontal="center" vertical="center"/>
    </xf>
    <xf numFmtId="2" fontId="2" fillId="3" borderId="12" xfId="1" applyNumberFormat="1" applyAlignment="1">
      <alignment horizontal="center"/>
    </xf>
  </cellXfs>
  <cellStyles count="4">
    <cellStyle name="20% - Accent6" xfId="3" builtinId="50"/>
    <cellStyle name="Accent6" xfId="2" builtinId="49"/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 Cycle'!$T$1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Cycle'!$R$2:$R$54</c:f>
              <c:numCache>
                <c:formatCode>0.00</c:formatCode>
                <c:ptCount val="53"/>
                <c:pt idx="0">
                  <c:v>0</c:v>
                </c:pt>
                <c:pt idx="1">
                  <c:v>2037.3313226861133</c:v>
                </c:pt>
                <c:pt idx="2">
                  <c:v>4074.6626453722265</c:v>
                </c:pt>
                <c:pt idx="3">
                  <c:v>6111.9939680583393</c:v>
                </c:pt>
                <c:pt idx="4">
                  <c:v>8149.325290744453</c:v>
                </c:pt>
                <c:pt idx="5">
                  <c:v>10186.656613430565</c:v>
                </c:pt>
                <c:pt idx="6">
                  <c:v>10626.368409693756</c:v>
                </c:pt>
                <c:pt idx="7">
                  <c:v>10626.368409693756</c:v>
                </c:pt>
                <c:pt idx="8">
                  <c:v>10626.368409693756</c:v>
                </c:pt>
                <c:pt idx="9">
                  <c:v>10626.368409693756</c:v>
                </c:pt>
                <c:pt idx="10">
                  <c:v>10626.368409693756</c:v>
                </c:pt>
                <c:pt idx="11">
                  <c:v>10626.368409693756</c:v>
                </c:pt>
                <c:pt idx="12">
                  <c:v>10626.368409693756</c:v>
                </c:pt>
                <c:pt idx="13">
                  <c:v>10626.368409693756</c:v>
                </c:pt>
                <c:pt idx="14">
                  <c:v>10626.368409693756</c:v>
                </c:pt>
                <c:pt idx="15">
                  <c:v>10626.368409693756</c:v>
                </c:pt>
                <c:pt idx="16">
                  <c:v>10626.368409693756</c:v>
                </c:pt>
                <c:pt idx="17">
                  <c:v>10626.368409693756</c:v>
                </c:pt>
                <c:pt idx="18">
                  <c:v>10626.368409693756</c:v>
                </c:pt>
                <c:pt idx="19">
                  <c:v>10626.368409693756</c:v>
                </c:pt>
                <c:pt idx="20">
                  <c:v>10626.368409693756</c:v>
                </c:pt>
                <c:pt idx="21">
                  <c:v>10626.368409693756</c:v>
                </c:pt>
                <c:pt idx="22">
                  <c:v>10626.368409693756</c:v>
                </c:pt>
                <c:pt idx="23">
                  <c:v>10626.368409693756</c:v>
                </c:pt>
                <c:pt idx="24">
                  <c:v>10626.368409693756</c:v>
                </c:pt>
                <c:pt idx="25">
                  <c:v>10626.368409693756</c:v>
                </c:pt>
                <c:pt idx="26">
                  <c:v>10626.368409693756</c:v>
                </c:pt>
                <c:pt idx="27">
                  <c:v>10626.368409693756</c:v>
                </c:pt>
                <c:pt idx="28">
                  <c:v>10626.368409693756</c:v>
                </c:pt>
                <c:pt idx="29">
                  <c:v>10626.368409693756</c:v>
                </c:pt>
                <c:pt idx="30">
                  <c:v>10626.368409693756</c:v>
                </c:pt>
                <c:pt idx="31">
                  <c:v>10626.368409693756</c:v>
                </c:pt>
                <c:pt idx="32">
                  <c:v>10626.368409693756</c:v>
                </c:pt>
                <c:pt idx="33">
                  <c:v>146.57059875439666</c:v>
                </c:pt>
                <c:pt idx="34">
                  <c:v>256.49854782019412</c:v>
                </c:pt>
                <c:pt idx="35">
                  <c:v>366.42649688599164</c:v>
                </c:pt>
                <c:pt idx="36">
                  <c:v>476.35444595178905</c:v>
                </c:pt>
                <c:pt idx="37">
                  <c:v>586.28239501758662</c:v>
                </c:pt>
                <c:pt idx="38">
                  <c:v>696.21034408338414</c:v>
                </c:pt>
                <c:pt idx="39">
                  <c:v>806.13829314918155</c:v>
                </c:pt>
                <c:pt idx="40">
                  <c:v>916.06624221497896</c:v>
                </c:pt>
                <c:pt idx="41">
                  <c:v>1025.9941912807765</c:v>
                </c:pt>
                <c:pt idx="42">
                  <c:v>1135.922140346574</c:v>
                </c:pt>
                <c:pt idx="43">
                  <c:v>1245.8500894123715</c:v>
                </c:pt>
                <c:pt idx="44">
                  <c:v>1355.7780384781686</c:v>
                </c:pt>
                <c:pt idx="45">
                  <c:v>1465.7059875439661</c:v>
                </c:pt>
                <c:pt idx="46">
                  <c:v>1575.6339366097636</c:v>
                </c:pt>
                <c:pt idx="47">
                  <c:v>1685.5618856755611</c:v>
                </c:pt>
                <c:pt idx="48">
                  <c:v>1795.4898347413582</c:v>
                </c:pt>
                <c:pt idx="49">
                  <c:v>1905.4177838071557</c:v>
                </c:pt>
                <c:pt idx="50">
                  <c:v>2015.345732872953</c:v>
                </c:pt>
                <c:pt idx="51">
                  <c:v>2125.2736819387501</c:v>
                </c:pt>
                <c:pt idx="52">
                  <c:v>2235.2016310045483</c:v>
                </c:pt>
              </c:numCache>
            </c:numRef>
          </c:xVal>
          <c:yVal>
            <c:numRef>
              <c:f>'Duty Cycle'!$T$2:$T$54</c:f>
              <c:numCache>
                <c:formatCode>General</c:formatCode>
                <c:ptCount val="53"/>
                <c:pt idx="0">
                  <c:v>0</c:v>
                </c:pt>
                <c:pt idx="1">
                  <c:v>30.152892244657174</c:v>
                </c:pt>
                <c:pt idx="2">
                  <c:v>61.949879958941636</c:v>
                </c:pt>
                <c:pt idx="3">
                  <c:v>97.035058612480668</c:v>
                </c:pt>
                <c:pt idx="4">
                  <c:v>137.05252367490155</c:v>
                </c:pt>
                <c:pt idx="5">
                  <c:v>183.64637061583153</c:v>
                </c:pt>
                <c:pt idx="6">
                  <c:v>74.007847673684282</c:v>
                </c:pt>
                <c:pt idx="7">
                  <c:v>40.783005568421054</c:v>
                </c:pt>
                <c:pt idx="8">
                  <c:v>40.783005568421054</c:v>
                </c:pt>
                <c:pt idx="9">
                  <c:v>40.783005568421054</c:v>
                </c:pt>
                <c:pt idx="10">
                  <c:v>40.783005568421054</c:v>
                </c:pt>
                <c:pt idx="11">
                  <c:v>40.783005568421054</c:v>
                </c:pt>
                <c:pt idx="12">
                  <c:v>40.783005568421054</c:v>
                </c:pt>
                <c:pt idx="13">
                  <c:v>40.783005568421054</c:v>
                </c:pt>
                <c:pt idx="14">
                  <c:v>40.783005568421054</c:v>
                </c:pt>
                <c:pt idx="15">
                  <c:v>40.783005568421054</c:v>
                </c:pt>
                <c:pt idx="16">
                  <c:v>40.783005568421054</c:v>
                </c:pt>
                <c:pt idx="17">
                  <c:v>40.783005568421054</c:v>
                </c:pt>
                <c:pt idx="18">
                  <c:v>40.783005568421054</c:v>
                </c:pt>
                <c:pt idx="19">
                  <c:v>40.783005568421054</c:v>
                </c:pt>
                <c:pt idx="20">
                  <c:v>40.783005568421054</c:v>
                </c:pt>
                <c:pt idx="21">
                  <c:v>40.783005568421054</c:v>
                </c:pt>
                <c:pt idx="22">
                  <c:v>40.783005568421054</c:v>
                </c:pt>
                <c:pt idx="23">
                  <c:v>40.783005568421054</c:v>
                </c:pt>
                <c:pt idx="24">
                  <c:v>40.783005568421054</c:v>
                </c:pt>
                <c:pt idx="25">
                  <c:v>40.783005568421054</c:v>
                </c:pt>
                <c:pt idx="26">
                  <c:v>40.783005568421054</c:v>
                </c:pt>
                <c:pt idx="27">
                  <c:v>40.783005568421054</c:v>
                </c:pt>
                <c:pt idx="28">
                  <c:v>40.783005568421054</c:v>
                </c:pt>
                <c:pt idx="29">
                  <c:v>40.783005568421054</c:v>
                </c:pt>
                <c:pt idx="30">
                  <c:v>40.783005568421054</c:v>
                </c:pt>
                <c:pt idx="31">
                  <c:v>40.783005568421054</c:v>
                </c:pt>
                <c:pt idx="32">
                  <c:v>40.783005568421054</c:v>
                </c:pt>
                <c:pt idx="33">
                  <c:v>1.2163056587745982</c:v>
                </c:pt>
                <c:pt idx="34">
                  <c:v>2.1289031703502839</c:v>
                </c:pt>
                <c:pt idx="35">
                  <c:v>3.0421033014628112</c:v>
                </c:pt>
                <c:pt idx="36">
                  <c:v>3.9561643176279699</c:v>
                </c:pt>
                <c:pt idx="37">
                  <c:v>4.8713444843615497</c:v>
                </c:pt>
                <c:pt idx="38">
                  <c:v>5.7879020671793411</c:v>
                </c:pt>
                <c:pt idx="39">
                  <c:v>6.7060953315971323</c:v>
                </c:pt>
                <c:pt idx="40">
                  <c:v>7.6261825431307093</c:v>
                </c:pt>
                <c:pt idx="41">
                  <c:v>8.5484219672958677</c:v>
                </c:pt>
                <c:pt idx="42">
                  <c:v>9.4730718696084004</c:v>
                </c:pt>
                <c:pt idx="43">
                  <c:v>10.400390515584084</c:v>
                </c:pt>
                <c:pt idx="44">
                  <c:v>11.330636170738716</c:v>
                </c:pt>
                <c:pt idx="45">
                  <c:v>12.264067100588083</c:v>
                </c:pt>
                <c:pt idx="46">
                  <c:v>13.200941570647981</c:v>
                </c:pt>
                <c:pt idx="47">
                  <c:v>14.141517846434194</c:v>
                </c:pt>
                <c:pt idx="48">
                  <c:v>15.086054193462505</c:v>
                </c:pt>
                <c:pt idx="49">
                  <c:v>16.034808877248718</c:v>
                </c:pt>
                <c:pt idx="50">
                  <c:v>16.988040163308607</c:v>
                </c:pt>
                <c:pt idx="51">
                  <c:v>17.946006317157973</c:v>
                </c:pt>
                <c:pt idx="52">
                  <c:v>18.908965604312613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SOC and DoD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'Duty Cycle'!$AA$1</c:f>
              <c:strCache>
                <c:ptCount val="1"/>
                <c:pt idx="0">
                  <c:v>SOC Capacity [%]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Cycle'!$A$2:$A$54</c:f>
              <c:numCache>
                <c:formatCode>0.00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'Duty Cycle'!$AA$2:$AA$54</c:f>
              <c:numCache>
                <c:formatCode>0.00</c:formatCode>
                <c:ptCount val="53"/>
                <c:pt idx="0">
                  <c:v>99.995812098299353</c:v>
                </c:pt>
                <c:pt idx="1">
                  <c:v>99.983020046604409</c:v>
                </c:pt>
                <c:pt idx="2">
                  <c:v>99.960938805136152</c:v>
                </c:pt>
                <c:pt idx="3">
                  <c:v>99.928426640929572</c:v>
                </c:pt>
                <c:pt idx="4">
                  <c:v>99.883885127833636</c:v>
                </c:pt>
                <c:pt idx="5">
                  <c:v>99.848099819737868</c:v>
                </c:pt>
                <c:pt idx="6">
                  <c:v>99.832156645676463</c:v>
                </c:pt>
                <c:pt idx="7">
                  <c:v>99.820828033018572</c:v>
                </c:pt>
                <c:pt idx="8">
                  <c:v>99.809499420360694</c:v>
                </c:pt>
                <c:pt idx="9">
                  <c:v>99.798170807702803</c:v>
                </c:pt>
                <c:pt idx="10">
                  <c:v>99.786842195044898</c:v>
                </c:pt>
                <c:pt idx="11">
                  <c:v>99.775513582387006</c:v>
                </c:pt>
                <c:pt idx="12">
                  <c:v>99.764184969729115</c:v>
                </c:pt>
                <c:pt idx="13">
                  <c:v>99.752856357071209</c:v>
                </c:pt>
                <c:pt idx="14">
                  <c:v>99.74152774441329</c:v>
                </c:pt>
                <c:pt idx="15">
                  <c:v>99.730199131755413</c:v>
                </c:pt>
                <c:pt idx="16">
                  <c:v>99.718870519097521</c:v>
                </c:pt>
                <c:pt idx="17">
                  <c:v>99.70754190643963</c:v>
                </c:pt>
                <c:pt idx="18">
                  <c:v>99.696213293781724</c:v>
                </c:pt>
                <c:pt idx="19">
                  <c:v>99.684884681123833</c:v>
                </c:pt>
                <c:pt idx="20">
                  <c:v>99.673556068465928</c:v>
                </c:pt>
                <c:pt idx="21">
                  <c:v>99.662227455808036</c:v>
                </c:pt>
                <c:pt idx="22">
                  <c:v>99.650898843150145</c:v>
                </c:pt>
                <c:pt idx="23">
                  <c:v>99.639570230492268</c:v>
                </c:pt>
                <c:pt idx="24">
                  <c:v>99.628241617834362</c:v>
                </c:pt>
                <c:pt idx="25">
                  <c:v>99.616913005176471</c:v>
                </c:pt>
                <c:pt idx="26">
                  <c:v>99.60558439251858</c:v>
                </c:pt>
                <c:pt idx="27">
                  <c:v>99.594255779860674</c:v>
                </c:pt>
                <c:pt idx="28">
                  <c:v>99.582927167202783</c:v>
                </c:pt>
                <c:pt idx="29">
                  <c:v>99.571598554544877</c:v>
                </c:pt>
                <c:pt idx="30">
                  <c:v>99.560269941886986</c:v>
                </c:pt>
                <c:pt idx="31">
                  <c:v>99.548941329229109</c:v>
                </c:pt>
                <c:pt idx="32">
                  <c:v>99.545899303633021</c:v>
                </c:pt>
                <c:pt idx="33">
                  <c:v>99.545434691295625</c:v>
                </c:pt>
                <c:pt idx="34">
                  <c:v>99.544716495952329</c:v>
                </c:pt>
                <c:pt idx="35">
                  <c:v>99.54374451433857</c:v>
                </c:pt>
                <c:pt idx="36">
                  <c:v>99.542518471449412</c:v>
                </c:pt>
                <c:pt idx="37">
                  <c:v>99.541038020539474</c:v>
                </c:pt>
                <c:pt idx="38">
                  <c:v>99.53930274312296</c:v>
                </c:pt>
                <c:pt idx="39">
                  <c:v>99.537312148973712</c:v>
                </c:pt>
                <c:pt idx="40">
                  <c:v>99.535065676125029</c:v>
                </c:pt>
                <c:pt idx="41">
                  <c:v>99.532562690869895</c:v>
                </c:pt>
                <c:pt idx="42">
                  <c:v>99.529802487760861</c:v>
                </c:pt>
                <c:pt idx="43">
                  <c:v>99.526784289609992</c:v>
                </c:pt>
                <c:pt idx="44">
                  <c:v>99.523507247488965</c:v>
                </c:pt>
                <c:pt idx="45">
                  <c:v>99.519970440729082</c:v>
                </c:pt>
                <c:pt idx="46">
                  <c:v>99.516172876921146</c:v>
                </c:pt>
                <c:pt idx="47">
                  <c:v>99.512113491915599</c:v>
                </c:pt>
                <c:pt idx="48">
                  <c:v>99.507791149822438</c:v>
                </c:pt>
                <c:pt idx="49">
                  <c:v>99.50320464301123</c:v>
                </c:pt>
                <c:pt idx="50">
                  <c:v>99.498352692111197</c:v>
                </c:pt>
                <c:pt idx="51">
                  <c:v>99.493233946010974</c:v>
                </c:pt>
                <c:pt idx="52">
                  <c:v>99.487981455565347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2-4D63-B8E7-759A7CEC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560"/>
        <c:axId val="358225808"/>
      </c:scatterChart>
      <c:scatterChart>
        <c:scatterStyle val="smoothMarker"/>
        <c:varyColors val="0"/>
        <c:ser>
          <c:idx val="1"/>
          <c:order val="1"/>
          <c:tx>
            <c:strRef>
              <c:f>'Duty Cycle'!$AB$1</c:f>
              <c:strCache>
                <c:ptCount val="1"/>
                <c:pt idx="0">
                  <c:v>DOD [%]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Cycle'!$A$2:$A$54</c:f>
              <c:numCache>
                <c:formatCode>0.00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'Duty Cycle'!$AB$2:$AB$54</c:f>
              <c:numCache>
                <c:formatCode>General</c:formatCode>
                <c:ptCount val="53"/>
                <c:pt idx="0">
                  <c:v>4.1879017006468296E-3</c:v>
                </c:pt>
                <c:pt idx="1">
                  <c:v>1.6979953395591111E-2</c:v>
                </c:pt>
                <c:pt idx="2">
                  <c:v>3.9061194863844212E-2</c:v>
                </c:pt>
                <c:pt idx="3">
                  <c:v>7.1573359070425072E-2</c:v>
                </c:pt>
                <c:pt idx="4">
                  <c:v>0.11611487216636024</c:v>
                </c:pt>
                <c:pt idx="5">
                  <c:v>0.15190018026212632</c:v>
                </c:pt>
                <c:pt idx="6">
                  <c:v>0.16784335432352984</c:v>
                </c:pt>
                <c:pt idx="7">
                  <c:v>0.1791719669814246</c:v>
                </c:pt>
                <c:pt idx="8">
                  <c:v>0.19050057963931935</c:v>
                </c:pt>
                <c:pt idx="9">
                  <c:v>0.20182919229721413</c:v>
                </c:pt>
                <c:pt idx="10">
                  <c:v>0.21315780495510889</c:v>
                </c:pt>
                <c:pt idx="11">
                  <c:v>0.22448641761300364</c:v>
                </c:pt>
                <c:pt idx="12">
                  <c:v>0.2358150302708984</c:v>
                </c:pt>
                <c:pt idx="13">
                  <c:v>0.24714364292879315</c:v>
                </c:pt>
                <c:pt idx="14">
                  <c:v>0.2584722555866879</c:v>
                </c:pt>
                <c:pt idx="15">
                  <c:v>0.26980086824458266</c:v>
                </c:pt>
                <c:pt idx="16">
                  <c:v>0.28112948090247741</c:v>
                </c:pt>
                <c:pt idx="17">
                  <c:v>0.29245809356037217</c:v>
                </c:pt>
                <c:pt idx="18">
                  <c:v>0.30378670621826692</c:v>
                </c:pt>
                <c:pt idx="19">
                  <c:v>0.31511531887616168</c:v>
                </c:pt>
                <c:pt idx="20">
                  <c:v>0.32644393153405643</c:v>
                </c:pt>
                <c:pt idx="21">
                  <c:v>0.33777254419195119</c:v>
                </c:pt>
                <c:pt idx="22">
                  <c:v>0.34910115684984594</c:v>
                </c:pt>
                <c:pt idx="23">
                  <c:v>0.36042976950774064</c:v>
                </c:pt>
                <c:pt idx="24">
                  <c:v>0.37175838216563539</c:v>
                </c:pt>
                <c:pt idx="25">
                  <c:v>0.38308699482353015</c:v>
                </c:pt>
                <c:pt idx="26">
                  <c:v>0.3944156074814249</c:v>
                </c:pt>
                <c:pt idx="27">
                  <c:v>0.40574422013931966</c:v>
                </c:pt>
                <c:pt idx="28">
                  <c:v>0.41707283279721441</c:v>
                </c:pt>
                <c:pt idx="29">
                  <c:v>0.42840144545510916</c:v>
                </c:pt>
                <c:pt idx="30">
                  <c:v>0.43973005811300392</c:v>
                </c:pt>
                <c:pt idx="31">
                  <c:v>0.45105867077089867</c:v>
                </c:pt>
                <c:pt idx="32">
                  <c:v>0.45410069636697831</c:v>
                </c:pt>
                <c:pt idx="33">
                  <c:v>0.45456530870435669</c:v>
                </c:pt>
                <c:pt idx="34">
                  <c:v>0.4552835040476641</c:v>
                </c:pt>
                <c:pt idx="35">
                  <c:v>0.45625548566142671</c:v>
                </c:pt>
                <c:pt idx="36">
                  <c:v>0.45748152855059193</c:v>
                </c:pt>
                <c:pt idx="37">
                  <c:v>0.45896197946052814</c:v>
                </c:pt>
                <c:pt idx="38">
                  <c:v>0.46069725687702484</c:v>
                </c:pt>
                <c:pt idx="39">
                  <c:v>0.46268785102629267</c:v>
                </c:pt>
                <c:pt idx="40">
                  <c:v>0.46493432387496297</c:v>
                </c:pt>
                <c:pt idx="41">
                  <c:v>0.46743730913008857</c:v>
                </c:pt>
                <c:pt idx="42">
                  <c:v>0.47019751223914313</c:v>
                </c:pt>
                <c:pt idx="43">
                  <c:v>0.47321571039002136</c:v>
                </c:pt>
                <c:pt idx="44">
                  <c:v>0.47649275251103895</c:v>
                </c:pt>
                <c:pt idx="45">
                  <c:v>0.48002955927093283</c:v>
                </c:pt>
                <c:pt idx="46">
                  <c:v>0.48382712307886094</c:v>
                </c:pt>
                <c:pt idx="47">
                  <c:v>0.48788650808440215</c:v>
                </c:pt>
                <c:pt idx="48">
                  <c:v>0.49220885017755645</c:v>
                </c:pt>
                <c:pt idx="49">
                  <c:v>0.496795356988745</c:v>
                </c:pt>
                <c:pt idx="50">
                  <c:v>0.50164730788880973</c:v>
                </c:pt>
                <c:pt idx="51">
                  <c:v>0.50676605398901398</c:v>
                </c:pt>
                <c:pt idx="52">
                  <c:v>0.51201854443465633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C-47CD-82AE-0C8E9085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44904"/>
        <c:axId val="693649824"/>
      </c:scatterChart>
      <c:valAx>
        <c:axId val="3582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5808"/>
        <c:crosses val="autoZero"/>
        <c:crossBetween val="midCat"/>
      </c:valAx>
      <c:valAx>
        <c:axId val="3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0560"/>
        <c:crosses val="autoZero"/>
        <c:crossBetween val="midCat"/>
      </c:valAx>
      <c:valAx>
        <c:axId val="69364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4904"/>
        <c:crosses val="max"/>
        <c:crossBetween val="midCat"/>
      </c:valAx>
      <c:valAx>
        <c:axId val="69364490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936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Data'!$D$4:$D$13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E-4A24-8F3A-28A796859B2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Data'!$D$17:$D$26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A24-8F3A-28A796859B2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Data'!$D$30:$D$42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E-4A24-8F3A-28A796859B2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Data'!$B$4:$B$13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6E-4A24-8F3A-28A796859B2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Data'!$B$17:$B$26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6E-4A24-8F3A-28A796859B2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Data'!$B$30:$B$42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6E-4A24-8F3A-28A796859B2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Cycle'!$R$2:$R$34</c:f>
              <c:numCache>
                <c:formatCode>0.00</c:formatCode>
                <c:ptCount val="33"/>
                <c:pt idx="0">
                  <c:v>0</c:v>
                </c:pt>
                <c:pt idx="1">
                  <c:v>2037.3313226861133</c:v>
                </c:pt>
                <c:pt idx="2">
                  <c:v>4074.6626453722265</c:v>
                </c:pt>
                <c:pt idx="3">
                  <c:v>6111.9939680583393</c:v>
                </c:pt>
                <c:pt idx="4">
                  <c:v>8149.325290744453</c:v>
                </c:pt>
                <c:pt idx="5">
                  <c:v>10186.656613430565</c:v>
                </c:pt>
                <c:pt idx="6">
                  <c:v>10626.368409693756</c:v>
                </c:pt>
                <c:pt idx="7">
                  <c:v>10626.368409693756</c:v>
                </c:pt>
                <c:pt idx="8">
                  <c:v>10626.368409693756</c:v>
                </c:pt>
                <c:pt idx="9">
                  <c:v>10626.368409693756</c:v>
                </c:pt>
                <c:pt idx="10">
                  <c:v>10626.368409693756</c:v>
                </c:pt>
                <c:pt idx="11">
                  <c:v>10626.368409693756</c:v>
                </c:pt>
                <c:pt idx="12">
                  <c:v>10626.368409693756</c:v>
                </c:pt>
                <c:pt idx="13">
                  <c:v>10626.368409693756</c:v>
                </c:pt>
                <c:pt idx="14">
                  <c:v>10626.368409693756</c:v>
                </c:pt>
                <c:pt idx="15">
                  <c:v>10626.368409693756</c:v>
                </c:pt>
                <c:pt idx="16">
                  <c:v>10626.368409693756</c:v>
                </c:pt>
                <c:pt idx="17">
                  <c:v>10626.368409693756</c:v>
                </c:pt>
                <c:pt idx="18">
                  <c:v>10626.368409693756</c:v>
                </c:pt>
                <c:pt idx="19">
                  <c:v>10626.368409693756</c:v>
                </c:pt>
                <c:pt idx="20">
                  <c:v>10626.368409693756</c:v>
                </c:pt>
                <c:pt idx="21">
                  <c:v>10626.368409693756</c:v>
                </c:pt>
                <c:pt idx="22">
                  <c:v>10626.368409693756</c:v>
                </c:pt>
                <c:pt idx="23">
                  <c:v>10626.368409693756</c:v>
                </c:pt>
                <c:pt idx="24">
                  <c:v>10626.368409693756</c:v>
                </c:pt>
                <c:pt idx="25">
                  <c:v>10626.368409693756</c:v>
                </c:pt>
                <c:pt idx="26">
                  <c:v>10626.368409693756</c:v>
                </c:pt>
                <c:pt idx="27">
                  <c:v>10626.368409693756</c:v>
                </c:pt>
                <c:pt idx="28">
                  <c:v>10626.368409693756</c:v>
                </c:pt>
                <c:pt idx="29">
                  <c:v>10626.368409693756</c:v>
                </c:pt>
                <c:pt idx="30">
                  <c:v>10626.368409693756</c:v>
                </c:pt>
                <c:pt idx="31">
                  <c:v>10626.368409693756</c:v>
                </c:pt>
                <c:pt idx="32">
                  <c:v>10626.368409693756</c:v>
                </c:pt>
              </c:numCache>
            </c:numRef>
          </c:xVal>
          <c:yVal>
            <c:numRef>
              <c:f>'Duty Cycle'!$Q$2:$Q$34</c:f>
              <c:numCache>
                <c:formatCode>0.00</c:formatCode>
                <c:ptCount val="33"/>
                <c:pt idx="0">
                  <c:v>0.85428984688995224</c:v>
                </c:pt>
                <c:pt idx="1">
                  <c:v>70.665705609344812</c:v>
                </c:pt>
                <c:pt idx="2">
                  <c:v>72.592239978049122</c:v>
                </c:pt>
                <c:pt idx="3">
                  <c:v>75.8031305925563</c:v>
                </c:pt>
                <c:pt idx="4">
                  <c:v>80.298377452866347</c:v>
                </c:pt>
                <c:pt idx="5">
                  <c:v>86.077980558979249</c:v>
                </c:pt>
                <c:pt idx="6">
                  <c:v>33.253264889952185</c:v>
                </c:pt>
                <c:pt idx="7">
                  <c:v>18.324652449760766</c:v>
                </c:pt>
                <c:pt idx="8">
                  <c:v>18.324652449760766</c:v>
                </c:pt>
                <c:pt idx="9">
                  <c:v>18.324652449760766</c:v>
                </c:pt>
                <c:pt idx="10">
                  <c:v>18.324652449760766</c:v>
                </c:pt>
                <c:pt idx="11">
                  <c:v>18.324652449760766</c:v>
                </c:pt>
                <c:pt idx="12">
                  <c:v>18.324652449760766</c:v>
                </c:pt>
                <c:pt idx="13">
                  <c:v>18.324652449760766</c:v>
                </c:pt>
                <c:pt idx="14">
                  <c:v>18.324652449760766</c:v>
                </c:pt>
                <c:pt idx="15">
                  <c:v>18.324652449760766</c:v>
                </c:pt>
                <c:pt idx="16">
                  <c:v>18.324652449760766</c:v>
                </c:pt>
                <c:pt idx="17">
                  <c:v>18.324652449760766</c:v>
                </c:pt>
                <c:pt idx="18">
                  <c:v>18.324652449760766</c:v>
                </c:pt>
                <c:pt idx="19">
                  <c:v>18.324652449760766</c:v>
                </c:pt>
                <c:pt idx="20">
                  <c:v>18.324652449760766</c:v>
                </c:pt>
                <c:pt idx="21">
                  <c:v>18.324652449760766</c:v>
                </c:pt>
                <c:pt idx="22">
                  <c:v>18.324652449760766</c:v>
                </c:pt>
                <c:pt idx="23">
                  <c:v>18.324652449760766</c:v>
                </c:pt>
                <c:pt idx="24">
                  <c:v>18.324652449760766</c:v>
                </c:pt>
                <c:pt idx="25">
                  <c:v>18.324652449760766</c:v>
                </c:pt>
                <c:pt idx="26">
                  <c:v>18.324652449760766</c:v>
                </c:pt>
                <c:pt idx="27">
                  <c:v>18.324652449760766</c:v>
                </c:pt>
                <c:pt idx="28">
                  <c:v>18.324652449760766</c:v>
                </c:pt>
                <c:pt idx="29">
                  <c:v>18.324652449760766</c:v>
                </c:pt>
                <c:pt idx="30">
                  <c:v>18.324652449760766</c:v>
                </c:pt>
                <c:pt idx="31">
                  <c:v>18.324652449760766</c:v>
                </c:pt>
                <c:pt idx="32">
                  <c:v>18.324652449760766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6E-4A24-8F3A-28A796859B29}"/>
            </c:ext>
          </c:extLst>
        </c:ser>
        <c:ser>
          <c:idx val="7"/>
          <c:order val="7"/>
          <c:tx>
            <c:v>Start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Cycle'!$R$55</c:f>
              <c:numCache>
                <c:formatCode>0.00</c:formatCode>
                <c:ptCount val="1"/>
                <c:pt idx="0">
                  <c:v>36.642649688599164</c:v>
                </c:pt>
              </c:numCache>
            </c:numRef>
          </c:xVal>
          <c:yVal>
            <c:numRef>
              <c:f>'Duty Cycle'!$Q$55</c:f>
              <c:numCache>
                <c:formatCode>0.00</c:formatCode>
                <c:ptCount val="1"/>
                <c:pt idx="0">
                  <c:v>63.522540966237912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6E-4A24-8F3A-28A796859B2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Cycle'!$R$35:$R$54</c:f>
              <c:numCache>
                <c:formatCode>0.00</c:formatCode>
                <c:ptCount val="20"/>
                <c:pt idx="0">
                  <c:v>146.57059875439666</c:v>
                </c:pt>
                <c:pt idx="1">
                  <c:v>256.49854782019412</c:v>
                </c:pt>
                <c:pt idx="2">
                  <c:v>366.42649688599164</c:v>
                </c:pt>
                <c:pt idx="3">
                  <c:v>476.35444595178905</c:v>
                </c:pt>
                <c:pt idx="4">
                  <c:v>586.28239501758662</c:v>
                </c:pt>
                <c:pt idx="5">
                  <c:v>696.21034408338414</c:v>
                </c:pt>
                <c:pt idx="6">
                  <c:v>806.13829314918155</c:v>
                </c:pt>
                <c:pt idx="7">
                  <c:v>916.06624221497896</c:v>
                </c:pt>
                <c:pt idx="8">
                  <c:v>1025.9941912807765</c:v>
                </c:pt>
                <c:pt idx="9">
                  <c:v>1135.922140346574</c:v>
                </c:pt>
                <c:pt idx="10">
                  <c:v>1245.8500894123715</c:v>
                </c:pt>
                <c:pt idx="11">
                  <c:v>1355.7780384781686</c:v>
                </c:pt>
                <c:pt idx="12">
                  <c:v>1465.7059875439661</c:v>
                </c:pt>
                <c:pt idx="13">
                  <c:v>1575.6339366097636</c:v>
                </c:pt>
                <c:pt idx="14">
                  <c:v>1685.5618856755611</c:v>
                </c:pt>
                <c:pt idx="15">
                  <c:v>1795.4898347413582</c:v>
                </c:pt>
                <c:pt idx="16">
                  <c:v>1905.4177838071557</c:v>
                </c:pt>
                <c:pt idx="17">
                  <c:v>2015.345732872953</c:v>
                </c:pt>
                <c:pt idx="18">
                  <c:v>2125.2736819387501</c:v>
                </c:pt>
                <c:pt idx="19">
                  <c:v>2235.2016310045483</c:v>
                </c:pt>
              </c:numCache>
            </c:numRef>
          </c:xVal>
          <c:yVal>
            <c:numRef>
              <c:f>'Duty Cycle'!$Q$35:$Q$54</c:f>
              <c:numCache>
                <c:formatCode>0.00</c:formatCode>
                <c:ptCount val="20"/>
                <c:pt idx="0">
                  <c:v>39.622078278263423</c:v>
                </c:pt>
                <c:pt idx="1">
                  <c:v>39.6289334740529</c:v>
                </c:pt>
                <c:pt idx="2">
                  <c:v>39.639527867545716</c:v>
                </c:pt>
                <c:pt idx="3">
                  <c:v>39.653861458741893</c:v>
                </c:pt>
                <c:pt idx="4">
                  <c:v>39.67193424764141</c:v>
                </c:pt>
                <c:pt idx="5">
                  <c:v>39.69374623424428</c:v>
                </c:pt>
                <c:pt idx="6">
                  <c:v>39.719297418550504</c:v>
                </c:pt>
                <c:pt idx="7">
                  <c:v>39.748587800560067</c:v>
                </c:pt>
                <c:pt idx="8">
                  <c:v>39.781617380272984</c:v>
                </c:pt>
                <c:pt idx="9">
                  <c:v>39.818386157689268</c:v>
                </c:pt>
                <c:pt idx="10">
                  <c:v>39.858894132808871</c:v>
                </c:pt>
                <c:pt idx="11">
                  <c:v>39.903141305631841</c:v>
                </c:pt>
                <c:pt idx="12">
                  <c:v>39.951127676158158</c:v>
                </c:pt>
                <c:pt idx="13">
                  <c:v>40.002853244387822</c:v>
                </c:pt>
                <c:pt idx="14">
                  <c:v>40.058318010320839</c:v>
                </c:pt>
                <c:pt idx="15">
                  <c:v>40.117521973957203</c:v>
                </c:pt>
                <c:pt idx="16">
                  <c:v>40.180465135296913</c:v>
                </c:pt>
                <c:pt idx="17">
                  <c:v>40.24714749433997</c:v>
                </c:pt>
                <c:pt idx="18">
                  <c:v>40.31756905108638</c:v>
                </c:pt>
                <c:pt idx="19">
                  <c:v>40.391729805536144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6E-4A24-8F3A-28A79685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Data'!$B$45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Data'!$B$46:$B$61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4-4A58-A4B8-9976B2A675F7}"/>
            </c:ext>
          </c:extLst>
        </c:ser>
        <c:ser>
          <c:idx val="1"/>
          <c:order val="1"/>
          <c:tx>
            <c:strRef>
              <c:f>'Magelec Motor Data'!$C$45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Data'!$C$46:$C$61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4-4A58-A4B8-9976B2A675F7}"/>
            </c:ext>
          </c:extLst>
        </c:ser>
        <c:ser>
          <c:idx val="2"/>
          <c:order val="2"/>
          <c:tx>
            <c:strRef>
              <c:f>'Magelec Motor Data'!$D$45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Data'!$D$46:$D$61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84-4A58-A4B8-9976B2A675F7}"/>
            </c:ext>
          </c:extLst>
        </c:ser>
        <c:ser>
          <c:idx val="3"/>
          <c:order val="3"/>
          <c:tx>
            <c:strRef>
              <c:f>'Magelec Motor Data'!$E$45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Data'!$E$46:$E$61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84-4A58-A4B8-9976B2A675F7}"/>
            </c:ext>
          </c:extLst>
        </c:ser>
        <c:ser>
          <c:idx val="4"/>
          <c:order val="4"/>
          <c:tx>
            <c:strRef>
              <c:f>'Magelec Motor Data'!$F$45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Data'!$F$46:$F$61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84-4A58-A4B8-9976B2A675F7}"/>
            </c:ext>
          </c:extLst>
        </c:ser>
        <c:ser>
          <c:idx val="5"/>
          <c:order val="5"/>
          <c:tx>
            <c:strRef>
              <c:f>'Magelec Motor Data'!$G$45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Data'!$G$46:$G$61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84-4A58-A4B8-9976B2A675F7}"/>
            </c:ext>
          </c:extLst>
        </c:ser>
        <c:ser>
          <c:idx val="6"/>
          <c:order val="6"/>
          <c:tx>
            <c:strRef>
              <c:f>'Magelec Motor Data'!$H$45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Data'!$H$46:$H$61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84-4A58-A4B8-9976B2A675F7}"/>
            </c:ext>
          </c:extLst>
        </c:ser>
        <c:ser>
          <c:idx val="7"/>
          <c:order val="7"/>
          <c:tx>
            <c:strRef>
              <c:f>'Magelec Motor Data'!$I$45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Data'!$I$46:$I$61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84-4A58-A4B8-9976B2A675F7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Cycle'!$R$2:$R$34</c:f>
              <c:numCache>
                <c:formatCode>0.00</c:formatCode>
                <c:ptCount val="33"/>
                <c:pt idx="0">
                  <c:v>0</c:v>
                </c:pt>
                <c:pt idx="1">
                  <c:v>2037.3313226861133</c:v>
                </c:pt>
                <c:pt idx="2">
                  <c:v>4074.6626453722265</c:v>
                </c:pt>
                <c:pt idx="3">
                  <c:v>6111.9939680583393</c:v>
                </c:pt>
                <c:pt idx="4">
                  <c:v>8149.325290744453</c:v>
                </c:pt>
                <c:pt idx="5">
                  <c:v>10186.656613430565</c:v>
                </c:pt>
                <c:pt idx="6">
                  <c:v>10626.368409693756</c:v>
                </c:pt>
                <c:pt idx="7">
                  <c:v>10626.368409693756</c:v>
                </c:pt>
                <c:pt idx="8">
                  <c:v>10626.368409693756</c:v>
                </c:pt>
                <c:pt idx="9">
                  <c:v>10626.368409693756</c:v>
                </c:pt>
                <c:pt idx="10">
                  <c:v>10626.368409693756</c:v>
                </c:pt>
                <c:pt idx="11">
                  <c:v>10626.368409693756</c:v>
                </c:pt>
                <c:pt idx="12">
                  <c:v>10626.368409693756</c:v>
                </c:pt>
                <c:pt idx="13">
                  <c:v>10626.368409693756</c:v>
                </c:pt>
                <c:pt idx="14">
                  <c:v>10626.368409693756</c:v>
                </c:pt>
                <c:pt idx="15">
                  <c:v>10626.368409693756</c:v>
                </c:pt>
                <c:pt idx="16">
                  <c:v>10626.368409693756</c:v>
                </c:pt>
                <c:pt idx="17">
                  <c:v>10626.368409693756</c:v>
                </c:pt>
                <c:pt idx="18">
                  <c:v>10626.368409693756</c:v>
                </c:pt>
                <c:pt idx="19">
                  <c:v>10626.368409693756</c:v>
                </c:pt>
                <c:pt idx="20">
                  <c:v>10626.368409693756</c:v>
                </c:pt>
                <c:pt idx="21">
                  <c:v>10626.368409693756</c:v>
                </c:pt>
                <c:pt idx="22">
                  <c:v>10626.368409693756</c:v>
                </c:pt>
                <c:pt idx="23">
                  <c:v>10626.368409693756</c:v>
                </c:pt>
                <c:pt idx="24">
                  <c:v>10626.368409693756</c:v>
                </c:pt>
                <c:pt idx="25">
                  <c:v>10626.368409693756</c:v>
                </c:pt>
                <c:pt idx="26">
                  <c:v>10626.368409693756</c:v>
                </c:pt>
                <c:pt idx="27">
                  <c:v>10626.368409693756</c:v>
                </c:pt>
                <c:pt idx="28">
                  <c:v>10626.368409693756</c:v>
                </c:pt>
                <c:pt idx="29">
                  <c:v>10626.368409693756</c:v>
                </c:pt>
                <c:pt idx="30">
                  <c:v>10626.368409693756</c:v>
                </c:pt>
                <c:pt idx="31">
                  <c:v>10626.368409693756</c:v>
                </c:pt>
                <c:pt idx="32">
                  <c:v>10626.368409693756</c:v>
                </c:pt>
              </c:numCache>
            </c:numRef>
          </c:xVal>
          <c:yVal>
            <c:numRef>
              <c:f>'Duty Cycle'!$Q$2:$Q$34</c:f>
              <c:numCache>
                <c:formatCode>0.00</c:formatCode>
                <c:ptCount val="33"/>
                <c:pt idx="0">
                  <c:v>0.85428984688995224</c:v>
                </c:pt>
                <c:pt idx="1">
                  <c:v>70.665705609344812</c:v>
                </c:pt>
                <c:pt idx="2">
                  <c:v>72.592239978049122</c:v>
                </c:pt>
                <c:pt idx="3">
                  <c:v>75.8031305925563</c:v>
                </c:pt>
                <c:pt idx="4">
                  <c:v>80.298377452866347</c:v>
                </c:pt>
                <c:pt idx="5">
                  <c:v>86.077980558979249</c:v>
                </c:pt>
                <c:pt idx="6">
                  <c:v>33.253264889952185</c:v>
                </c:pt>
                <c:pt idx="7">
                  <c:v>18.324652449760766</c:v>
                </c:pt>
                <c:pt idx="8">
                  <c:v>18.324652449760766</c:v>
                </c:pt>
                <c:pt idx="9">
                  <c:v>18.324652449760766</c:v>
                </c:pt>
                <c:pt idx="10">
                  <c:v>18.324652449760766</c:v>
                </c:pt>
                <c:pt idx="11">
                  <c:v>18.324652449760766</c:v>
                </c:pt>
                <c:pt idx="12">
                  <c:v>18.324652449760766</c:v>
                </c:pt>
                <c:pt idx="13">
                  <c:v>18.324652449760766</c:v>
                </c:pt>
                <c:pt idx="14">
                  <c:v>18.324652449760766</c:v>
                </c:pt>
                <c:pt idx="15">
                  <c:v>18.324652449760766</c:v>
                </c:pt>
                <c:pt idx="16">
                  <c:v>18.324652449760766</c:v>
                </c:pt>
                <c:pt idx="17">
                  <c:v>18.324652449760766</c:v>
                </c:pt>
                <c:pt idx="18">
                  <c:v>18.324652449760766</c:v>
                </c:pt>
                <c:pt idx="19">
                  <c:v>18.324652449760766</c:v>
                </c:pt>
                <c:pt idx="20">
                  <c:v>18.324652449760766</c:v>
                </c:pt>
                <c:pt idx="21">
                  <c:v>18.324652449760766</c:v>
                </c:pt>
                <c:pt idx="22">
                  <c:v>18.324652449760766</c:v>
                </c:pt>
                <c:pt idx="23">
                  <c:v>18.324652449760766</c:v>
                </c:pt>
                <c:pt idx="24">
                  <c:v>18.324652449760766</c:v>
                </c:pt>
                <c:pt idx="25">
                  <c:v>18.324652449760766</c:v>
                </c:pt>
                <c:pt idx="26">
                  <c:v>18.324652449760766</c:v>
                </c:pt>
                <c:pt idx="27">
                  <c:v>18.324652449760766</c:v>
                </c:pt>
                <c:pt idx="28">
                  <c:v>18.324652449760766</c:v>
                </c:pt>
                <c:pt idx="29">
                  <c:v>18.324652449760766</c:v>
                </c:pt>
                <c:pt idx="30">
                  <c:v>18.324652449760766</c:v>
                </c:pt>
                <c:pt idx="31">
                  <c:v>18.324652449760766</c:v>
                </c:pt>
                <c:pt idx="32">
                  <c:v>18.324652449760766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84-4A58-A4B8-9976B2A675F7}"/>
            </c:ext>
          </c:extLst>
        </c:ser>
        <c:ser>
          <c:idx val="9"/>
          <c:order val="9"/>
          <c:tx>
            <c:v>Startability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C0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Cycle'!$R$55</c:f>
              <c:numCache>
                <c:formatCode>0.00</c:formatCode>
                <c:ptCount val="1"/>
                <c:pt idx="0">
                  <c:v>36.642649688599164</c:v>
                </c:pt>
              </c:numCache>
            </c:numRef>
          </c:xVal>
          <c:yVal>
            <c:numRef>
              <c:f>'Duty Cycle'!$Q$55</c:f>
              <c:numCache>
                <c:formatCode>0.00</c:formatCode>
                <c:ptCount val="1"/>
                <c:pt idx="0">
                  <c:v>63.522540966237912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3C-4A0B-AD8A-873D80F1A998}"/>
            </c:ext>
          </c:extLst>
        </c:ser>
        <c:ser>
          <c:idx val="10"/>
          <c:order val="10"/>
          <c:tx>
            <c:v>Graeability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Cycle'!$R$35:$R$54</c:f>
              <c:numCache>
                <c:formatCode>0.00</c:formatCode>
                <c:ptCount val="20"/>
                <c:pt idx="0">
                  <c:v>146.57059875439666</c:v>
                </c:pt>
                <c:pt idx="1">
                  <c:v>256.49854782019412</c:v>
                </c:pt>
                <c:pt idx="2">
                  <c:v>366.42649688599164</c:v>
                </c:pt>
                <c:pt idx="3">
                  <c:v>476.35444595178905</c:v>
                </c:pt>
                <c:pt idx="4">
                  <c:v>586.28239501758662</c:v>
                </c:pt>
                <c:pt idx="5">
                  <c:v>696.21034408338414</c:v>
                </c:pt>
                <c:pt idx="6">
                  <c:v>806.13829314918155</c:v>
                </c:pt>
                <c:pt idx="7">
                  <c:v>916.06624221497896</c:v>
                </c:pt>
                <c:pt idx="8">
                  <c:v>1025.9941912807765</c:v>
                </c:pt>
                <c:pt idx="9">
                  <c:v>1135.922140346574</c:v>
                </c:pt>
                <c:pt idx="10">
                  <c:v>1245.8500894123715</c:v>
                </c:pt>
                <c:pt idx="11">
                  <c:v>1355.7780384781686</c:v>
                </c:pt>
                <c:pt idx="12">
                  <c:v>1465.7059875439661</c:v>
                </c:pt>
                <c:pt idx="13">
                  <c:v>1575.6339366097636</c:v>
                </c:pt>
                <c:pt idx="14">
                  <c:v>1685.5618856755611</c:v>
                </c:pt>
                <c:pt idx="15">
                  <c:v>1795.4898347413582</c:v>
                </c:pt>
                <c:pt idx="16">
                  <c:v>1905.4177838071557</c:v>
                </c:pt>
                <c:pt idx="17">
                  <c:v>2015.345732872953</c:v>
                </c:pt>
                <c:pt idx="18">
                  <c:v>2125.2736819387501</c:v>
                </c:pt>
                <c:pt idx="19">
                  <c:v>2235.2016310045483</c:v>
                </c:pt>
              </c:numCache>
            </c:numRef>
          </c:xVal>
          <c:yVal>
            <c:numRef>
              <c:f>'Duty Cycle'!$Q$35:$Q$54</c:f>
              <c:numCache>
                <c:formatCode>0.00</c:formatCode>
                <c:ptCount val="20"/>
                <c:pt idx="0">
                  <c:v>39.622078278263423</c:v>
                </c:pt>
                <c:pt idx="1">
                  <c:v>39.6289334740529</c:v>
                </c:pt>
                <c:pt idx="2">
                  <c:v>39.639527867545716</c:v>
                </c:pt>
                <c:pt idx="3">
                  <c:v>39.653861458741893</c:v>
                </c:pt>
                <c:pt idx="4">
                  <c:v>39.67193424764141</c:v>
                </c:pt>
                <c:pt idx="5">
                  <c:v>39.69374623424428</c:v>
                </c:pt>
                <c:pt idx="6">
                  <c:v>39.719297418550504</c:v>
                </c:pt>
                <c:pt idx="7">
                  <c:v>39.748587800560067</c:v>
                </c:pt>
                <c:pt idx="8">
                  <c:v>39.781617380272984</c:v>
                </c:pt>
                <c:pt idx="9">
                  <c:v>39.818386157689268</c:v>
                </c:pt>
                <c:pt idx="10">
                  <c:v>39.858894132808871</c:v>
                </c:pt>
                <c:pt idx="11">
                  <c:v>39.903141305631841</c:v>
                </c:pt>
                <c:pt idx="12">
                  <c:v>39.951127676158158</c:v>
                </c:pt>
                <c:pt idx="13">
                  <c:v>40.002853244387822</c:v>
                </c:pt>
                <c:pt idx="14">
                  <c:v>40.058318010320839</c:v>
                </c:pt>
                <c:pt idx="15">
                  <c:v>40.117521973957203</c:v>
                </c:pt>
                <c:pt idx="16">
                  <c:v>40.180465135296913</c:v>
                </c:pt>
                <c:pt idx="17">
                  <c:v>40.24714749433997</c:v>
                </c:pt>
                <c:pt idx="18">
                  <c:v>40.31756905108638</c:v>
                </c:pt>
                <c:pt idx="19">
                  <c:v>40.391729805536144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3C-4A0B-AD8A-873D80F1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Data'!$B$64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Data'!$B$65:$B$90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3-498F-9F92-63C836081259}"/>
            </c:ext>
          </c:extLst>
        </c:ser>
        <c:ser>
          <c:idx val="1"/>
          <c:order val="1"/>
          <c:tx>
            <c:strRef>
              <c:f>'Magelec Motor Data'!$C$64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Data'!$C$65:$C$90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3-498F-9F92-63C836081259}"/>
            </c:ext>
          </c:extLst>
        </c:ser>
        <c:ser>
          <c:idx val="2"/>
          <c:order val="2"/>
          <c:tx>
            <c:strRef>
              <c:f>'Magelec Motor Data'!$D$64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Data'!$D$65:$D$90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3-498F-9F92-63C836081259}"/>
            </c:ext>
          </c:extLst>
        </c:ser>
        <c:ser>
          <c:idx val="3"/>
          <c:order val="3"/>
          <c:tx>
            <c:strRef>
              <c:f>'Magelec Motor Data'!$E$64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Data'!$E$65:$E$90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3-498F-9F92-63C836081259}"/>
            </c:ext>
          </c:extLst>
        </c:ser>
        <c:ser>
          <c:idx val="4"/>
          <c:order val="4"/>
          <c:tx>
            <c:strRef>
              <c:f>'Magelec Motor Data'!$F$64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Data'!$F$65:$F$90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3-498F-9F92-63C836081259}"/>
            </c:ext>
          </c:extLst>
        </c:ser>
        <c:ser>
          <c:idx val="5"/>
          <c:order val="5"/>
          <c:tx>
            <c:strRef>
              <c:f>'Magelec Motor Data'!$G$64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Data'!$G$65:$G$90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3-498F-9F92-63C836081259}"/>
            </c:ext>
          </c:extLst>
        </c:ser>
        <c:ser>
          <c:idx val="6"/>
          <c:order val="6"/>
          <c:tx>
            <c:strRef>
              <c:f>'Magelec Motor Data'!$H$64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Data'!$H$65:$H$90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3-498F-9F92-63C836081259}"/>
            </c:ext>
          </c:extLst>
        </c:ser>
        <c:ser>
          <c:idx val="7"/>
          <c:order val="7"/>
          <c:tx>
            <c:strRef>
              <c:f>'Magelec Motor Data'!$I$64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Data'!$I$65:$I$90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3-498F-9F92-63C836081259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Cycle'!$R$2:$R$34</c:f>
              <c:numCache>
                <c:formatCode>0.00</c:formatCode>
                <c:ptCount val="33"/>
                <c:pt idx="0">
                  <c:v>0</c:v>
                </c:pt>
                <c:pt idx="1">
                  <c:v>2037.3313226861133</c:v>
                </c:pt>
                <c:pt idx="2">
                  <c:v>4074.6626453722265</c:v>
                </c:pt>
                <c:pt idx="3">
                  <c:v>6111.9939680583393</c:v>
                </c:pt>
                <c:pt idx="4">
                  <c:v>8149.325290744453</c:v>
                </c:pt>
                <c:pt idx="5">
                  <c:v>10186.656613430565</c:v>
                </c:pt>
                <c:pt idx="6">
                  <c:v>10626.368409693756</c:v>
                </c:pt>
                <c:pt idx="7">
                  <c:v>10626.368409693756</c:v>
                </c:pt>
                <c:pt idx="8">
                  <c:v>10626.368409693756</c:v>
                </c:pt>
                <c:pt idx="9">
                  <c:v>10626.368409693756</c:v>
                </c:pt>
                <c:pt idx="10">
                  <c:v>10626.368409693756</c:v>
                </c:pt>
                <c:pt idx="11">
                  <c:v>10626.368409693756</c:v>
                </c:pt>
                <c:pt idx="12">
                  <c:v>10626.368409693756</c:v>
                </c:pt>
                <c:pt idx="13">
                  <c:v>10626.368409693756</c:v>
                </c:pt>
                <c:pt idx="14">
                  <c:v>10626.368409693756</c:v>
                </c:pt>
                <c:pt idx="15">
                  <c:v>10626.368409693756</c:v>
                </c:pt>
                <c:pt idx="16">
                  <c:v>10626.368409693756</c:v>
                </c:pt>
                <c:pt idx="17">
                  <c:v>10626.368409693756</c:v>
                </c:pt>
                <c:pt idx="18">
                  <c:v>10626.368409693756</c:v>
                </c:pt>
                <c:pt idx="19">
                  <c:v>10626.368409693756</c:v>
                </c:pt>
                <c:pt idx="20">
                  <c:v>10626.368409693756</c:v>
                </c:pt>
                <c:pt idx="21">
                  <c:v>10626.368409693756</c:v>
                </c:pt>
                <c:pt idx="22">
                  <c:v>10626.368409693756</c:v>
                </c:pt>
                <c:pt idx="23">
                  <c:v>10626.368409693756</c:v>
                </c:pt>
                <c:pt idx="24">
                  <c:v>10626.368409693756</c:v>
                </c:pt>
                <c:pt idx="25">
                  <c:v>10626.368409693756</c:v>
                </c:pt>
                <c:pt idx="26">
                  <c:v>10626.368409693756</c:v>
                </c:pt>
                <c:pt idx="27">
                  <c:v>10626.368409693756</c:v>
                </c:pt>
                <c:pt idx="28">
                  <c:v>10626.368409693756</c:v>
                </c:pt>
                <c:pt idx="29">
                  <c:v>10626.368409693756</c:v>
                </c:pt>
                <c:pt idx="30">
                  <c:v>10626.368409693756</c:v>
                </c:pt>
                <c:pt idx="31">
                  <c:v>10626.368409693756</c:v>
                </c:pt>
                <c:pt idx="32">
                  <c:v>10626.368409693756</c:v>
                </c:pt>
              </c:numCache>
            </c:numRef>
          </c:xVal>
          <c:yVal>
            <c:numRef>
              <c:f>'Duty Cycle'!$Q$2:$Q$34</c:f>
              <c:numCache>
                <c:formatCode>0.00</c:formatCode>
                <c:ptCount val="33"/>
                <c:pt idx="0">
                  <c:v>0.85428984688995224</c:v>
                </c:pt>
                <c:pt idx="1">
                  <c:v>70.665705609344812</c:v>
                </c:pt>
                <c:pt idx="2">
                  <c:v>72.592239978049122</c:v>
                </c:pt>
                <c:pt idx="3">
                  <c:v>75.8031305925563</c:v>
                </c:pt>
                <c:pt idx="4">
                  <c:v>80.298377452866347</c:v>
                </c:pt>
                <c:pt idx="5">
                  <c:v>86.077980558979249</c:v>
                </c:pt>
                <c:pt idx="6">
                  <c:v>33.253264889952185</c:v>
                </c:pt>
                <c:pt idx="7">
                  <c:v>18.324652449760766</c:v>
                </c:pt>
                <c:pt idx="8">
                  <c:v>18.324652449760766</c:v>
                </c:pt>
                <c:pt idx="9">
                  <c:v>18.324652449760766</c:v>
                </c:pt>
                <c:pt idx="10">
                  <c:v>18.324652449760766</c:v>
                </c:pt>
                <c:pt idx="11">
                  <c:v>18.324652449760766</c:v>
                </c:pt>
                <c:pt idx="12">
                  <c:v>18.324652449760766</c:v>
                </c:pt>
                <c:pt idx="13">
                  <c:v>18.324652449760766</c:v>
                </c:pt>
                <c:pt idx="14">
                  <c:v>18.324652449760766</c:v>
                </c:pt>
                <c:pt idx="15">
                  <c:v>18.324652449760766</c:v>
                </c:pt>
                <c:pt idx="16">
                  <c:v>18.324652449760766</c:v>
                </c:pt>
                <c:pt idx="17">
                  <c:v>18.324652449760766</c:v>
                </c:pt>
                <c:pt idx="18">
                  <c:v>18.324652449760766</c:v>
                </c:pt>
                <c:pt idx="19">
                  <c:v>18.324652449760766</c:v>
                </c:pt>
                <c:pt idx="20">
                  <c:v>18.324652449760766</c:v>
                </c:pt>
                <c:pt idx="21">
                  <c:v>18.324652449760766</c:v>
                </c:pt>
                <c:pt idx="22">
                  <c:v>18.324652449760766</c:v>
                </c:pt>
                <c:pt idx="23">
                  <c:v>18.324652449760766</c:v>
                </c:pt>
                <c:pt idx="24">
                  <c:v>18.324652449760766</c:v>
                </c:pt>
                <c:pt idx="25">
                  <c:v>18.324652449760766</c:v>
                </c:pt>
                <c:pt idx="26">
                  <c:v>18.324652449760766</c:v>
                </c:pt>
                <c:pt idx="27">
                  <c:v>18.324652449760766</c:v>
                </c:pt>
                <c:pt idx="28">
                  <c:v>18.324652449760766</c:v>
                </c:pt>
                <c:pt idx="29">
                  <c:v>18.324652449760766</c:v>
                </c:pt>
                <c:pt idx="30">
                  <c:v>18.324652449760766</c:v>
                </c:pt>
                <c:pt idx="31">
                  <c:v>18.324652449760766</c:v>
                </c:pt>
                <c:pt idx="32">
                  <c:v>18.324652449760766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43-498F-9F92-63C836081259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Cycle'!$R$55</c:f>
              <c:numCache>
                <c:formatCode>0.00</c:formatCode>
                <c:ptCount val="1"/>
                <c:pt idx="0">
                  <c:v>36.642649688599164</c:v>
                </c:pt>
              </c:numCache>
            </c:numRef>
          </c:xVal>
          <c:yVal>
            <c:numRef>
              <c:f>'Duty Cycle'!$Q$55</c:f>
              <c:numCache>
                <c:formatCode>0.00</c:formatCode>
                <c:ptCount val="1"/>
                <c:pt idx="0">
                  <c:v>63.522540966237912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43-498F-9F92-63C836081259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Cycle'!$R$35:$R$54</c:f>
              <c:numCache>
                <c:formatCode>0.00</c:formatCode>
                <c:ptCount val="20"/>
                <c:pt idx="0">
                  <c:v>146.57059875439666</c:v>
                </c:pt>
                <c:pt idx="1">
                  <c:v>256.49854782019412</c:v>
                </c:pt>
                <c:pt idx="2">
                  <c:v>366.42649688599164</c:v>
                </c:pt>
                <c:pt idx="3">
                  <c:v>476.35444595178905</c:v>
                </c:pt>
                <c:pt idx="4">
                  <c:v>586.28239501758662</c:v>
                </c:pt>
                <c:pt idx="5">
                  <c:v>696.21034408338414</c:v>
                </c:pt>
                <c:pt idx="6">
                  <c:v>806.13829314918155</c:v>
                </c:pt>
                <c:pt idx="7">
                  <c:v>916.06624221497896</c:v>
                </c:pt>
                <c:pt idx="8">
                  <c:v>1025.9941912807765</c:v>
                </c:pt>
                <c:pt idx="9">
                  <c:v>1135.922140346574</c:v>
                </c:pt>
                <c:pt idx="10">
                  <c:v>1245.8500894123715</c:v>
                </c:pt>
                <c:pt idx="11">
                  <c:v>1355.7780384781686</c:v>
                </c:pt>
                <c:pt idx="12">
                  <c:v>1465.7059875439661</c:v>
                </c:pt>
                <c:pt idx="13">
                  <c:v>1575.6339366097636</c:v>
                </c:pt>
                <c:pt idx="14">
                  <c:v>1685.5618856755611</c:v>
                </c:pt>
                <c:pt idx="15">
                  <c:v>1795.4898347413582</c:v>
                </c:pt>
                <c:pt idx="16">
                  <c:v>1905.4177838071557</c:v>
                </c:pt>
                <c:pt idx="17">
                  <c:v>2015.345732872953</c:v>
                </c:pt>
                <c:pt idx="18">
                  <c:v>2125.2736819387501</c:v>
                </c:pt>
                <c:pt idx="19">
                  <c:v>2235.2016310045483</c:v>
                </c:pt>
              </c:numCache>
            </c:numRef>
          </c:xVal>
          <c:yVal>
            <c:numRef>
              <c:f>'Duty Cycle'!$Q$35:$Q$54</c:f>
              <c:numCache>
                <c:formatCode>0.00</c:formatCode>
                <c:ptCount val="20"/>
                <c:pt idx="0">
                  <c:v>39.622078278263423</c:v>
                </c:pt>
                <c:pt idx="1">
                  <c:v>39.6289334740529</c:v>
                </c:pt>
                <c:pt idx="2">
                  <c:v>39.639527867545716</c:v>
                </c:pt>
                <c:pt idx="3">
                  <c:v>39.653861458741893</c:v>
                </c:pt>
                <c:pt idx="4">
                  <c:v>39.67193424764141</c:v>
                </c:pt>
                <c:pt idx="5">
                  <c:v>39.69374623424428</c:v>
                </c:pt>
                <c:pt idx="6">
                  <c:v>39.719297418550504</c:v>
                </c:pt>
                <c:pt idx="7">
                  <c:v>39.748587800560067</c:v>
                </c:pt>
                <c:pt idx="8">
                  <c:v>39.781617380272984</c:v>
                </c:pt>
                <c:pt idx="9">
                  <c:v>39.818386157689268</c:v>
                </c:pt>
                <c:pt idx="10">
                  <c:v>39.858894132808871</c:v>
                </c:pt>
                <c:pt idx="11">
                  <c:v>39.903141305631841</c:v>
                </c:pt>
                <c:pt idx="12">
                  <c:v>39.951127676158158</c:v>
                </c:pt>
                <c:pt idx="13">
                  <c:v>40.002853244387822</c:v>
                </c:pt>
                <c:pt idx="14">
                  <c:v>40.058318010320839</c:v>
                </c:pt>
                <c:pt idx="15">
                  <c:v>40.117521973957203</c:v>
                </c:pt>
                <c:pt idx="16">
                  <c:v>40.180465135296913</c:v>
                </c:pt>
                <c:pt idx="17">
                  <c:v>40.24714749433997</c:v>
                </c:pt>
                <c:pt idx="18">
                  <c:v>40.31756905108638</c:v>
                </c:pt>
                <c:pt idx="19">
                  <c:v>40.391729805536144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43-498F-9F92-63C83608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Data'!$B$94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Data'!$B$95:$B$113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1-42AD-942B-DBC17979A40F}"/>
            </c:ext>
          </c:extLst>
        </c:ser>
        <c:ser>
          <c:idx val="1"/>
          <c:order val="1"/>
          <c:tx>
            <c:strRef>
              <c:f>'Magelec Motor Data'!$C$94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Data'!$C$95:$C$113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21-42AD-942B-DBC17979A40F}"/>
            </c:ext>
          </c:extLst>
        </c:ser>
        <c:ser>
          <c:idx val="2"/>
          <c:order val="2"/>
          <c:tx>
            <c:strRef>
              <c:f>'Magelec Motor Data'!$D$94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Data'!$D$95:$D$113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21-42AD-942B-DBC17979A40F}"/>
            </c:ext>
          </c:extLst>
        </c:ser>
        <c:ser>
          <c:idx val="3"/>
          <c:order val="3"/>
          <c:tx>
            <c:strRef>
              <c:f>'Magelec Motor Data'!$E$94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Data'!$E$95:$E$113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21-42AD-942B-DBC17979A40F}"/>
            </c:ext>
          </c:extLst>
        </c:ser>
        <c:ser>
          <c:idx val="4"/>
          <c:order val="4"/>
          <c:tx>
            <c:strRef>
              <c:f>'Magelec Motor Data'!$F$94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Data'!$F$95:$F$113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21-42AD-942B-DBC17979A40F}"/>
            </c:ext>
          </c:extLst>
        </c:ser>
        <c:ser>
          <c:idx val="5"/>
          <c:order val="5"/>
          <c:tx>
            <c:strRef>
              <c:f>'Magelec Motor Data'!$G$94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Data'!$G$95:$G$113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21-42AD-942B-DBC17979A40F}"/>
            </c:ext>
          </c:extLst>
        </c:ser>
        <c:ser>
          <c:idx val="6"/>
          <c:order val="6"/>
          <c:tx>
            <c:strRef>
              <c:f>'Magelec Motor Data'!$H$94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Data'!$H$95:$H$113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21-42AD-942B-DBC17979A40F}"/>
            </c:ext>
          </c:extLst>
        </c:ser>
        <c:ser>
          <c:idx val="7"/>
          <c:order val="7"/>
          <c:tx>
            <c:strRef>
              <c:f>'Magelec Motor Data'!$I$94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Data'!$I$95:$I$113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921-42AD-942B-DBC17979A40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Cycle'!$R$2:$R$34</c:f>
              <c:numCache>
                <c:formatCode>0.00</c:formatCode>
                <c:ptCount val="33"/>
                <c:pt idx="0">
                  <c:v>0</c:v>
                </c:pt>
                <c:pt idx="1">
                  <c:v>2037.3313226861133</c:v>
                </c:pt>
                <c:pt idx="2">
                  <c:v>4074.6626453722265</c:v>
                </c:pt>
                <c:pt idx="3">
                  <c:v>6111.9939680583393</c:v>
                </c:pt>
                <c:pt idx="4">
                  <c:v>8149.325290744453</c:v>
                </c:pt>
                <c:pt idx="5">
                  <c:v>10186.656613430565</c:v>
                </c:pt>
                <c:pt idx="6">
                  <c:v>10626.368409693756</c:v>
                </c:pt>
                <c:pt idx="7">
                  <c:v>10626.368409693756</c:v>
                </c:pt>
                <c:pt idx="8">
                  <c:v>10626.368409693756</c:v>
                </c:pt>
                <c:pt idx="9">
                  <c:v>10626.368409693756</c:v>
                </c:pt>
                <c:pt idx="10">
                  <c:v>10626.368409693756</c:v>
                </c:pt>
                <c:pt idx="11">
                  <c:v>10626.368409693756</c:v>
                </c:pt>
                <c:pt idx="12">
                  <c:v>10626.368409693756</c:v>
                </c:pt>
                <c:pt idx="13">
                  <c:v>10626.368409693756</c:v>
                </c:pt>
                <c:pt idx="14">
                  <c:v>10626.368409693756</c:v>
                </c:pt>
                <c:pt idx="15">
                  <c:v>10626.368409693756</c:v>
                </c:pt>
                <c:pt idx="16">
                  <c:v>10626.368409693756</c:v>
                </c:pt>
                <c:pt idx="17">
                  <c:v>10626.368409693756</c:v>
                </c:pt>
                <c:pt idx="18">
                  <c:v>10626.368409693756</c:v>
                </c:pt>
                <c:pt idx="19">
                  <c:v>10626.368409693756</c:v>
                </c:pt>
                <c:pt idx="20">
                  <c:v>10626.368409693756</c:v>
                </c:pt>
                <c:pt idx="21">
                  <c:v>10626.368409693756</c:v>
                </c:pt>
                <c:pt idx="22">
                  <c:v>10626.368409693756</c:v>
                </c:pt>
                <c:pt idx="23">
                  <c:v>10626.368409693756</c:v>
                </c:pt>
                <c:pt idx="24">
                  <c:v>10626.368409693756</c:v>
                </c:pt>
                <c:pt idx="25">
                  <c:v>10626.368409693756</c:v>
                </c:pt>
                <c:pt idx="26">
                  <c:v>10626.368409693756</c:v>
                </c:pt>
                <c:pt idx="27">
                  <c:v>10626.368409693756</c:v>
                </c:pt>
                <c:pt idx="28">
                  <c:v>10626.368409693756</c:v>
                </c:pt>
                <c:pt idx="29">
                  <c:v>10626.368409693756</c:v>
                </c:pt>
                <c:pt idx="30">
                  <c:v>10626.368409693756</c:v>
                </c:pt>
                <c:pt idx="31">
                  <c:v>10626.368409693756</c:v>
                </c:pt>
                <c:pt idx="32">
                  <c:v>10626.368409693756</c:v>
                </c:pt>
              </c:numCache>
            </c:numRef>
          </c:xVal>
          <c:yVal>
            <c:numRef>
              <c:f>'Duty Cycle'!$Q$2:$Q$34</c:f>
              <c:numCache>
                <c:formatCode>0.00</c:formatCode>
                <c:ptCount val="33"/>
                <c:pt idx="0">
                  <c:v>0.85428984688995224</c:v>
                </c:pt>
                <c:pt idx="1">
                  <c:v>70.665705609344812</c:v>
                </c:pt>
                <c:pt idx="2">
                  <c:v>72.592239978049122</c:v>
                </c:pt>
                <c:pt idx="3">
                  <c:v>75.8031305925563</c:v>
                </c:pt>
                <c:pt idx="4">
                  <c:v>80.298377452866347</c:v>
                </c:pt>
                <c:pt idx="5">
                  <c:v>86.077980558979249</c:v>
                </c:pt>
                <c:pt idx="6">
                  <c:v>33.253264889952185</c:v>
                </c:pt>
                <c:pt idx="7">
                  <c:v>18.324652449760766</c:v>
                </c:pt>
                <c:pt idx="8">
                  <c:v>18.324652449760766</c:v>
                </c:pt>
                <c:pt idx="9">
                  <c:v>18.324652449760766</c:v>
                </c:pt>
                <c:pt idx="10">
                  <c:v>18.324652449760766</c:v>
                </c:pt>
                <c:pt idx="11">
                  <c:v>18.324652449760766</c:v>
                </c:pt>
                <c:pt idx="12">
                  <c:v>18.324652449760766</c:v>
                </c:pt>
                <c:pt idx="13">
                  <c:v>18.324652449760766</c:v>
                </c:pt>
                <c:pt idx="14">
                  <c:v>18.324652449760766</c:v>
                </c:pt>
                <c:pt idx="15">
                  <c:v>18.324652449760766</c:v>
                </c:pt>
                <c:pt idx="16">
                  <c:v>18.324652449760766</c:v>
                </c:pt>
                <c:pt idx="17">
                  <c:v>18.324652449760766</c:v>
                </c:pt>
                <c:pt idx="18">
                  <c:v>18.324652449760766</c:v>
                </c:pt>
                <c:pt idx="19">
                  <c:v>18.324652449760766</c:v>
                </c:pt>
                <c:pt idx="20">
                  <c:v>18.324652449760766</c:v>
                </c:pt>
                <c:pt idx="21">
                  <c:v>18.324652449760766</c:v>
                </c:pt>
                <c:pt idx="22">
                  <c:v>18.324652449760766</c:v>
                </c:pt>
                <c:pt idx="23">
                  <c:v>18.324652449760766</c:v>
                </c:pt>
                <c:pt idx="24">
                  <c:v>18.324652449760766</c:v>
                </c:pt>
                <c:pt idx="25">
                  <c:v>18.324652449760766</c:v>
                </c:pt>
                <c:pt idx="26">
                  <c:v>18.324652449760766</c:v>
                </c:pt>
                <c:pt idx="27">
                  <c:v>18.324652449760766</c:v>
                </c:pt>
                <c:pt idx="28">
                  <c:v>18.324652449760766</c:v>
                </c:pt>
                <c:pt idx="29">
                  <c:v>18.324652449760766</c:v>
                </c:pt>
                <c:pt idx="30">
                  <c:v>18.324652449760766</c:v>
                </c:pt>
                <c:pt idx="31">
                  <c:v>18.324652449760766</c:v>
                </c:pt>
                <c:pt idx="32">
                  <c:v>18.324652449760766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921-42AD-942B-DBC17979A40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triangle"/>
              <c:size val="8"/>
              <c:spPr>
                <a:solidFill>
                  <a:srgbClr val="FF0000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4CE-447F-BC03-3EE8A7DA73D1}"/>
              </c:ext>
            </c:extLst>
          </c:dPt>
          <c:xVal>
            <c:numRef>
              <c:f>'Duty Cycle'!$R$55</c:f>
              <c:numCache>
                <c:formatCode>0.00</c:formatCode>
                <c:ptCount val="1"/>
                <c:pt idx="0">
                  <c:v>36.642649688599164</c:v>
                </c:pt>
              </c:numCache>
            </c:numRef>
          </c:xVal>
          <c:yVal>
            <c:numRef>
              <c:f>'Duty Cycle'!$Q$55</c:f>
              <c:numCache>
                <c:formatCode>0.00</c:formatCode>
                <c:ptCount val="1"/>
                <c:pt idx="0">
                  <c:v>63.522540966237912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E-447F-BC03-3EE8A7DA73D1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Cycle'!$R$35:$R$54</c:f>
              <c:numCache>
                <c:formatCode>0.00</c:formatCode>
                <c:ptCount val="20"/>
                <c:pt idx="0">
                  <c:v>146.57059875439666</c:v>
                </c:pt>
                <c:pt idx="1">
                  <c:v>256.49854782019412</c:v>
                </c:pt>
                <c:pt idx="2">
                  <c:v>366.42649688599164</c:v>
                </c:pt>
                <c:pt idx="3">
                  <c:v>476.35444595178905</c:v>
                </c:pt>
                <c:pt idx="4">
                  <c:v>586.28239501758662</c:v>
                </c:pt>
                <c:pt idx="5">
                  <c:v>696.21034408338414</c:v>
                </c:pt>
                <c:pt idx="6">
                  <c:v>806.13829314918155</c:v>
                </c:pt>
                <c:pt idx="7">
                  <c:v>916.06624221497896</c:v>
                </c:pt>
                <c:pt idx="8">
                  <c:v>1025.9941912807765</c:v>
                </c:pt>
                <c:pt idx="9">
                  <c:v>1135.922140346574</c:v>
                </c:pt>
                <c:pt idx="10">
                  <c:v>1245.8500894123715</c:v>
                </c:pt>
                <c:pt idx="11">
                  <c:v>1355.7780384781686</c:v>
                </c:pt>
                <c:pt idx="12">
                  <c:v>1465.7059875439661</c:v>
                </c:pt>
                <c:pt idx="13">
                  <c:v>1575.6339366097636</c:v>
                </c:pt>
                <c:pt idx="14">
                  <c:v>1685.5618856755611</c:v>
                </c:pt>
                <c:pt idx="15">
                  <c:v>1795.4898347413582</c:v>
                </c:pt>
                <c:pt idx="16">
                  <c:v>1905.4177838071557</c:v>
                </c:pt>
                <c:pt idx="17">
                  <c:v>2015.345732872953</c:v>
                </c:pt>
                <c:pt idx="18">
                  <c:v>2125.2736819387501</c:v>
                </c:pt>
                <c:pt idx="19">
                  <c:v>2235.2016310045483</c:v>
                </c:pt>
              </c:numCache>
            </c:numRef>
          </c:xVal>
          <c:yVal>
            <c:numRef>
              <c:f>'Duty Cycle'!$Q$35:$Q$54</c:f>
              <c:numCache>
                <c:formatCode>0.00</c:formatCode>
                <c:ptCount val="20"/>
                <c:pt idx="0">
                  <c:v>39.622078278263423</c:v>
                </c:pt>
                <c:pt idx="1">
                  <c:v>39.6289334740529</c:v>
                </c:pt>
                <c:pt idx="2">
                  <c:v>39.639527867545716</c:v>
                </c:pt>
                <c:pt idx="3">
                  <c:v>39.653861458741893</c:v>
                </c:pt>
                <c:pt idx="4">
                  <c:v>39.67193424764141</c:v>
                </c:pt>
                <c:pt idx="5">
                  <c:v>39.69374623424428</c:v>
                </c:pt>
                <c:pt idx="6">
                  <c:v>39.719297418550504</c:v>
                </c:pt>
                <c:pt idx="7">
                  <c:v>39.748587800560067</c:v>
                </c:pt>
                <c:pt idx="8">
                  <c:v>39.781617380272984</c:v>
                </c:pt>
                <c:pt idx="9">
                  <c:v>39.818386157689268</c:v>
                </c:pt>
                <c:pt idx="10">
                  <c:v>39.858894132808871</c:v>
                </c:pt>
                <c:pt idx="11">
                  <c:v>39.903141305631841</c:v>
                </c:pt>
                <c:pt idx="12">
                  <c:v>39.951127676158158</c:v>
                </c:pt>
                <c:pt idx="13">
                  <c:v>40.002853244387822</c:v>
                </c:pt>
                <c:pt idx="14">
                  <c:v>40.058318010320839</c:v>
                </c:pt>
                <c:pt idx="15">
                  <c:v>40.117521973957203</c:v>
                </c:pt>
                <c:pt idx="16">
                  <c:v>40.180465135296913</c:v>
                </c:pt>
                <c:pt idx="17">
                  <c:v>40.24714749433997</c:v>
                </c:pt>
                <c:pt idx="18">
                  <c:v>40.31756905108638</c:v>
                </c:pt>
                <c:pt idx="19">
                  <c:v>40.391729805536144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E-447F-BC03-3EE8A7DA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Data'!$B$116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Data'!$B$117:$B$132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E-4F52-9182-902CC0CCB1E1}"/>
            </c:ext>
          </c:extLst>
        </c:ser>
        <c:ser>
          <c:idx val="1"/>
          <c:order val="1"/>
          <c:tx>
            <c:strRef>
              <c:f>'Magelec Motor Data'!$C$116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Data'!$C$117:$C$132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E-4F52-9182-902CC0CCB1E1}"/>
            </c:ext>
          </c:extLst>
        </c:ser>
        <c:ser>
          <c:idx val="2"/>
          <c:order val="2"/>
          <c:tx>
            <c:strRef>
              <c:f>'Magelec Motor Data'!$D$116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Data'!$D$117:$D$132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E-4F52-9182-902CC0CCB1E1}"/>
            </c:ext>
          </c:extLst>
        </c:ser>
        <c:ser>
          <c:idx val="3"/>
          <c:order val="3"/>
          <c:tx>
            <c:strRef>
              <c:f>'Magelec Motor Data'!$E$116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Data'!$E$117:$E$132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4E-4F52-9182-902CC0CCB1E1}"/>
            </c:ext>
          </c:extLst>
        </c:ser>
        <c:ser>
          <c:idx val="4"/>
          <c:order val="4"/>
          <c:tx>
            <c:strRef>
              <c:f>'Magelec Motor Data'!$F$116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Data'!$F$117:$F$132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4E-4F52-9182-902CC0CCB1E1}"/>
            </c:ext>
          </c:extLst>
        </c:ser>
        <c:ser>
          <c:idx val="5"/>
          <c:order val="5"/>
          <c:tx>
            <c:strRef>
              <c:f>'Magelec Motor Data'!$G$116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Data'!$G$117:$G$132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4E-4F52-9182-902CC0CCB1E1}"/>
            </c:ext>
          </c:extLst>
        </c:ser>
        <c:ser>
          <c:idx val="6"/>
          <c:order val="6"/>
          <c:tx>
            <c:strRef>
              <c:f>'Magelec Motor Data'!$H$116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Data'!$H$117:$H$132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4E-4F52-9182-902CC0CCB1E1}"/>
            </c:ext>
          </c:extLst>
        </c:ser>
        <c:ser>
          <c:idx val="7"/>
          <c:order val="7"/>
          <c:tx>
            <c:strRef>
              <c:f>'Magelec Motor Data'!$I$116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Data'!$I$117:$I$132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4E-4F52-9182-902CC0CCB1E1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Cycle'!$R$2:$R$34</c:f>
              <c:numCache>
                <c:formatCode>0.00</c:formatCode>
                <c:ptCount val="33"/>
                <c:pt idx="0">
                  <c:v>0</c:v>
                </c:pt>
                <c:pt idx="1">
                  <c:v>2037.3313226861133</c:v>
                </c:pt>
                <c:pt idx="2">
                  <c:v>4074.6626453722265</c:v>
                </c:pt>
                <c:pt idx="3">
                  <c:v>6111.9939680583393</c:v>
                </c:pt>
                <c:pt idx="4">
                  <c:v>8149.325290744453</c:v>
                </c:pt>
                <c:pt idx="5">
                  <c:v>10186.656613430565</c:v>
                </c:pt>
                <c:pt idx="6">
                  <c:v>10626.368409693756</c:v>
                </c:pt>
                <c:pt idx="7">
                  <c:v>10626.368409693756</c:v>
                </c:pt>
                <c:pt idx="8">
                  <c:v>10626.368409693756</c:v>
                </c:pt>
                <c:pt idx="9">
                  <c:v>10626.368409693756</c:v>
                </c:pt>
                <c:pt idx="10">
                  <c:v>10626.368409693756</c:v>
                </c:pt>
                <c:pt idx="11">
                  <c:v>10626.368409693756</c:v>
                </c:pt>
                <c:pt idx="12">
                  <c:v>10626.368409693756</c:v>
                </c:pt>
                <c:pt idx="13">
                  <c:v>10626.368409693756</c:v>
                </c:pt>
                <c:pt idx="14">
                  <c:v>10626.368409693756</c:v>
                </c:pt>
                <c:pt idx="15">
                  <c:v>10626.368409693756</c:v>
                </c:pt>
                <c:pt idx="16">
                  <c:v>10626.368409693756</c:v>
                </c:pt>
                <c:pt idx="17">
                  <c:v>10626.368409693756</c:v>
                </c:pt>
                <c:pt idx="18">
                  <c:v>10626.368409693756</c:v>
                </c:pt>
                <c:pt idx="19">
                  <c:v>10626.368409693756</c:v>
                </c:pt>
                <c:pt idx="20">
                  <c:v>10626.368409693756</c:v>
                </c:pt>
                <c:pt idx="21">
                  <c:v>10626.368409693756</c:v>
                </c:pt>
                <c:pt idx="22">
                  <c:v>10626.368409693756</c:v>
                </c:pt>
                <c:pt idx="23">
                  <c:v>10626.368409693756</c:v>
                </c:pt>
                <c:pt idx="24">
                  <c:v>10626.368409693756</c:v>
                </c:pt>
                <c:pt idx="25">
                  <c:v>10626.368409693756</c:v>
                </c:pt>
                <c:pt idx="26">
                  <c:v>10626.368409693756</c:v>
                </c:pt>
                <c:pt idx="27">
                  <c:v>10626.368409693756</c:v>
                </c:pt>
                <c:pt idx="28">
                  <c:v>10626.368409693756</c:v>
                </c:pt>
                <c:pt idx="29">
                  <c:v>10626.368409693756</c:v>
                </c:pt>
                <c:pt idx="30">
                  <c:v>10626.368409693756</c:v>
                </c:pt>
                <c:pt idx="31">
                  <c:v>10626.368409693756</c:v>
                </c:pt>
                <c:pt idx="32">
                  <c:v>10626.368409693756</c:v>
                </c:pt>
              </c:numCache>
            </c:numRef>
          </c:xVal>
          <c:yVal>
            <c:numRef>
              <c:f>'Duty Cycle'!$Q$2:$Q$34</c:f>
              <c:numCache>
                <c:formatCode>0.00</c:formatCode>
                <c:ptCount val="33"/>
                <c:pt idx="0">
                  <c:v>0.85428984688995224</c:v>
                </c:pt>
                <c:pt idx="1">
                  <c:v>70.665705609344812</c:v>
                </c:pt>
                <c:pt idx="2">
                  <c:v>72.592239978049122</c:v>
                </c:pt>
                <c:pt idx="3">
                  <c:v>75.8031305925563</c:v>
                </c:pt>
                <c:pt idx="4">
                  <c:v>80.298377452866347</c:v>
                </c:pt>
                <c:pt idx="5">
                  <c:v>86.077980558979249</c:v>
                </c:pt>
                <c:pt idx="6">
                  <c:v>33.253264889952185</c:v>
                </c:pt>
                <c:pt idx="7">
                  <c:v>18.324652449760766</c:v>
                </c:pt>
                <c:pt idx="8">
                  <c:v>18.324652449760766</c:v>
                </c:pt>
                <c:pt idx="9">
                  <c:v>18.324652449760766</c:v>
                </c:pt>
                <c:pt idx="10">
                  <c:v>18.324652449760766</c:v>
                </c:pt>
                <c:pt idx="11">
                  <c:v>18.324652449760766</c:v>
                </c:pt>
                <c:pt idx="12">
                  <c:v>18.324652449760766</c:v>
                </c:pt>
                <c:pt idx="13">
                  <c:v>18.324652449760766</c:v>
                </c:pt>
                <c:pt idx="14">
                  <c:v>18.324652449760766</c:v>
                </c:pt>
                <c:pt idx="15">
                  <c:v>18.324652449760766</c:v>
                </c:pt>
                <c:pt idx="16">
                  <c:v>18.324652449760766</c:v>
                </c:pt>
                <c:pt idx="17">
                  <c:v>18.324652449760766</c:v>
                </c:pt>
                <c:pt idx="18">
                  <c:v>18.324652449760766</c:v>
                </c:pt>
                <c:pt idx="19">
                  <c:v>18.324652449760766</c:v>
                </c:pt>
                <c:pt idx="20">
                  <c:v>18.324652449760766</c:v>
                </c:pt>
                <c:pt idx="21">
                  <c:v>18.324652449760766</c:v>
                </c:pt>
                <c:pt idx="22">
                  <c:v>18.324652449760766</c:v>
                </c:pt>
                <c:pt idx="23">
                  <c:v>18.324652449760766</c:v>
                </c:pt>
                <c:pt idx="24">
                  <c:v>18.324652449760766</c:v>
                </c:pt>
                <c:pt idx="25">
                  <c:v>18.324652449760766</c:v>
                </c:pt>
                <c:pt idx="26">
                  <c:v>18.324652449760766</c:v>
                </c:pt>
                <c:pt idx="27">
                  <c:v>18.324652449760766</c:v>
                </c:pt>
                <c:pt idx="28">
                  <c:v>18.324652449760766</c:v>
                </c:pt>
                <c:pt idx="29">
                  <c:v>18.324652449760766</c:v>
                </c:pt>
                <c:pt idx="30">
                  <c:v>18.324652449760766</c:v>
                </c:pt>
                <c:pt idx="31">
                  <c:v>18.324652449760766</c:v>
                </c:pt>
                <c:pt idx="32">
                  <c:v>18.324652449760766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4E-4F52-9182-902CC0CCB1E1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Cycle'!$R$55</c:f>
              <c:numCache>
                <c:formatCode>0.00</c:formatCode>
                <c:ptCount val="1"/>
                <c:pt idx="0">
                  <c:v>36.642649688599164</c:v>
                </c:pt>
              </c:numCache>
            </c:numRef>
          </c:xVal>
          <c:yVal>
            <c:numRef>
              <c:f>'Duty Cycle'!$Q$55</c:f>
              <c:numCache>
                <c:formatCode>0.00</c:formatCode>
                <c:ptCount val="1"/>
                <c:pt idx="0">
                  <c:v>63.522540966237912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8-477D-A03D-E3B56138784B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Cycle'!$R$35:$R$54</c:f>
              <c:numCache>
                <c:formatCode>0.00</c:formatCode>
                <c:ptCount val="20"/>
                <c:pt idx="0">
                  <c:v>146.57059875439666</c:v>
                </c:pt>
                <c:pt idx="1">
                  <c:v>256.49854782019412</c:v>
                </c:pt>
                <c:pt idx="2">
                  <c:v>366.42649688599164</c:v>
                </c:pt>
                <c:pt idx="3">
                  <c:v>476.35444595178905</c:v>
                </c:pt>
                <c:pt idx="4">
                  <c:v>586.28239501758662</c:v>
                </c:pt>
                <c:pt idx="5">
                  <c:v>696.21034408338414</c:v>
                </c:pt>
                <c:pt idx="6">
                  <c:v>806.13829314918155</c:v>
                </c:pt>
                <c:pt idx="7">
                  <c:v>916.06624221497896</c:v>
                </c:pt>
                <c:pt idx="8">
                  <c:v>1025.9941912807765</c:v>
                </c:pt>
                <c:pt idx="9">
                  <c:v>1135.922140346574</c:v>
                </c:pt>
                <c:pt idx="10">
                  <c:v>1245.8500894123715</c:v>
                </c:pt>
                <c:pt idx="11">
                  <c:v>1355.7780384781686</c:v>
                </c:pt>
                <c:pt idx="12">
                  <c:v>1465.7059875439661</c:v>
                </c:pt>
                <c:pt idx="13">
                  <c:v>1575.6339366097636</c:v>
                </c:pt>
                <c:pt idx="14">
                  <c:v>1685.5618856755611</c:v>
                </c:pt>
                <c:pt idx="15">
                  <c:v>1795.4898347413582</c:v>
                </c:pt>
                <c:pt idx="16">
                  <c:v>1905.4177838071557</c:v>
                </c:pt>
                <c:pt idx="17">
                  <c:v>2015.345732872953</c:v>
                </c:pt>
                <c:pt idx="18">
                  <c:v>2125.2736819387501</c:v>
                </c:pt>
                <c:pt idx="19">
                  <c:v>2235.2016310045483</c:v>
                </c:pt>
              </c:numCache>
            </c:numRef>
          </c:xVal>
          <c:yVal>
            <c:numRef>
              <c:f>'Duty Cycle'!$Q$35:$Q$54</c:f>
              <c:numCache>
                <c:formatCode>0.00</c:formatCode>
                <c:ptCount val="20"/>
                <c:pt idx="0">
                  <c:v>39.622078278263423</c:v>
                </c:pt>
                <c:pt idx="1">
                  <c:v>39.6289334740529</c:v>
                </c:pt>
                <c:pt idx="2">
                  <c:v>39.639527867545716</c:v>
                </c:pt>
                <c:pt idx="3">
                  <c:v>39.653861458741893</c:v>
                </c:pt>
                <c:pt idx="4">
                  <c:v>39.67193424764141</c:v>
                </c:pt>
                <c:pt idx="5">
                  <c:v>39.69374623424428</c:v>
                </c:pt>
                <c:pt idx="6">
                  <c:v>39.719297418550504</c:v>
                </c:pt>
                <c:pt idx="7">
                  <c:v>39.748587800560067</c:v>
                </c:pt>
                <c:pt idx="8">
                  <c:v>39.781617380272984</c:v>
                </c:pt>
                <c:pt idx="9">
                  <c:v>39.818386157689268</c:v>
                </c:pt>
                <c:pt idx="10">
                  <c:v>39.858894132808871</c:v>
                </c:pt>
                <c:pt idx="11">
                  <c:v>39.903141305631841</c:v>
                </c:pt>
                <c:pt idx="12">
                  <c:v>39.951127676158158</c:v>
                </c:pt>
                <c:pt idx="13">
                  <c:v>40.002853244387822</c:v>
                </c:pt>
                <c:pt idx="14">
                  <c:v>40.058318010320839</c:v>
                </c:pt>
                <c:pt idx="15">
                  <c:v>40.117521973957203</c:v>
                </c:pt>
                <c:pt idx="16">
                  <c:v>40.180465135296913</c:v>
                </c:pt>
                <c:pt idx="17">
                  <c:v>40.24714749433997</c:v>
                </c:pt>
                <c:pt idx="18">
                  <c:v>40.31756905108638</c:v>
                </c:pt>
                <c:pt idx="19">
                  <c:v>40.391729805536144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98-477D-A03D-E3B56138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 Cycle'!$B$1</c:f>
              <c:strCache>
                <c:ptCount val="1"/>
                <c:pt idx="0">
                  <c:v>Vehicle Speed Masked (kmph)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Cycle'!$A$2:$A$54</c:f>
              <c:numCache>
                <c:formatCode>0.00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'Duty Cycle'!$B$2:$B$54</c:f>
              <c:numCache>
                <c:formatCode>0.00</c:formatCode>
                <c:ptCount val="53"/>
                <c:pt idx="0">
                  <c:v>0</c:v>
                </c:pt>
                <c:pt idx="1">
                  <c:v>20.015999999999998</c:v>
                </c:pt>
                <c:pt idx="2">
                  <c:v>40.031999999999996</c:v>
                </c:pt>
                <c:pt idx="3">
                  <c:v>60.048000000000002</c:v>
                </c:pt>
                <c:pt idx="4">
                  <c:v>80.063999999999993</c:v>
                </c:pt>
                <c:pt idx="5">
                  <c:v>100.07999999999998</c:v>
                </c:pt>
                <c:pt idx="6">
                  <c:v>104.4</c:v>
                </c:pt>
                <c:pt idx="7">
                  <c:v>104.4</c:v>
                </c:pt>
                <c:pt idx="8">
                  <c:v>104.4</c:v>
                </c:pt>
                <c:pt idx="9">
                  <c:v>104.4</c:v>
                </c:pt>
                <c:pt idx="10">
                  <c:v>104.4</c:v>
                </c:pt>
                <c:pt idx="11">
                  <c:v>104.4</c:v>
                </c:pt>
                <c:pt idx="12">
                  <c:v>104.4</c:v>
                </c:pt>
                <c:pt idx="13">
                  <c:v>104.4</c:v>
                </c:pt>
                <c:pt idx="14">
                  <c:v>104.4</c:v>
                </c:pt>
                <c:pt idx="15">
                  <c:v>104.4</c:v>
                </c:pt>
                <c:pt idx="16">
                  <c:v>104.4</c:v>
                </c:pt>
                <c:pt idx="17">
                  <c:v>104.4</c:v>
                </c:pt>
                <c:pt idx="18">
                  <c:v>104.4</c:v>
                </c:pt>
                <c:pt idx="19">
                  <c:v>104.4</c:v>
                </c:pt>
                <c:pt idx="20">
                  <c:v>104.4</c:v>
                </c:pt>
                <c:pt idx="21">
                  <c:v>104.4</c:v>
                </c:pt>
                <c:pt idx="22">
                  <c:v>104.4</c:v>
                </c:pt>
                <c:pt idx="23">
                  <c:v>104.4</c:v>
                </c:pt>
                <c:pt idx="24">
                  <c:v>104.4</c:v>
                </c:pt>
                <c:pt idx="25">
                  <c:v>104.4</c:v>
                </c:pt>
                <c:pt idx="26">
                  <c:v>104.4</c:v>
                </c:pt>
                <c:pt idx="27">
                  <c:v>104.4</c:v>
                </c:pt>
                <c:pt idx="28">
                  <c:v>104.4</c:v>
                </c:pt>
                <c:pt idx="29">
                  <c:v>104.4</c:v>
                </c:pt>
                <c:pt idx="30">
                  <c:v>104.4</c:v>
                </c:pt>
                <c:pt idx="31">
                  <c:v>104.4</c:v>
                </c:pt>
                <c:pt idx="32">
                  <c:v>104.4</c:v>
                </c:pt>
                <c:pt idx="33">
                  <c:v>1.44</c:v>
                </c:pt>
                <c:pt idx="34">
                  <c:v>2.52</c:v>
                </c:pt>
                <c:pt idx="35">
                  <c:v>3.6</c:v>
                </c:pt>
                <c:pt idx="36">
                  <c:v>4.68</c:v>
                </c:pt>
                <c:pt idx="37">
                  <c:v>5.76</c:v>
                </c:pt>
                <c:pt idx="38">
                  <c:v>6.8400000000000007</c:v>
                </c:pt>
                <c:pt idx="39">
                  <c:v>7.9200000000000008</c:v>
                </c:pt>
                <c:pt idx="40">
                  <c:v>9</c:v>
                </c:pt>
                <c:pt idx="41">
                  <c:v>10.08</c:v>
                </c:pt>
                <c:pt idx="42">
                  <c:v>11.159999999999998</c:v>
                </c:pt>
                <c:pt idx="43">
                  <c:v>12.239999999999998</c:v>
                </c:pt>
                <c:pt idx="44">
                  <c:v>13.319999999999999</c:v>
                </c:pt>
                <c:pt idx="45">
                  <c:v>14.399999999999997</c:v>
                </c:pt>
                <c:pt idx="46">
                  <c:v>15.479999999999997</c:v>
                </c:pt>
                <c:pt idx="47">
                  <c:v>16.559999999999995</c:v>
                </c:pt>
                <c:pt idx="48">
                  <c:v>17.639999999999997</c:v>
                </c:pt>
                <c:pt idx="49">
                  <c:v>18.719999999999992</c:v>
                </c:pt>
                <c:pt idx="50">
                  <c:v>19.799999999999994</c:v>
                </c:pt>
                <c:pt idx="51">
                  <c:v>20.879999999999992</c:v>
                </c:pt>
                <c:pt idx="52">
                  <c:v>21.959999999999994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6-4073-A818-7AAE9CC6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21984"/>
        <c:axId val="217118656"/>
      </c:scatterChart>
      <c:scatterChart>
        <c:scatterStyle val="lineMarker"/>
        <c:varyColors val="0"/>
        <c:ser>
          <c:idx val="1"/>
          <c:order val="1"/>
          <c:tx>
            <c:strRef>
              <c:f>'Duty Cycle'!$G$1</c:f>
              <c:strCache>
                <c:ptCount val="1"/>
                <c:pt idx="0">
                  <c:v>Grade (%)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Cycle'!$A$2:$A$54</c:f>
              <c:numCache>
                <c:formatCode>0.00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'Duty Cycle'!$G$2:$G$54</c:f>
              <c:numCache>
                <c:formatCode>0.00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6-4073-A818-7AAE9CC6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8688"/>
        <c:axId val="138289520"/>
      </c:scatterChart>
      <c:valAx>
        <c:axId val="2171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8656"/>
        <c:crosses val="autoZero"/>
        <c:crossBetween val="midCat"/>
      </c:valAx>
      <c:valAx>
        <c:axId val="2171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21984"/>
        <c:crosses val="autoZero"/>
        <c:crossBetween val="midCat"/>
      </c:valAx>
      <c:valAx>
        <c:axId val="13828952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8688"/>
        <c:crosses val="max"/>
        <c:crossBetween val="midCat"/>
      </c:valAx>
      <c:valAx>
        <c:axId val="13828868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82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Data'!$E$136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Data'!$E$137:$E$146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'Magelec Motor Data'!$I$136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Data'!$I$137:$I$146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2037.3313226861133</c:v>
                </c:pt>
                <c:pt idx="2">
                  <c:v>4074.6626453722265</c:v>
                </c:pt>
                <c:pt idx="3">
                  <c:v>6111.9939680583393</c:v>
                </c:pt>
                <c:pt idx="4">
                  <c:v>8149.325290744453</c:v>
                </c:pt>
                <c:pt idx="5">
                  <c:v>10186.656613430565</c:v>
                </c:pt>
                <c:pt idx="6">
                  <c:v>10626.368409693756</c:v>
                </c:pt>
                <c:pt idx="7">
                  <c:v>10626.368409693756</c:v>
                </c:pt>
                <c:pt idx="8">
                  <c:v>10626.368409693756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0.85428984688995224</c:v>
                </c:pt>
                <c:pt idx="1">
                  <c:v>70.665705609344812</c:v>
                </c:pt>
                <c:pt idx="2">
                  <c:v>72.592239978049122</c:v>
                </c:pt>
                <c:pt idx="3">
                  <c:v>75.8031305925563</c:v>
                </c:pt>
                <c:pt idx="4">
                  <c:v>80.298377452866347</c:v>
                </c:pt>
                <c:pt idx="5">
                  <c:v>86.077980558979249</c:v>
                </c:pt>
                <c:pt idx="6">
                  <c:v>33.253264889952185</c:v>
                </c:pt>
                <c:pt idx="7">
                  <c:v>18.324652449760766</c:v>
                </c:pt>
                <c:pt idx="8">
                  <c:v>18.324652449760766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Cycle'!$R$50</c:f>
              <c:numCache>
                <c:formatCode>0.00</c:formatCode>
                <c:ptCount val="1"/>
                <c:pt idx="0">
                  <c:v>1795.4898347413582</c:v>
                </c:pt>
              </c:numCache>
            </c:numRef>
          </c:xVal>
          <c:yVal>
            <c:numRef>
              <c:f>'Duty Cycle'!$Q$50</c:f>
              <c:numCache>
                <c:formatCode>0.00</c:formatCode>
                <c:ptCount val="1"/>
                <c:pt idx="0">
                  <c:v>40.117521973957203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Cycle'!$R$51:$R$54</c:f>
              <c:numCache>
                <c:formatCode>0.00</c:formatCode>
                <c:ptCount val="4"/>
                <c:pt idx="0">
                  <c:v>1905.4177838071557</c:v>
                </c:pt>
                <c:pt idx="1">
                  <c:v>2015.345732872953</c:v>
                </c:pt>
                <c:pt idx="2">
                  <c:v>2125.2736819387501</c:v>
                </c:pt>
                <c:pt idx="3">
                  <c:v>2235.2016310045483</c:v>
                </c:pt>
              </c:numCache>
            </c:numRef>
          </c:xVal>
          <c:yVal>
            <c:numRef>
              <c:f>'Duty Cycle'!$Q$51:$Q$54</c:f>
              <c:numCache>
                <c:formatCode>0.00</c:formatCode>
                <c:ptCount val="4"/>
                <c:pt idx="0">
                  <c:v>40.180465135296913</c:v>
                </c:pt>
                <c:pt idx="1">
                  <c:v>40.24714749433997</c:v>
                </c:pt>
                <c:pt idx="2">
                  <c:v>40.31756905108638</c:v>
                </c:pt>
                <c:pt idx="3">
                  <c:v>40.391729805536144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633411</xdr:colOff>
      <xdr:row>56</xdr:row>
      <xdr:rowOff>14288</xdr:rowOff>
    </xdr:from>
    <xdr:to>
      <xdr:col>31</xdr:col>
      <xdr:colOff>600074</xdr:colOff>
      <xdr:row>74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542923</xdr:colOff>
      <xdr:row>56</xdr:row>
      <xdr:rowOff>14286</xdr:rowOff>
    </xdr:from>
    <xdr:to>
      <xdr:col>21</xdr:col>
      <xdr:colOff>590548</xdr:colOff>
      <xdr:row>74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9ECB7-CA36-4789-9F54-78136B9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23</xdr:row>
      <xdr:rowOff>133349</xdr:rowOff>
    </xdr:from>
    <xdr:to>
      <xdr:col>23</xdr:col>
      <xdr:colOff>552450</xdr:colOff>
      <xdr:row>46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722D717-B99D-405F-B740-7BED100EA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19049</xdr:colOff>
      <xdr:row>1</xdr:row>
      <xdr:rowOff>38101</xdr:rowOff>
    </xdr:from>
    <xdr:to>
      <xdr:col>12</xdr:col>
      <xdr:colOff>466726</xdr:colOff>
      <xdr:row>22</xdr:row>
      <xdr:rowOff>95251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88B9B5C-318B-411B-9CAD-BB299EBB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514349</xdr:colOff>
      <xdr:row>1</xdr:row>
      <xdr:rowOff>66675</xdr:rowOff>
    </xdr:from>
    <xdr:to>
      <xdr:col>23</xdr:col>
      <xdr:colOff>47625</xdr:colOff>
      <xdr:row>22</xdr:row>
      <xdr:rowOff>114300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E0A554ED-8C62-4407-8FEA-6496406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114299</xdr:colOff>
      <xdr:row>1</xdr:row>
      <xdr:rowOff>28575</xdr:rowOff>
    </xdr:from>
    <xdr:to>
      <xdr:col>32</xdr:col>
      <xdr:colOff>361949</xdr:colOff>
      <xdr:row>22</xdr:row>
      <xdr:rowOff>114301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800DB137-551F-45D8-918D-3ECE3F202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22</xdr:row>
      <xdr:rowOff>123825</xdr:rowOff>
    </xdr:from>
    <xdr:to>
      <xdr:col>12</xdr:col>
      <xdr:colOff>457200</xdr:colOff>
      <xdr:row>43</xdr:row>
      <xdr:rowOff>114300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6F319FE-A910-4827-82B2-A65A529A2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166687</xdr:colOff>
      <xdr:row>23</xdr:row>
      <xdr:rowOff>176212</xdr:rowOff>
    </xdr:from>
    <xdr:to>
      <xdr:col>33</xdr:col>
      <xdr:colOff>381000</xdr:colOff>
      <xdr:row>45</xdr:row>
      <xdr:rowOff>104775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AC495D52-08BD-4F1C-BE16-5D49DCE9E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2" totalsRowShown="0" headerRowDxfId="4" headerRowBorderDxfId="3" tableBorderDxfId="2">
  <autoFilter ref="A1:C22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4:C42" totalsRowShown="0" headerRowDxfId="1">
  <autoFilter ref="B24:C42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R57"/>
  <sheetViews>
    <sheetView tabSelected="1" zoomScale="90" zoomScaleNormal="90" workbookViewId="0">
      <pane ySplit="1" topLeftCell="A2" activePane="bottomLeft" state="frozen"/>
      <selection pane="bottomLeft" activeCell="AG50" sqref="AG50"/>
    </sheetView>
  </sheetViews>
  <sheetFormatPr defaultRowHeight="15" x14ac:dyDescent="0.25"/>
  <cols>
    <col min="1" max="1" width="34.28515625" customWidth="1"/>
    <col min="2" max="3" width="11" customWidth="1"/>
    <col min="4" max="4" width="2.28515625" style="39" customWidth="1"/>
    <col min="5" max="7" width="11.5703125" customWidth="1"/>
    <col min="8" max="8" width="12" customWidth="1"/>
    <col min="9" max="9" width="12.28515625" customWidth="1"/>
    <col min="18" max="18" width="8" customWidth="1"/>
    <col min="22" max="22" width="10.28515625" customWidth="1"/>
    <col min="28" max="28" width="10.140625" customWidth="1"/>
  </cols>
  <sheetData>
    <row r="1" spans="1:3" ht="15.75" thickBot="1" x14ac:dyDescent="0.3">
      <c r="A1" s="21" t="s">
        <v>10</v>
      </c>
      <c r="B1" s="21" t="s">
        <v>0</v>
      </c>
      <c r="C1" s="21" t="s">
        <v>1</v>
      </c>
    </row>
    <row r="2" spans="1:3" x14ac:dyDescent="0.25">
      <c r="A2" s="20" t="s">
        <v>3</v>
      </c>
      <c r="B2" s="20">
        <v>907</v>
      </c>
      <c r="C2" s="20" t="s">
        <v>2</v>
      </c>
    </row>
    <row r="3" spans="1:3" x14ac:dyDescent="0.25">
      <c r="A3" s="20" t="s">
        <v>4</v>
      </c>
      <c r="B3" s="20">
        <v>9.81</v>
      </c>
      <c r="C3" s="20" t="s">
        <v>5</v>
      </c>
    </row>
    <row r="4" spans="1:3" x14ac:dyDescent="0.25">
      <c r="A4" s="20" t="s">
        <v>12</v>
      </c>
      <c r="B4" s="20">
        <v>4.2</v>
      </c>
      <c r="C4" s="20" t="s">
        <v>13</v>
      </c>
    </row>
    <row r="5" spans="1:3" x14ac:dyDescent="0.25">
      <c r="A5" s="20" t="s">
        <v>144</v>
      </c>
      <c r="B5" s="20">
        <v>1.202</v>
      </c>
      <c r="C5" s="20" t="s">
        <v>6</v>
      </c>
    </row>
    <row r="6" spans="1:3" x14ac:dyDescent="0.25">
      <c r="A6" s="20" t="s">
        <v>14</v>
      </c>
      <c r="B6" s="20">
        <v>0.6</v>
      </c>
      <c r="C6" s="20"/>
    </row>
    <row r="7" spans="1:3" x14ac:dyDescent="0.25">
      <c r="A7" s="20" t="s">
        <v>120</v>
      </c>
      <c r="B7" s="20">
        <v>7.0000000000000001E-3</v>
      </c>
      <c r="C7" s="20"/>
    </row>
    <row r="8" spans="1:3" x14ac:dyDescent="0.25">
      <c r="A8" s="20" t="s">
        <v>7</v>
      </c>
      <c r="B8" s="20">
        <v>0.4</v>
      </c>
      <c r="C8" s="20"/>
    </row>
    <row r="9" spans="1:3" x14ac:dyDescent="0.25">
      <c r="A9" s="20" t="s">
        <v>8</v>
      </c>
      <c r="B9" s="20">
        <v>0.43</v>
      </c>
      <c r="C9" s="20" t="s">
        <v>9</v>
      </c>
    </row>
    <row r="10" spans="1:3" x14ac:dyDescent="0.25">
      <c r="A10" s="20" t="s">
        <v>11</v>
      </c>
      <c r="B10" s="20">
        <v>0.95</v>
      </c>
      <c r="C10" s="20"/>
    </row>
    <row r="11" spans="1:3" x14ac:dyDescent="0.25">
      <c r="A11" s="20" t="s">
        <v>125</v>
      </c>
      <c r="B11" s="20">
        <v>60</v>
      </c>
      <c r="C11" s="20" t="s">
        <v>15</v>
      </c>
    </row>
    <row r="12" spans="1:3" x14ac:dyDescent="0.25">
      <c r="A12" s="20" t="s">
        <v>145</v>
      </c>
      <c r="B12" s="20">
        <v>30</v>
      </c>
      <c r="C12" s="20" t="s">
        <v>15</v>
      </c>
    </row>
    <row r="13" spans="1:3" x14ac:dyDescent="0.25">
      <c r="A13" s="20" t="s">
        <v>126</v>
      </c>
      <c r="B13" s="20">
        <v>10</v>
      </c>
      <c r="C13" s="20" t="s">
        <v>17</v>
      </c>
    </row>
    <row r="14" spans="1:3" x14ac:dyDescent="0.25">
      <c r="A14" s="20" t="s">
        <v>155</v>
      </c>
      <c r="B14" s="20">
        <v>0.3</v>
      </c>
      <c r="C14" s="20" t="s">
        <v>5</v>
      </c>
    </row>
    <row r="15" spans="1:3" x14ac:dyDescent="0.25">
      <c r="A15" s="20" t="s">
        <v>156</v>
      </c>
      <c r="B15" s="20">
        <v>5.56</v>
      </c>
      <c r="C15" s="20" t="s">
        <v>5</v>
      </c>
    </row>
    <row r="16" spans="1:3" x14ac:dyDescent="0.25">
      <c r="A16" s="20" t="s">
        <v>157</v>
      </c>
      <c r="B16" s="20">
        <v>29</v>
      </c>
      <c r="C16" s="20" t="s">
        <v>17</v>
      </c>
    </row>
    <row r="17" spans="1:3" x14ac:dyDescent="0.25">
      <c r="A17" s="20" t="s">
        <v>30</v>
      </c>
      <c r="B17" s="20">
        <v>2</v>
      </c>
      <c r="C17" s="20"/>
    </row>
    <row r="18" spans="1:3" x14ac:dyDescent="0.25">
      <c r="A18" s="20" t="s">
        <v>80</v>
      </c>
      <c r="B18" s="20">
        <v>1</v>
      </c>
      <c r="C18" s="20"/>
    </row>
    <row r="19" spans="1:3" x14ac:dyDescent="0.25">
      <c r="A19" s="20" t="s">
        <v>81</v>
      </c>
      <c r="B19" s="20">
        <v>16.5</v>
      </c>
      <c r="C19" s="20"/>
    </row>
    <row r="20" spans="1:3" x14ac:dyDescent="0.25">
      <c r="A20" s="20" t="s">
        <v>148</v>
      </c>
      <c r="B20" s="20">
        <v>600</v>
      </c>
      <c r="C20" s="20" t="s">
        <v>149</v>
      </c>
    </row>
    <row r="21" spans="1:3" x14ac:dyDescent="0.25">
      <c r="A21" s="20" t="s">
        <v>141</v>
      </c>
      <c r="B21" s="20">
        <v>100</v>
      </c>
      <c r="C21" s="20" t="s">
        <v>147</v>
      </c>
    </row>
    <row r="22" spans="1:3" x14ac:dyDescent="0.25">
      <c r="A22" s="20" t="s">
        <v>142</v>
      </c>
      <c r="B22" s="20">
        <v>3</v>
      </c>
      <c r="C22" s="20" t="s">
        <v>143</v>
      </c>
    </row>
    <row r="23" spans="1:3" x14ac:dyDescent="0.25">
      <c r="A23" s="40" t="s">
        <v>35</v>
      </c>
      <c r="B23" s="40"/>
      <c r="C23" s="40"/>
    </row>
    <row r="24" spans="1:3" x14ac:dyDescent="0.25">
      <c r="A24" s="3"/>
      <c r="B24" s="23" t="s">
        <v>121</v>
      </c>
      <c r="C24" s="23" t="s">
        <v>122</v>
      </c>
    </row>
    <row r="25" spans="1:3" x14ac:dyDescent="0.25">
      <c r="A25" s="3"/>
      <c r="B25" s="23" t="s">
        <v>36</v>
      </c>
      <c r="C25" s="23" t="s">
        <v>2</v>
      </c>
    </row>
    <row r="26" spans="1:3" x14ac:dyDescent="0.25">
      <c r="B26" s="25">
        <v>2000</v>
      </c>
      <c r="C26" s="25">
        <f>B26*0.453592</f>
        <v>907.18399999999997</v>
      </c>
    </row>
    <row r="27" spans="1:3" x14ac:dyDescent="0.25">
      <c r="B27" s="26" t="s">
        <v>37</v>
      </c>
      <c r="C27" s="26" t="s">
        <v>38</v>
      </c>
    </row>
    <row r="28" spans="1:3" x14ac:dyDescent="0.25">
      <c r="B28" s="25">
        <v>1</v>
      </c>
      <c r="C28" s="25">
        <f>B28*0.0254</f>
        <v>2.5399999999999999E-2</v>
      </c>
    </row>
    <row r="29" spans="1:3" x14ac:dyDescent="0.25">
      <c r="B29" s="26" t="s">
        <v>39</v>
      </c>
      <c r="C29" s="26" t="s">
        <v>40</v>
      </c>
    </row>
    <row r="30" spans="1:3" x14ac:dyDescent="0.25">
      <c r="B30" s="25">
        <v>1</v>
      </c>
      <c r="C30" s="25">
        <f>B30*4.44822</f>
        <v>4.4482200000000001</v>
      </c>
    </row>
    <row r="31" spans="1:3" x14ac:dyDescent="0.25">
      <c r="B31" s="26" t="s">
        <v>41</v>
      </c>
      <c r="C31" s="26" t="s">
        <v>17</v>
      </c>
    </row>
    <row r="32" spans="1:3" x14ac:dyDescent="0.25">
      <c r="B32" s="25">
        <v>65</v>
      </c>
      <c r="C32" s="25">
        <f>B32/2.23694</f>
        <v>29.057551834202076</v>
      </c>
    </row>
    <row r="33" spans="1:3" x14ac:dyDescent="0.25">
      <c r="B33" s="26" t="s">
        <v>42</v>
      </c>
      <c r="C33" s="26" t="s">
        <v>17</v>
      </c>
    </row>
    <row r="34" spans="1:3" x14ac:dyDescent="0.25">
      <c r="B34" s="25">
        <v>50</v>
      </c>
      <c r="C34" s="25">
        <f>B34*0.277778</f>
        <v>13.888900000000001</v>
      </c>
    </row>
    <row r="35" spans="1:3" x14ac:dyDescent="0.25">
      <c r="B35" s="26" t="s">
        <v>43</v>
      </c>
      <c r="C35" s="26" t="s">
        <v>44</v>
      </c>
    </row>
    <row r="36" spans="1:3" x14ac:dyDescent="0.25">
      <c r="B36" s="25">
        <v>1</v>
      </c>
      <c r="C36" s="25">
        <f>B36*1.35582</f>
        <v>1.35582</v>
      </c>
    </row>
    <row r="37" spans="1:3" x14ac:dyDescent="0.25">
      <c r="B37" s="26" t="s">
        <v>45</v>
      </c>
      <c r="C37" s="26" t="s">
        <v>46</v>
      </c>
    </row>
    <row r="38" spans="1:3" x14ac:dyDescent="0.25">
      <c r="B38" s="25">
        <v>100</v>
      </c>
      <c r="C38" s="25">
        <f>B38*0.7457</f>
        <v>74.570000000000007</v>
      </c>
    </row>
    <row r="39" spans="1:3" x14ac:dyDescent="0.25">
      <c r="B39" s="27" t="s">
        <v>16</v>
      </c>
      <c r="C39" s="27"/>
    </row>
    <row r="40" spans="1:3" x14ac:dyDescent="0.25">
      <c r="B40" s="22" t="s">
        <v>82</v>
      </c>
      <c r="C40" s="22">
        <v>100</v>
      </c>
    </row>
    <row r="41" spans="1:3" x14ac:dyDescent="0.25">
      <c r="B41" s="22" t="s">
        <v>83</v>
      </c>
      <c r="C41" s="22">
        <v>5</v>
      </c>
    </row>
    <row r="42" spans="1:3" x14ac:dyDescent="0.25">
      <c r="B42" s="22" t="s">
        <v>5</v>
      </c>
      <c r="C42" s="24">
        <f>1000*C40/3600/C41</f>
        <v>5.5555555555555554</v>
      </c>
    </row>
    <row r="44" spans="1:3" x14ac:dyDescent="0.25">
      <c r="A44" s="29" t="s">
        <v>127</v>
      </c>
      <c r="B44" s="29">
        <v>1</v>
      </c>
      <c r="C44" s="29" t="s">
        <v>83</v>
      </c>
    </row>
    <row r="45" spans="1:3" x14ac:dyDescent="0.25">
      <c r="A45" s="29" t="s">
        <v>158</v>
      </c>
      <c r="B45" s="29">
        <v>0.2</v>
      </c>
      <c r="C45" s="29" t="s">
        <v>15</v>
      </c>
    </row>
    <row r="56" spans="8:18" x14ac:dyDescent="0.25">
      <c r="H56" s="1"/>
      <c r="I56" s="1"/>
      <c r="R56" s="1"/>
    </row>
    <row r="57" spans="8:18" x14ac:dyDescent="0.25">
      <c r="H57" s="1"/>
      <c r="I57" s="1"/>
    </row>
  </sheetData>
  <mergeCells count="1">
    <mergeCell ref="A23:C2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BAB6-B1B8-4484-BC38-CF20695F1C3D}">
  <dimension ref="A1:AB55"/>
  <sheetViews>
    <sheetView workbookViewId="0">
      <pane ySplit="1" topLeftCell="A14" activePane="bottomLeft" state="frozen"/>
      <selection activeCell="K1" sqref="K1"/>
      <selection pane="bottomLeft" activeCell="F55" sqref="F55"/>
    </sheetView>
  </sheetViews>
  <sheetFormatPr defaultRowHeight="15" x14ac:dyDescent="0.25"/>
  <cols>
    <col min="6" max="6" width="10.5703125" bestFit="1" customWidth="1"/>
  </cols>
  <sheetData>
    <row r="1" spans="1:28" ht="60" x14ac:dyDescent="0.25">
      <c r="A1" s="2" t="s">
        <v>18</v>
      </c>
      <c r="B1" s="2" t="s">
        <v>124</v>
      </c>
      <c r="C1" s="2" t="s">
        <v>19</v>
      </c>
      <c r="D1" s="2" t="s">
        <v>34</v>
      </c>
      <c r="E1" s="2" t="s">
        <v>26</v>
      </c>
      <c r="F1" s="2" t="s">
        <v>20</v>
      </c>
      <c r="G1" s="2" t="s">
        <v>123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27</v>
      </c>
      <c r="N1" s="2" t="s">
        <v>28</v>
      </c>
      <c r="O1" s="2" t="s">
        <v>32</v>
      </c>
      <c r="P1" s="2" t="s">
        <v>29</v>
      </c>
      <c r="Q1" s="2" t="s">
        <v>31</v>
      </c>
      <c r="R1" s="2" t="s">
        <v>33</v>
      </c>
      <c r="S1" s="28" t="s">
        <v>137</v>
      </c>
      <c r="T1" s="28" t="s">
        <v>138</v>
      </c>
      <c r="U1" s="28" t="s">
        <v>139</v>
      </c>
      <c r="V1" s="28" t="s">
        <v>140</v>
      </c>
      <c r="W1" s="28" t="s">
        <v>146</v>
      </c>
      <c r="X1" s="28" t="s">
        <v>153</v>
      </c>
      <c r="Y1" s="28" t="s">
        <v>154</v>
      </c>
      <c r="Z1" s="28" t="s">
        <v>150</v>
      </c>
      <c r="AA1" s="28" t="s">
        <v>151</v>
      </c>
      <c r="AB1" s="28" t="s">
        <v>152</v>
      </c>
    </row>
    <row r="2" spans="1:28" x14ac:dyDescent="0.25">
      <c r="A2" s="36">
        <v>0</v>
      </c>
      <c r="B2" s="36">
        <f t="shared" ref="B2:B33" si="0">3600*D2/1000</f>
        <v>0</v>
      </c>
      <c r="C2" s="36">
        <v>0</v>
      </c>
      <c r="D2" s="36">
        <f>IF(C2&gt;Application!$B$16,Application!$B$16,C2)</f>
        <v>0</v>
      </c>
      <c r="E2" s="37">
        <v>0</v>
      </c>
      <c r="F2" s="36">
        <f>Application!$B$2*Application!$B$3*Application!$B$8</f>
        <v>3559.0680000000002</v>
      </c>
      <c r="G2" s="36">
        <v>0</v>
      </c>
      <c r="H2" s="36">
        <v>0</v>
      </c>
      <c r="I2" s="36">
        <f>Application!$B$2*Application!$B$3*SIN(H2)</f>
        <v>0</v>
      </c>
      <c r="J2" s="36">
        <f>Application!$B$2*Application!$B$3*Application!$B$7*COS(H2)</f>
        <v>62.28369</v>
      </c>
      <c r="K2" s="36">
        <f>0.5*Application!$B$5*Application!$B$6*Application!$B$4*D2^2</f>
        <v>0</v>
      </c>
      <c r="L2" s="36">
        <f>Application!$B$2*E2</f>
        <v>0</v>
      </c>
      <c r="M2" s="36">
        <f t="shared" ref="M2:M33" si="1">SUM(I2,J2,K2,L2)</f>
        <v>62.28369</v>
      </c>
      <c r="N2" s="36">
        <f>M2*Application!$B$9</f>
        <v>26.781986700000001</v>
      </c>
      <c r="O2" s="36">
        <f>D2*60/2/PI()/Application!$B$9</f>
        <v>0</v>
      </c>
      <c r="P2" s="36">
        <f>Application!$B$18*Application!$B$19</f>
        <v>16.5</v>
      </c>
      <c r="Q2" s="36">
        <f>N2/P2/Application!$B$17/Application!$B$10</f>
        <v>0.85428984688995224</v>
      </c>
      <c r="R2" s="36">
        <f t="shared" ref="R2:R33" si="2">O2*P2</f>
        <v>0</v>
      </c>
      <c r="S2" s="38">
        <f t="shared" ref="S2:S33" si="3">Q2*R2*2*PI()/60/1000</f>
        <v>0</v>
      </c>
      <c r="T2" s="38">
        <f>S2*Application!$B$17</f>
        <v>0</v>
      </c>
      <c r="U2" s="38">
        <v>600</v>
      </c>
      <c r="V2" s="38">
        <f t="shared" ref="V2:V33" si="4">1000*T2/U2</f>
        <v>0</v>
      </c>
      <c r="W2" s="38">
        <f t="shared" ref="W2:W33" si="5">AVERAGE(V2:V3)</f>
        <v>25.127410203880977</v>
      </c>
      <c r="X2" s="38">
        <f>W2*Application!$B$44/3600</f>
        <v>6.9798361677447162E-3</v>
      </c>
      <c r="Y2" s="38">
        <f>SUM($X$2:X2)</f>
        <v>6.9798361677447162E-3</v>
      </c>
      <c r="Z2" s="36">
        <f>Application!$B$21*1000/Application!$B$20</f>
        <v>166.66666666666666</v>
      </c>
      <c r="AA2" s="36">
        <f t="shared" ref="AA2:AA33" si="6">100*(Z2-Y2)/Z2</f>
        <v>99.995812098299353</v>
      </c>
      <c r="AB2" s="38">
        <f t="shared" ref="AB2:AB33" si="7">100*Y2/Z2</f>
        <v>4.1879017006468296E-3</v>
      </c>
    </row>
    <row r="3" spans="1:28" x14ac:dyDescent="0.25">
      <c r="A3" s="36">
        <f>A2+Application!$B$44</f>
        <v>1</v>
      </c>
      <c r="B3" s="36">
        <f t="shared" si="0"/>
        <v>20.015999999999998</v>
      </c>
      <c r="C3" s="36">
        <f>C2+Application!$B$15*(A3-A2)</f>
        <v>5.56</v>
      </c>
      <c r="D3" s="36">
        <f>IF(C3&gt;Application!$B$16,Application!$B$16,C3)</f>
        <v>5.56</v>
      </c>
      <c r="E3" s="37">
        <f t="shared" ref="E3:E34" si="8">(D3-D2)/(A3-A2)</f>
        <v>5.56</v>
      </c>
      <c r="F3" s="36">
        <f t="shared" ref="F3:F34" si="9">$F$2/D3</f>
        <v>640.12014388489217</v>
      </c>
      <c r="G3" s="36">
        <v>0</v>
      </c>
      <c r="H3" s="36">
        <v>0</v>
      </c>
      <c r="I3" s="36">
        <f>Application!$B$2*Application!$B$3*SIN(H3)</f>
        <v>0</v>
      </c>
      <c r="J3" s="36">
        <f>Application!$B$2*Application!$B$3*Application!$B$7*COS(H3)</f>
        <v>62.28369</v>
      </c>
      <c r="K3" s="36">
        <f>0.5*Application!$B$5*Application!$B$6*Application!$B$4*D3^2</f>
        <v>46.819265471999991</v>
      </c>
      <c r="L3" s="36">
        <f>Application!$B$2*E3</f>
        <v>5042.92</v>
      </c>
      <c r="M3" s="36">
        <f t="shared" si="1"/>
        <v>5152.0229554719999</v>
      </c>
      <c r="N3" s="36">
        <f>M3*Application!$B$9</f>
        <v>2215.36987085296</v>
      </c>
      <c r="O3" s="36">
        <f>D3*60/2/PI()/Application!$B$9</f>
        <v>123.47462561734019</v>
      </c>
      <c r="P3" s="36">
        <f>Application!$B$18*Application!$B$19</f>
        <v>16.5</v>
      </c>
      <c r="Q3" s="36">
        <f>N3/P3/Application!$B$17/Application!$B$10</f>
        <v>70.665705609344812</v>
      </c>
      <c r="R3" s="36">
        <f>O3*P3</f>
        <v>2037.3313226861133</v>
      </c>
      <c r="S3" s="38">
        <f t="shared" si="3"/>
        <v>15.076446122328587</v>
      </c>
      <c r="T3" s="38">
        <f>S3*Application!$B$17</f>
        <v>30.152892244657174</v>
      </c>
      <c r="U3" s="38">
        <v>600</v>
      </c>
      <c r="V3" s="38">
        <f t="shared" si="4"/>
        <v>50.254820407761954</v>
      </c>
      <c r="W3" s="38">
        <f t="shared" si="5"/>
        <v>76.752310169665677</v>
      </c>
      <c r="X3" s="38">
        <f>W3*Application!$B$44/3600</f>
        <v>2.1320086158240464E-2</v>
      </c>
      <c r="Y3" s="38">
        <f>SUM($X$2:X3)</f>
        <v>2.8299922325985181E-2</v>
      </c>
      <c r="Z3" s="36">
        <f>Application!$B$21*1000/Application!$B$20</f>
        <v>166.66666666666666</v>
      </c>
      <c r="AA3" s="36">
        <f t="shared" si="6"/>
        <v>99.983020046604409</v>
      </c>
      <c r="AB3" s="38">
        <f t="shared" si="7"/>
        <v>1.6979953395591111E-2</v>
      </c>
    </row>
    <row r="4" spans="1:28" x14ac:dyDescent="0.25">
      <c r="A4" s="36">
        <f>A3+Application!$B$44</f>
        <v>2</v>
      </c>
      <c r="B4" s="36">
        <f t="shared" si="0"/>
        <v>40.031999999999996</v>
      </c>
      <c r="C4" s="36">
        <f>C3+Application!$B$15*(A4-A3)</f>
        <v>11.12</v>
      </c>
      <c r="D4" s="36">
        <f>IF(C4&gt;Application!$B$16,Application!$B$16,C4)</f>
        <v>11.12</v>
      </c>
      <c r="E4" s="37">
        <f t="shared" si="8"/>
        <v>5.56</v>
      </c>
      <c r="F4" s="36">
        <f t="shared" si="9"/>
        <v>320.06007194244609</v>
      </c>
      <c r="G4" s="36">
        <v>0</v>
      </c>
      <c r="H4" s="36">
        <v>0</v>
      </c>
      <c r="I4" s="36">
        <f>Application!$B$2*Application!$B$3*SIN(H4)</f>
        <v>0</v>
      </c>
      <c r="J4" s="36">
        <f>Application!$B$2*Application!$B$3*Application!$B$7*COS(H4)</f>
        <v>62.28369</v>
      </c>
      <c r="K4" s="36">
        <f>0.5*Application!$B$5*Application!$B$6*Application!$B$4*D4^2</f>
        <v>187.27706188799996</v>
      </c>
      <c r="L4" s="36">
        <f>Application!$B$2*E4</f>
        <v>5042.92</v>
      </c>
      <c r="M4" s="36">
        <f t="shared" si="1"/>
        <v>5292.4807518879998</v>
      </c>
      <c r="N4" s="36">
        <f>M4*Application!$B$9</f>
        <v>2275.76672331184</v>
      </c>
      <c r="O4" s="36">
        <f>D4*60/2/PI()/Application!$B$9</f>
        <v>246.94925123468039</v>
      </c>
      <c r="P4" s="36">
        <f>Application!$B$18*Application!$B$19</f>
        <v>16.5</v>
      </c>
      <c r="Q4" s="36">
        <f>N4/P4/Application!$B$17/Application!$B$10</f>
        <v>72.592239978049122</v>
      </c>
      <c r="R4" s="36">
        <f t="shared" si="2"/>
        <v>4074.6626453722265</v>
      </c>
      <c r="S4" s="38">
        <f t="shared" si="3"/>
        <v>30.974939979470818</v>
      </c>
      <c r="T4" s="38">
        <f>S4*Application!$B$17</f>
        <v>61.949879958941636</v>
      </c>
      <c r="U4" s="38">
        <v>600</v>
      </c>
      <c r="V4" s="38">
        <f t="shared" si="4"/>
        <v>103.2497999315694</v>
      </c>
      <c r="W4" s="38">
        <f t="shared" si="5"/>
        <v>132.48744880951858</v>
      </c>
      <c r="X4" s="38">
        <f>W4*Application!$B$44/3600</f>
        <v>3.6802069113755165E-2</v>
      </c>
      <c r="Y4" s="38">
        <f>SUM($X$2:X4)</f>
        <v>6.5101991439740353E-2</v>
      </c>
      <c r="Z4" s="36">
        <f>Application!$B$21*1000/Application!$B$20</f>
        <v>166.66666666666666</v>
      </c>
      <c r="AA4" s="36">
        <f t="shared" si="6"/>
        <v>99.960938805136152</v>
      </c>
      <c r="AB4" s="38">
        <f t="shared" si="7"/>
        <v>3.9061194863844212E-2</v>
      </c>
    </row>
    <row r="5" spans="1:28" x14ac:dyDescent="0.25">
      <c r="A5" s="36">
        <f>A4+Application!$B$44</f>
        <v>3</v>
      </c>
      <c r="B5" s="36">
        <f t="shared" si="0"/>
        <v>60.048000000000002</v>
      </c>
      <c r="C5" s="36">
        <f>C4+Application!$B$15*(A5-A4)</f>
        <v>16.68</v>
      </c>
      <c r="D5" s="36">
        <f>IF(C5&gt;Application!$B$16,Application!$B$16,C5)</f>
        <v>16.68</v>
      </c>
      <c r="E5" s="37">
        <f t="shared" si="8"/>
        <v>5.5600000000000005</v>
      </c>
      <c r="F5" s="36">
        <f t="shared" si="9"/>
        <v>213.37338129496405</v>
      </c>
      <c r="G5" s="36">
        <v>0</v>
      </c>
      <c r="H5" s="36">
        <v>0</v>
      </c>
      <c r="I5" s="36">
        <f>Application!$B$2*Application!$B$3*SIN(H5)</f>
        <v>0</v>
      </c>
      <c r="J5" s="36">
        <f>Application!$B$2*Application!$B$3*Application!$B$7*COS(H5)</f>
        <v>62.28369</v>
      </c>
      <c r="K5" s="36">
        <f>0.5*Application!$B$5*Application!$B$6*Application!$B$4*D5^2</f>
        <v>421.37338924799997</v>
      </c>
      <c r="L5" s="36">
        <f>Application!$B$2*E5</f>
        <v>5042.92</v>
      </c>
      <c r="M5" s="36">
        <f t="shared" si="1"/>
        <v>5526.5770792479998</v>
      </c>
      <c r="N5" s="36">
        <f>M5*Application!$B$9</f>
        <v>2376.4281440766399</v>
      </c>
      <c r="O5" s="36">
        <f>D5*60/2/PI()/Application!$B$9</f>
        <v>370.42387685202056</v>
      </c>
      <c r="P5" s="36">
        <f>Application!$B$18*Application!$B$19</f>
        <v>16.5</v>
      </c>
      <c r="Q5" s="36">
        <f>N5/P5/Application!$B$17/Application!$B$10</f>
        <v>75.8031305925563</v>
      </c>
      <c r="R5" s="36">
        <f t="shared" si="2"/>
        <v>6111.9939680583393</v>
      </c>
      <c r="S5" s="38">
        <f t="shared" si="3"/>
        <v>48.517529306240334</v>
      </c>
      <c r="T5" s="38">
        <f>S5*Application!$B$17</f>
        <v>97.035058612480668</v>
      </c>
      <c r="U5" s="38">
        <v>600</v>
      </c>
      <c r="V5" s="38">
        <f t="shared" si="4"/>
        <v>161.72509768746778</v>
      </c>
      <c r="W5" s="38">
        <f t="shared" si="5"/>
        <v>195.07298523948518</v>
      </c>
      <c r="X5" s="38">
        <f>W5*Application!$B$44/3600</f>
        <v>5.4186940344301437E-2</v>
      </c>
      <c r="Y5" s="38">
        <f>SUM($X$2:X5)</f>
        <v>0.11928893178404179</v>
      </c>
      <c r="Z5" s="36">
        <f>Application!$B$21*1000/Application!$B$20</f>
        <v>166.66666666666666</v>
      </c>
      <c r="AA5" s="36">
        <f t="shared" si="6"/>
        <v>99.928426640929572</v>
      </c>
      <c r="AB5" s="38">
        <f t="shared" si="7"/>
        <v>7.1573359070425072E-2</v>
      </c>
    </row>
    <row r="6" spans="1:28" x14ac:dyDescent="0.25">
      <c r="A6" s="36">
        <f>A5+Application!$B$44</f>
        <v>4</v>
      </c>
      <c r="B6" s="36">
        <f t="shared" si="0"/>
        <v>80.063999999999993</v>
      </c>
      <c r="C6" s="36">
        <f>C5+Application!$B$15*(A6-A5)</f>
        <v>22.24</v>
      </c>
      <c r="D6" s="36">
        <f>IF(C6&gt;Application!$B$16,Application!$B$16,C6)</f>
        <v>22.24</v>
      </c>
      <c r="E6" s="37">
        <f t="shared" si="8"/>
        <v>5.5599999999999987</v>
      </c>
      <c r="F6" s="36">
        <f t="shared" si="9"/>
        <v>160.03003597122304</v>
      </c>
      <c r="G6" s="36">
        <v>0</v>
      </c>
      <c r="H6" s="36">
        <v>0</v>
      </c>
      <c r="I6" s="36">
        <f>Application!$B$2*Application!$B$3*SIN(H6)</f>
        <v>0</v>
      </c>
      <c r="J6" s="36">
        <f>Application!$B$2*Application!$B$3*Application!$B$7*COS(H6)</f>
        <v>62.28369</v>
      </c>
      <c r="K6" s="36">
        <f>0.5*Application!$B$5*Application!$B$6*Application!$B$4*D6^2</f>
        <v>749.10824755199985</v>
      </c>
      <c r="L6" s="36">
        <f>Application!$B$2*E6</f>
        <v>5042.9199999999992</v>
      </c>
      <c r="M6" s="36">
        <f t="shared" si="1"/>
        <v>5854.3119375519991</v>
      </c>
      <c r="N6" s="36">
        <f>M6*Application!$B$9</f>
        <v>2517.3541331473598</v>
      </c>
      <c r="O6" s="36">
        <f>D6*60/2/PI()/Application!$B$9</f>
        <v>493.89850246936078</v>
      </c>
      <c r="P6" s="36">
        <f>Application!$B$18*Application!$B$19</f>
        <v>16.5</v>
      </c>
      <c r="Q6" s="36">
        <f>N6/P6/Application!$B$17/Application!$B$10</f>
        <v>80.298377452866347</v>
      </c>
      <c r="R6" s="36">
        <f t="shared" si="2"/>
        <v>8149.325290744453</v>
      </c>
      <c r="S6" s="38">
        <f t="shared" si="3"/>
        <v>68.526261837450775</v>
      </c>
      <c r="T6" s="38">
        <f>S6*Application!$B$17</f>
        <v>137.05252367490155</v>
      </c>
      <c r="U6" s="38">
        <v>600</v>
      </c>
      <c r="V6" s="38">
        <f t="shared" si="4"/>
        <v>228.42087279150257</v>
      </c>
      <c r="W6" s="38">
        <f t="shared" si="5"/>
        <v>267.24907857561089</v>
      </c>
      <c r="X6" s="38">
        <f>W6*Application!$B$44/3600</f>
        <v>7.4235855159891909E-2</v>
      </c>
      <c r="Y6" s="38">
        <f>SUM($X$2:X6)</f>
        <v>0.19352478694393371</v>
      </c>
      <c r="Z6" s="36">
        <f>Application!$B$21*1000/Application!$B$20</f>
        <v>166.66666666666666</v>
      </c>
      <c r="AA6" s="36">
        <f t="shared" si="6"/>
        <v>99.883885127833636</v>
      </c>
      <c r="AB6" s="38">
        <f t="shared" si="7"/>
        <v>0.11611487216636024</v>
      </c>
    </row>
    <row r="7" spans="1:28" x14ac:dyDescent="0.25">
      <c r="A7" s="36">
        <f>A6+Application!$B$44</f>
        <v>5</v>
      </c>
      <c r="B7" s="36">
        <f t="shared" si="0"/>
        <v>100.07999999999998</v>
      </c>
      <c r="C7" s="36">
        <f>C6+Application!$B$15*(A7-A6)</f>
        <v>27.799999999999997</v>
      </c>
      <c r="D7" s="36">
        <f>IF(C7&gt;Application!$B$16,Application!$B$16,C7)</f>
        <v>27.799999999999997</v>
      </c>
      <c r="E7" s="37">
        <f t="shared" si="8"/>
        <v>5.5599999999999987</v>
      </c>
      <c r="F7" s="36">
        <f t="shared" si="9"/>
        <v>128.02402877697844</v>
      </c>
      <c r="G7" s="36">
        <v>0</v>
      </c>
      <c r="H7" s="36">
        <v>0</v>
      </c>
      <c r="I7" s="36">
        <f>Application!$B$2*Application!$B$3*SIN(H7)</f>
        <v>0</v>
      </c>
      <c r="J7" s="36">
        <f>Application!$B$2*Application!$B$3*Application!$B$7*COS(H7)</f>
        <v>62.28369</v>
      </c>
      <c r="K7" s="36">
        <f>0.5*Application!$B$5*Application!$B$6*Application!$B$4*D7^2</f>
        <v>1170.4816367999997</v>
      </c>
      <c r="L7" s="36">
        <f>Application!$B$2*E7</f>
        <v>5042.9199999999992</v>
      </c>
      <c r="M7" s="36">
        <f t="shared" si="1"/>
        <v>6275.6853267999986</v>
      </c>
      <c r="N7" s="36">
        <f>M7*Application!$B$9</f>
        <v>2698.5446905239992</v>
      </c>
      <c r="O7" s="36">
        <f>D7*60/2/PI()/Application!$B$9</f>
        <v>617.37312808670094</v>
      </c>
      <c r="P7" s="36">
        <f>Application!$B$18*Application!$B$19</f>
        <v>16.5</v>
      </c>
      <c r="Q7" s="36">
        <f>N7/P7/Application!$B$17/Application!$B$10</f>
        <v>86.077980558979249</v>
      </c>
      <c r="R7" s="36">
        <f t="shared" si="2"/>
        <v>10186.656613430565</v>
      </c>
      <c r="S7" s="38">
        <f t="shared" si="3"/>
        <v>91.823185307915764</v>
      </c>
      <c r="T7" s="38">
        <f>S7*Application!$B$17</f>
        <v>183.64637061583153</v>
      </c>
      <c r="U7" s="38">
        <v>600</v>
      </c>
      <c r="V7" s="38">
        <f t="shared" si="4"/>
        <v>306.07728435971921</v>
      </c>
      <c r="W7" s="38">
        <f t="shared" si="5"/>
        <v>214.7118485745965</v>
      </c>
      <c r="X7" s="38">
        <f>W7*Application!$B$44/3600</f>
        <v>5.9642180159610141E-2</v>
      </c>
      <c r="Y7" s="38">
        <f>SUM($X$2:X7)</f>
        <v>0.25316696710354386</v>
      </c>
      <c r="Z7" s="36">
        <f>Application!$B$21*1000/Application!$B$20</f>
        <v>166.66666666666666</v>
      </c>
      <c r="AA7" s="36">
        <f t="shared" si="6"/>
        <v>99.848099819737868</v>
      </c>
      <c r="AB7" s="38">
        <f t="shared" si="7"/>
        <v>0.15190018026212632</v>
      </c>
    </row>
    <row r="8" spans="1:28" x14ac:dyDescent="0.25">
      <c r="A8" s="36">
        <f>A7+Application!$B$44</f>
        <v>6</v>
      </c>
      <c r="B8" s="36">
        <f t="shared" si="0"/>
        <v>104.4</v>
      </c>
      <c r="C8" s="36">
        <f>C7+Application!$B$15*(A8-A7)</f>
        <v>33.36</v>
      </c>
      <c r="D8" s="36">
        <f>IF(C8&gt;Application!$B$16,Application!$B$16,C8)</f>
        <v>29</v>
      </c>
      <c r="E8" s="37">
        <f t="shared" si="8"/>
        <v>1.2000000000000028</v>
      </c>
      <c r="F8" s="36">
        <f t="shared" si="9"/>
        <v>122.72648275862069</v>
      </c>
      <c r="G8" s="36">
        <v>0</v>
      </c>
      <c r="H8" s="36">
        <v>0</v>
      </c>
      <c r="I8" s="36">
        <f>Application!$B$2*Application!$B$3*SIN(H8)</f>
        <v>0</v>
      </c>
      <c r="J8" s="36">
        <f>Application!$B$2*Application!$B$3*Application!$B$7*COS(H8)</f>
        <v>62.28369</v>
      </c>
      <c r="K8" s="36">
        <f>0.5*Application!$B$5*Application!$B$6*Application!$B$4*D8^2</f>
        <v>1273.7113199999999</v>
      </c>
      <c r="L8" s="36">
        <f>Application!$B$2*E8</f>
        <v>1088.4000000000026</v>
      </c>
      <c r="M8" s="36">
        <f t="shared" si="1"/>
        <v>2424.3950100000025</v>
      </c>
      <c r="N8" s="36">
        <f>M8*Application!$B$9</f>
        <v>1042.4898543000011</v>
      </c>
      <c r="O8" s="36">
        <f>D8*60/2/PI()/Application!$B$9</f>
        <v>644.02232786022762</v>
      </c>
      <c r="P8" s="36">
        <f>Application!$B$18*Application!$B$19</f>
        <v>16.5</v>
      </c>
      <c r="Q8" s="36">
        <f>N8/P8/Application!$B$17/Application!$B$10</f>
        <v>33.253264889952185</v>
      </c>
      <c r="R8" s="36">
        <f t="shared" si="2"/>
        <v>10626.368409693756</v>
      </c>
      <c r="S8" s="38">
        <f t="shared" si="3"/>
        <v>37.003923836842141</v>
      </c>
      <c r="T8" s="38">
        <f>S8*Application!$B$17</f>
        <v>74.007847673684282</v>
      </c>
      <c r="U8" s="38">
        <v>600</v>
      </c>
      <c r="V8" s="38">
        <f t="shared" si="4"/>
        <v>123.3464127894738</v>
      </c>
      <c r="W8" s="38">
        <f t="shared" si="5"/>
        <v>95.659044368421121</v>
      </c>
      <c r="X8" s="38">
        <f>W8*Application!$B$44/3600</f>
        <v>2.6571956769005867E-2</v>
      </c>
      <c r="Y8" s="38">
        <f>SUM($X$2:X8)</f>
        <v>0.27973892387254973</v>
      </c>
      <c r="Z8" s="36">
        <f>Application!$B$21*1000/Application!$B$20</f>
        <v>166.66666666666666</v>
      </c>
      <c r="AA8" s="36">
        <f t="shared" si="6"/>
        <v>99.832156645676463</v>
      </c>
      <c r="AB8" s="38">
        <f t="shared" si="7"/>
        <v>0.16784335432352984</v>
      </c>
    </row>
    <row r="9" spans="1:28" x14ac:dyDescent="0.25">
      <c r="A9" s="36">
        <f>A8+Application!$B$44</f>
        <v>7</v>
      </c>
      <c r="B9" s="36">
        <f t="shared" si="0"/>
        <v>104.4</v>
      </c>
      <c r="C9" s="36">
        <f>C8+Application!$B$15*(A9-A8)</f>
        <v>38.92</v>
      </c>
      <c r="D9" s="36">
        <f>IF(C9&gt;Application!$B$16,Application!$B$16,C9)</f>
        <v>29</v>
      </c>
      <c r="E9" s="37">
        <f t="shared" si="8"/>
        <v>0</v>
      </c>
      <c r="F9" s="36">
        <f t="shared" si="9"/>
        <v>122.72648275862069</v>
      </c>
      <c r="G9" s="36">
        <v>0</v>
      </c>
      <c r="H9" s="36">
        <v>0</v>
      </c>
      <c r="I9" s="36">
        <f>Application!$B$2*Application!$B$3*SIN(H9)</f>
        <v>0</v>
      </c>
      <c r="J9" s="36">
        <f>Application!$B$2*Application!$B$3*Application!$B$7*COS(H9)</f>
        <v>62.28369</v>
      </c>
      <c r="K9" s="36">
        <f>0.5*Application!$B$5*Application!$B$6*Application!$B$4*D9^2</f>
        <v>1273.7113199999999</v>
      </c>
      <c r="L9" s="36">
        <f>Application!$B$2*E9</f>
        <v>0</v>
      </c>
      <c r="M9" s="36">
        <f t="shared" si="1"/>
        <v>1335.9950099999999</v>
      </c>
      <c r="N9" s="36">
        <f>M9*Application!$B$9</f>
        <v>574.47785429999999</v>
      </c>
      <c r="O9" s="36">
        <f>D9*60/2/PI()/Application!$B$9</f>
        <v>644.02232786022762</v>
      </c>
      <c r="P9" s="36">
        <f>Application!$B$18*Application!$B$19</f>
        <v>16.5</v>
      </c>
      <c r="Q9" s="36">
        <f>N9/P9/Application!$B$17/Application!$B$10</f>
        <v>18.324652449760766</v>
      </c>
      <c r="R9" s="36">
        <f t="shared" si="2"/>
        <v>10626.368409693756</v>
      </c>
      <c r="S9" s="38">
        <f t="shared" si="3"/>
        <v>20.391502784210527</v>
      </c>
      <c r="T9" s="38">
        <f>S9*Application!$B$17</f>
        <v>40.783005568421054</v>
      </c>
      <c r="U9" s="38">
        <v>600</v>
      </c>
      <c r="V9" s="38">
        <f t="shared" si="4"/>
        <v>67.971675947368425</v>
      </c>
      <c r="W9" s="38">
        <f t="shared" si="5"/>
        <v>67.971675947368425</v>
      </c>
      <c r="X9" s="38">
        <f>W9*Application!$B$44/3600</f>
        <v>1.888102109649123E-2</v>
      </c>
      <c r="Y9" s="38">
        <f>SUM($X$2:X9)</f>
        <v>0.29861994496904098</v>
      </c>
      <c r="Z9" s="36">
        <f>Application!$B$21*1000/Application!$B$20</f>
        <v>166.66666666666666</v>
      </c>
      <c r="AA9" s="36">
        <f t="shared" si="6"/>
        <v>99.820828033018572</v>
      </c>
      <c r="AB9" s="38">
        <f t="shared" si="7"/>
        <v>0.1791719669814246</v>
      </c>
    </row>
    <row r="10" spans="1:28" x14ac:dyDescent="0.25">
      <c r="A10" s="36">
        <f>A9+Application!$B$44</f>
        <v>8</v>
      </c>
      <c r="B10" s="36">
        <f t="shared" si="0"/>
        <v>104.4</v>
      </c>
      <c r="C10" s="36">
        <f>C9+Application!$B$15*(A10-A9)</f>
        <v>44.480000000000004</v>
      </c>
      <c r="D10" s="36">
        <f>IF(C10&gt;Application!$B$16,Application!$B$16,C10)</f>
        <v>29</v>
      </c>
      <c r="E10" s="37">
        <f t="shared" si="8"/>
        <v>0</v>
      </c>
      <c r="F10" s="36">
        <f t="shared" si="9"/>
        <v>122.72648275862069</v>
      </c>
      <c r="G10" s="36">
        <v>0</v>
      </c>
      <c r="H10" s="36">
        <v>0</v>
      </c>
      <c r="I10" s="36">
        <f>Application!$B$2*Application!$B$3*SIN(H10)</f>
        <v>0</v>
      </c>
      <c r="J10" s="36">
        <f>Application!$B$2*Application!$B$3*Application!$B$7*COS(H10)</f>
        <v>62.28369</v>
      </c>
      <c r="K10" s="36">
        <f>0.5*Application!$B$5*Application!$B$6*Application!$B$4*D10^2</f>
        <v>1273.7113199999999</v>
      </c>
      <c r="L10" s="36">
        <f>Application!$B$2*E10</f>
        <v>0</v>
      </c>
      <c r="M10" s="36">
        <f t="shared" si="1"/>
        <v>1335.9950099999999</v>
      </c>
      <c r="N10" s="36">
        <f>M10*Application!$B$9</f>
        <v>574.47785429999999</v>
      </c>
      <c r="O10" s="36">
        <f>D10*60/2/PI()/Application!$B$9</f>
        <v>644.02232786022762</v>
      </c>
      <c r="P10" s="36">
        <f>Application!$B$18*Application!$B$19</f>
        <v>16.5</v>
      </c>
      <c r="Q10" s="36">
        <f>N10/P10/Application!$B$17/Application!$B$10</f>
        <v>18.324652449760766</v>
      </c>
      <c r="R10" s="36">
        <f t="shared" si="2"/>
        <v>10626.368409693756</v>
      </c>
      <c r="S10" s="38">
        <f t="shared" si="3"/>
        <v>20.391502784210527</v>
      </c>
      <c r="T10" s="38">
        <f>S10*Application!$B$17</f>
        <v>40.783005568421054</v>
      </c>
      <c r="U10" s="38">
        <v>600</v>
      </c>
      <c r="V10" s="38">
        <f t="shared" si="4"/>
        <v>67.971675947368425</v>
      </c>
      <c r="W10" s="38">
        <f t="shared" si="5"/>
        <v>67.971675947368425</v>
      </c>
      <c r="X10" s="38">
        <f>W10*Application!$B$44/3600</f>
        <v>1.888102109649123E-2</v>
      </c>
      <c r="Y10" s="38">
        <f>SUM($X$2:X10)</f>
        <v>0.31750096606553224</v>
      </c>
      <c r="Z10" s="36">
        <f>Application!$B$21*1000/Application!$B$20</f>
        <v>166.66666666666666</v>
      </c>
      <c r="AA10" s="36">
        <f t="shared" si="6"/>
        <v>99.809499420360694</v>
      </c>
      <c r="AB10" s="38">
        <f t="shared" si="7"/>
        <v>0.19050057963931935</v>
      </c>
    </row>
    <row r="11" spans="1:28" x14ac:dyDescent="0.25">
      <c r="A11" s="36">
        <f>A10+Application!$B$44</f>
        <v>9</v>
      </c>
      <c r="B11" s="36">
        <f t="shared" si="0"/>
        <v>104.4</v>
      </c>
      <c r="C11" s="36">
        <f>C10+Application!$B$15*(A11-A10)</f>
        <v>50.040000000000006</v>
      </c>
      <c r="D11" s="36">
        <f>IF(C11&gt;Application!$B$16,Application!$B$16,C11)</f>
        <v>29</v>
      </c>
      <c r="E11" s="37">
        <f t="shared" si="8"/>
        <v>0</v>
      </c>
      <c r="F11" s="36">
        <f t="shared" si="9"/>
        <v>122.72648275862069</v>
      </c>
      <c r="G11" s="36">
        <v>0</v>
      </c>
      <c r="H11" s="36">
        <v>0</v>
      </c>
      <c r="I11" s="36">
        <f>Application!$B$2*Application!$B$3*SIN(H11)</f>
        <v>0</v>
      </c>
      <c r="J11" s="36">
        <f>Application!$B$2*Application!$B$3*Application!$B$7*COS(H11)</f>
        <v>62.28369</v>
      </c>
      <c r="K11" s="36">
        <f>0.5*Application!$B$5*Application!$B$6*Application!$B$4*D11^2</f>
        <v>1273.7113199999999</v>
      </c>
      <c r="L11" s="36">
        <f>Application!$B$2*E11</f>
        <v>0</v>
      </c>
      <c r="M11" s="36">
        <f t="shared" si="1"/>
        <v>1335.9950099999999</v>
      </c>
      <c r="N11" s="36">
        <f>M11*Application!$B$9</f>
        <v>574.47785429999999</v>
      </c>
      <c r="O11" s="36">
        <f>D11*60/2/PI()/Application!$B$9</f>
        <v>644.02232786022762</v>
      </c>
      <c r="P11" s="36">
        <f>Application!$B$18*Application!$B$19</f>
        <v>16.5</v>
      </c>
      <c r="Q11" s="36">
        <f>N11/P11/Application!$B$17/Application!$B$10</f>
        <v>18.324652449760766</v>
      </c>
      <c r="R11" s="36">
        <f t="shared" si="2"/>
        <v>10626.368409693756</v>
      </c>
      <c r="S11" s="38">
        <f t="shared" si="3"/>
        <v>20.391502784210527</v>
      </c>
      <c r="T11" s="38">
        <f>S11*Application!$B$17</f>
        <v>40.783005568421054</v>
      </c>
      <c r="U11" s="38">
        <v>600</v>
      </c>
      <c r="V11" s="38">
        <f t="shared" si="4"/>
        <v>67.971675947368425</v>
      </c>
      <c r="W11" s="38">
        <f t="shared" si="5"/>
        <v>67.971675947368425</v>
      </c>
      <c r="X11" s="38">
        <f>W11*Application!$B$44/3600</f>
        <v>1.888102109649123E-2</v>
      </c>
      <c r="Y11" s="38">
        <f>SUM($X$2:X11)</f>
        <v>0.3363819871620235</v>
      </c>
      <c r="Z11" s="36">
        <f>Application!$B$21*1000/Application!$B$20</f>
        <v>166.66666666666666</v>
      </c>
      <c r="AA11" s="36">
        <f t="shared" si="6"/>
        <v>99.798170807702803</v>
      </c>
      <c r="AB11" s="38">
        <f t="shared" si="7"/>
        <v>0.20182919229721413</v>
      </c>
    </row>
    <row r="12" spans="1:28" x14ac:dyDescent="0.25">
      <c r="A12" s="36">
        <f>A11+Application!$B$44</f>
        <v>10</v>
      </c>
      <c r="B12" s="36">
        <f t="shared" si="0"/>
        <v>104.4</v>
      </c>
      <c r="C12" s="36">
        <f>C11+Application!$B$15*(A12-A11)</f>
        <v>55.600000000000009</v>
      </c>
      <c r="D12" s="36">
        <f>IF(C12&gt;Application!$B$16,Application!$B$16,C12)</f>
        <v>29</v>
      </c>
      <c r="E12" s="37">
        <f t="shared" si="8"/>
        <v>0</v>
      </c>
      <c r="F12" s="36">
        <f t="shared" si="9"/>
        <v>122.72648275862069</v>
      </c>
      <c r="G12" s="36">
        <v>0</v>
      </c>
      <c r="H12" s="36">
        <v>0</v>
      </c>
      <c r="I12" s="36">
        <f>Application!$B$2*Application!$B$3*SIN(H12)</f>
        <v>0</v>
      </c>
      <c r="J12" s="36">
        <f>Application!$B$2*Application!$B$3*Application!$B$7*COS(H12)</f>
        <v>62.28369</v>
      </c>
      <c r="K12" s="36">
        <f>0.5*Application!$B$5*Application!$B$6*Application!$B$4*D12^2</f>
        <v>1273.7113199999999</v>
      </c>
      <c r="L12" s="36">
        <f>Application!$B$2*E12</f>
        <v>0</v>
      </c>
      <c r="M12" s="36">
        <f t="shared" si="1"/>
        <v>1335.9950099999999</v>
      </c>
      <c r="N12" s="36">
        <f>M12*Application!$B$9</f>
        <v>574.47785429999999</v>
      </c>
      <c r="O12" s="36">
        <f>D12*60/2/PI()/Application!$B$9</f>
        <v>644.02232786022762</v>
      </c>
      <c r="P12" s="36">
        <f>Application!$B$18*Application!$B$19</f>
        <v>16.5</v>
      </c>
      <c r="Q12" s="36">
        <f>N12/P12/Application!$B$17/Application!$B$10</f>
        <v>18.324652449760766</v>
      </c>
      <c r="R12" s="36">
        <f t="shared" si="2"/>
        <v>10626.368409693756</v>
      </c>
      <c r="S12" s="38">
        <f t="shared" si="3"/>
        <v>20.391502784210527</v>
      </c>
      <c r="T12" s="38">
        <f>S12*Application!$B$17</f>
        <v>40.783005568421054</v>
      </c>
      <c r="U12" s="38">
        <v>600</v>
      </c>
      <c r="V12" s="38">
        <f t="shared" si="4"/>
        <v>67.971675947368425</v>
      </c>
      <c r="W12" s="38">
        <f t="shared" si="5"/>
        <v>67.971675947368425</v>
      </c>
      <c r="X12" s="38">
        <f>W12*Application!$B$44/3600</f>
        <v>1.888102109649123E-2</v>
      </c>
      <c r="Y12" s="38">
        <f>SUM($X$2:X12)</f>
        <v>0.35526300825851476</v>
      </c>
      <c r="Z12" s="36">
        <f>Application!$B$21*1000/Application!$B$20</f>
        <v>166.66666666666666</v>
      </c>
      <c r="AA12" s="36">
        <f t="shared" si="6"/>
        <v>99.786842195044898</v>
      </c>
      <c r="AB12" s="38">
        <f t="shared" si="7"/>
        <v>0.21315780495510889</v>
      </c>
    </row>
    <row r="13" spans="1:28" x14ac:dyDescent="0.25">
      <c r="A13" s="36">
        <f>A12+Application!$B$44</f>
        <v>11</v>
      </c>
      <c r="B13" s="36">
        <f t="shared" si="0"/>
        <v>104.4</v>
      </c>
      <c r="C13" s="36">
        <f>C12+Application!$B$15*(A13-A12)</f>
        <v>61.160000000000011</v>
      </c>
      <c r="D13" s="36">
        <f>IF(C13&gt;Application!$B$16,Application!$B$16,C13)</f>
        <v>29</v>
      </c>
      <c r="E13" s="37">
        <f t="shared" si="8"/>
        <v>0</v>
      </c>
      <c r="F13" s="36">
        <f t="shared" si="9"/>
        <v>122.72648275862069</v>
      </c>
      <c r="G13" s="36">
        <v>0</v>
      </c>
      <c r="H13" s="36">
        <v>0</v>
      </c>
      <c r="I13" s="36">
        <f>Application!$B$2*Application!$B$3*SIN(H13)</f>
        <v>0</v>
      </c>
      <c r="J13" s="36">
        <f>Application!$B$2*Application!$B$3*Application!$B$7*COS(H13)</f>
        <v>62.28369</v>
      </c>
      <c r="K13" s="36">
        <f>0.5*Application!$B$5*Application!$B$6*Application!$B$4*D13^2</f>
        <v>1273.7113199999999</v>
      </c>
      <c r="L13" s="36">
        <f>Application!$B$2*E13</f>
        <v>0</v>
      </c>
      <c r="M13" s="36">
        <f t="shared" si="1"/>
        <v>1335.9950099999999</v>
      </c>
      <c r="N13" s="36">
        <f>M13*Application!$B$9</f>
        <v>574.47785429999999</v>
      </c>
      <c r="O13" s="36">
        <f>D13*60/2/PI()/Application!$B$9</f>
        <v>644.02232786022762</v>
      </c>
      <c r="P13" s="36">
        <f>Application!$B$18*Application!$B$19</f>
        <v>16.5</v>
      </c>
      <c r="Q13" s="36">
        <f>N13/P13/Application!$B$17/Application!$B$10</f>
        <v>18.324652449760766</v>
      </c>
      <c r="R13" s="36">
        <f t="shared" si="2"/>
        <v>10626.368409693756</v>
      </c>
      <c r="S13" s="38">
        <f t="shared" si="3"/>
        <v>20.391502784210527</v>
      </c>
      <c r="T13" s="38">
        <f>S13*Application!$B$17</f>
        <v>40.783005568421054</v>
      </c>
      <c r="U13" s="38">
        <v>600</v>
      </c>
      <c r="V13" s="38">
        <f t="shared" si="4"/>
        <v>67.971675947368425</v>
      </c>
      <c r="W13" s="38">
        <f t="shared" si="5"/>
        <v>67.971675947368425</v>
      </c>
      <c r="X13" s="38">
        <f>W13*Application!$B$44/3600</f>
        <v>1.888102109649123E-2</v>
      </c>
      <c r="Y13" s="38">
        <f>SUM($X$2:X13)</f>
        <v>0.37414402935500601</v>
      </c>
      <c r="Z13" s="36">
        <f>Application!$B$21*1000/Application!$B$20</f>
        <v>166.66666666666666</v>
      </c>
      <c r="AA13" s="36">
        <f t="shared" si="6"/>
        <v>99.775513582387006</v>
      </c>
      <c r="AB13" s="38">
        <f t="shared" si="7"/>
        <v>0.22448641761300364</v>
      </c>
    </row>
    <row r="14" spans="1:28" x14ac:dyDescent="0.25">
      <c r="A14" s="36">
        <f>A13+Application!$B$44</f>
        <v>12</v>
      </c>
      <c r="B14" s="36">
        <f t="shared" si="0"/>
        <v>104.4</v>
      </c>
      <c r="C14" s="36">
        <f>C13+Application!$B$15*(A14-A13)</f>
        <v>66.720000000000013</v>
      </c>
      <c r="D14" s="36">
        <f>IF(C14&gt;Application!$B$16,Application!$B$16,C14)</f>
        <v>29</v>
      </c>
      <c r="E14" s="37">
        <f t="shared" si="8"/>
        <v>0</v>
      </c>
      <c r="F14" s="36">
        <f t="shared" si="9"/>
        <v>122.72648275862069</v>
      </c>
      <c r="G14" s="36">
        <v>0</v>
      </c>
      <c r="H14" s="36">
        <v>0</v>
      </c>
      <c r="I14" s="36">
        <f>Application!$B$2*Application!$B$3*SIN(H14)</f>
        <v>0</v>
      </c>
      <c r="J14" s="36">
        <f>Application!$B$2*Application!$B$3*Application!$B$7*COS(H14)</f>
        <v>62.28369</v>
      </c>
      <c r="K14" s="36">
        <f>0.5*Application!$B$5*Application!$B$6*Application!$B$4*D14^2</f>
        <v>1273.7113199999999</v>
      </c>
      <c r="L14" s="36">
        <f>Application!$B$2*E14</f>
        <v>0</v>
      </c>
      <c r="M14" s="36">
        <f t="shared" si="1"/>
        <v>1335.9950099999999</v>
      </c>
      <c r="N14" s="36">
        <f>M14*Application!$B$9</f>
        <v>574.47785429999999</v>
      </c>
      <c r="O14" s="36">
        <f>D14*60/2/PI()/Application!$B$9</f>
        <v>644.02232786022762</v>
      </c>
      <c r="P14" s="36">
        <f>Application!$B$18*Application!$B$19</f>
        <v>16.5</v>
      </c>
      <c r="Q14" s="36">
        <f>N14/P14/Application!$B$17/Application!$B$10</f>
        <v>18.324652449760766</v>
      </c>
      <c r="R14" s="36">
        <f t="shared" si="2"/>
        <v>10626.368409693756</v>
      </c>
      <c r="S14" s="38">
        <f t="shared" si="3"/>
        <v>20.391502784210527</v>
      </c>
      <c r="T14" s="38">
        <f>S14*Application!$B$17</f>
        <v>40.783005568421054</v>
      </c>
      <c r="U14" s="38">
        <v>600</v>
      </c>
      <c r="V14" s="38">
        <f t="shared" si="4"/>
        <v>67.971675947368425</v>
      </c>
      <c r="W14" s="38">
        <f t="shared" si="5"/>
        <v>67.971675947368425</v>
      </c>
      <c r="X14" s="38">
        <f>W14*Application!$B$44/3600</f>
        <v>1.888102109649123E-2</v>
      </c>
      <c r="Y14" s="38">
        <f>SUM($X$2:X14)</f>
        <v>0.39302505045149727</v>
      </c>
      <c r="Z14" s="36">
        <f>Application!$B$21*1000/Application!$B$20</f>
        <v>166.66666666666666</v>
      </c>
      <c r="AA14" s="36">
        <f t="shared" si="6"/>
        <v>99.764184969729115</v>
      </c>
      <c r="AB14" s="38">
        <f t="shared" si="7"/>
        <v>0.2358150302708984</v>
      </c>
    </row>
    <row r="15" spans="1:28" x14ac:dyDescent="0.25">
      <c r="A15" s="36">
        <f>A14+Application!$B$44</f>
        <v>13</v>
      </c>
      <c r="B15" s="36">
        <f t="shared" si="0"/>
        <v>104.4</v>
      </c>
      <c r="C15" s="36">
        <f>C14+Application!$B$15*(A15-A14)</f>
        <v>72.280000000000015</v>
      </c>
      <c r="D15" s="36">
        <f>IF(C15&gt;Application!$B$16,Application!$B$16,C15)</f>
        <v>29</v>
      </c>
      <c r="E15" s="37">
        <f t="shared" si="8"/>
        <v>0</v>
      </c>
      <c r="F15" s="36">
        <f t="shared" si="9"/>
        <v>122.72648275862069</v>
      </c>
      <c r="G15" s="36">
        <v>0</v>
      </c>
      <c r="H15" s="36">
        <v>0</v>
      </c>
      <c r="I15" s="36">
        <f>Application!$B$2*Application!$B$3*SIN(H15)</f>
        <v>0</v>
      </c>
      <c r="J15" s="36">
        <f>Application!$B$2*Application!$B$3*Application!$B$7*COS(H15)</f>
        <v>62.28369</v>
      </c>
      <c r="K15" s="36">
        <f>0.5*Application!$B$5*Application!$B$6*Application!$B$4*D15^2</f>
        <v>1273.7113199999999</v>
      </c>
      <c r="L15" s="36">
        <f>Application!$B$2*E15</f>
        <v>0</v>
      </c>
      <c r="M15" s="36">
        <f t="shared" si="1"/>
        <v>1335.9950099999999</v>
      </c>
      <c r="N15" s="36">
        <f>M15*Application!$B$9</f>
        <v>574.47785429999999</v>
      </c>
      <c r="O15" s="36">
        <f>D15*60/2/PI()/Application!$B$9</f>
        <v>644.02232786022762</v>
      </c>
      <c r="P15" s="36">
        <f>Application!$B$18*Application!$B$19</f>
        <v>16.5</v>
      </c>
      <c r="Q15" s="36">
        <f>N15/P15/Application!$B$17/Application!$B$10</f>
        <v>18.324652449760766</v>
      </c>
      <c r="R15" s="36">
        <f t="shared" si="2"/>
        <v>10626.368409693756</v>
      </c>
      <c r="S15" s="38">
        <f t="shared" si="3"/>
        <v>20.391502784210527</v>
      </c>
      <c r="T15" s="38">
        <f>S15*Application!$B$17</f>
        <v>40.783005568421054</v>
      </c>
      <c r="U15" s="38">
        <v>600</v>
      </c>
      <c r="V15" s="38">
        <f t="shared" si="4"/>
        <v>67.971675947368425</v>
      </c>
      <c r="W15" s="38">
        <f t="shared" si="5"/>
        <v>67.971675947368425</v>
      </c>
      <c r="X15" s="38">
        <f>W15*Application!$B$44/3600</f>
        <v>1.888102109649123E-2</v>
      </c>
      <c r="Y15" s="38">
        <f>SUM($X$2:X15)</f>
        <v>0.41190607154798853</v>
      </c>
      <c r="Z15" s="36">
        <f>Application!$B$21*1000/Application!$B$20</f>
        <v>166.66666666666666</v>
      </c>
      <c r="AA15" s="36">
        <f t="shared" si="6"/>
        <v>99.752856357071209</v>
      </c>
      <c r="AB15" s="38">
        <f t="shared" si="7"/>
        <v>0.24714364292879315</v>
      </c>
    </row>
    <row r="16" spans="1:28" x14ac:dyDescent="0.25">
      <c r="A16" s="36">
        <f>A15+Application!$B$44</f>
        <v>14</v>
      </c>
      <c r="B16" s="36">
        <f t="shared" si="0"/>
        <v>104.4</v>
      </c>
      <c r="C16" s="36">
        <f>C15+Application!$B$15*(A16-A15)</f>
        <v>77.840000000000018</v>
      </c>
      <c r="D16" s="36">
        <f>IF(C16&gt;Application!$B$16,Application!$B$16,C16)</f>
        <v>29</v>
      </c>
      <c r="E16" s="37">
        <f t="shared" si="8"/>
        <v>0</v>
      </c>
      <c r="F16" s="36">
        <f t="shared" si="9"/>
        <v>122.72648275862069</v>
      </c>
      <c r="G16" s="36">
        <v>0</v>
      </c>
      <c r="H16" s="36">
        <v>0</v>
      </c>
      <c r="I16" s="36">
        <f>Application!$B$2*Application!$B$3*SIN(H16)</f>
        <v>0</v>
      </c>
      <c r="J16" s="36">
        <f>Application!$B$2*Application!$B$3*Application!$B$7*COS(H16)</f>
        <v>62.28369</v>
      </c>
      <c r="K16" s="36">
        <f>0.5*Application!$B$5*Application!$B$6*Application!$B$4*D16^2</f>
        <v>1273.7113199999999</v>
      </c>
      <c r="L16" s="36">
        <f>Application!$B$2*E16</f>
        <v>0</v>
      </c>
      <c r="M16" s="36">
        <f t="shared" si="1"/>
        <v>1335.9950099999999</v>
      </c>
      <c r="N16" s="36">
        <f>M16*Application!$B$9</f>
        <v>574.47785429999999</v>
      </c>
      <c r="O16" s="36">
        <f>D16*60/2/PI()/Application!$B$9</f>
        <v>644.02232786022762</v>
      </c>
      <c r="P16" s="36">
        <f>Application!$B$18*Application!$B$19</f>
        <v>16.5</v>
      </c>
      <c r="Q16" s="36">
        <f>N16/P16/Application!$B$17/Application!$B$10</f>
        <v>18.324652449760766</v>
      </c>
      <c r="R16" s="36">
        <f t="shared" si="2"/>
        <v>10626.368409693756</v>
      </c>
      <c r="S16" s="38">
        <f t="shared" si="3"/>
        <v>20.391502784210527</v>
      </c>
      <c r="T16" s="38">
        <f>S16*Application!$B$17</f>
        <v>40.783005568421054</v>
      </c>
      <c r="U16" s="38">
        <v>600</v>
      </c>
      <c r="V16" s="38">
        <f t="shared" si="4"/>
        <v>67.971675947368425</v>
      </c>
      <c r="W16" s="38">
        <f t="shared" si="5"/>
        <v>67.971675947368425</v>
      </c>
      <c r="X16" s="38">
        <f>W16*Application!$B$44/3600</f>
        <v>1.888102109649123E-2</v>
      </c>
      <c r="Y16" s="38">
        <f>SUM($X$2:X16)</f>
        <v>0.43078709264447979</v>
      </c>
      <c r="Z16" s="36">
        <f>Application!$B$21*1000/Application!$B$20</f>
        <v>166.66666666666666</v>
      </c>
      <c r="AA16" s="36">
        <f t="shared" si="6"/>
        <v>99.74152774441329</v>
      </c>
      <c r="AB16" s="38">
        <f t="shared" si="7"/>
        <v>0.2584722555866879</v>
      </c>
    </row>
    <row r="17" spans="1:28" x14ac:dyDescent="0.25">
      <c r="A17" s="36">
        <f>A16+Application!$B$44</f>
        <v>15</v>
      </c>
      <c r="B17" s="36">
        <f t="shared" si="0"/>
        <v>104.4</v>
      </c>
      <c r="C17" s="36">
        <f>C16+Application!$B$15*(A17-A16)</f>
        <v>83.40000000000002</v>
      </c>
      <c r="D17" s="36">
        <f>IF(C17&gt;Application!$B$16,Application!$B$16,C17)</f>
        <v>29</v>
      </c>
      <c r="E17" s="37">
        <f t="shared" si="8"/>
        <v>0</v>
      </c>
      <c r="F17" s="36">
        <f t="shared" si="9"/>
        <v>122.72648275862069</v>
      </c>
      <c r="G17" s="36">
        <v>0</v>
      </c>
      <c r="H17" s="36">
        <v>0</v>
      </c>
      <c r="I17" s="36">
        <f>Application!$B$2*Application!$B$3*SIN(H17)</f>
        <v>0</v>
      </c>
      <c r="J17" s="36">
        <f>Application!$B$2*Application!$B$3*Application!$B$7*COS(H17)</f>
        <v>62.28369</v>
      </c>
      <c r="K17" s="36">
        <f>0.5*Application!$B$5*Application!$B$6*Application!$B$4*D17^2</f>
        <v>1273.7113199999999</v>
      </c>
      <c r="L17" s="36">
        <f>Application!$B$2*E17</f>
        <v>0</v>
      </c>
      <c r="M17" s="36">
        <f t="shared" si="1"/>
        <v>1335.9950099999999</v>
      </c>
      <c r="N17" s="36">
        <f>M17*Application!$B$9</f>
        <v>574.47785429999999</v>
      </c>
      <c r="O17" s="36">
        <f>D17*60/2/PI()/Application!$B$9</f>
        <v>644.02232786022762</v>
      </c>
      <c r="P17" s="36">
        <f>Application!$B$18*Application!$B$19</f>
        <v>16.5</v>
      </c>
      <c r="Q17" s="36">
        <f>N17/P17/Application!$B$17/Application!$B$10</f>
        <v>18.324652449760766</v>
      </c>
      <c r="R17" s="36">
        <f t="shared" si="2"/>
        <v>10626.368409693756</v>
      </c>
      <c r="S17" s="38">
        <f t="shared" si="3"/>
        <v>20.391502784210527</v>
      </c>
      <c r="T17" s="38">
        <f>S17*Application!$B$17</f>
        <v>40.783005568421054</v>
      </c>
      <c r="U17" s="38">
        <v>600</v>
      </c>
      <c r="V17" s="38">
        <f t="shared" si="4"/>
        <v>67.971675947368425</v>
      </c>
      <c r="W17" s="38">
        <f t="shared" si="5"/>
        <v>67.971675947368425</v>
      </c>
      <c r="X17" s="38">
        <f>W17*Application!$B$44/3600</f>
        <v>1.888102109649123E-2</v>
      </c>
      <c r="Y17" s="38">
        <f>SUM($X$2:X17)</f>
        <v>0.44966811374097104</v>
      </c>
      <c r="Z17" s="36">
        <f>Application!$B$21*1000/Application!$B$20</f>
        <v>166.66666666666666</v>
      </c>
      <c r="AA17" s="36">
        <f t="shared" si="6"/>
        <v>99.730199131755413</v>
      </c>
      <c r="AB17" s="38">
        <f t="shared" si="7"/>
        <v>0.26980086824458266</v>
      </c>
    </row>
    <row r="18" spans="1:28" x14ac:dyDescent="0.25">
      <c r="A18" s="36">
        <f>A17+Application!$B$44</f>
        <v>16</v>
      </c>
      <c r="B18" s="36">
        <f t="shared" si="0"/>
        <v>104.4</v>
      </c>
      <c r="C18" s="36">
        <f>C17+Application!$B$15*(A18-A17)</f>
        <v>88.960000000000022</v>
      </c>
      <c r="D18" s="36">
        <f>IF(C18&gt;Application!$B$16,Application!$B$16,C18)</f>
        <v>29</v>
      </c>
      <c r="E18" s="37">
        <f t="shared" si="8"/>
        <v>0</v>
      </c>
      <c r="F18" s="36">
        <f t="shared" si="9"/>
        <v>122.72648275862069</v>
      </c>
      <c r="G18" s="36">
        <v>0</v>
      </c>
      <c r="H18" s="36">
        <v>0</v>
      </c>
      <c r="I18" s="36">
        <f>Application!$B$2*Application!$B$3*SIN(H18)</f>
        <v>0</v>
      </c>
      <c r="J18" s="36">
        <f>Application!$B$2*Application!$B$3*Application!$B$7*COS(H18)</f>
        <v>62.28369</v>
      </c>
      <c r="K18" s="36">
        <f>0.5*Application!$B$5*Application!$B$6*Application!$B$4*D18^2</f>
        <v>1273.7113199999999</v>
      </c>
      <c r="L18" s="36">
        <f>Application!$B$2*E18</f>
        <v>0</v>
      </c>
      <c r="M18" s="36">
        <f t="shared" si="1"/>
        <v>1335.9950099999999</v>
      </c>
      <c r="N18" s="36">
        <f>M18*Application!$B$9</f>
        <v>574.47785429999999</v>
      </c>
      <c r="O18" s="36">
        <f>D18*60/2/PI()/Application!$B$9</f>
        <v>644.02232786022762</v>
      </c>
      <c r="P18" s="36">
        <f>Application!$B$18*Application!$B$19</f>
        <v>16.5</v>
      </c>
      <c r="Q18" s="36">
        <f>N18/P18/Application!$B$17/Application!$B$10</f>
        <v>18.324652449760766</v>
      </c>
      <c r="R18" s="36">
        <f t="shared" si="2"/>
        <v>10626.368409693756</v>
      </c>
      <c r="S18" s="38">
        <f t="shared" si="3"/>
        <v>20.391502784210527</v>
      </c>
      <c r="T18" s="38">
        <f>S18*Application!$B$17</f>
        <v>40.783005568421054</v>
      </c>
      <c r="U18" s="38">
        <v>600</v>
      </c>
      <c r="V18" s="38">
        <f t="shared" si="4"/>
        <v>67.971675947368425</v>
      </c>
      <c r="W18" s="38">
        <f t="shared" si="5"/>
        <v>67.971675947368425</v>
      </c>
      <c r="X18" s="38">
        <f>W18*Application!$B$44/3600</f>
        <v>1.888102109649123E-2</v>
      </c>
      <c r="Y18" s="38">
        <f>SUM($X$2:X18)</f>
        <v>0.4685491348374623</v>
      </c>
      <c r="Z18" s="36">
        <f>Application!$B$21*1000/Application!$B$20</f>
        <v>166.66666666666666</v>
      </c>
      <c r="AA18" s="36">
        <f t="shared" si="6"/>
        <v>99.718870519097521</v>
      </c>
      <c r="AB18" s="38">
        <f t="shared" si="7"/>
        <v>0.28112948090247741</v>
      </c>
    </row>
    <row r="19" spans="1:28" x14ac:dyDescent="0.25">
      <c r="A19" s="36">
        <f>A18+Application!$B$44</f>
        <v>17</v>
      </c>
      <c r="B19" s="36">
        <f t="shared" si="0"/>
        <v>104.4</v>
      </c>
      <c r="C19" s="36">
        <f>C18+Application!$B$15*(A19-A18)</f>
        <v>94.520000000000024</v>
      </c>
      <c r="D19" s="36">
        <f>IF(C19&gt;Application!$B$16,Application!$B$16,C19)</f>
        <v>29</v>
      </c>
      <c r="E19" s="37">
        <f t="shared" si="8"/>
        <v>0</v>
      </c>
      <c r="F19" s="36">
        <f t="shared" si="9"/>
        <v>122.72648275862069</v>
      </c>
      <c r="G19" s="36">
        <v>0</v>
      </c>
      <c r="H19" s="36">
        <v>0</v>
      </c>
      <c r="I19" s="36">
        <f>Application!$B$2*Application!$B$3*SIN(H19)</f>
        <v>0</v>
      </c>
      <c r="J19" s="36">
        <f>Application!$B$2*Application!$B$3*Application!$B$7*COS(H19)</f>
        <v>62.28369</v>
      </c>
      <c r="K19" s="36">
        <f>0.5*Application!$B$5*Application!$B$6*Application!$B$4*D19^2</f>
        <v>1273.7113199999999</v>
      </c>
      <c r="L19" s="36">
        <f>Application!$B$2*E19</f>
        <v>0</v>
      </c>
      <c r="M19" s="36">
        <f t="shared" si="1"/>
        <v>1335.9950099999999</v>
      </c>
      <c r="N19" s="36">
        <f>M19*Application!$B$9</f>
        <v>574.47785429999999</v>
      </c>
      <c r="O19" s="36">
        <f>D19*60/2/PI()/Application!$B$9</f>
        <v>644.02232786022762</v>
      </c>
      <c r="P19" s="36">
        <f>Application!$B$18*Application!$B$19</f>
        <v>16.5</v>
      </c>
      <c r="Q19" s="36">
        <f>N19/P19/Application!$B$17/Application!$B$10</f>
        <v>18.324652449760766</v>
      </c>
      <c r="R19" s="36">
        <f t="shared" si="2"/>
        <v>10626.368409693756</v>
      </c>
      <c r="S19" s="38">
        <f t="shared" si="3"/>
        <v>20.391502784210527</v>
      </c>
      <c r="T19" s="38">
        <f>S19*Application!$B$17</f>
        <v>40.783005568421054</v>
      </c>
      <c r="U19" s="38">
        <v>600</v>
      </c>
      <c r="V19" s="38">
        <f t="shared" si="4"/>
        <v>67.971675947368425</v>
      </c>
      <c r="W19" s="38">
        <f t="shared" si="5"/>
        <v>67.971675947368425</v>
      </c>
      <c r="X19" s="38">
        <f>W19*Application!$B$44/3600</f>
        <v>1.888102109649123E-2</v>
      </c>
      <c r="Y19" s="38">
        <f>SUM($X$2:X19)</f>
        <v>0.48743015593395356</v>
      </c>
      <c r="Z19" s="36">
        <f>Application!$B$21*1000/Application!$B$20</f>
        <v>166.66666666666666</v>
      </c>
      <c r="AA19" s="36">
        <f t="shared" si="6"/>
        <v>99.70754190643963</v>
      </c>
      <c r="AB19" s="38">
        <f t="shared" si="7"/>
        <v>0.29245809356037217</v>
      </c>
    </row>
    <row r="20" spans="1:28" x14ac:dyDescent="0.25">
      <c r="A20" s="36">
        <f>A19+Application!$B$44</f>
        <v>18</v>
      </c>
      <c r="B20" s="36">
        <f t="shared" si="0"/>
        <v>104.4</v>
      </c>
      <c r="C20" s="36">
        <f>C19+Application!$B$15*(A20-A19)</f>
        <v>100.08000000000003</v>
      </c>
      <c r="D20" s="36">
        <f>IF(C20&gt;Application!$B$16,Application!$B$16,C20)</f>
        <v>29</v>
      </c>
      <c r="E20" s="37">
        <f t="shared" si="8"/>
        <v>0</v>
      </c>
      <c r="F20" s="36">
        <f t="shared" si="9"/>
        <v>122.72648275862069</v>
      </c>
      <c r="G20" s="36">
        <v>0</v>
      </c>
      <c r="H20" s="36">
        <v>0</v>
      </c>
      <c r="I20" s="36">
        <f>Application!$B$2*Application!$B$3*SIN(H20)</f>
        <v>0</v>
      </c>
      <c r="J20" s="36">
        <f>Application!$B$2*Application!$B$3*Application!$B$7*COS(H20)</f>
        <v>62.28369</v>
      </c>
      <c r="K20" s="36">
        <f>0.5*Application!$B$5*Application!$B$6*Application!$B$4*D20^2</f>
        <v>1273.7113199999999</v>
      </c>
      <c r="L20" s="36">
        <f>Application!$B$2*E20</f>
        <v>0</v>
      </c>
      <c r="M20" s="36">
        <f t="shared" si="1"/>
        <v>1335.9950099999999</v>
      </c>
      <c r="N20" s="36">
        <f>M20*Application!$B$9</f>
        <v>574.47785429999999</v>
      </c>
      <c r="O20" s="36">
        <f>D20*60/2/PI()/Application!$B$9</f>
        <v>644.02232786022762</v>
      </c>
      <c r="P20" s="36">
        <f>Application!$B$18*Application!$B$19</f>
        <v>16.5</v>
      </c>
      <c r="Q20" s="36">
        <f>N20/P20/Application!$B$17/Application!$B$10</f>
        <v>18.324652449760766</v>
      </c>
      <c r="R20" s="36">
        <f t="shared" si="2"/>
        <v>10626.368409693756</v>
      </c>
      <c r="S20" s="38">
        <f t="shared" si="3"/>
        <v>20.391502784210527</v>
      </c>
      <c r="T20" s="38">
        <f>S20*Application!$B$17</f>
        <v>40.783005568421054</v>
      </c>
      <c r="U20" s="38">
        <v>600</v>
      </c>
      <c r="V20" s="38">
        <f t="shared" si="4"/>
        <v>67.971675947368425</v>
      </c>
      <c r="W20" s="38">
        <f t="shared" si="5"/>
        <v>67.971675947368425</v>
      </c>
      <c r="X20" s="38">
        <f>W20*Application!$B$44/3600</f>
        <v>1.888102109649123E-2</v>
      </c>
      <c r="Y20" s="38">
        <f>SUM($X$2:X20)</f>
        <v>0.50631117703044481</v>
      </c>
      <c r="Z20" s="36">
        <f>Application!$B$21*1000/Application!$B$20</f>
        <v>166.66666666666666</v>
      </c>
      <c r="AA20" s="36">
        <f t="shared" si="6"/>
        <v>99.696213293781724</v>
      </c>
      <c r="AB20" s="38">
        <f t="shared" si="7"/>
        <v>0.30378670621826692</v>
      </c>
    </row>
    <row r="21" spans="1:28" x14ac:dyDescent="0.25">
      <c r="A21" s="36">
        <f>A20+Application!$B$44</f>
        <v>19</v>
      </c>
      <c r="B21" s="36">
        <f t="shared" si="0"/>
        <v>104.4</v>
      </c>
      <c r="C21" s="36">
        <f>C20+Application!$B$15*(A21-A20)</f>
        <v>105.64000000000003</v>
      </c>
      <c r="D21" s="36">
        <f>IF(C21&gt;Application!$B$16,Application!$B$16,C21)</f>
        <v>29</v>
      </c>
      <c r="E21" s="37">
        <f t="shared" si="8"/>
        <v>0</v>
      </c>
      <c r="F21" s="36">
        <f t="shared" si="9"/>
        <v>122.72648275862069</v>
      </c>
      <c r="G21" s="36">
        <v>0</v>
      </c>
      <c r="H21" s="36">
        <v>0</v>
      </c>
      <c r="I21" s="36">
        <f>Application!$B$2*Application!$B$3*SIN(H21)</f>
        <v>0</v>
      </c>
      <c r="J21" s="36">
        <f>Application!$B$2*Application!$B$3*Application!$B$7*COS(H21)</f>
        <v>62.28369</v>
      </c>
      <c r="K21" s="36">
        <f>0.5*Application!$B$5*Application!$B$6*Application!$B$4*D21^2</f>
        <v>1273.7113199999999</v>
      </c>
      <c r="L21" s="36">
        <f>Application!$B$2*E21</f>
        <v>0</v>
      </c>
      <c r="M21" s="36">
        <f t="shared" si="1"/>
        <v>1335.9950099999999</v>
      </c>
      <c r="N21" s="36">
        <f>M21*Application!$B$9</f>
        <v>574.47785429999999</v>
      </c>
      <c r="O21" s="36">
        <f>D21*60/2/PI()/Application!$B$9</f>
        <v>644.02232786022762</v>
      </c>
      <c r="P21" s="36">
        <f>Application!$B$18*Application!$B$19</f>
        <v>16.5</v>
      </c>
      <c r="Q21" s="36">
        <f>N21/P21/Application!$B$17/Application!$B$10</f>
        <v>18.324652449760766</v>
      </c>
      <c r="R21" s="36">
        <f t="shared" si="2"/>
        <v>10626.368409693756</v>
      </c>
      <c r="S21" s="38">
        <f t="shared" si="3"/>
        <v>20.391502784210527</v>
      </c>
      <c r="T21" s="38">
        <f>S21*Application!$B$17</f>
        <v>40.783005568421054</v>
      </c>
      <c r="U21" s="38">
        <v>600</v>
      </c>
      <c r="V21" s="38">
        <f t="shared" si="4"/>
        <v>67.971675947368425</v>
      </c>
      <c r="W21" s="38">
        <f t="shared" si="5"/>
        <v>67.971675947368425</v>
      </c>
      <c r="X21" s="38">
        <f>W21*Application!$B$44/3600</f>
        <v>1.888102109649123E-2</v>
      </c>
      <c r="Y21" s="38">
        <f>SUM($X$2:X21)</f>
        <v>0.52519219812693607</v>
      </c>
      <c r="Z21" s="36">
        <f>Application!$B$21*1000/Application!$B$20</f>
        <v>166.66666666666666</v>
      </c>
      <c r="AA21" s="36">
        <f t="shared" si="6"/>
        <v>99.684884681123833</v>
      </c>
      <c r="AB21" s="38">
        <f t="shared" si="7"/>
        <v>0.31511531887616168</v>
      </c>
    </row>
    <row r="22" spans="1:28" x14ac:dyDescent="0.25">
      <c r="A22" s="36">
        <f>A21+Application!$B$44</f>
        <v>20</v>
      </c>
      <c r="B22" s="36">
        <f t="shared" si="0"/>
        <v>104.4</v>
      </c>
      <c r="C22" s="36">
        <f>C21+Application!$B$15*(A22-A21)</f>
        <v>111.20000000000003</v>
      </c>
      <c r="D22" s="36">
        <f>IF(C22&gt;Application!$B$16,Application!$B$16,C22)</f>
        <v>29</v>
      </c>
      <c r="E22" s="37">
        <f t="shared" si="8"/>
        <v>0</v>
      </c>
      <c r="F22" s="36">
        <f t="shared" si="9"/>
        <v>122.72648275862069</v>
      </c>
      <c r="G22" s="36">
        <v>0</v>
      </c>
      <c r="H22" s="36">
        <v>0</v>
      </c>
      <c r="I22" s="36">
        <f>Application!$B$2*Application!$B$3*SIN(H22)</f>
        <v>0</v>
      </c>
      <c r="J22" s="36">
        <f>Application!$B$2*Application!$B$3*Application!$B$7*COS(H22)</f>
        <v>62.28369</v>
      </c>
      <c r="K22" s="36">
        <f>0.5*Application!$B$5*Application!$B$6*Application!$B$4*D22^2</f>
        <v>1273.7113199999999</v>
      </c>
      <c r="L22" s="36">
        <f>Application!$B$2*E22</f>
        <v>0</v>
      </c>
      <c r="M22" s="36">
        <f t="shared" si="1"/>
        <v>1335.9950099999999</v>
      </c>
      <c r="N22" s="36">
        <f>M22*Application!$B$9</f>
        <v>574.47785429999999</v>
      </c>
      <c r="O22" s="36">
        <f>D22*60/2/PI()/Application!$B$9</f>
        <v>644.02232786022762</v>
      </c>
      <c r="P22" s="36">
        <f>Application!$B$18*Application!$B$19</f>
        <v>16.5</v>
      </c>
      <c r="Q22" s="36">
        <f>N22/P22/Application!$B$17/Application!$B$10</f>
        <v>18.324652449760766</v>
      </c>
      <c r="R22" s="36">
        <f t="shared" si="2"/>
        <v>10626.368409693756</v>
      </c>
      <c r="S22" s="38">
        <f t="shared" si="3"/>
        <v>20.391502784210527</v>
      </c>
      <c r="T22" s="38">
        <f>S22*Application!$B$17</f>
        <v>40.783005568421054</v>
      </c>
      <c r="U22" s="38">
        <v>600</v>
      </c>
      <c r="V22" s="38">
        <f t="shared" si="4"/>
        <v>67.971675947368425</v>
      </c>
      <c r="W22" s="38">
        <f t="shared" si="5"/>
        <v>67.971675947368425</v>
      </c>
      <c r="X22" s="38">
        <f>W22*Application!$B$44/3600</f>
        <v>1.888102109649123E-2</v>
      </c>
      <c r="Y22" s="38">
        <f>SUM($X$2:X22)</f>
        <v>0.54407321922342733</v>
      </c>
      <c r="Z22" s="36">
        <f>Application!$B$21*1000/Application!$B$20</f>
        <v>166.66666666666666</v>
      </c>
      <c r="AA22" s="36">
        <f t="shared" si="6"/>
        <v>99.673556068465928</v>
      </c>
      <c r="AB22" s="38">
        <f t="shared" si="7"/>
        <v>0.32644393153405643</v>
      </c>
    </row>
    <row r="23" spans="1:28" x14ac:dyDescent="0.25">
      <c r="A23" s="36">
        <f>A22+Application!$B$44</f>
        <v>21</v>
      </c>
      <c r="B23" s="36">
        <f t="shared" si="0"/>
        <v>104.4</v>
      </c>
      <c r="C23" s="36">
        <f>C22+Application!$B$15*(A23-A22)</f>
        <v>116.76000000000003</v>
      </c>
      <c r="D23" s="36">
        <f>IF(C23&gt;Application!$B$16,Application!$B$16,C23)</f>
        <v>29</v>
      </c>
      <c r="E23" s="37">
        <f t="shared" si="8"/>
        <v>0</v>
      </c>
      <c r="F23" s="36">
        <f t="shared" si="9"/>
        <v>122.72648275862069</v>
      </c>
      <c r="G23" s="36">
        <v>0</v>
      </c>
      <c r="H23" s="36">
        <v>0</v>
      </c>
      <c r="I23" s="36">
        <f>Application!$B$2*Application!$B$3*SIN(H23)</f>
        <v>0</v>
      </c>
      <c r="J23" s="36">
        <f>Application!$B$2*Application!$B$3*Application!$B$7*COS(H23)</f>
        <v>62.28369</v>
      </c>
      <c r="K23" s="36">
        <f>0.5*Application!$B$5*Application!$B$6*Application!$B$4*D23^2</f>
        <v>1273.7113199999999</v>
      </c>
      <c r="L23" s="36">
        <f>Application!$B$2*E23</f>
        <v>0</v>
      </c>
      <c r="M23" s="36">
        <f t="shared" si="1"/>
        <v>1335.9950099999999</v>
      </c>
      <c r="N23" s="36">
        <f>M23*Application!$B$9</f>
        <v>574.47785429999999</v>
      </c>
      <c r="O23" s="36">
        <f>D23*60/2/PI()/Application!$B$9</f>
        <v>644.02232786022762</v>
      </c>
      <c r="P23" s="36">
        <f>Application!$B$18*Application!$B$19</f>
        <v>16.5</v>
      </c>
      <c r="Q23" s="36">
        <f>N23/P23/Application!$B$17/Application!$B$10</f>
        <v>18.324652449760766</v>
      </c>
      <c r="R23" s="36">
        <f t="shared" si="2"/>
        <v>10626.368409693756</v>
      </c>
      <c r="S23" s="38">
        <f t="shared" si="3"/>
        <v>20.391502784210527</v>
      </c>
      <c r="T23" s="38">
        <f>S23*Application!$B$17</f>
        <v>40.783005568421054</v>
      </c>
      <c r="U23" s="38">
        <v>600</v>
      </c>
      <c r="V23" s="38">
        <f t="shared" si="4"/>
        <v>67.971675947368425</v>
      </c>
      <c r="W23" s="38">
        <f t="shared" si="5"/>
        <v>67.971675947368425</v>
      </c>
      <c r="X23" s="38">
        <f>W23*Application!$B$44/3600</f>
        <v>1.888102109649123E-2</v>
      </c>
      <c r="Y23" s="38">
        <f>SUM($X$2:X23)</f>
        <v>0.56295424031991859</v>
      </c>
      <c r="Z23" s="36">
        <f>Application!$B$21*1000/Application!$B$20</f>
        <v>166.66666666666666</v>
      </c>
      <c r="AA23" s="36">
        <f t="shared" si="6"/>
        <v>99.662227455808036</v>
      </c>
      <c r="AB23" s="38">
        <f t="shared" si="7"/>
        <v>0.33777254419195119</v>
      </c>
    </row>
    <row r="24" spans="1:28" x14ac:dyDescent="0.25">
      <c r="A24" s="36">
        <f>A23+Application!$B$44</f>
        <v>22</v>
      </c>
      <c r="B24" s="36">
        <f t="shared" si="0"/>
        <v>104.4</v>
      </c>
      <c r="C24" s="36">
        <f>C23+Application!$B$15*(A24-A23)</f>
        <v>122.32000000000004</v>
      </c>
      <c r="D24" s="36">
        <f>IF(C24&gt;Application!$B$16,Application!$B$16,C24)</f>
        <v>29</v>
      </c>
      <c r="E24" s="37">
        <f t="shared" si="8"/>
        <v>0</v>
      </c>
      <c r="F24" s="36">
        <f t="shared" si="9"/>
        <v>122.72648275862069</v>
      </c>
      <c r="G24" s="36">
        <v>0</v>
      </c>
      <c r="H24" s="36">
        <v>0</v>
      </c>
      <c r="I24" s="36">
        <f>Application!$B$2*Application!$B$3*SIN(H24)</f>
        <v>0</v>
      </c>
      <c r="J24" s="36">
        <f>Application!$B$2*Application!$B$3*Application!$B$7*COS(H24)</f>
        <v>62.28369</v>
      </c>
      <c r="K24" s="36">
        <f>0.5*Application!$B$5*Application!$B$6*Application!$B$4*D24^2</f>
        <v>1273.7113199999999</v>
      </c>
      <c r="L24" s="36">
        <f>Application!$B$2*E24</f>
        <v>0</v>
      </c>
      <c r="M24" s="36">
        <f t="shared" si="1"/>
        <v>1335.9950099999999</v>
      </c>
      <c r="N24" s="36">
        <f>M24*Application!$B$9</f>
        <v>574.47785429999999</v>
      </c>
      <c r="O24" s="36">
        <f>D24*60/2/PI()/Application!$B$9</f>
        <v>644.02232786022762</v>
      </c>
      <c r="P24" s="36">
        <f>Application!$B$18*Application!$B$19</f>
        <v>16.5</v>
      </c>
      <c r="Q24" s="36">
        <f>N24/P24/Application!$B$17/Application!$B$10</f>
        <v>18.324652449760766</v>
      </c>
      <c r="R24" s="36">
        <f t="shared" si="2"/>
        <v>10626.368409693756</v>
      </c>
      <c r="S24" s="38">
        <f t="shared" si="3"/>
        <v>20.391502784210527</v>
      </c>
      <c r="T24" s="38">
        <f>S24*Application!$B$17</f>
        <v>40.783005568421054</v>
      </c>
      <c r="U24" s="38">
        <v>600</v>
      </c>
      <c r="V24" s="38">
        <f t="shared" si="4"/>
        <v>67.971675947368425</v>
      </c>
      <c r="W24" s="38">
        <f t="shared" si="5"/>
        <v>67.971675947368425</v>
      </c>
      <c r="X24" s="38">
        <f>W24*Application!$B$44/3600</f>
        <v>1.888102109649123E-2</v>
      </c>
      <c r="Y24" s="38">
        <f>SUM($X$2:X24)</f>
        <v>0.58183526141640984</v>
      </c>
      <c r="Z24" s="36">
        <f>Application!$B$21*1000/Application!$B$20</f>
        <v>166.66666666666666</v>
      </c>
      <c r="AA24" s="36">
        <f t="shared" si="6"/>
        <v>99.650898843150145</v>
      </c>
      <c r="AB24" s="38">
        <f t="shared" si="7"/>
        <v>0.34910115684984594</v>
      </c>
    </row>
    <row r="25" spans="1:28" x14ac:dyDescent="0.25">
      <c r="A25" s="36">
        <f>A24+Application!$B$44</f>
        <v>23</v>
      </c>
      <c r="B25" s="36">
        <f t="shared" si="0"/>
        <v>104.4</v>
      </c>
      <c r="C25" s="36">
        <f>C24+Application!$B$15*(A25-A24)</f>
        <v>127.88000000000004</v>
      </c>
      <c r="D25" s="36">
        <f>IF(C25&gt;Application!$B$16,Application!$B$16,C25)</f>
        <v>29</v>
      </c>
      <c r="E25" s="37">
        <f t="shared" si="8"/>
        <v>0</v>
      </c>
      <c r="F25" s="36">
        <f t="shared" si="9"/>
        <v>122.72648275862069</v>
      </c>
      <c r="G25" s="36">
        <v>0</v>
      </c>
      <c r="H25" s="36">
        <v>0</v>
      </c>
      <c r="I25" s="36">
        <f>Application!$B$2*Application!$B$3*SIN(H25)</f>
        <v>0</v>
      </c>
      <c r="J25" s="36">
        <f>Application!$B$2*Application!$B$3*Application!$B$7*COS(H25)</f>
        <v>62.28369</v>
      </c>
      <c r="K25" s="36">
        <f>0.5*Application!$B$5*Application!$B$6*Application!$B$4*D25^2</f>
        <v>1273.7113199999999</v>
      </c>
      <c r="L25" s="36">
        <f>Application!$B$2*E25</f>
        <v>0</v>
      </c>
      <c r="M25" s="36">
        <f t="shared" si="1"/>
        <v>1335.9950099999999</v>
      </c>
      <c r="N25" s="36">
        <f>M25*Application!$B$9</f>
        <v>574.47785429999999</v>
      </c>
      <c r="O25" s="36">
        <f>D25*60/2/PI()/Application!$B$9</f>
        <v>644.02232786022762</v>
      </c>
      <c r="P25" s="36">
        <f>Application!$B$18*Application!$B$19</f>
        <v>16.5</v>
      </c>
      <c r="Q25" s="36">
        <f>N25/P25/Application!$B$17/Application!$B$10</f>
        <v>18.324652449760766</v>
      </c>
      <c r="R25" s="36">
        <f t="shared" si="2"/>
        <v>10626.368409693756</v>
      </c>
      <c r="S25" s="38">
        <f t="shared" si="3"/>
        <v>20.391502784210527</v>
      </c>
      <c r="T25" s="38">
        <f>S25*Application!$B$17</f>
        <v>40.783005568421054</v>
      </c>
      <c r="U25" s="38">
        <v>600</v>
      </c>
      <c r="V25" s="38">
        <f t="shared" si="4"/>
        <v>67.971675947368425</v>
      </c>
      <c r="W25" s="38">
        <f t="shared" si="5"/>
        <v>67.971675947368425</v>
      </c>
      <c r="X25" s="38">
        <f>W25*Application!$B$44/3600</f>
        <v>1.888102109649123E-2</v>
      </c>
      <c r="Y25" s="38">
        <f>SUM($X$2:X25)</f>
        <v>0.6007162825129011</v>
      </c>
      <c r="Z25" s="36">
        <f>Application!$B$21*1000/Application!$B$20</f>
        <v>166.66666666666666</v>
      </c>
      <c r="AA25" s="36">
        <f t="shared" si="6"/>
        <v>99.639570230492268</v>
      </c>
      <c r="AB25" s="38">
        <f t="shared" si="7"/>
        <v>0.36042976950774064</v>
      </c>
    </row>
    <row r="26" spans="1:28" x14ac:dyDescent="0.25">
      <c r="A26" s="36">
        <f>A25+Application!$B$44</f>
        <v>24</v>
      </c>
      <c r="B26" s="36">
        <f t="shared" si="0"/>
        <v>104.4</v>
      </c>
      <c r="C26" s="36">
        <f>C25+Application!$B$15*(A26-A25)</f>
        <v>133.44000000000003</v>
      </c>
      <c r="D26" s="36">
        <f>IF(C26&gt;Application!$B$16,Application!$B$16,C26)</f>
        <v>29</v>
      </c>
      <c r="E26" s="37">
        <f t="shared" si="8"/>
        <v>0</v>
      </c>
      <c r="F26" s="36">
        <f t="shared" si="9"/>
        <v>122.72648275862069</v>
      </c>
      <c r="G26" s="36">
        <v>0</v>
      </c>
      <c r="H26" s="36">
        <v>0</v>
      </c>
      <c r="I26" s="36">
        <f>Application!$B$2*Application!$B$3*SIN(H26)</f>
        <v>0</v>
      </c>
      <c r="J26" s="36">
        <f>Application!$B$2*Application!$B$3*Application!$B$7*COS(H26)</f>
        <v>62.28369</v>
      </c>
      <c r="K26" s="36">
        <f>0.5*Application!$B$5*Application!$B$6*Application!$B$4*D26^2</f>
        <v>1273.7113199999999</v>
      </c>
      <c r="L26" s="36">
        <f>Application!$B$2*E26</f>
        <v>0</v>
      </c>
      <c r="M26" s="36">
        <f t="shared" si="1"/>
        <v>1335.9950099999999</v>
      </c>
      <c r="N26" s="36">
        <f>M26*Application!$B$9</f>
        <v>574.47785429999999</v>
      </c>
      <c r="O26" s="36">
        <f>D26*60/2/PI()/Application!$B$9</f>
        <v>644.02232786022762</v>
      </c>
      <c r="P26" s="36">
        <f>Application!$B$18*Application!$B$19</f>
        <v>16.5</v>
      </c>
      <c r="Q26" s="36">
        <f>N26/P26/Application!$B$17/Application!$B$10</f>
        <v>18.324652449760766</v>
      </c>
      <c r="R26" s="36">
        <f t="shared" si="2"/>
        <v>10626.368409693756</v>
      </c>
      <c r="S26" s="38">
        <f t="shared" si="3"/>
        <v>20.391502784210527</v>
      </c>
      <c r="T26" s="38">
        <f>S26*Application!$B$17</f>
        <v>40.783005568421054</v>
      </c>
      <c r="U26" s="38">
        <v>600</v>
      </c>
      <c r="V26" s="38">
        <f t="shared" si="4"/>
        <v>67.971675947368425</v>
      </c>
      <c r="W26" s="38">
        <f t="shared" si="5"/>
        <v>67.971675947368425</v>
      </c>
      <c r="X26" s="38">
        <f>W26*Application!$B$44/3600</f>
        <v>1.888102109649123E-2</v>
      </c>
      <c r="Y26" s="38">
        <f>SUM($X$2:X26)</f>
        <v>0.61959730360939236</v>
      </c>
      <c r="Z26" s="36">
        <f>Application!$B$21*1000/Application!$B$20</f>
        <v>166.66666666666666</v>
      </c>
      <c r="AA26" s="36">
        <f t="shared" si="6"/>
        <v>99.628241617834362</v>
      </c>
      <c r="AB26" s="38">
        <f t="shared" si="7"/>
        <v>0.37175838216563539</v>
      </c>
    </row>
    <row r="27" spans="1:28" x14ac:dyDescent="0.25">
      <c r="A27" s="36">
        <f>A26+Application!$B$44</f>
        <v>25</v>
      </c>
      <c r="B27" s="36">
        <f t="shared" si="0"/>
        <v>104.4</v>
      </c>
      <c r="C27" s="36">
        <f>C26+Application!$B$15*(A27-A26)</f>
        <v>139.00000000000003</v>
      </c>
      <c r="D27" s="36">
        <f>IF(C27&gt;Application!$B$16,Application!$B$16,C27)</f>
        <v>29</v>
      </c>
      <c r="E27" s="37">
        <f t="shared" si="8"/>
        <v>0</v>
      </c>
      <c r="F27" s="36">
        <f t="shared" si="9"/>
        <v>122.72648275862069</v>
      </c>
      <c r="G27" s="36">
        <v>0</v>
      </c>
      <c r="H27" s="36">
        <v>0</v>
      </c>
      <c r="I27" s="36">
        <f>Application!$B$2*Application!$B$3*SIN(H27)</f>
        <v>0</v>
      </c>
      <c r="J27" s="36">
        <f>Application!$B$2*Application!$B$3*Application!$B$7*COS(H27)</f>
        <v>62.28369</v>
      </c>
      <c r="K27" s="36">
        <f>0.5*Application!$B$5*Application!$B$6*Application!$B$4*D27^2</f>
        <v>1273.7113199999999</v>
      </c>
      <c r="L27" s="36">
        <f>Application!$B$2*E27</f>
        <v>0</v>
      </c>
      <c r="M27" s="36">
        <f t="shared" si="1"/>
        <v>1335.9950099999999</v>
      </c>
      <c r="N27" s="36">
        <f>M27*Application!$B$9</f>
        <v>574.47785429999999</v>
      </c>
      <c r="O27" s="36">
        <f>D27*60/2/PI()/Application!$B$9</f>
        <v>644.02232786022762</v>
      </c>
      <c r="P27" s="36">
        <f>Application!$B$18*Application!$B$19</f>
        <v>16.5</v>
      </c>
      <c r="Q27" s="36">
        <f>N27/P27/Application!$B$17/Application!$B$10</f>
        <v>18.324652449760766</v>
      </c>
      <c r="R27" s="36">
        <f t="shared" si="2"/>
        <v>10626.368409693756</v>
      </c>
      <c r="S27" s="38">
        <f t="shared" si="3"/>
        <v>20.391502784210527</v>
      </c>
      <c r="T27" s="38">
        <f>S27*Application!$B$17</f>
        <v>40.783005568421054</v>
      </c>
      <c r="U27" s="38">
        <v>600</v>
      </c>
      <c r="V27" s="38">
        <f t="shared" si="4"/>
        <v>67.971675947368425</v>
      </c>
      <c r="W27" s="38">
        <f t="shared" si="5"/>
        <v>67.971675947368425</v>
      </c>
      <c r="X27" s="38">
        <f>W27*Application!$B$44/3600</f>
        <v>1.888102109649123E-2</v>
      </c>
      <c r="Y27" s="38">
        <f>SUM($X$2:X27)</f>
        <v>0.63847832470588362</v>
      </c>
      <c r="Z27" s="36">
        <f>Application!$B$21*1000/Application!$B$20</f>
        <v>166.66666666666666</v>
      </c>
      <c r="AA27" s="36">
        <f t="shared" si="6"/>
        <v>99.616913005176471</v>
      </c>
      <c r="AB27" s="38">
        <f t="shared" si="7"/>
        <v>0.38308699482353015</v>
      </c>
    </row>
    <row r="28" spans="1:28" x14ac:dyDescent="0.25">
      <c r="A28" s="36">
        <f>A27+Application!$B$44</f>
        <v>26</v>
      </c>
      <c r="B28" s="36">
        <f t="shared" si="0"/>
        <v>104.4</v>
      </c>
      <c r="C28" s="36">
        <f>C27+Application!$B$15*(A28-A27)</f>
        <v>144.56000000000003</v>
      </c>
      <c r="D28" s="36">
        <f>IF(C28&gt;Application!$B$16,Application!$B$16,C28)</f>
        <v>29</v>
      </c>
      <c r="E28" s="37">
        <f t="shared" si="8"/>
        <v>0</v>
      </c>
      <c r="F28" s="36">
        <f t="shared" si="9"/>
        <v>122.72648275862069</v>
      </c>
      <c r="G28" s="36">
        <v>0</v>
      </c>
      <c r="H28" s="36">
        <v>0</v>
      </c>
      <c r="I28" s="36">
        <f>Application!$B$2*Application!$B$3*SIN(H28)</f>
        <v>0</v>
      </c>
      <c r="J28" s="36">
        <f>Application!$B$2*Application!$B$3*Application!$B$7*COS(H28)</f>
        <v>62.28369</v>
      </c>
      <c r="K28" s="36">
        <f>0.5*Application!$B$5*Application!$B$6*Application!$B$4*D28^2</f>
        <v>1273.7113199999999</v>
      </c>
      <c r="L28" s="36">
        <f>Application!$B$2*E28</f>
        <v>0</v>
      </c>
      <c r="M28" s="36">
        <f t="shared" si="1"/>
        <v>1335.9950099999999</v>
      </c>
      <c r="N28" s="36">
        <f>M28*Application!$B$9</f>
        <v>574.47785429999999</v>
      </c>
      <c r="O28" s="36">
        <f>D28*60/2/PI()/Application!$B$9</f>
        <v>644.02232786022762</v>
      </c>
      <c r="P28" s="36">
        <f>Application!$B$18*Application!$B$19</f>
        <v>16.5</v>
      </c>
      <c r="Q28" s="36">
        <f>N28/P28/Application!$B$17/Application!$B$10</f>
        <v>18.324652449760766</v>
      </c>
      <c r="R28" s="36">
        <f t="shared" si="2"/>
        <v>10626.368409693756</v>
      </c>
      <c r="S28" s="38">
        <f t="shared" si="3"/>
        <v>20.391502784210527</v>
      </c>
      <c r="T28" s="38">
        <f>S28*Application!$B$17</f>
        <v>40.783005568421054</v>
      </c>
      <c r="U28" s="38">
        <v>600</v>
      </c>
      <c r="V28" s="38">
        <f t="shared" si="4"/>
        <v>67.971675947368425</v>
      </c>
      <c r="W28" s="38">
        <f t="shared" si="5"/>
        <v>67.971675947368425</v>
      </c>
      <c r="X28" s="38">
        <f>W28*Application!$B$44/3600</f>
        <v>1.888102109649123E-2</v>
      </c>
      <c r="Y28" s="38">
        <f>SUM($X$2:X28)</f>
        <v>0.65735934580237487</v>
      </c>
      <c r="Z28" s="36">
        <f>Application!$B$21*1000/Application!$B$20</f>
        <v>166.66666666666666</v>
      </c>
      <c r="AA28" s="36">
        <f t="shared" si="6"/>
        <v>99.60558439251858</v>
      </c>
      <c r="AB28" s="38">
        <f t="shared" si="7"/>
        <v>0.3944156074814249</v>
      </c>
    </row>
    <row r="29" spans="1:28" x14ac:dyDescent="0.25">
      <c r="A29" s="36">
        <f>A28+Application!$B$44</f>
        <v>27</v>
      </c>
      <c r="B29" s="36">
        <f t="shared" si="0"/>
        <v>104.4</v>
      </c>
      <c r="C29" s="36">
        <f>C28+Application!$B$15*(A29-A28)</f>
        <v>150.12000000000003</v>
      </c>
      <c r="D29" s="36">
        <f>IF(C29&gt;Application!$B$16,Application!$B$16,C29)</f>
        <v>29</v>
      </c>
      <c r="E29" s="37">
        <f t="shared" si="8"/>
        <v>0</v>
      </c>
      <c r="F29" s="36">
        <f t="shared" si="9"/>
        <v>122.72648275862069</v>
      </c>
      <c r="G29" s="36">
        <v>0</v>
      </c>
      <c r="H29" s="36">
        <v>0</v>
      </c>
      <c r="I29" s="36">
        <f>Application!$B$2*Application!$B$3*SIN(H29)</f>
        <v>0</v>
      </c>
      <c r="J29" s="36">
        <f>Application!$B$2*Application!$B$3*Application!$B$7*COS(H29)</f>
        <v>62.28369</v>
      </c>
      <c r="K29" s="36">
        <f>0.5*Application!$B$5*Application!$B$6*Application!$B$4*D29^2</f>
        <v>1273.7113199999999</v>
      </c>
      <c r="L29" s="36">
        <f>Application!$B$2*E29</f>
        <v>0</v>
      </c>
      <c r="M29" s="36">
        <f t="shared" si="1"/>
        <v>1335.9950099999999</v>
      </c>
      <c r="N29" s="36">
        <f>M29*Application!$B$9</f>
        <v>574.47785429999999</v>
      </c>
      <c r="O29" s="36">
        <f>D29*60/2/PI()/Application!$B$9</f>
        <v>644.02232786022762</v>
      </c>
      <c r="P29" s="36">
        <f>Application!$B$18*Application!$B$19</f>
        <v>16.5</v>
      </c>
      <c r="Q29" s="36">
        <f>N29/P29/Application!$B$17/Application!$B$10</f>
        <v>18.324652449760766</v>
      </c>
      <c r="R29" s="36">
        <f t="shared" si="2"/>
        <v>10626.368409693756</v>
      </c>
      <c r="S29" s="38">
        <f t="shared" si="3"/>
        <v>20.391502784210527</v>
      </c>
      <c r="T29" s="38">
        <f>S29*Application!$B$17</f>
        <v>40.783005568421054</v>
      </c>
      <c r="U29" s="38">
        <v>600</v>
      </c>
      <c r="V29" s="38">
        <f t="shared" si="4"/>
        <v>67.971675947368425</v>
      </c>
      <c r="W29" s="38">
        <f t="shared" si="5"/>
        <v>67.971675947368425</v>
      </c>
      <c r="X29" s="38">
        <f>W29*Application!$B$44/3600</f>
        <v>1.888102109649123E-2</v>
      </c>
      <c r="Y29" s="38">
        <f>SUM($X$2:X29)</f>
        <v>0.67624036689886613</v>
      </c>
      <c r="Z29" s="36">
        <f>Application!$B$21*1000/Application!$B$20</f>
        <v>166.66666666666666</v>
      </c>
      <c r="AA29" s="36">
        <f t="shared" si="6"/>
        <v>99.594255779860674</v>
      </c>
      <c r="AB29" s="38">
        <f t="shared" si="7"/>
        <v>0.40574422013931966</v>
      </c>
    </row>
    <row r="30" spans="1:28" x14ac:dyDescent="0.25">
      <c r="A30" s="36">
        <f>A29+Application!$B$44</f>
        <v>28</v>
      </c>
      <c r="B30" s="36">
        <f t="shared" si="0"/>
        <v>104.4</v>
      </c>
      <c r="C30" s="36">
        <f>C29+Application!$B$15*(A30-A29)</f>
        <v>155.68000000000004</v>
      </c>
      <c r="D30" s="36">
        <f>IF(C30&gt;Application!$B$16,Application!$B$16,C30)</f>
        <v>29</v>
      </c>
      <c r="E30" s="37">
        <f t="shared" si="8"/>
        <v>0</v>
      </c>
      <c r="F30" s="36">
        <f t="shared" si="9"/>
        <v>122.72648275862069</v>
      </c>
      <c r="G30" s="36">
        <v>0</v>
      </c>
      <c r="H30" s="36">
        <v>0</v>
      </c>
      <c r="I30" s="36">
        <f>Application!$B$2*Application!$B$3*SIN(H30)</f>
        <v>0</v>
      </c>
      <c r="J30" s="36">
        <f>Application!$B$2*Application!$B$3*Application!$B$7*COS(H30)</f>
        <v>62.28369</v>
      </c>
      <c r="K30" s="36">
        <f>0.5*Application!$B$5*Application!$B$6*Application!$B$4*D30^2</f>
        <v>1273.7113199999999</v>
      </c>
      <c r="L30" s="36">
        <f>Application!$B$2*E30</f>
        <v>0</v>
      </c>
      <c r="M30" s="36">
        <f t="shared" si="1"/>
        <v>1335.9950099999999</v>
      </c>
      <c r="N30" s="36">
        <f>M30*Application!$B$9</f>
        <v>574.47785429999999</v>
      </c>
      <c r="O30" s="36">
        <f>D30*60/2/PI()/Application!$B$9</f>
        <v>644.02232786022762</v>
      </c>
      <c r="P30" s="36">
        <f>Application!$B$18*Application!$B$19</f>
        <v>16.5</v>
      </c>
      <c r="Q30" s="36">
        <f>N30/P30/Application!$B$17/Application!$B$10</f>
        <v>18.324652449760766</v>
      </c>
      <c r="R30" s="36">
        <f t="shared" si="2"/>
        <v>10626.368409693756</v>
      </c>
      <c r="S30" s="38">
        <f t="shared" si="3"/>
        <v>20.391502784210527</v>
      </c>
      <c r="T30" s="38">
        <f>S30*Application!$B$17</f>
        <v>40.783005568421054</v>
      </c>
      <c r="U30" s="38">
        <v>600</v>
      </c>
      <c r="V30" s="38">
        <f t="shared" si="4"/>
        <v>67.971675947368425</v>
      </c>
      <c r="W30" s="38">
        <f t="shared" si="5"/>
        <v>67.971675947368425</v>
      </c>
      <c r="X30" s="38">
        <f>W30*Application!$B$44/3600</f>
        <v>1.888102109649123E-2</v>
      </c>
      <c r="Y30" s="38">
        <f>SUM($X$2:X30)</f>
        <v>0.69512138799535739</v>
      </c>
      <c r="Z30" s="36">
        <f>Application!$B$21*1000/Application!$B$20</f>
        <v>166.66666666666666</v>
      </c>
      <c r="AA30" s="36">
        <f t="shared" si="6"/>
        <v>99.582927167202783</v>
      </c>
      <c r="AB30" s="38">
        <f t="shared" si="7"/>
        <v>0.41707283279721441</v>
      </c>
    </row>
    <row r="31" spans="1:28" x14ac:dyDescent="0.25">
      <c r="A31" s="36">
        <f>A30+Application!$B$44</f>
        <v>29</v>
      </c>
      <c r="B31" s="36">
        <f t="shared" si="0"/>
        <v>104.4</v>
      </c>
      <c r="C31" s="36">
        <f>C30+Application!$B$15*(A31-A30)</f>
        <v>161.24000000000004</v>
      </c>
      <c r="D31" s="36">
        <f>IF(C31&gt;Application!$B$16,Application!$B$16,C31)</f>
        <v>29</v>
      </c>
      <c r="E31" s="37">
        <f t="shared" si="8"/>
        <v>0</v>
      </c>
      <c r="F31" s="36">
        <f t="shared" si="9"/>
        <v>122.72648275862069</v>
      </c>
      <c r="G31" s="36">
        <v>0</v>
      </c>
      <c r="H31" s="36">
        <v>0</v>
      </c>
      <c r="I31" s="36">
        <f>Application!$B$2*Application!$B$3*SIN(H31)</f>
        <v>0</v>
      </c>
      <c r="J31" s="36">
        <f>Application!$B$2*Application!$B$3*Application!$B$7*COS(H31)</f>
        <v>62.28369</v>
      </c>
      <c r="K31" s="36">
        <f>0.5*Application!$B$5*Application!$B$6*Application!$B$4*D31^2</f>
        <v>1273.7113199999999</v>
      </c>
      <c r="L31" s="36">
        <f>Application!$B$2*E31</f>
        <v>0</v>
      </c>
      <c r="M31" s="36">
        <f t="shared" si="1"/>
        <v>1335.9950099999999</v>
      </c>
      <c r="N31" s="36">
        <f>M31*Application!$B$9</f>
        <v>574.47785429999999</v>
      </c>
      <c r="O31" s="36">
        <f>D31*60/2/PI()/Application!$B$9</f>
        <v>644.02232786022762</v>
      </c>
      <c r="P31" s="36">
        <f>Application!$B$18*Application!$B$19</f>
        <v>16.5</v>
      </c>
      <c r="Q31" s="36">
        <f>N31/P31/Application!$B$17/Application!$B$10</f>
        <v>18.324652449760766</v>
      </c>
      <c r="R31" s="36">
        <f t="shared" si="2"/>
        <v>10626.368409693756</v>
      </c>
      <c r="S31" s="38">
        <f t="shared" si="3"/>
        <v>20.391502784210527</v>
      </c>
      <c r="T31" s="38">
        <f>S31*Application!$B$17</f>
        <v>40.783005568421054</v>
      </c>
      <c r="U31" s="38">
        <v>600</v>
      </c>
      <c r="V31" s="38">
        <f t="shared" si="4"/>
        <v>67.971675947368425</v>
      </c>
      <c r="W31" s="38">
        <f t="shared" si="5"/>
        <v>67.971675947368425</v>
      </c>
      <c r="X31" s="38">
        <f>W31*Application!$B$44/3600</f>
        <v>1.888102109649123E-2</v>
      </c>
      <c r="Y31" s="38">
        <f>SUM($X$2:X31)</f>
        <v>0.71400240909184864</v>
      </c>
      <c r="Z31" s="36">
        <f>Application!$B$21*1000/Application!$B$20</f>
        <v>166.66666666666666</v>
      </c>
      <c r="AA31" s="36">
        <f t="shared" si="6"/>
        <v>99.571598554544877</v>
      </c>
      <c r="AB31" s="38">
        <f t="shared" si="7"/>
        <v>0.42840144545510916</v>
      </c>
    </row>
    <row r="32" spans="1:28" x14ac:dyDescent="0.25">
      <c r="A32" s="36">
        <f>A31+Application!$B$44</f>
        <v>30</v>
      </c>
      <c r="B32" s="36">
        <f t="shared" si="0"/>
        <v>104.4</v>
      </c>
      <c r="C32" s="36">
        <f>C31+Application!$B$15*(A32-A31)</f>
        <v>166.80000000000004</v>
      </c>
      <c r="D32" s="36">
        <f>IF(C32&gt;Application!$B$16,Application!$B$16,C32)</f>
        <v>29</v>
      </c>
      <c r="E32" s="37">
        <f t="shared" si="8"/>
        <v>0</v>
      </c>
      <c r="F32" s="36">
        <f t="shared" si="9"/>
        <v>122.72648275862069</v>
      </c>
      <c r="G32" s="36">
        <v>0</v>
      </c>
      <c r="H32" s="36">
        <v>0</v>
      </c>
      <c r="I32" s="36">
        <f>Application!$B$2*Application!$B$3*SIN(H32)</f>
        <v>0</v>
      </c>
      <c r="J32" s="36">
        <f>Application!$B$2*Application!$B$3*Application!$B$7*COS(H32)</f>
        <v>62.28369</v>
      </c>
      <c r="K32" s="36">
        <f>0.5*Application!$B$5*Application!$B$6*Application!$B$4*D32^2</f>
        <v>1273.7113199999999</v>
      </c>
      <c r="L32" s="36">
        <f>Application!$B$2*E32</f>
        <v>0</v>
      </c>
      <c r="M32" s="36">
        <f t="shared" si="1"/>
        <v>1335.9950099999999</v>
      </c>
      <c r="N32" s="36">
        <f>M32*Application!$B$9</f>
        <v>574.47785429999999</v>
      </c>
      <c r="O32" s="36">
        <f>D32*60/2/PI()/Application!$B$9</f>
        <v>644.02232786022762</v>
      </c>
      <c r="P32" s="36">
        <f>Application!$B$18*Application!$B$19</f>
        <v>16.5</v>
      </c>
      <c r="Q32" s="36">
        <f>N32/P32/Application!$B$17/Application!$B$10</f>
        <v>18.324652449760766</v>
      </c>
      <c r="R32" s="36">
        <f t="shared" si="2"/>
        <v>10626.368409693756</v>
      </c>
      <c r="S32" s="38">
        <f t="shared" si="3"/>
        <v>20.391502784210527</v>
      </c>
      <c r="T32" s="38">
        <f>S32*Application!$B$17</f>
        <v>40.783005568421054</v>
      </c>
      <c r="U32" s="38">
        <v>600</v>
      </c>
      <c r="V32" s="38">
        <f t="shared" si="4"/>
        <v>67.971675947368425</v>
      </c>
      <c r="W32" s="38">
        <f t="shared" si="5"/>
        <v>67.971675947368425</v>
      </c>
      <c r="X32" s="38">
        <f>W32*Application!$B$44/3600</f>
        <v>1.888102109649123E-2</v>
      </c>
      <c r="Y32" s="38">
        <f>SUM($X$2:X32)</f>
        <v>0.7328834301883399</v>
      </c>
      <c r="Z32" s="36">
        <f>Application!$B$21*1000/Application!$B$20</f>
        <v>166.66666666666666</v>
      </c>
      <c r="AA32" s="36">
        <f t="shared" si="6"/>
        <v>99.560269941886986</v>
      </c>
      <c r="AB32" s="38">
        <f t="shared" si="7"/>
        <v>0.43973005811300392</v>
      </c>
    </row>
    <row r="33" spans="1:28" x14ac:dyDescent="0.25">
      <c r="A33" s="36">
        <f>A32+Application!$B$44</f>
        <v>31</v>
      </c>
      <c r="B33" s="36">
        <f t="shared" si="0"/>
        <v>104.4</v>
      </c>
      <c r="C33" s="36">
        <f>C32+Application!$B$15*(A33-A32)</f>
        <v>172.36000000000004</v>
      </c>
      <c r="D33" s="36">
        <f>IF(C33&gt;Application!$B$16,Application!$B$16,C33)</f>
        <v>29</v>
      </c>
      <c r="E33" s="37">
        <f t="shared" si="8"/>
        <v>0</v>
      </c>
      <c r="F33" s="36">
        <f t="shared" si="9"/>
        <v>122.72648275862069</v>
      </c>
      <c r="G33" s="36">
        <v>0</v>
      </c>
      <c r="H33" s="36">
        <v>0</v>
      </c>
      <c r="I33" s="36">
        <f>Application!$B$2*Application!$B$3*SIN(H33)</f>
        <v>0</v>
      </c>
      <c r="J33" s="36">
        <f>Application!$B$2*Application!$B$3*Application!$B$7*COS(H33)</f>
        <v>62.28369</v>
      </c>
      <c r="K33" s="36">
        <f>0.5*Application!$B$5*Application!$B$6*Application!$B$4*D33^2</f>
        <v>1273.7113199999999</v>
      </c>
      <c r="L33" s="36">
        <f>Application!$B$2*E33</f>
        <v>0</v>
      </c>
      <c r="M33" s="36">
        <f t="shared" si="1"/>
        <v>1335.9950099999999</v>
      </c>
      <c r="N33" s="36">
        <f>M33*Application!$B$9</f>
        <v>574.47785429999999</v>
      </c>
      <c r="O33" s="36">
        <f>D33*60/2/PI()/Application!$B$9</f>
        <v>644.02232786022762</v>
      </c>
      <c r="P33" s="36">
        <f>Application!$B$18*Application!$B$19</f>
        <v>16.5</v>
      </c>
      <c r="Q33" s="36">
        <f>N33/P33/Application!$B$17/Application!$B$10</f>
        <v>18.324652449760766</v>
      </c>
      <c r="R33" s="36">
        <f t="shared" si="2"/>
        <v>10626.368409693756</v>
      </c>
      <c r="S33" s="38">
        <f t="shared" si="3"/>
        <v>20.391502784210527</v>
      </c>
      <c r="T33" s="38">
        <f>S33*Application!$B$17</f>
        <v>40.783005568421054</v>
      </c>
      <c r="U33" s="38">
        <v>600</v>
      </c>
      <c r="V33" s="38">
        <f t="shared" si="4"/>
        <v>67.971675947368425</v>
      </c>
      <c r="W33" s="38">
        <f t="shared" si="5"/>
        <v>67.971675947368425</v>
      </c>
      <c r="X33" s="38">
        <f>W33*Application!$B$44/3600</f>
        <v>1.888102109649123E-2</v>
      </c>
      <c r="Y33" s="38">
        <f>SUM($X$2:X33)</f>
        <v>0.75176445128483116</v>
      </c>
      <c r="Z33" s="36">
        <f>Application!$B$21*1000/Application!$B$20</f>
        <v>166.66666666666666</v>
      </c>
      <c r="AA33" s="36">
        <f t="shared" si="6"/>
        <v>99.548941329229109</v>
      </c>
      <c r="AB33" s="38">
        <f t="shared" si="7"/>
        <v>0.45105867077089867</v>
      </c>
    </row>
    <row r="34" spans="1:28" x14ac:dyDescent="0.25">
      <c r="A34" s="36">
        <f>A33+Application!$B$44</f>
        <v>32</v>
      </c>
      <c r="B34" s="36">
        <f t="shared" ref="B34:B54" si="10">3600*D34/1000</f>
        <v>104.4</v>
      </c>
      <c r="C34" s="36">
        <f>C33+Application!$B$15*(A34-A33)</f>
        <v>177.92000000000004</v>
      </c>
      <c r="D34" s="36">
        <f>IF(C34&gt;Application!$B$16,Application!$B$16,C34)</f>
        <v>29</v>
      </c>
      <c r="E34" s="37">
        <f t="shared" si="8"/>
        <v>0</v>
      </c>
      <c r="F34" s="36">
        <f t="shared" si="9"/>
        <v>122.72648275862069</v>
      </c>
      <c r="G34" s="36">
        <v>0</v>
      </c>
      <c r="H34" s="36">
        <v>0</v>
      </c>
      <c r="I34" s="36">
        <f>Application!$B$2*Application!$B$3*SIN(H34)</f>
        <v>0</v>
      </c>
      <c r="J34" s="36">
        <f>Application!$B$2*Application!$B$3*Application!$B$7*COS(H34)</f>
        <v>62.28369</v>
      </c>
      <c r="K34" s="36">
        <f>0.5*Application!$B$5*Application!$B$6*Application!$B$4*D34^2</f>
        <v>1273.7113199999999</v>
      </c>
      <c r="L34" s="36">
        <f>Application!$B$2*E34</f>
        <v>0</v>
      </c>
      <c r="M34" s="36">
        <f t="shared" ref="M34:M54" si="11">SUM(I34,J34,K34,L34)</f>
        <v>1335.9950099999999</v>
      </c>
      <c r="N34" s="36">
        <f>M34*Application!$B$9</f>
        <v>574.47785429999999</v>
      </c>
      <c r="O34" s="36">
        <f>D34*60/2/PI()/Application!$B$9</f>
        <v>644.02232786022762</v>
      </c>
      <c r="P34" s="36">
        <f>Application!$B$18*Application!$B$19</f>
        <v>16.5</v>
      </c>
      <c r="Q34" s="36">
        <f>N34/P34/Application!$B$17/Application!$B$10</f>
        <v>18.324652449760766</v>
      </c>
      <c r="R34" s="36">
        <f t="shared" ref="R34:R54" si="12">O34*P34</f>
        <v>10626.368409693756</v>
      </c>
      <c r="S34" s="38">
        <f t="shared" ref="S34:S54" si="13">Q34*R34*2*PI()/60/1000</f>
        <v>20.391502784210527</v>
      </c>
      <c r="T34" s="38">
        <f>S34*Application!$B$17</f>
        <v>40.783005568421054</v>
      </c>
      <c r="U34" s="38">
        <v>600</v>
      </c>
      <c r="V34" s="38">
        <f t="shared" ref="V34:V54" si="14">1000*T34/U34</f>
        <v>67.971675947368425</v>
      </c>
      <c r="W34" s="38">
        <f>AVERAGE(V34:V55)</f>
        <v>18.252153576477216</v>
      </c>
      <c r="X34" s="38">
        <f>W34*Application!$B$44/3600</f>
        <v>5.07004266013256E-3</v>
      </c>
      <c r="Y34" s="38">
        <f>SUM($X$2:X34)</f>
        <v>0.75683449394496372</v>
      </c>
      <c r="Z34" s="36">
        <f>Application!$B$21*1000/Application!$B$20</f>
        <v>166.66666666666666</v>
      </c>
      <c r="AA34" s="36">
        <f t="shared" ref="AA34:AA54" si="15">100*(Z34-Y34)/Z34</f>
        <v>99.545899303633021</v>
      </c>
      <c r="AB34" s="38">
        <f t="shared" ref="AB34:AB54" si="16">100*Y34/Z34</f>
        <v>0.45410069636697831</v>
      </c>
    </row>
    <row r="35" spans="1:28" x14ac:dyDescent="0.25">
      <c r="A35" s="33">
        <f>A55+Application!$B$44</f>
        <v>34</v>
      </c>
      <c r="B35" s="33">
        <f t="shared" si="10"/>
        <v>1.44</v>
      </c>
      <c r="C35" s="33">
        <f>C55+Application!$B$14*(A35-A55)</f>
        <v>0.4</v>
      </c>
      <c r="D35" s="33">
        <f>IF(C35&gt;Application!$B$13,Application!$B$13,C35)</f>
        <v>0.4</v>
      </c>
      <c r="E35" s="34">
        <f>(D35-D55)/(A35-A55)</f>
        <v>0.30000000000000004</v>
      </c>
      <c r="F35" s="33">
        <f t="shared" ref="F35:F54" si="17">$F$2/D35</f>
        <v>8897.67</v>
      </c>
      <c r="G35" s="33">
        <f>Application!$B$12</f>
        <v>30</v>
      </c>
      <c r="H35" s="33">
        <f t="shared" ref="H35:H54" si="18">ATAN2(100,G35)</f>
        <v>0.2914567944778671</v>
      </c>
      <c r="I35" s="33">
        <f>Application!$B$2*Application!$B$3*SIN(H35)</f>
        <v>2556.7266609671046</v>
      </c>
      <c r="J35" s="33">
        <f>Application!$B$2*Application!$B$3*Application!$B$7*COS(H35)</f>
        <v>59.65695542256578</v>
      </c>
      <c r="K35" s="33">
        <f>0.5*Application!$B$5*Application!$B$6*Application!$B$4*D35^2</f>
        <v>0.24232320000000002</v>
      </c>
      <c r="L35" s="33">
        <f>Application!$B$2*E35</f>
        <v>272.10000000000002</v>
      </c>
      <c r="M35" s="33">
        <f t="shared" si="11"/>
        <v>2888.7259395896704</v>
      </c>
      <c r="N35" s="33">
        <f>M35*Application!$B$9</f>
        <v>1242.1521540235583</v>
      </c>
      <c r="O35" s="33">
        <f>D35*60/2/PI()/Application!$B$9</f>
        <v>8.8830665911755542</v>
      </c>
      <c r="P35" s="33">
        <f>Application!$B$18*Application!$B$19</f>
        <v>16.5</v>
      </c>
      <c r="Q35" s="33">
        <f>N35/P35/Application!$B$17/Application!$B$10</f>
        <v>39.622078278263423</v>
      </c>
      <c r="R35" s="33">
        <f>O35*P35</f>
        <v>146.57059875439666</v>
      </c>
      <c r="S35" s="35">
        <f t="shared" si="13"/>
        <v>0.60815282938729909</v>
      </c>
      <c r="T35" s="35">
        <f>S35*Application!$B$17</f>
        <v>1.2163056587745982</v>
      </c>
      <c r="U35" s="35">
        <v>600</v>
      </c>
      <c r="V35" s="35">
        <f t="shared" si="14"/>
        <v>2.0271760979576636</v>
      </c>
      <c r="W35" s="35">
        <f t="shared" ref="W35:W53" si="19">AVERAGE(V35:V36)</f>
        <v>2.7876740242707347</v>
      </c>
      <c r="X35" s="35">
        <f>W35*Application!$B$44/3600</f>
        <v>7.7435389563075964E-4</v>
      </c>
      <c r="Y35" s="35">
        <f>SUM($X$2:X35)</f>
        <v>0.75760884784059446</v>
      </c>
      <c r="Z35" s="33">
        <f>Application!$B$21*1000/Application!$B$20</f>
        <v>166.66666666666666</v>
      </c>
      <c r="AA35" s="33">
        <f t="shared" si="15"/>
        <v>99.545434691295625</v>
      </c>
      <c r="AB35" s="35">
        <f t="shared" si="16"/>
        <v>0.45456530870435669</v>
      </c>
    </row>
    <row r="36" spans="1:28" x14ac:dyDescent="0.25">
      <c r="A36" s="33">
        <f>A35+Application!$B$44</f>
        <v>35</v>
      </c>
      <c r="B36" s="33">
        <f t="shared" si="10"/>
        <v>2.52</v>
      </c>
      <c r="C36" s="33">
        <f>C35+Application!$B$14*(A36-A35)</f>
        <v>0.7</v>
      </c>
      <c r="D36" s="33">
        <f>IF(C36&gt;Application!$B$13,Application!$B$13,C36)</f>
        <v>0.7</v>
      </c>
      <c r="E36" s="34">
        <f t="shared" ref="E36:E54" si="20">(D36-D35)/(A36-A35)</f>
        <v>0.29999999999999993</v>
      </c>
      <c r="F36" s="33">
        <f t="shared" si="17"/>
        <v>5084.3828571428576</v>
      </c>
      <c r="G36" s="33">
        <f>Application!$B$12</f>
        <v>30</v>
      </c>
      <c r="H36" s="33">
        <f t="shared" si="18"/>
        <v>0.2914567944778671</v>
      </c>
      <c r="I36" s="33">
        <f>Application!$B$2*Application!$B$3*SIN(H36)</f>
        <v>2556.7266609671046</v>
      </c>
      <c r="J36" s="33">
        <f>Application!$B$2*Application!$B$3*Application!$B$7*COS(H36)</f>
        <v>59.65695542256578</v>
      </c>
      <c r="K36" s="33">
        <f>0.5*Application!$B$5*Application!$B$6*Application!$B$4*D36^2</f>
        <v>0.74211479999999985</v>
      </c>
      <c r="L36" s="33">
        <f>Application!$B$2*E36</f>
        <v>272.09999999999997</v>
      </c>
      <c r="M36" s="33">
        <f t="shared" si="11"/>
        <v>2889.2257311896701</v>
      </c>
      <c r="N36" s="33">
        <f>M36*Application!$B$9</f>
        <v>1242.3670644115582</v>
      </c>
      <c r="O36" s="33">
        <f>D36*60/2/PI()/Application!$B$9</f>
        <v>15.545366534557219</v>
      </c>
      <c r="P36" s="33">
        <f>Application!$B$18*Application!$B$19</f>
        <v>16.5</v>
      </c>
      <c r="Q36" s="33">
        <f>N36/P36/Application!$B$17/Application!$B$10</f>
        <v>39.6289334740529</v>
      </c>
      <c r="R36" s="33">
        <f t="shared" si="12"/>
        <v>256.49854782019412</v>
      </c>
      <c r="S36" s="35">
        <f t="shared" si="13"/>
        <v>1.0644515851751419</v>
      </c>
      <c r="T36" s="35">
        <f>S36*Application!$B$17</f>
        <v>2.1289031703502839</v>
      </c>
      <c r="U36" s="35">
        <v>600</v>
      </c>
      <c r="V36" s="35">
        <f t="shared" si="14"/>
        <v>3.5481719505838063</v>
      </c>
      <c r="W36" s="35">
        <f t="shared" si="19"/>
        <v>4.3091720598442453</v>
      </c>
      <c r="X36" s="35">
        <f>W36*Application!$B$44/3600</f>
        <v>1.1969922388456236E-3</v>
      </c>
      <c r="Y36" s="35">
        <f>SUM($X$2:X36)</f>
        <v>0.75880584007944007</v>
      </c>
      <c r="Z36" s="33">
        <f>Application!$B$21*1000/Application!$B$20</f>
        <v>166.66666666666666</v>
      </c>
      <c r="AA36" s="33">
        <f t="shared" si="15"/>
        <v>99.544716495952329</v>
      </c>
      <c r="AB36" s="35">
        <f t="shared" si="16"/>
        <v>0.4552835040476641</v>
      </c>
    </row>
    <row r="37" spans="1:28" x14ac:dyDescent="0.25">
      <c r="A37" s="33">
        <f>A36+Application!$B$44</f>
        <v>36</v>
      </c>
      <c r="B37" s="33">
        <f t="shared" si="10"/>
        <v>3.6</v>
      </c>
      <c r="C37" s="33">
        <f>C36+Application!$B$14*(A37-A36)</f>
        <v>1</v>
      </c>
      <c r="D37" s="33">
        <f>IF(C37&gt;Application!$B$13,Application!$B$13,C37)</f>
        <v>1</v>
      </c>
      <c r="E37" s="34">
        <f t="shared" si="20"/>
        <v>0.30000000000000004</v>
      </c>
      <c r="F37" s="33">
        <f t="shared" si="17"/>
        <v>3559.0680000000002</v>
      </c>
      <c r="G37" s="33">
        <f>Application!$B$12</f>
        <v>30</v>
      </c>
      <c r="H37" s="33">
        <f t="shared" si="18"/>
        <v>0.2914567944778671</v>
      </c>
      <c r="I37" s="33">
        <f>Application!$B$2*Application!$B$3*SIN(H37)</f>
        <v>2556.7266609671046</v>
      </c>
      <c r="J37" s="33">
        <f>Application!$B$2*Application!$B$3*Application!$B$7*COS(H37)</f>
        <v>59.65695542256578</v>
      </c>
      <c r="K37" s="33">
        <f>0.5*Application!$B$5*Application!$B$6*Application!$B$4*D37^2</f>
        <v>1.5145199999999999</v>
      </c>
      <c r="L37" s="33">
        <f>Application!$B$2*E37</f>
        <v>272.10000000000002</v>
      </c>
      <c r="M37" s="33">
        <f t="shared" si="11"/>
        <v>2889.9981363896704</v>
      </c>
      <c r="N37" s="33">
        <f>M37*Application!$B$9</f>
        <v>1242.6991986475582</v>
      </c>
      <c r="O37" s="33">
        <f>D37*60/2/PI()/Application!$B$9</f>
        <v>22.207666477938886</v>
      </c>
      <c r="P37" s="33">
        <f>Application!$B$18*Application!$B$19</f>
        <v>16.5</v>
      </c>
      <c r="Q37" s="33">
        <f>N37/P37/Application!$B$17/Application!$B$10</f>
        <v>39.639527867545716</v>
      </c>
      <c r="R37" s="33">
        <f t="shared" si="12"/>
        <v>366.42649688599164</v>
      </c>
      <c r="S37" s="35">
        <f t="shared" si="13"/>
        <v>1.5210516507314056</v>
      </c>
      <c r="T37" s="35">
        <f>S37*Application!$B$17</f>
        <v>3.0421033014628112</v>
      </c>
      <c r="U37" s="35">
        <v>600</v>
      </c>
      <c r="V37" s="35">
        <f t="shared" si="14"/>
        <v>5.0701721691046853</v>
      </c>
      <c r="W37" s="35">
        <f t="shared" si="19"/>
        <v>5.8318896825756514</v>
      </c>
      <c r="X37" s="35">
        <f>W37*Application!$B$44/3600</f>
        <v>1.6199693562710144E-3</v>
      </c>
      <c r="Y37" s="35">
        <f>SUM($X$2:X37)</f>
        <v>0.76042580943571114</v>
      </c>
      <c r="Z37" s="33">
        <f>Application!$B$21*1000/Application!$B$20</f>
        <v>166.66666666666666</v>
      </c>
      <c r="AA37" s="33">
        <f t="shared" si="15"/>
        <v>99.54374451433857</v>
      </c>
      <c r="AB37" s="35">
        <f t="shared" si="16"/>
        <v>0.45625548566142671</v>
      </c>
    </row>
    <row r="38" spans="1:28" x14ac:dyDescent="0.25">
      <c r="A38" s="33">
        <f>A37+Application!$B$44</f>
        <v>37</v>
      </c>
      <c r="B38" s="33">
        <f t="shared" si="10"/>
        <v>4.68</v>
      </c>
      <c r="C38" s="33">
        <f>C37+Application!$B$14*(A38-A37)</f>
        <v>1.3</v>
      </c>
      <c r="D38" s="33">
        <f>IF(C38&gt;Application!$B$13,Application!$B$13,C38)</f>
        <v>1.3</v>
      </c>
      <c r="E38" s="34">
        <f t="shared" si="20"/>
        <v>0.30000000000000004</v>
      </c>
      <c r="F38" s="33">
        <f t="shared" si="17"/>
        <v>2737.7446153846154</v>
      </c>
      <c r="G38" s="33">
        <f>Application!$B$12</f>
        <v>30</v>
      </c>
      <c r="H38" s="33">
        <f t="shared" si="18"/>
        <v>0.2914567944778671</v>
      </c>
      <c r="I38" s="33">
        <f>Application!$B$2*Application!$B$3*SIN(H38)</f>
        <v>2556.7266609671046</v>
      </c>
      <c r="J38" s="33">
        <f>Application!$B$2*Application!$B$3*Application!$B$7*COS(H38)</f>
        <v>59.65695542256578</v>
      </c>
      <c r="K38" s="33">
        <f>0.5*Application!$B$5*Application!$B$6*Application!$B$4*D38^2</f>
        <v>2.5595387999999999</v>
      </c>
      <c r="L38" s="33">
        <f>Application!$B$2*E38</f>
        <v>272.10000000000002</v>
      </c>
      <c r="M38" s="33">
        <f t="shared" si="11"/>
        <v>2891.0431551896704</v>
      </c>
      <c r="N38" s="33">
        <f>M38*Application!$B$9</f>
        <v>1243.1485567315583</v>
      </c>
      <c r="O38" s="33">
        <f>D38*60/2/PI()/Application!$B$9</f>
        <v>28.869966421320548</v>
      </c>
      <c r="P38" s="33">
        <f>Application!$B$18*Application!$B$19</f>
        <v>16.5</v>
      </c>
      <c r="Q38" s="33">
        <f>N38/P38/Application!$B$17/Application!$B$10</f>
        <v>39.653861458741893</v>
      </c>
      <c r="R38" s="33">
        <f t="shared" si="12"/>
        <v>476.35444595178905</v>
      </c>
      <c r="S38" s="35">
        <f t="shared" si="13"/>
        <v>1.978082158813985</v>
      </c>
      <c r="T38" s="35">
        <f>S38*Application!$B$17</f>
        <v>3.9561643176279699</v>
      </c>
      <c r="U38" s="35">
        <v>600</v>
      </c>
      <c r="V38" s="35">
        <f t="shared" si="14"/>
        <v>6.5936071960466167</v>
      </c>
      <c r="W38" s="35">
        <f t="shared" si="19"/>
        <v>7.3562573349912661</v>
      </c>
      <c r="X38" s="35">
        <f>W38*Application!$B$44/3600</f>
        <v>2.0434048152753515E-3</v>
      </c>
      <c r="Y38" s="35">
        <f>SUM($X$2:X38)</f>
        <v>0.76246921425098646</v>
      </c>
      <c r="Z38" s="33">
        <f>Application!$B$21*1000/Application!$B$20</f>
        <v>166.66666666666666</v>
      </c>
      <c r="AA38" s="33">
        <f t="shared" si="15"/>
        <v>99.542518471449412</v>
      </c>
      <c r="AB38" s="35">
        <f t="shared" si="16"/>
        <v>0.45748152855059193</v>
      </c>
    </row>
    <row r="39" spans="1:28" x14ac:dyDescent="0.25">
      <c r="A39" s="33">
        <f>A38+Application!$B$44</f>
        <v>38</v>
      </c>
      <c r="B39" s="33">
        <f t="shared" si="10"/>
        <v>5.76</v>
      </c>
      <c r="C39" s="33">
        <f>C38+Application!$B$14*(A39-A38)</f>
        <v>1.6</v>
      </c>
      <c r="D39" s="33">
        <f>IF(C39&gt;Application!$B$13,Application!$B$13,C39)</f>
        <v>1.6</v>
      </c>
      <c r="E39" s="34">
        <f t="shared" si="20"/>
        <v>0.30000000000000004</v>
      </c>
      <c r="F39" s="33">
        <f t="shared" si="17"/>
        <v>2224.4175</v>
      </c>
      <c r="G39" s="33">
        <f>Application!$B$12</f>
        <v>30</v>
      </c>
      <c r="H39" s="33">
        <f t="shared" si="18"/>
        <v>0.2914567944778671</v>
      </c>
      <c r="I39" s="33">
        <f>Application!$B$2*Application!$B$3*SIN(H39)</f>
        <v>2556.7266609671046</v>
      </c>
      <c r="J39" s="33">
        <f>Application!$B$2*Application!$B$3*Application!$B$7*COS(H39)</f>
        <v>59.65695542256578</v>
      </c>
      <c r="K39" s="33">
        <f>0.5*Application!$B$5*Application!$B$6*Application!$B$4*D39^2</f>
        <v>3.8771712000000003</v>
      </c>
      <c r="L39" s="33">
        <f>Application!$B$2*E39</f>
        <v>272.10000000000002</v>
      </c>
      <c r="M39" s="33">
        <f t="shared" si="11"/>
        <v>2892.3607875896701</v>
      </c>
      <c r="N39" s="33">
        <f>M39*Application!$B$9</f>
        <v>1243.715138663558</v>
      </c>
      <c r="O39" s="33">
        <f>D39*60/2/PI()/Application!$B$9</f>
        <v>35.532266364702217</v>
      </c>
      <c r="P39" s="33">
        <f>Application!$B$18*Application!$B$19</f>
        <v>16.5</v>
      </c>
      <c r="Q39" s="33">
        <f>N39/P39/Application!$B$17/Application!$B$10</f>
        <v>39.67193424764141</v>
      </c>
      <c r="R39" s="33">
        <f t="shared" si="12"/>
        <v>586.28239501758662</v>
      </c>
      <c r="S39" s="35">
        <f t="shared" si="13"/>
        <v>2.4356722421807748</v>
      </c>
      <c r="T39" s="35">
        <f>S39*Application!$B$17</f>
        <v>4.8713444843615497</v>
      </c>
      <c r="U39" s="35">
        <v>600</v>
      </c>
      <c r="V39" s="35">
        <f t="shared" si="14"/>
        <v>8.1189074739359164</v>
      </c>
      <c r="W39" s="35">
        <f t="shared" si="19"/>
        <v>8.8827054596174086</v>
      </c>
      <c r="X39" s="35">
        <f>W39*Application!$B$44/3600</f>
        <v>2.467418183227058E-3</v>
      </c>
      <c r="Y39" s="35">
        <f>SUM($X$2:X39)</f>
        <v>0.7649366324342135</v>
      </c>
      <c r="Z39" s="33">
        <f>Application!$B$21*1000/Application!$B$20</f>
        <v>166.66666666666666</v>
      </c>
      <c r="AA39" s="33">
        <f t="shared" si="15"/>
        <v>99.541038020539474</v>
      </c>
      <c r="AB39" s="35">
        <f t="shared" si="16"/>
        <v>0.45896197946052814</v>
      </c>
    </row>
    <row r="40" spans="1:28" x14ac:dyDescent="0.25">
      <c r="A40" s="33">
        <f>A39+Application!$B$44</f>
        <v>39</v>
      </c>
      <c r="B40" s="33">
        <f t="shared" si="10"/>
        <v>6.8400000000000007</v>
      </c>
      <c r="C40" s="33">
        <f>C39+Application!$B$14*(A40-A39)</f>
        <v>1.9000000000000001</v>
      </c>
      <c r="D40" s="33">
        <f>IF(C40&gt;Application!$B$13,Application!$B$13,C40)</f>
        <v>1.9000000000000001</v>
      </c>
      <c r="E40" s="34">
        <f t="shared" si="20"/>
        <v>0.30000000000000004</v>
      </c>
      <c r="F40" s="33">
        <f t="shared" si="17"/>
        <v>1873.1936842105263</v>
      </c>
      <c r="G40" s="33">
        <f>Application!$B$12</f>
        <v>30</v>
      </c>
      <c r="H40" s="33">
        <f t="shared" si="18"/>
        <v>0.2914567944778671</v>
      </c>
      <c r="I40" s="33">
        <f>Application!$B$2*Application!$B$3*SIN(H40)</f>
        <v>2556.7266609671046</v>
      </c>
      <c r="J40" s="33">
        <f>Application!$B$2*Application!$B$3*Application!$B$7*COS(H40)</f>
        <v>59.65695542256578</v>
      </c>
      <c r="K40" s="33">
        <f>0.5*Application!$B$5*Application!$B$6*Application!$B$4*D40^2</f>
        <v>5.4674171999999999</v>
      </c>
      <c r="L40" s="33">
        <f>Application!$B$2*E40</f>
        <v>272.10000000000002</v>
      </c>
      <c r="M40" s="33">
        <f t="shared" si="11"/>
        <v>2893.9510335896703</v>
      </c>
      <c r="N40" s="33">
        <f>M40*Application!$B$9</f>
        <v>1244.3989444435581</v>
      </c>
      <c r="O40" s="33">
        <f>D40*60/2/PI()/Application!$B$9</f>
        <v>42.194566308083886</v>
      </c>
      <c r="P40" s="33">
        <f>Application!$B$18*Application!$B$19</f>
        <v>16.5</v>
      </c>
      <c r="Q40" s="33">
        <f>N40/P40/Application!$B$17/Application!$B$10</f>
        <v>39.69374623424428</v>
      </c>
      <c r="R40" s="33">
        <f t="shared" si="12"/>
        <v>696.21034408338414</v>
      </c>
      <c r="S40" s="35">
        <f t="shared" si="13"/>
        <v>2.8939510335896705</v>
      </c>
      <c r="T40" s="35">
        <f>S40*Application!$B$17</f>
        <v>5.7879020671793411</v>
      </c>
      <c r="U40" s="35">
        <v>600</v>
      </c>
      <c r="V40" s="35">
        <f t="shared" si="14"/>
        <v>9.6465034452989027</v>
      </c>
      <c r="W40" s="35">
        <f t="shared" si="19"/>
        <v>10.411664498980395</v>
      </c>
      <c r="X40" s="35">
        <f>W40*Application!$B$44/3600</f>
        <v>2.8921290274945542E-3</v>
      </c>
      <c r="Y40" s="35">
        <f>SUM($X$2:X40)</f>
        <v>0.76782876146170809</v>
      </c>
      <c r="Z40" s="33">
        <f>Application!$B$21*1000/Application!$B$20</f>
        <v>166.66666666666666</v>
      </c>
      <c r="AA40" s="33">
        <f t="shared" si="15"/>
        <v>99.53930274312296</v>
      </c>
      <c r="AB40" s="35">
        <f t="shared" si="16"/>
        <v>0.46069725687702484</v>
      </c>
    </row>
    <row r="41" spans="1:28" x14ac:dyDescent="0.25">
      <c r="A41" s="33">
        <f>A40+Application!$B$44</f>
        <v>40</v>
      </c>
      <c r="B41" s="33">
        <f t="shared" si="10"/>
        <v>7.9200000000000008</v>
      </c>
      <c r="C41" s="33">
        <f>C40+Application!$B$14*(A41-A40)</f>
        <v>2.2000000000000002</v>
      </c>
      <c r="D41" s="33">
        <f>IF(C41&gt;Application!$B$13,Application!$B$13,C41)</f>
        <v>2.2000000000000002</v>
      </c>
      <c r="E41" s="34">
        <f t="shared" si="20"/>
        <v>0.30000000000000004</v>
      </c>
      <c r="F41" s="33">
        <f t="shared" si="17"/>
        <v>1617.7581818181818</v>
      </c>
      <c r="G41" s="33">
        <f>Application!$B$12</f>
        <v>30</v>
      </c>
      <c r="H41" s="33">
        <f t="shared" si="18"/>
        <v>0.2914567944778671</v>
      </c>
      <c r="I41" s="33">
        <f>Application!$B$2*Application!$B$3*SIN(H41)</f>
        <v>2556.7266609671046</v>
      </c>
      <c r="J41" s="33">
        <f>Application!$B$2*Application!$B$3*Application!$B$7*COS(H41)</f>
        <v>59.65695542256578</v>
      </c>
      <c r="K41" s="33">
        <f>0.5*Application!$B$5*Application!$B$6*Application!$B$4*D41^2</f>
        <v>7.3302768000000009</v>
      </c>
      <c r="L41" s="33">
        <f>Application!$B$2*E41</f>
        <v>272.10000000000002</v>
      </c>
      <c r="M41" s="33">
        <f t="shared" si="11"/>
        <v>2895.8138931896701</v>
      </c>
      <c r="N41" s="33">
        <f>M41*Application!$B$9</f>
        <v>1245.1999740715582</v>
      </c>
      <c r="O41" s="33">
        <f>D41*60/2/PI()/Application!$B$9</f>
        <v>48.856866251465547</v>
      </c>
      <c r="P41" s="33">
        <f>Application!$B$18*Application!$B$19</f>
        <v>16.5</v>
      </c>
      <c r="Q41" s="33">
        <f>N41/P41/Application!$B$17/Application!$B$10</f>
        <v>39.719297418550504</v>
      </c>
      <c r="R41" s="33">
        <f t="shared" si="12"/>
        <v>806.13829314918155</v>
      </c>
      <c r="S41" s="35">
        <f t="shared" si="13"/>
        <v>3.3530476657985662</v>
      </c>
      <c r="T41" s="35">
        <f>S41*Application!$B$17</f>
        <v>6.7060953315971323</v>
      </c>
      <c r="U41" s="35">
        <v>600</v>
      </c>
      <c r="V41" s="35">
        <f t="shared" si="14"/>
        <v>11.176825552661887</v>
      </c>
      <c r="W41" s="35">
        <f t="shared" si="19"/>
        <v>11.943564895606535</v>
      </c>
      <c r="X41" s="35">
        <f>W41*Application!$B$44/3600</f>
        <v>3.3176569154462596E-3</v>
      </c>
      <c r="Y41" s="35">
        <f>SUM($X$2:X41)</f>
        <v>0.77114641837715436</v>
      </c>
      <c r="Z41" s="33">
        <f>Application!$B$21*1000/Application!$B$20</f>
        <v>166.66666666666666</v>
      </c>
      <c r="AA41" s="33">
        <f t="shared" si="15"/>
        <v>99.537312148973712</v>
      </c>
      <c r="AB41" s="35">
        <f t="shared" si="16"/>
        <v>0.46268785102629267</v>
      </c>
    </row>
    <row r="42" spans="1:28" x14ac:dyDescent="0.25">
      <c r="A42" s="33">
        <f>A41+Application!$B$44</f>
        <v>41</v>
      </c>
      <c r="B42" s="33">
        <f t="shared" si="10"/>
        <v>9</v>
      </c>
      <c r="C42" s="33">
        <f>C41+Application!$B$14*(A42-A41)</f>
        <v>2.5</v>
      </c>
      <c r="D42" s="33">
        <f>IF(C42&gt;Application!$B$13,Application!$B$13,C42)</f>
        <v>2.5</v>
      </c>
      <c r="E42" s="34">
        <f t="shared" si="20"/>
        <v>0.29999999999999982</v>
      </c>
      <c r="F42" s="33">
        <f t="shared" si="17"/>
        <v>1423.6272000000001</v>
      </c>
      <c r="G42" s="33">
        <f>Application!$B$12</f>
        <v>30</v>
      </c>
      <c r="H42" s="33">
        <f t="shared" si="18"/>
        <v>0.2914567944778671</v>
      </c>
      <c r="I42" s="33">
        <f>Application!$B$2*Application!$B$3*SIN(H42)</f>
        <v>2556.7266609671046</v>
      </c>
      <c r="J42" s="33">
        <f>Application!$B$2*Application!$B$3*Application!$B$7*COS(H42)</f>
        <v>59.65695542256578</v>
      </c>
      <c r="K42" s="33">
        <f>0.5*Application!$B$5*Application!$B$6*Application!$B$4*D42^2</f>
        <v>9.4657499999999999</v>
      </c>
      <c r="L42" s="33">
        <f>Application!$B$2*E42</f>
        <v>272.09999999999985</v>
      </c>
      <c r="M42" s="33">
        <f t="shared" si="11"/>
        <v>2897.9493663896701</v>
      </c>
      <c r="N42" s="33">
        <f>M42*Application!$B$9</f>
        <v>1246.118227547558</v>
      </c>
      <c r="O42" s="33">
        <f>D42*60/2/PI()/Application!$B$9</f>
        <v>55.519166194847209</v>
      </c>
      <c r="P42" s="33">
        <f>Application!$B$18*Application!$B$19</f>
        <v>16.5</v>
      </c>
      <c r="Q42" s="33">
        <f>N42/P42/Application!$B$17/Application!$B$10</f>
        <v>39.748587800560067</v>
      </c>
      <c r="R42" s="33">
        <f t="shared" si="12"/>
        <v>916.06624221497896</v>
      </c>
      <c r="S42" s="35">
        <f t="shared" si="13"/>
        <v>3.8130912715653547</v>
      </c>
      <c r="T42" s="35">
        <f>S42*Application!$B$17</f>
        <v>7.6261825431307093</v>
      </c>
      <c r="U42" s="35">
        <v>600</v>
      </c>
      <c r="V42" s="35">
        <f t="shared" si="14"/>
        <v>12.710304238551183</v>
      </c>
      <c r="W42" s="35">
        <f t="shared" si="19"/>
        <v>13.478837092022149</v>
      </c>
      <c r="X42" s="35">
        <f>W42*Application!$B$44/3600</f>
        <v>3.7441214144505967E-3</v>
      </c>
      <c r="Y42" s="35">
        <f>SUM($X$2:X42)</f>
        <v>0.77489053979160494</v>
      </c>
      <c r="Z42" s="33">
        <f>Application!$B$21*1000/Application!$B$20</f>
        <v>166.66666666666666</v>
      </c>
      <c r="AA42" s="33">
        <f t="shared" si="15"/>
        <v>99.535065676125029</v>
      </c>
      <c r="AB42" s="35">
        <f t="shared" si="16"/>
        <v>0.46493432387496297</v>
      </c>
    </row>
    <row r="43" spans="1:28" x14ac:dyDescent="0.25">
      <c r="A43" s="33">
        <f>A42+Application!$B$44</f>
        <v>42</v>
      </c>
      <c r="B43" s="33">
        <f t="shared" si="10"/>
        <v>10.08</v>
      </c>
      <c r="C43" s="33">
        <f>C42+Application!$B$14*(A43-A42)</f>
        <v>2.8</v>
      </c>
      <c r="D43" s="33">
        <f>IF(C43&gt;Application!$B$13,Application!$B$13,C43)</f>
        <v>2.8</v>
      </c>
      <c r="E43" s="34">
        <f t="shared" si="20"/>
        <v>0.29999999999999982</v>
      </c>
      <c r="F43" s="33">
        <f t="shared" si="17"/>
        <v>1271.0957142857144</v>
      </c>
      <c r="G43" s="33">
        <f>Application!$B$12</f>
        <v>30</v>
      </c>
      <c r="H43" s="33">
        <f t="shared" si="18"/>
        <v>0.2914567944778671</v>
      </c>
      <c r="I43" s="33">
        <f>Application!$B$2*Application!$B$3*SIN(H43)</f>
        <v>2556.7266609671046</v>
      </c>
      <c r="J43" s="33">
        <f>Application!$B$2*Application!$B$3*Application!$B$7*COS(H43)</f>
        <v>59.65695542256578</v>
      </c>
      <c r="K43" s="33">
        <f>0.5*Application!$B$5*Application!$B$6*Application!$B$4*D43^2</f>
        <v>11.873836799999998</v>
      </c>
      <c r="L43" s="33">
        <f>Application!$B$2*E43</f>
        <v>272.09999999999985</v>
      </c>
      <c r="M43" s="33">
        <f t="shared" si="11"/>
        <v>2900.3574531896702</v>
      </c>
      <c r="N43" s="33">
        <f>M43*Application!$B$9</f>
        <v>1247.1537048715581</v>
      </c>
      <c r="O43" s="33">
        <f>D43*60/2/PI()/Application!$B$9</f>
        <v>62.181466138228878</v>
      </c>
      <c r="P43" s="33">
        <f>Application!$B$18*Application!$B$19</f>
        <v>16.5</v>
      </c>
      <c r="Q43" s="33">
        <f>N43/P43/Application!$B$17/Application!$B$10</f>
        <v>39.781617380272984</v>
      </c>
      <c r="R43" s="33">
        <f t="shared" si="12"/>
        <v>1025.9941912807765</v>
      </c>
      <c r="S43" s="35">
        <f t="shared" si="13"/>
        <v>4.2742109836479338</v>
      </c>
      <c r="T43" s="35">
        <f>S43*Application!$B$17</f>
        <v>8.5484219672958677</v>
      </c>
      <c r="U43" s="35">
        <v>600</v>
      </c>
      <c r="V43" s="35">
        <f t="shared" si="14"/>
        <v>14.247369945493114</v>
      </c>
      <c r="W43" s="35">
        <f t="shared" si="19"/>
        <v>15.017911530753558</v>
      </c>
      <c r="X43" s="35">
        <f>W43*Application!$B$44/3600</f>
        <v>4.1716420918759883E-3</v>
      </c>
      <c r="Y43" s="35">
        <f>SUM($X$2:X43)</f>
        <v>0.77906218188348098</v>
      </c>
      <c r="Z43" s="33">
        <f>Application!$B$21*1000/Application!$B$20</f>
        <v>166.66666666666666</v>
      </c>
      <c r="AA43" s="33">
        <f t="shared" si="15"/>
        <v>99.532562690869895</v>
      </c>
      <c r="AB43" s="35">
        <f t="shared" si="16"/>
        <v>0.46743730913008857</v>
      </c>
    </row>
    <row r="44" spans="1:28" x14ac:dyDescent="0.25">
      <c r="A44" s="33">
        <f>A43+Application!$B$44</f>
        <v>43</v>
      </c>
      <c r="B44" s="33">
        <f t="shared" si="10"/>
        <v>11.159999999999998</v>
      </c>
      <c r="C44" s="33">
        <f>C43+Application!$B$14*(A44-A43)</f>
        <v>3.0999999999999996</v>
      </c>
      <c r="D44" s="33">
        <f>IF(C44&gt;Application!$B$13,Application!$B$13,C44)</f>
        <v>3.0999999999999996</v>
      </c>
      <c r="E44" s="34">
        <f t="shared" si="20"/>
        <v>0.29999999999999982</v>
      </c>
      <c r="F44" s="33">
        <f t="shared" si="17"/>
        <v>1148.0864516129034</v>
      </c>
      <c r="G44" s="33">
        <f>Application!$B$12</f>
        <v>30</v>
      </c>
      <c r="H44" s="33">
        <f t="shared" si="18"/>
        <v>0.2914567944778671</v>
      </c>
      <c r="I44" s="33">
        <f>Application!$B$2*Application!$B$3*SIN(H44)</f>
        <v>2556.7266609671046</v>
      </c>
      <c r="J44" s="33">
        <f>Application!$B$2*Application!$B$3*Application!$B$7*COS(H44)</f>
        <v>59.65695542256578</v>
      </c>
      <c r="K44" s="33">
        <f>0.5*Application!$B$5*Application!$B$6*Application!$B$4*D44^2</f>
        <v>14.554537199999995</v>
      </c>
      <c r="L44" s="33">
        <f>Application!$B$2*E44</f>
        <v>272.09999999999985</v>
      </c>
      <c r="M44" s="33">
        <f t="shared" si="11"/>
        <v>2903.0381535896704</v>
      </c>
      <c r="N44" s="33">
        <f>M44*Application!$B$9</f>
        <v>1248.3064060435584</v>
      </c>
      <c r="O44" s="33">
        <f>D44*60/2/PI()/Application!$B$9</f>
        <v>68.843766081610539</v>
      </c>
      <c r="P44" s="33">
        <f>Application!$B$18*Application!$B$19</f>
        <v>16.5</v>
      </c>
      <c r="Q44" s="33">
        <f>N44/P44/Application!$B$17/Application!$B$10</f>
        <v>39.818386157689268</v>
      </c>
      <c r="R44" s="33">
        <f t="shared" si="12"/>
        <v>1135.922140346574</v>
      </c>
      <c r="S44" s="35">
        <f t="shared" si="13"/>
        <v>4.7365359348042002</v>
      </c>
      <c r="T44" s="35">
        <f>S44*Application!$B$17</f>
        <v>9.4730718696084004</v>
      </c>
      <c r="U44" s="35">
        <v>600</v>
      </c>
      <c r="V44" s="35">
        <f t="shared" si="14"/>
        <v>15.788453116014001</v>
      </c>
      <c r="W44" s="35">
        <f t="shared" si="19"/>
        <v>16.561218654327071</v>
      </c>
      <c r="X44" s="35">
        <f>W44*Application!$B$44/3600</f>
        <v>4.6003385150908535E-3</v>
      </c>
      <c r="Y44" s="35">
        <f>SUM($X$2:X44)</f>
        <v>0.78366252039857187</v>
      </c>
      <c r="Z44" s="33">
        <f>Application!$B$21*1000/Application!$B$20</f>
        <v>166.66666666666666</v>
      </c>
      <c r="AA44" s="33">
        <f t="shared" si="15"/>
        <v>99.529802487760861</v>
      </c>
      <c r="AB44" s="35">
        <f t="shared" si="16"/>
        <v>0.47019751223914313</v>
      </c>
    </row>
    <row r="45" spans="1:28" x14ac:dyDescent="0.25">
      <c r="A45" s="33">
        <f>A44+Application!$B$44</f>
        <v>44</v>
      </c>
      <c r="B45" s="33">
        <f t="shared" si="10"/>
        <v>12.239999999999998</v>
      </c>
      <c r="C45" s="33">
        <f>C44+Application!$B$14*(A45-A44)</f>
        <v>3.3999999999999995</v>
      </c>
      <c r="D45" s="33">
        <f>IF(C45&gt;Application!$B$13,Application!$B$13,C45)</f>
        <v>3.3999999999999995</v>
      </c>
      <c r="E45" s="34">
        <f t="shared" si="20"/>
        <v>0.29999999999999982</v>
      </c>
      <c r="F45" s="33">
        <f t="shared" si="17"/>
        <v>1046.7847058823531</v>
      </c>
      <c r="G45" s="33">
        <f>Application!$B$12</f>
        <v>30</v>
      </c>
      <c r="H45" s="33">
        <f t="shared" si="18"/>
        <v>0.2914567944778671</v>
      </c>
      <c r="I45" s="33">
        <f>Application!$B$2*Application!$B$3*SIN(H45)</f>
        <v>2556.7266609671046</v>
      </c>
      <c r="J45" s="33">
        <f>Application!$B$2*Application!$B$3*Application!$B$7*COS(H45)</f>
        <v>59.65695542256578</v>
      </c>
      <c r="K45" s="33">
        <f>0.5*Application!$B$5*Application!$B$6*Application!$B$4*D45^2</f>
        <v>17.507851199999994</v>
      </c>
      <c r="L45" s="33">
        <f>Application!$B$2*E45</f>
        <v>272.09999999999985</v>
      </c>
      <c r="M45" s="33">
        <f t="shared" si="11"/>
        <v>2905.9914675896703</v>
      </c>
      <c r="N45" s="33">
        <f>M45*Application!$B$9</f>
        <v>1249.5763310635582</v>
      </c>
      <c r="O45" s="33">
        <f>D45*60/2/PI()/Application!$B$9</f>
        <v>75.506066024992208</v>
      </c>
      <c r="P45" s="33">
        <f>Application!$B$18*Application!$B$19</f>
        <v>16.5</v>
      </c>
      <c r="Q45" s="33">
        <f>N45/P45/Application!$B$17/Application!$B$10</f>
        <v>39.858894132808871</v>
      </c>
      <c r="R45" s="33">
        <f t="shared" si="12"/>
        <v>1245.8500894123715</v>
      </c>
      <c r="S45" s="35">
        <f t="shared" si="13"/>
        <v>5.2001952577920418</v>
      </c>
      <c r="T45" s="35">
        <f>S45*Application!$B$17</f>
        <v>10.400390515584084</v>
      </c>
      <c r="U45" s="35">
        <v>600</v>
      </c>
      <c r="V45" s="35">
        <f t="shared" si="14"/>
        <v>17.333984192640141</v>
      </c>
      <c r="W45" s="35">
        <f t="shared" si="19"/>
        <v>18.109188905269001</v>
      </c>
      <c r="X45" s="35">
        <f>W45*Application!$B$44/3600</f>
        <v>5.0303302514636116E-3</v>
      </c>
      <c r="Y45" s="35">
        <f>SUM($X$2:X45)</f>
        <v>0.78869285065003547</v>
      </c>
      <c r="Z45" s="33">
        <f>Application!$B$21*1000/Application!$B$20</f>
        <v>166.66666666666666</v>
      </c>
      <c r="AA45" s="33">
        <f t="shared" si="15"/>
        <v>99.526784289609992</v>
      </c>
      <c r="AB45" s="35">
        <f t="shared" si="16"/>
        <v>0.47321571039002136</v>
      </c>
    </row>
    <row r="46" spans="1:28" x14ac:dyDescent="0.25">
      <c r="A46" s="33">
        <f>A45+Application!$B$44</f>
        <v>45</v>
      </c>
      <c r="B46" s="33">
        <f t="shared" si="10"/>
        <v>13.319999999999999</v>
      </c>
      <c r="C46" s="33">
        <f>C45+Application!$B$14*(A46-A45)</f>
        <v>3.6999999999999993</v>
      </c>
      <c r="D46" s="33">
        <f>IF(C46&gt;Application!$B$13,Application!$B$13,C46)</f>
        <v>3.6999999999999993</v>
      </c>
      <c r="E46" s="34">
        <f t="shared" si="20"/>
        <v>0.29999999999999982</v>
      </c>
      <c r="F46" s="33">
        <f t="shared" si="17"/>
        <v>961.91027027027053</v>
      </c>
      <c r="G46" s="33">
        <f>Application!$B$12</f>
        <v>30</v>
      </c>
      <c r="H46" s="33">
        <f t="shared" si="18"/>
        <v>0.2914567944778671</v>
      </c>
      <c r="I46" s="33">
        <f>Application!$B$2*Application!$B$3*SIN(H46)</f>
        <v>2556.7266609671046</v>
      </c>
      <c r="J46" s="33">
        <f>Application!$B$2*Application!$B$3*Application!$B$7*COS(H46)</f>
        <v>59.65695542256578</v>
      </c>
      <c r="K46" s="33">
        <f>0.5*Application!$B$5*Application!$B$6*Application!$B$4*D46^2</f>
        <v>20.733778799999989</v>
      </c>
      <c r="L46" s="33">
        <f>Application!$B$2*E46</f>
        <v>272.09999999999985</v>
      </c>
      <c r="M46" s="33">
        <f t="shared" si="11"/>
        <v>2909.2173951896702</v>
      </c>
      <c r="N46" s="33">
        <f>M46*Application!$B$9</f>
        <v>1250.9634799315581</v>
      </c>
      <c r="O46" s="33">
        <f>D46*60/2/PI()/Application!$B$9</f>
        <v>82.168365968373848</v>
      </c>
      <c r="P46" s="33">
        <f>Application!$B$18*Application!$B$19</f>
        <v>16.5</v>
      </c>
      <c r="Q46" s="33">
        <f>N46/P46/Application!$B$17/Application!$B$10</f>
        <v>39.903141305631841</v>
      </c>
      <c r="R46" s="33">
        <f t="shared" si="12"/>
        <v>1355.7780384781686</v>
      </c>
      <c r="S46" s="35">
        <f t="shared" si="13"/>
        <v>5.6653180853693579</v>
      </c>
      <c r="T46" s="35">
        <f>S46*Application!$B$17</f>
        <v>11.330636170738716</v>
      </c>
      <c r="U46" s="35">
        <v>600</v>
      </c>
      <c r="V46" s="35">
        <f t="shared" si="14"/>
        <v>18.884393617897857</v>
      </c>
      <c r="W46" s="35">
        <f t="shared" si="19"/>
        <v>19.662252726105663</v>
      </c>
      <c r="X46" s="35">
        <f>W46*Application!$B$44/3600</f>
        <v>5.4617368683626839E-3</v>
      </c>
      <c r="Y46" s="35">
        <f>SUM($X$2:X46)</f>
        <v>0.79415458751839818</v>
      </c>
      <c r="Z46" s="33">
        <f>Application!$B$21*1000/Application!$B$20</f>
        <v>166.66666666666666</v>
      </c>
      <c r="AA46" s="33">
        <f t="shared" si="15"/>
        <v>99.523507247488965</v>
      </c>
      <c r="AB46" s="35">
        <f t="shared" si="16"/>
        <v>0.47649275251103895</v>
      </c>
    </row>
    <row r="47" spans="1:28" x14ac:dyDescent="0.25">
      <c r="A47" s="33">
        <f>A46+Application!$B$44</f>
        <v>46</v>
      </c>
      <c r="B47" s="33">
        <f t="shared" si="10"/>
        <v>14.399999999999997</v>
      </c>
      <c r="C47" s="33">
        <f>C46+Application!$B$14*(A47-A46)</f>
        <v>3.9999999999999991</v>
      </c>
      <c r="D47" s="33">
        <f>IF(C47&gt;Application!$B$13,Application!$B$13,C47)</f>
        <v>3.9999999999999991</v>
      </c>
      <c r="E47" s="34">
        <f t="shared" si="20"/>
        <v>0.29999999999999982</v>
      </c>
      <c r="F47" s="33">
        <f t="shared" si="17"/>
        <v>889.76700000000028</v>
      </c>
      <c r="G47" s="33">
        <f>Application!$B$12</f>
        <v>30</v>
      </c>
      <c r="H47" s="33">
        <f t="shared" si="18"/>
        <v>0.2914567944778671</v>
      </c>
      <c r="I47" s="33">
        <f>Application!$B$2*Application!$B$3*SIN(H47)</f>
        <v>2556.7266609671046</v>
      </c>
      <c r="J47" s="33">
        <f>Application!$B$2*Application!$B$3*Application!$B$7*COS(H47)</f>
        <v>59.65695542256578</v>
      </c>
      <c r="K47" s="33">
        <f>0.5*Application!$B$5*Application!$B$6*Application!$B$4*D47^2</f>
        <v>24.232319999999987</v>
      </c>
      <c r="L47" s="33">
        <f>Application!$B$2*E47</f>
        <v>272.09999999999985</v>
      </c>
      <c r="M47" s="33">
        <f t="shared" si="11"/>
        <v>2912.7159363896703</v>
      </c>
      <c r="N47" s="33">
        <f>M47*Application!$B$9</f>
        <v>1252.4678526475582</v>
      </c>
      <c r="O47" s="33">
        <f>D47*60/2/PI()/Application!$B$9</f>
        <v>88.830665911755517</v>
      </c>
      <c r="P47" s="33">
        <f>Application!$B$18*Application!$B$19</f>
        <v>16.5</v>
      </c>
      <c r="Q47" s="33">
        <f>N47/P47/Application!$B$17/Application!$B$10</f>
        <v>39.951127676158158</v>
      </c>
      <c r="R47" s="33">
        <f t="shared" si="12"/>
        <v>1465.7059875439661</v>
      </c>
      <c r="S47" s="35">
        <f t="shared" si="13"/>
        <v>6.1320335502940413</v>
      </c>
      <c r="T47" s="35">
        <f>S47*Application!$B$17</f>
        <v>12.264067100588083</v>
      </c>
      <c r="U47" s="35">
        <v>600</v>
      </c>
      <c r="V47" s="35">
        <f t="shared" si="14"/>
        <v>20.440111834313473</v>
      </c>
      <c r="W47" s="35">
        <f t="shared" si="19"/>
        <v>21.220840559363388</v>
      </c>
      <c r="X47" s="35">
        <f>W47*Application!$B$44/3600</f>
        <v>5.8946779331564966E-3</v>
      </c>
      <c r="Y47" s="35">
        <f>SUM($X$2:X47)</f>
        <v>0.80004926545155464</v>
      </c>
      <c r="Z47" s="33">
        <f>Application!$B$21*1000/Application!$B$20</f>
        <v>166.66666666666666</v>
      </c>
      <c r="AA47" s="33">
        <f t="shared" si="15"/>
        <v>99.519970440729082</v>
      </c>
      <c r="AB47" s="35">
        <f t="shared" si="16"/>
        <v>0.48002955927093283</v>
      </c>
    </row>
    <row r="48" spans="1:28" x14ac:dyDescent="0.25">
      <c r="A48" s="33">
        <f>A47+Application!$B$44</f>
        <v>47</v>
      </c>
      <c r="B48" s="33">
        <f t="shared" si="10"/>
        <v>15.479999999999997</v>
      </c>
      <c r="C48" s="33">
        <f>C47+Application!$B$14*(A48-A47)</f>
        <v>4.2999999999999989</v>
      </c>
      <c r="D48" s="33">
        <f>IF(C48&gt;Application!$B$13,Application!$B$13,C48)</f>
        <v>4.2999999999999989</v>
      </c>
      <c r="E48" s="34">
        <f t="shared" si="20"/>
        <v>0.29999999999999982</v>
      </c>
      <c r="F48" s="33">
        <f t="shared" si="17"/>
        <v>827.69023255813977</v>
      </c>
      <c r="G48" s="33">
        <f>Application!$B$12</f>
        <v>30</v>
      </c>
      <c r="H48" s="33">
        <f t="shared" si="18"/>
        <v>0.2914567944778671</v>
      </c>
      <c r="I48" s="33">
        <f>Application!$B$2*Application!$B$3*SIN(H48)</f>
        <v>2556.7266609671046</v>
      </c>
      <c r="J48" s="33">
        <f>Application!$B$2*Application!$B$3*Application!$B$7*COS(H48)</f>
        <v>59.65695542256578</v>
      </c>
      <c r="K48" s="33">
        <f>0.5*Application!$B$5*Application!$B$6*Application!$B$4*D48^2</f>
        <v>28.003474799999985</v>
      </c>
      <c r="L48" s="33">
        <f>Application!$B$2*E48</f>
        <v>272.09999999999985</v>
      </c>
      <c r="M48" s="33">
        <f t="shared" si="11"/>
        <v>2916.4870911896701</v>
      </c>
      <c r="N48" s="33">
        <f>M48*Application!$B$9</f>
        <v>1254.0894492115581</v>
      </c>
      <c r="O48" s="33">
        <f>D48*60/2/PI()/Application!$B$9</f>
        <v>95.492965855137186</v>
      </c>
      <c r="P48" s="33">
        <f>Application!$B$18*Application!$B$19</f>
        <v>16.5</v>
      </c>
      <c r="Q48" s="33">
        <f>N48/P48/Application!$B$17/Application!$B$10</f>
        <v>40.002853244387822</v>
      </c>
      <c r="R48" s="33">
        <f t="shared" si="12"/>
        <v>1575.6339366097636</v>
      </c>
      <c r="S48" s="35">
        <f t="shared" si="13"/>
        <v>6.6004707853239903</v>
      </c>
      <c r="T48" s="35">
        <f>S48*Application!$B$17</f>
        <v>13.200941570647981</v>
      </c>
      <c r="U48" s="35">
        <v>600</v>
      </c>
      <c r="V48" s="35">
        <f t="shared" si="14"/>
        <v>22.001569284413304</v>
      </c>
      <c r="W48" s="35">
        <f t="shared" si="19"/>
        <v>22.785382847568478</v>
      </c>
      <c r="X48" s="35">
        <f>W48*Application!$B$44/3600</f>
        <v>6.3292730132134658E-3</v>
      </c>
      <c r="Y48" s="35">
        <f>SUM($X$2:X48)</f>
        <v>0.80637853846476815</v>
      </c>
      <c r="Z48" s="33">
        <f>Application!$B$21*1000/Application!$B$20</f>
        <v>166.66666666666666</v>
      </c>
      <c r="AA48" s="33">
        <f t="shared" si="15"/>
        <v>99.516172876921146</v>
      </c>
      <c r="AB48" s="35">
        <f t="shared" si="16"/>
        <v>0.48382712307886094</v>
      </c>
    </row>
    <row r="49" spans="1:28" x14ac:dyDescent="0.25">
      <c r="A49" s="33">
        <f>A48+Application!$B$44</f>
        <v>48</v>
      </c>
      <c r="B49" s="33">
        <f t="shared" si="10"/>
        <v>16.559999999999995</v>
      </c>
      <c r="C49" s="33">
        <f>C48+Application!$B$14*(A49-A48)</f>
        <v>4.5999999999999988</v>
      </c>
      <c r="D49" s="33">
        <f>IF(C49&gt;Application!$B$13,Application!$B$13,C49)</f>
        <v>4.5999999999999988</v>
      </c>
      <c r="E49" s="34">
        <f t="shared" si="20"/>
        <v>0.29999999999999982</v>
      </c>
      <c r="F49" s="33">
        <f t="shared" si="17"/>
        <v>773.7104347826089</v>
      </c>
      <c r="G49" s="33">
        <f>Application!$B$12</f>
        <v>30</v>
      </c>
      <c r="H49" s="33">
        <f t="shared" si="18"/>
        <v>0.2914567944778671</v>
      </c>
      <c r="I49" s="33">
        <f>Application!$B$2*Application!$B$3*SIN(H49)</f>
        <v>2556.7266609671046</v>
      </c>
      <c r="J49" s="33">
        <f>Application!$B$2*Application!$B$3*Application!$B$7*COS(H49)</f>
        <v>59.65695542256578</v>
      </c>
      <c r="K49" s="33">
        <f>0.5*Application!$B$5*Application!$B$6*Application!$B$4*D49^2</f>
        <v>32.047243199999983</v>
      </c>
      <c r="L49" s="33">
        <f>Application!$B$2*E49</f>
        <v>272.09999999999985</v>
      </c>
      <c r="M49" s="33">
        <f t="shared" si="11"/>
        <v>2920.5308595896704</v>
      </c>
      <c r="N49" s="33">
        <f>M49*Application!$B$9</f>
        <v>1255.8282696235583</v>
      </c>
      <c r="O49" s="33">
        <f>D49*60/2/PI()/Application!$B$9</f>
        <v>102.15526579851885</v>
      </c>
      <c r="P49" s="33">
        <f>Application!$B$18*Application!$B$19</f>
        <v>16.5</v>
      </c>
      <c r="Q49" s="33">
        <f>N49/P49/Application!$B$17/Application!$B$10</f>
        <v>40.058318010320839</v>
      </c>
      <c r="R49" s="33">
        <f t="shared" si="12"/>
        <v>1685.5618856755611</v>
      </c>
      <c r="S49" s="35">
        <f t="shared" si="13"/>
        <v>7.0707589232170971</v>
      </c>
      <c r="T49" s="35">
        <f>S49*Application!$B$17</f>
        <v>14.141517846434194</v>
      </c>
      <c r="U49" s="35">
        <v>600</v>
      </c>
      <c r="V49" s="35">
        <f t="shared" si="14"/>
        <v>23.569196410723656</v>
      </c>
      <c r="W49" s="35">
        <f t="shared" si="19"/>
        <v>24.356310033247247</v>
      </c>
      <c r="X49" s="35">
        <f>W49*Application!$B$44/3600</f>
        <v>6.7656416759020134E-3</v>
      </c>
      <c r="Y49" s="35">
        <f>SUM($X$2:X49)</f>
        <v>0.81314418014067014</v>
      </c>
      <c r="Z49" s="33">
        <f>Application!$B$21*1000/Application!$B$20</f>
        <v>166.66666666666666</v>
      </c>
      <c r="AA49" s="33">
        <f t="shared" si="15"/>
        <v>99.512113491915599</v>
      </c>
      <c r="AB49" s="35">
        <f t="shared" si="16"/>
        <v>0.48788650808440215</v>
      </c>
    </row>
    <row r="50" spans="1:28" x14ac:dyDescent="0.25">
      <c r="A50" s="33">
        <f>A49+Application!$B$44</f>
        <v>49</v>
      </c>
      <c r="B50" s="33">
        <f t="shared" si="10"/>
        <v>17.639999999999997</v>
      </c>
      <c r="C50" s="33">
        <f>C49+Application!$B$14*(A50-A49)</f>
        <v>4.8999999999999986</v>
      </c>
      <c r="D50" s="33">
        <f>IF(C50&gt;Application!$B$13,Application!$B$13,C50)</f>
        <v>4.8999999999999986</v>
      </c>
      <c r="E50" s="34">
        <f t="shared" si="20"/>
        <v>0.29999999999999982</v>
      </c>
      <c r="F50" s="33">
        <f t="shared" si="17"/>
        <v>726.34040816326558</v>
      </c>
      <c r="G50" s="33">
        <f>Application!$B$12</f>
        <v>30</v>
      </c>
      <c r="H50" s="33">
        <f t="shared" si="18"/>
        <v>0.2914567944778671</v>
      </c>
      <c r="I50" s="33">
        <f>Application!$B$2*Application!$B$3*SIN(H50)</f>
        <v>2556.7266609671046</v>
      </c>
      <c r="J50" s="33">
        <f>Application!$B$2*Application!$B$3*Application!$B$7*COS(H50)</f>
        <v>59.65695542256578</v>
      </c>
      <c r="K50" s="33">
        <f>0.5*Application!$B$5*Application!$B$6*Application!$B$4*D50^2</f>
        <v>36.36362519999998</v>
      </c>
      <c r="L50" s="33">
        <f>Application!$B$2*E50</f>
        <v>272.09999999999985</v>
      </c>
      <c r="M50" s="33">
        <f t="shared" si="11"/>
        <v>2924.8472415896704</v>
      </c>
      <c r="N50" s="33">
        <f>M50*Application!$B$9</f>
        <v>1257.6843138835582</v>
      </c>
      <c r="O50" s="33">
        <f>D50*60/2/PI()/Application!$B$9</f>
        <v>108.81756574190049</v>
      </c>
      <c r="P50" s="33">
        <f>Application!$B$18*Application!$B$19</f>
        <v>16.5</v>
      </c>
      <c r="Q50" s="33">
        <f>N50/P50/Application!$B$17/Application!$B$10</f>
        <v>40.117521973957203</v>
      </c>
      <c r="R50" s="33">
        <f t="shared" si="12"/>
        <v>1795.4898347413582</v>
      </c>
      <c r="S50" s="35">
        <f t="shared" si="13"/>
        <v>7.5430270967312527</v>
      </c>
      <c r="T50" s="35">
        <f>S50*Application!$B$17</f>
        <v>15.086054193462505</v>
      </c>
      <c r="U50" s="35">
        <v>600</v>
      </c>
      <c r="V50" s="35">
        <f t="shared" si="14"/>
        <v>25.143423655770842</v>
      </c>
      <c r="W50" s="35">
        <f t="shared" si="19"/>
        <v>25.93405255892602</v>
      </c>
      <c r="X50" s="35">
        <f>W50*Application!$B$44/3600</f>
        <v>7.2039034885905606E-3</v>
      </c>
      <c r="Y50" s="35">
        <f>SUM($X$2:X50)</f>
        <v>0.8203480836292607</v>
      </c>
      <c r="Z50" s="33">
        <f>100*1000/600</f>
        <v>166.66666666666666</v>
      </c>
      <c r="AA50" s="33">
        <f t="shared" si="15"/>
        <v>99.507791149822438</v>
      </c>
      <c r="AB50" s="35">
        <f t="shared" si="16"/>
        <v>0.49220885017755645</v>
      </c>
    </row>
    <row r="51" spans="1:28" x14ac:dyDescent="0.25">
      <c r="A51" s="33">
        <f>A50+Application!$B$44</f>
        <v>50</v>
      </c>
      <c r="B51" s="33">
        <f t="shared" si="10"/>
        <v>18.719999999999992</v>
      </c>
      <c r="C51" s="33">
        <f>C50+Application!$B$14*(A51-A50)</f>
        <v>5.1999999999999984</v>
      </c>
      <c r="D51" s="33">
        <f>IF(C51&gt;Application!$B$13,Application!$B$13,C51)</f>
        <v>5.1999999999999984</v>
      </c>
      <c r="E51" s="34">
        <f t="shared" si="20"/>
        <v>0.29999999999999982</v>
      </c>
      <c r="F51" s="33">
        <f t="shared" si="17"/>
        <v>684.43615384615407</v>
      </c>
      <c r="G51" s="33">
        <f>Application!$B$12</f>
        <v>30</v>
      </c>
      <c r="H51" s="33">
        <f t="shared" si="18"/>
        <v>0.2914567944778671</v>
      </c>
      <c r="I51" s="33">
        <f>Application!$B$2*Application!$B$3*SIN(H51)</f>
        <v>2556.7266609671046</v>
      </c>
      <c r="J51" s="33">
        <f>Application!$B$2*Application!$B$3*Application!$B$7*COS(H51)</f>
        <v>59.65695542256578</v>
      </c>
      <c r="K51" s="33">
        <f>0.5*Application!$B$5*Application!$B$6*Application!$B$4*D51^2</f>
        <v>40.952620799999977</v>
      </c>
      <c r="L51" s="33">
        <f>Application!$B$2*E51</f>
        <v>272.09999999999985</v>
      </c>
      <c r="M51" s="33">
        <f t="shared" si="11"/>
        <v>2929.43623718967</v>
      </c>
      <c r="N51" s="33">
        <f>M51*Application!$B$9</f>
        <v>1259.6575819915581</v>
      </c>
      <c r="O51" s="33">
        <f>D51*60/2/PI()/Application!$B$9</f>
        <v>115.47986568528216</v>
      </c>
      <c r="P51" s="33">
        <f>Application!$B$18*Application!$B$19</f>
        <v>16.5</v>
      </c>
      <c r="Q51" s="33">
        <f>N51/P51/Application!$B$17/Application!$B$10</f>
        <v>40.180465135296913</v>
      </c>
      <c r="R51" s="33">
        <f t="shared" si="12"/>
        <v>1905.4177838071557</v>
      </c>
      <c r="S51" s="35">
        <f t="shared" si="13"/>
        <v>8.017404438624359</v>
      </c>
      <c r="T51" s="35">
        <f>S51*Application!$B$17</f>
        <v>16.034808877248718</v>
      </c>
      <c r="U51" s="35">
        <v>600</v>
      </c>
      <c r="V51" s="35">
        <f t="shared" si="14"/>
        <v>26.724681462081197</v>
      </c>
      <c r="W51" s="35">
        <f t="shared" si="19"/>
        <v>27.519040867131103</v>
      </c>
      <c r="X51" s="35">
        <f>W51*Application!$B$44/3600</f>
        <v>7.6441780186475286E-3</v>
      </c>
      <c r="Y51" s="35">
        <f>SUM($X$2:X51)</f>
        <v>0.82799226164790818</v>
      </c>
      <c r="Z51" s="33">
        <f>100*1000/600</f>
        <v>166.66666666666666</v>
      </c>
      <c r="AA51" s="33">
        <f t="shared" si="15"/>
        <v>99.50320464301123</v>
      </c>
      <c r="AB51" s="35">
        <f t="shared" si="16"/>
        <v>0.496795356988745</v>
      </c>
    </row>
    <row r="52" spans="1:28" x14ac:dyDescent="0.25">
      <c r="A52" s="33">
        <f>A51+Application!$B$44</f>
        <v>51</v>
      </c>
      <c r="B52" s="33">
        <f t="shared" si="10"/>
        <v>19.799999999999994</v>
      </c>
      <c r="C52" s="33">
        <f>C51+Application!$B$14*(A52-A51)</f>
        <v>5.4999999999999982</v>
      </c>
      <c r="D52" s="33">
        <f>IF(C52&gt;Application!$B$13,Application!$B$13,C52)</f>
        <v>5.4999999999999982</v>
      </c>
      <c r="E52" s="34">
        <f t="shared" si="20"/>
        <v>0.29999999999999982</v>
      </c>
      <c r="F52" s="33">
        <f t="shared" si="17"/>
        <v>647.10327272727295</v>
      </c>
      <c r="G52" s="33">
        <f>Application!$B$12</f>
        <v>30</v>
      </c>
      <c r="H52" s="33">
        <f t="shared" si="18"/>
        <v>0.2914567944778671</v>
      </c>
      <c r="I52" s="33">
        <f>Application!$B$2*Application!$B$3*SIN(H52)</f>
        <v>2556.7266609671046</v>
      </c>
      <c r="J52" s="33">
        <f>Application!$B$2*Application!$B$3*Application!$B$7*COS(H52)</f>
        <v>59.65695542256578</v>
      </c>
      <c r="K52" s="33">
        <f>0.5*Application!$B$5*Application!$B$6*Application!$B$4*D52^2</f>
        <v>45.814229999999966</v>
      </c>
      <c r="L52" s="33">
        <f>Application!$B$2*E52</f>
        <v>272.09999999999985</v>
      </c>
      <c r="M52" s="33">
        <f t="shared" si="11"/>
        <v>2934.2978463896702</v>
      </c>
      <c r="N52" s="33">
        <f>M52*Application!$B$9</f>
        <v>1261.7480739475582</v>
      </c>
      <c r="O52" s="33">
        <f>D52*60/2/PI()/Application!$B$9</f>
        <v>122.14216562866382</v>
      </c>
      <c r="P52" s="33">
        <f>Application!$B$18*Application!$B$19</f>
        <v>16.5</v>
      </c>
      <c r="Q52" s="33">
        <f>N52/P52/Application!$B$17/Application!$B$10</f>
        <v>40.24714749433997</v>
      </c>
      <c r="R52" s="33">
        <f t="shared" si="12"/>
        <v>2015.345732872953</v>
      </c>
      <c r="S52" s="35">
        <f t="shared" si="13"/>
        <v>8.4940200816543037</v>
      </c>
      <c r="T52" s="35">
        <f>S52*Application!$B$17</f>
        <v>16.988040163308607</v>
      </c>
      <c r="U52" s="35">
        <v>600</v>
      </c>
      <c r="V52" s="35">
        <f t="shared" si="14"/>
        <v>28.313400272181013</v>
      </c>
      <c r="W52" s="35">
        <f t="shared" si="19"/>
        <v>29.111705400388821</v>
      </c>
      <c r="X52" s="35">
        <f>W52*Application!$B$44/3600</f>
        <v>8.0865848334413393E-3</v>
      </c>
      <c r="Y52" s="35">
        <f>SUM($X$2:X52)</f>
        <v>0.83607884648134956</v>
      </c>
      <c r="Z52" s="33">
        <f>100*1000/600</f>
        <v>166.66666666666666</v>
      </c>
      <c r="AA52" s="33">
        <f t="shared" si="15"/>
        <v>99.498352692111197</v>
      </c>
      <c r="AB52" s="35">
        <f t="shared" si="16"/>
        <v>0.50164730788880973</v>
      </c>
    </row>
    <row r="53" spans="1:28" x14ac:dyDescent="0.25">
      <c r="A53" s="33">
        <f>A52+Application!$B$44</f>
        <v>52</v>
      </c>
      <c r="B53" s="33">
        <f t="shared" si="10"/>
        <v>20.879999999999992</v>
      </c>
      <c r="C53" s="33">
        <f>C52+Application!$B$14*(A53-A52)</f>
        <v>5.799999999999998</v>
      </c>
      <c r="D53" s="33">
        <f>IF(C53&gt;Application!$B$13,Application!$B$13,C53)</f>
        <v>5.799999999999998</v>
      </c>
      <c r="E53" s="34">
        <f t="shared" si="20"/>
        <v>0.29999999999999982</v>
      </c>
      <c r="F53" s="33">
        <f t="shared" si="17"/>
        <v>613.63241379310364</v>
      </c>
      <c r="G53" s="33">
        <f>Application!$B$12</f>
        <v>30</v>
      </c>
      <c r="H53" s="33">
        <f t="shared" si="18"/>
        <v>0.2914567944778671</v>
      </c>
      <c r="I53" s="33">
        <f>Application!$B$2*Application!$B$3*SIN(H53)</f>
        <v>2556.7266609671046</v>
      </c>
      <c r="J53" s="33">
        <f>Application!$B$2*Application!$B$3*Application!$B$7*COS(H53)</f>
        <v>59.65695542256578</v>
      </c>
      <c r="K53" s="33">
        <f>0.5*Application!$B$5*Application!$B$6*Application!$B$4*D53^2</f>
        <v>50.948452799999963</v>
      </c>
      <c r="L53" s="33">
        <f>Application!$B$2*E53</f>
        <v>272.09999999999985</v>
      </c>
      <c r="M53" s="33">
        <f t="shared" si="11"/>
        <v>2939.4320691896701</v>
      </c>
      <c r="N53" s="33">
        <f>M53*Application!$B$9</f>
        <v>1263.9557897515581</v>
      </c>
      <c r="O53" s="33">
        <f>D53*60/2/PI()/Application!$B$9</f>
        <v>128.80446557204547</v>
      </c>
      <c r="P53" s="33">
        <f>Application!$B$18*Application!$B$19</f>
        <v>16.5</v>
      </c>
      <c r="Q53" s="33">
        <f>N53/P53/Application!$B$17/Application!$B$10</f>
        <v>40.31756905108638</v>
      </c>
      <c r="R53" s="33">
        <f t="shared" si="12"/>
        <v>2125.2736819387501</v>
      </c>
      <c r="S53" s="35">
        <f t="shared" si="13"/>
        <v>8.9730031585789867</v>
      </c>
      <c r="T53" s="35">
        <f>S53*Application!$B$17</f>
        <v>17.946006317157973</v>
      </c>
      <c r="U53" s="35">
        <v>600</v>
      </c>
      <c r="V53" s="35">
        <f t="shared" si="14"/>
        <v>29.910010528596626</v>
      </c>
      <c r="W53" s="35">
        <f t="shared" si="19"/>
        <v>30.71247660122549</v>
      </c>
      <c r="X53" s="35">
        <f>W53*Application!$B$44/3600</f>
        <v>8.5312435003404141E-3</v>
      </c>
      <c r="Y53" s="35">
        <f>SUM($X$2:X53)</f>
        <v>0.84461008998168996</v>
      </c>
      <c r="Z53" s="33">
        <f>100*1000/600</f>
        <v>166.66666666666666</v>
      </c>
      <c r="AA53" s="33">
        <f t="shared" si="15"/>
        <v>99.493233946010974</v>
      </c>
      <c r="AB53" s="35">
        <f t="shared" si="16"/>
        <v>0.50676605398901398</v>
      </c>
    </row>
    <row r="54" spans="1:28" x14ac:dyDescent="0.25">
      <c r="A54" s="33">
        <f>A53+Application!$B$44</f>
        <v>53</v>
      </c>
      <c r="B54" s="33">
        <f t="shared" si="10"/>
        <v>21.959999999999994</v>
      </c>
      <c r="C54" s="33">
        <f>C53+Application!$B$14*(A54-A53)</f>
        <v>6.0999999999999979</v>
      </c>
      <c r="D54" s="33">
        <f>IF(C54&gt;Application!$B$13,Application!$B$13,C54)</f>
        <v>6.0999999999999979</v>
      </c>
      <c r="E54" s="34">
        <f t="shared" si="20"/>
        <v>0.29999999999999982</v>
      </c>
      <c r="F54" s="33">
        <f t="shared" si="17"/>
        <v>583.45377049180354</v>
      </c>
      <c r="G54" s="33">
        <f>Application!$B$12</f>
        <v>30</v>
      </c>
      <c r="H54" s="33">
        <f t="shared" si="18"/>
        <v>0.2914567944778671</v>
      </c>
      <c r="I54" s="33">
        <f>Application!$B$2*Application!$B$3*SIN(H54)</f>
        <v>2556.7266609671046</v>
      </c>
      <c r="J54" s="33">
        <f>Application!$B$2*Application!$B$3*Application!$B$7*COS(H54)</f>
        <v>59.65695542256578</v>
      </c>
      <c r="K54" s="33">
        <f>0.5*Application!$B$5*Application!$B$6*Application!$B$4*D54^2</f>
        <v>56.355289199999952</v>
      </c>
      <c r="L54" s="33">
        <f>Application!$B$2*E54</f>
        <v>272.09999999999985</v>
      </c>
      <c r="M54" s="33">
        <f t="shared" si="11"/>
        <v>2944.83890558967</v>
      </c>
      <c r="N54" s="33">
        <f>M54*Application!$B$9</f>
        <v>1266.2807294035581</v>
      </c>
      <c r="O54" s="33">
        <f>D54*60/2/PI()/Application!$B$9</f>
        <v>135.46676551542717</v>
      </c>
      <c r="P54" s="33">
        <f>Application!$B$18*Application!$B$19</f>
        <v>16.5</v>
      </c>
      <c r="Q54" s="33">
        <f>N54/P54/Application!$B$17/Application!$B$10</f>
        <v>40.391729805536144</v>
      </c>
      <c r="R54" s="33">
        <f t="shared" si="12"/>
        <v>2235.2016310045483</v>
      </c>
      <c r="S54" s="35">
        <f t="shared" si="13"/>
        <v>9.4544828021563063</v>
      </c>
      <c r="T54" s="35">
        <f>S54*Application!$B$17</f>
        <v>18.908965604312613</v>
      </c>
      <c r="U54" s="35">
        <v>600</v>
      </c>
      <c r="V54" s="35">
        <f t="shared" si="14"/>
        <v>31.514942673854353</v>
      </c>
      <c r="W54" s="35">
        <f>AVERAGE(V54:V54)</f>
        <v>31.514942673854353</v>
      </c>
      <c r="X54" s="35">
        <f>W54*Application!$B$44/3600</f>
        <v>8.75415074273732E-3</v>
      </c>
      <c r="Y54" s="35">
        <f>SUM($X$2:X54)</f>
        <v>0.85336424072442729</v>
      </c>
      <c r="Z54" s="33">
        <f>100*1000/600</f>
        <v>166.66666666666666</v>
      </c>
      <c r="AA54" s="33">
        <f t="shared" si="15"/>
        <v>99.487981455565347</v>
      </c>
      <c r="AB54" s="35">
        <f t="shared" si="16"/>
        <v>0.51201854443465633</v>
      </c>
    </row>
    <row r="55" spans="1:28" x14ac:dyDescent="0.25">
      <c r="A55" s="30">
        <f>A34+Application!$B$44</f>
        <v>33</v>
      </c>
      <c r="B55" s="30">
        <f>3600*D55/1000</f>
        <v>0.36</v>
      </c>
      <c r="C55" s="30">
        <v>0.1</v>
      </c>
      <c r="D55" s="30">
        <v>0.1</v>
      </c>
      <c r="E55" s="31">
        <v>0</v>
      </c>
      <c r="F55" s="30">
        <f>$F$2/D55</f>
        <v>35590.68</v>
      </c>
      <c r="G55" s="30">
        <f>Application!B11</f>
        <v>60</v>
      </c>
      <c r="H55" s="30">
        <f>ATAN2(100,G55)</f>
        <v>0.54041950027058416</v>
      </c>
      <c r="I55" s="30">
        <f>Application!$B$2*Application!$B$3*SIN(H55)</f>
        <v>4577.81344819484</v>
      </c>
      <c r="J55" s="30">
        <f>Application!$B$2*Application!$B$3*Application!$B$7*COS(H55)</f>
        <v>53.40782356227313</v>
      </c>
      <c r="K55" s="30">
        <f>0.5*Application!$B$5*Application!$B$6*Application!$B$4*D55^2</f>
        <v>1.5145200000000001E-2</v>
      </c>
      <c r="L55" s="30">
        <f>Application!$B$2*E55</f>
        <v>0</v>
      </c>
      <c r="M55" s="30">
        <f>SUM(I55,J55,K55,L55)</f>
        <v>4631.2364169571129</v>
      </c>
      <c r="N55" s="30">
        <f>M55*Application!$B$9</f>
        <v>1991.4316592915584</v>
      </c>
      <c r="O55" s="30">
        <f>D55*60/2/PI()/Application!$B$9</f>
        <v>2.2207666477938885</v>
      </c>
      <c r="P55" s="30">
        <f>Application!$B$18*Application!$B$19</f>
        <v>16.5</v>
      </c>
      <c r="Q55" s="30">
        <f>N55/P55/Application!$B$17/Application!$B$10</f>
        <v>63.522540966237912</v>
      </c>
      <c r="R55" s="30">
        <f>O55*P55</f>
        <v>36.642649688599164</v>
      </c>
      <c r="S55" s="32">
        <f>Q55*R55*2*PI()/60/1000</f>
        <v>0.24374928510300597</v>
      </c>
      <c r="T55" s="32">
        <f>S55*Application!$B$17</f>
        <v>0.48749857020601195</v>
      </c>
      <c r="U55" s="32">
        <v>600</v>
      </c>
      <c r="V55" s="32">
        <f>1000*T55/U55</f>
        <v>0.81249761701001988</v>
      </c>
      <c r="W55" s="32">
        <f>AVERAGE(V35:V35)</f>
        <v>2.0271760979576636</v>
      </c>
      <c r="X55" s="32">
        <f>W55*Application!$B$44/3600</f>
        <v>5.6310447165490657E-4</v>
      </c>
      <c r="Y55" s="32">
        <f>SUM($X$2:X55)</f>
        <v>0.85392734519608215</v>
      </c>
      <c r="Z55" s="30">
        <f>Application!$B$21*1000/Application!$B$20</f>
        <v>166.66666666666666</v>
      </c>
      <c r="AA55" s="30">
        <f>100*(Z55-Y55)/Z55</f>
        <v>99.48764359288235</v>
      </c>
      <c r="AB55" s="32">
        <f>100*Y55/Z55</f>
        <v>0.51235640711764929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zoomScale="40" zoomScaleNormal="40" workbookViewId="0">
      <selection activeCell="AK48" sqref="AK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73</v>
      </c>
      <c r="B1" s="9" t="s">
        <v>65</v>
      </c>
      <c r="C1" s="9" t="s">
        <v>66</v>
      </c>
      <c r="D1" s="9" t="s">
        <v>67</v>
      </c>
      <c r="E1" s="10" t="s">
        <v>68</v>
      </c>
      <c r="G1" s="11" t="s">
        <v>74</v>
      </c>
      <c r="H1" s="9" t="s">
        <v>65</v>
      </c>
      <c r="I1" s="9" t="s">
        <v>75</v>
      </c>
      <c r="J1" s="9" t="s">
        <v>48</v>
      </c>
      <c r="K1" s="10" t="s">
        <v>68</v>
      </c>
    </row>
    <row r="2" spans="1:11" x14ac:dyDescent="0.25">
      <c r="A2" s="50" t="s">
        <v>57</v>
      </c>
      <c r="B2" s="47">
        <v>15000</v>
      </c>
      <c r="C2" s="47">
        <v>300</v>
      </c>
      <c r="D2" s="47">
        <v>1330</v>
      </c>
      <c r="E2" s="12">
        <v>1.35</v>
      </c>
      <c r="G2" s="50" t="s">
        <v>72</v>
      </c>
      <c r="H2" s="47">
        <v>4000</v>
      </c>
      <c r="I2" s="47">
        <v>125</v>
      </c>
      <c r="J2" s="47">
        <v>250</v>
      </c>
      <c r="K2" s="15">
        <v>35.01</v>
      </c>
    </row>
    <row r="3" spans="1:11" ht="15.75" thickBot="1" x14ac:dyDescent="0.3">
      <c r="A3" s="51"/>
      <c r="B3" s="48"/>
      <c r="C3" s="48"/>
      <c r="D3" s="48"/>
      <c r="E3" s="13">
        <v>2.5299999999999998</v>
      </c>
      <c r="G3" s="52"/>
      <c r="H3" s="49"/>
      <c r="I3" s="49"/>
      <c r="J3" s="49"/>
      <c r="K3" s="16">
        <v>47.74</v>
      </c>
    </row>
    <row r="4" spans="1:11" ht="15.75" thickBot="1" x14ac:dyDescent="0.3">
      <c r="A4" s="51"/>
      <c r="B4" s="48"/>
      <c r="C4" s="48"/>
      <c r="D4" s="48"/>
      <c r="E4" s="13">
        <v>3.5</v>
      </c>
      <c r="G4" s="6" t="s">
        <v>76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51"/>
      <c r="B5" s="48"/>
      <c r="C5" s="48"/>
      <c r="D5" s="48"/>
      <c r="E5" s="13">
        <v>4</v>
      </c>
      <c r="G5" s="6" t="s">
        <v>77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52"/>
      <c r="B6" s="49"/>
      <c r="C6" s="49"/>
      <c r="D6" s="49"/>
      <c r="E6" s="14">
        <v>4.43</v>
      </c>
      <c r="G6" s="50" t="s">
        <v>78</v>
      </c>
      <c r="H6" s="47">
        <v>1106</v>
      </c>
      <c r="I6" s="47">
        <v>500</v>
      </c>
      <c r="J6" s="47">
        <v>1000</v>
      </c>
      <c r="K6" s="15">
        <v>21.26</v>
      </c>
    </row>
    <row r="7" spans="1:11" x14ac:dyDescent="0.25">
      <c r="A7" s="41" t="s">
        <v>58</v>
      </c>
      <c r="B7" s="44">
        <v>15000</v>
      </c>
      <c r="C7" s="44">
        <v>300</v>
      </c>
      <c r="D7" s="44">
        <v>4000</v>
      </c>
      <c r="E7" s="12">
        <v>5.2</v>
      </c>
      <c r="G7" s="51"/>
      <c r="H7" s="48"/>
      <c r="I7" s="48"/>
      <c r="J7" s="48"/>
      <c r="K7" s="18">
        <v>30.68</v>
      </c>
    </row>
    <row r="8" spans="1:11" x14ac:dyDescent="0.25">
      <c r="A8" s="42"/>
      <c r="B8" s="45"/>
      <c r="C8" s="45"/>
      <c r="D8" s="45"/>
      <c r="E8" s="13">
        <v>6.04</v>
      </c>
      <c r="G8" s="51"/>
      <c r="H8" s="48"/>
      <c r="I8" s="48"/>
      <c r="J8" s="48"/>
      <c r="K8" s="18">
        <v>45.13</v>
      </c>
    </row>
    <row r="9" spans="1:11" ht="15.75" thickBot="1" x14ac:dyDescent="0.3">
      <c r="A9" s="42"/>
      <c r="B9" s="45"/>
      <c r="C9" s="45"/>
      <c r="D9" s="45"/>
      <c r="E9" s="13">
        <v>7.04</v>
      </c>
      <c r="G9" s="52"/>
      <c r="H9" s="49"/>
      <c r="I9" s="49"/>
      <c r="J9" s="49"/>
      <c r="K9" s="16">
        <v>50.62</v>
      </c>
    </row>
    <row r="10" spans="1:11" x14ac:dyDescent="0.25">
      <c r="A10" s="42"/>
      <c r="B10" s="45"/>
      <c r="C10" s="45"/>
      <c r="D10" s="45"/>
      <c r="E10" s="13">
        <v>8.08</v>
      </c>
      <c r="G10" s="50" t="s">
        <v>79</v>
      </c>
      <c r="H10" s="47">
        <v>5000</v>
      </c>
      <c r="I10" s="47">
        <v>3500</v>
      </c>
      <c r="J10" s="47">
        <v>7000</v>
      </c>
      <c r="K10" s="15">
        <v>18.78</v>
      </c>
    </row>
    <row r="11" spans="1:11" x14ac:dyDescent="0.25">
      <c r="A11" s="42"/>
      <c r="B11" s="45"/>
      <c r="C11" s="45"/>
      <c r="D11" s="45"/>
      <c r="E11" s="13">
        <v>9.1</v>
      </c>
      <c r="G11" s="51"/>
      <c r="H11" s="48"/>
      <c r="I11" s="48"/>
      <c r="J11" s="48"/>
      <c r="K11" s="18">
        <v>24.92</v>
      </c>
    </row>
    <row r="12" spans="1:11" x14ac:dyDescent="0.25">
      <c r="A12" s="42"/>
      <c r="B12" s="45"/>
      <c r="C12" s="45"/>
      <c r="D12" s="45"/>
      <c r="E12" s="13">
        <v>10.11</v>
      </c>
      <c r="G12" s="51"/>
      <c r="H12" s="48"/>
      <c r="I12" s="48"/>
      <c r="J12" s="48"/>
      <c r="K12" s="18">
        <v>25.92</v>
      </c>
    </row>
    <row r="13" spans="1:11" x14ac:dyDescent="0.25">
      <c r="A13" s="42"/>
      <c r="B13" s="45"/>
      <c r="C13" s="45"/>
      <c r="D13" s="45"/>
      <c r="E13" s="13">
        <v>11.05</v>
      </c>
      <c r="G13" s="51"/>
      <c r="H13" s="48"/>
      <c r="I13" s="48"/>
      <c r="J13" s="48"/>
      <c r="K13" s="18">
        <v>47.6</v>
      </c>
    </row>
    <row r="14" spans="1:11" x14ac:dyDescent="0.25">
      <c r="A14" s="42"/>
      <c r="B14" s="45"/>
      <c r="C14" s="45"/>
      <c r="D14" s="45"/>
      <c r="E14" s="13">
        <v>11.9</v>
      </c>
      <c r="G14" s="51"/>
      <c r="H14" s="48"/>
      <c r="I14" s="48"/>
      <c r="J14" s="48"/>
      <c r="K14" s="18">
        <v>57.49</v>
      </c>
    </row>
    <row r="15" spans="1:11" ht="15.75" thickBot="1" x14ac:dyDescent="0.3">
      <c r="A15" s="43"/>
      <c r="B15" s="46"/>
      <c r="C15" s="46"/>
      <c r="D15" s="46"/>
      <c r="E15" s="14">
        <v>13.35</v>
      </c>
      <c r="G15" s="52"/>
      <c r="H15" s="49"/>
      <c r="I15" s="49"/>
      <c r="J15" s="49"/>
      <c r="K15" s="16">
        <v>64.08</v>
      </c>
    </row>
    <row r="16" spans="1:11" x14ac:dyDescent="0.25">
      <c r="A16" s="41" t="s">
        <v>59</v>
      </c>
      <c r="B16" s="44">
        <v>12000</v>
      </c>
      <c r="C16" s="44">
        <v>600</v>
      </c>
      <c r="D16" s="44">
        <v>2100</v>
      </c>
      <c r="E16" s="12">
        <v>1.1000000000000001</v>
      </c>
    </row>
    <row r="17" spans="1:5" x14ac:dyDescent="0.25">
      <c r="A17" s="42"/>
      <c r="B17" s="45"/>
      <c r="C17" s="45"/>
      <c r="D17" s="45"/>
      <c r="E17" s="13">
        <v>1.97</v>
      </c>
    </row>
    <row r="18" spans="1:5" x14ac:dyDescent="0.25">
      <c r="A18" s="42"/>
      <c r="B18" s="45"/>
      <c r="C18" s="45"/>
      <c r="D18" s="45"/>
      <c r="E18" s="13">
        <v>2.88</v>
      </c>
    </row>
    <row r="19" spans="1:5" ht="15.75" thickBot="1" x14ac:dyDescent="0.3">
      <c r="A19" s="43"/>
      <c r="B19" s="46"/>
      <c r="C19" s="46"/>
      <c r="D19" s="46"/>
      <c r="E19" s="14">
        <v>3.5</v>
      </c>
    </row>
    <row r="20" spans="1:5" x14ac:dyDescent="0.25">
      <c r="A20" s="41" t="s">
        <v>60</v>
      </c>
      <c r="B20" s="44">
        <v>12000</v>
      </c>
      <c r="C20" s="44">
        <v>600</v>
      </c>
      <c r="D20" s="44">
        <v>6500</v>
      </c>
      <c r="E20" s="12">
        <v>5.9</v>
      </c>
    </row>
    <row r="21" spans="1:5" x14ac:dyDescent="0.25">
      <c r="A21" s="42"/>
      <c r="B21" s="45"/>
      <c r="C21" s="45"/>
      <c r="D21" s="45"/>
      <c r="E21" s="13">
        <v>7.42</v>
      </c>
    </row>
    <row r="22" spans="1:5" x14ac:dyDescent="0.25">
      <c r="A22" s="42"/>
      <c r="B22" s="45"/>
      <c r="C22" s="45"/>
      <c r="D22" s="45"/>
      <c r="E22" s="13">
        <v>8.5500000000000007</v>
      </c>
    </row>
    <row r="23" spans="1:5" x14ac:dyDescent="0.25">
      <c r="A23" s="42"/>
      <c r="B23" s="45"/>
      <c r="C23" s="45"/>
      <c r="D23" s="45"/>
      <c r="E23" s="13">
        <v>9.4600000000000009</v>
      </c>
    </row>
    <row r="24" spans="1:5" x14ac:dyDescent="0.25">
      <c r="A24" s="42"/>
      <c r="B24" s="45"/>
      <c r="C24" s="45"/>
      <c r="D24" s="45"/>
      <c r="E24" s="13">
        <v>9.94</v>
      </c>
    </row>
    <row r="25" spans="1:5" x14ac:dyDescent="0.25">
      <c r="A25" s="42"/>
      <c r="B25" s="45"/>
      <c r="C25" s="45"/>
      <c r="D25" s="45"/>
      <c r="E25" s="13">
        <v>10.79</v>
      </c>
    </row>
    <row r="26" spans="1:5" x14ac:dyDescent="0.25">
      <c r="A26" s="42"/>
      <c r="B26" s="45"/>
      <c r="C26" s="45"/>
      <c r="D26" s="45"/>
      <c r="E26" s="13">
        <v>12.36</v>
      </c>
    </row>
    <row r="27" spans="1:5" ht="15.75" thickBot="1" x14ac:dyDescent="0.3">
      <c r="A27" s="43"/>
      <c r="B27" s="46"/>
      <c r="C27" s="46"/>
      <c r="D27" s="46"/>
      <c r="E27" s="14">
        <v>13.32</v>
      </c>
    </row>
    <row r="28" spans="1:5" x14ac:dyDescent="0.25">
      <c r="A28" s="41" t="s">
        <v>61</v>
      </c>
      <c r="B28" s="44">
        <v>7500</v>
      </c>
      <c r="C28" s="44">
        <v>1200</v>
      </c>
      <c r="D28" s="44">
        <v>4770</v>
      </c>
      <c r="E28" s="12" t="s">
        <v>69</v>
      </c>
    </row>
    <row r="29" spans="1:5" x14ac:dyDescent="0.25">
      <c r="A29" s="42"/>
      <c r="B29" s="45"/>
      <c r="C29" s="45"/>
      <c r="D29" s="45"/>
      <c r="E29" s="13">
        <v>1</v>
      </c>
    </row>
    <row r="30" spans="1:5" x14ac:dyDescent="0.25">
      <c r="A30" s="42"/>
      <c r="B30" s="45"/>
      <c r="C30" s="45"/>
      <c r="D30" s="45"/>
      <c r="E30" s="13">
        <v>2</v>
      </c>
    </row>
    <row r="31" spans="1:5" x14ac:dyDescent="0.25">
      <c r="A31" s="42"/>
      <c r="B31" s="45"/>
      <c r="C31" s="45"/>
      <c r="D31" s="45"/>
      <c r="E31" s="13">
        <v>2.97</v>
      </c>
    </row>
    <row r="32" spans="1:5" ht="15.75" thickBot="1" x14ac:dyDescent="0.3">
      <c r="A32" s="43"/>
      <c r="B32" s="46"/>
      <c r="C32" s="46"/>
      <c r="D32" s="46"/>
      <c r="E32" s="14">
        <v>3.94</v>
      </c>
    </row>
    <row r="33" spans="1:5" x14ac:dyDescent="0.25">
      <c r="A33" s="41" t="s">
        <v>62</v>
      </c>
      <c r="B33" s="44"/>
      <c r="C33" s="44">
        <v>265</v>
      </c>
      <c r="D33" s="44"/>
      <c r="E33" s="12">
        <v>2.98</v>
      </c>
    </row>
    <row r="34" spans="1:5" x14ac:dyDescent="0.25">
      <c r="A34" s="42"/>
      <c r="B34" s="45"/>
      <c r="C34" s="45"/>
      <c r="D34" s="45"/>
      <c r="E34" s="13">
        <v>3.98</v>
      </c>
    </row>
    <row r="35" spans="1:5" ht="15.75" thickBot="1" x14ac:dyDescent="0.3">
      <c r="A35" s="43"/>
      <c r="B35" s="46"/>
      <c r="C35" s="46"/>
      <c r="D35" s="46"/>
      <c r="E35" s="14">
        <v>6.03</v>
      </c>
    </row>
    <row r="36" spans="1:5" x14ac:dyDescent="0.25">
      <c r="A36" s="41" t="s">
        <v>63</v>
      </c>
      <c r="B36" s="44">
        <v>12500</v>
      </c>
      <c r="C36" s="44" t="s">
        <v>70</v>
      </c>
      <c r="D36" s="44" t="s">
        <v>71</v>
      </c>
      <c r="E36" s="12">
        <v>5.67</v>
      </c>
    </row>
    <row r="37" spans="1:5" ht="15.75" thickBot="1" x14ac:dyDescent="0.3">
      <c r="A37" s="43"/>
      <c r="B37" s="46"/>
      <c r="C37" s="46"/>
      <c r="D37" s="46"/>
      <c r="E37" s="14">
        <v>6</v>
      </c>
    </row>
    <row r="38" spans="1:5" x14ac:dyDescent="0.25">
      <c r="A38" s="41" t="s">
        <v>64</v>
      </c>
      <c r="B38" s="44">
        <v>12500</v>
      </c>
      <c r="C38" s="44" t="s">
        <v>70</v>
      </c>
      <c r="D38" s="44" t="s">
        <v>71</v>
      </c>
      <c r="E38" s="12">
        <v>5.67</v>
      </c>
    </row>
    <row r="39" spans="1:5" ht="15.75" thickBot="1" x14ac:dyDescent="0.3">
      <c r="A39" s="43"/>
      <c r="B39" s="46"/>
      <c r="C39" s="46"/>
      <c r="D39" s="46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37A3-BE8A-452C-BEBB-B3204BB29F6A}">
  <dimension ref="A1:I146"/>
  <sheetViews>
    <sheetView workbookViewId="0">
      <selection activeCell="K36" sqref="K36"/>
    </sheetView>
  </sheetViews>
  <sheetFormatPr defaultRowHeight="15" x14ac:dyDescent="0.25"/>
  <sheetData>
    <row r="1" spans="1:8" ht="15.75" thickBot="1" x14ac:dyDescent="0.3"/>
    <row r="2" spans="1:8" ht="16.5" thickTop="1" thickBot="1" x14ac:dyDescent="0.3">
      <c r="A2" s="53" t="s">
        <v>54</v>
      </c>
      <c r="B2" s="53"/>
      <c r="C2" s="53"/>
      <c r="D2" s="53"/>
      <c r="E2" s="53"/>
      <c r="F2" s="53"/>
      <c r="G2" s="53"/>
      <c r="H2" s="53"/>
    </row>
    <row r="3" spans="1:8" ht="60.75" thickTop="1" x14ac:dyDescent="0.25">
      <c r="A3" s="2" t="s">
        <v>47</v>
      </c>
      <c r="B3" s="2" t="s">
        <v>48</v>
      </c>
      <c r="C3" s="2" t="s">
        <v>49</v>
      </c>
      <c r="D3" s="2" t="s">
        <v>50</v>
      </c>
      <c r="E3" s="2" t="s">
        <v>51</v>
      </c>
      <c r="F3" s="2" t="s">
        <v>52</v>
      </c>
      <c r="G3" s="2" t="s">
        <v>53</v>
      </c>
    </row>
    <row r="4" spans="1:8" x14ac:dyDescent="0.25">
      <c r="A4" s="5">
        <v>0</v>
      </c>
      <c r="B4" s="1">
        <v>35</v>
      </c>
      <c r="C4" s="1">
        <v>0</v>
      </c>
      <c r="D4" s="1">
        <v>12</v>
      </c>
      <c r="E4" s="1">
        <v>0</v>
      </c>
      <c r="F4" s="1">
        <v>208</v>
      </c>
      <c r="G4" s="1">
        <f t="shared" ref="G4:G13" si="0">D4*$F$4/$B$4</f>
        <v>71.314285714285717</v>
      </c>
    </row>
    <row r="5" spans="1:8" x14ac:dyDescent="0.25">
      <c r="A5" s="5">
        <v>500</v>
      </c>
      <c r="B5" s="1">
        <v>35</v>
      </c>
      <c r="C5" s="1">
        <v>1.8324607329842932</v>
      </c>
      <c r="D5" s="1">
        <v>12</v>
      </c>
      <c r="E5" s="1">
        <v>0.62827225130890052</v>
      </c>
      <c r="F5" s="1">
        <v>208</v>
      </c>
      <c r="G5" s="1">
        <f t="shared" si="0"/>
        <v>71.314285714285717</v>
      </c>
    </row>
    <row r="6" spans="1:8" x14ac:dyDescent="0.25">
      <c r="A6" s="5">
        <v>1000</v>
      </c>
      <c r="B6" s="1">
        <v>35</v>
      </c>
      <c r="C6" s="1">
        <v>3.6649214659685865</v>
      </c>
      <c r="D6" s="1">
        <v>12</v>
      </c>
      <c r="E6" s="1">
        <v>1.256544502617801</v>
      </c>
      <c r="F6" s="1">
        <v>208</v>
      </c>
      <c r="G6" s="1">
        <f t="shared" si="0"/>
        <v>71.314285714285717</v>
      </c>
    </row>
    <row r="7" spans="1:8" x14ac:dyDescent="0.25">
      <c r="A7" s="5">
        <v>1800</v>
      </c>
      <c r="B7" s="1">
        <v>35</v>
      </c>
      <c r="C7" s="1">
        <v>6.5968586387434556</v>
      </c>
      <c r="D7" s="1">
        <v>12</v>
      </c>
      <c r="E7" s="1">
        <v>2.261780104712042</v>
      </c>
      <c r="F7" s="1">
        <v>208</v>
      </c>
      <c r="G7" s="1">
        <f t="shared" si="0"/>
        <v>71.314285714285717</v>
      </c>
    </row>
    <row r="8" spans="1:8" x14ac:dyDescent="0.25">
      <c r="A8" s="5">
        <v>2000</v>
      </c>
      <c r="B8" s="1">
        <v>31.5</v>
      </c>
      <c r="C8" s="1">
        <v>6.5968586387434556</v>
      </c>
      <c r="D8" s="1">
        <v>12</v>
      </c>
      <c r="E8" s="1">
        <v>2.5130890052356021</v>
      </c>
      <c r="F8" s="1">
        <f t="shared" ref="F8:F13" si="1">B8*$F$4/$B$4</f>
        <v>187.2</v>
      </c>
      <c r="G8" s="1">
        <f t="shared" si="0"/>
        <v>71.314285714285717</v>
      </c>
    </row>
    <row r="9" spans="1:8" x14ac:dyDescent="0.25">
      <c r="A9" s="5">
        <v>2500</v>
      </c>
      <c r="B9" s="1">
        <v>25.2</v>
      </c>
      <c r="C9" s="1">
        <v>6.5968586387434556</v>
      </c>
      <c r="D9" s="1">
        <v>12</v>
      </c>
      <c r="E9" s="1">
        <v>3.1413612565445028</v>
      </c>
      <c r="F9" s="1">
        <f t="shared" si="1"/>
        <v>149.76</v>
      </c>
      <c r="G9" s="1">
        <f t="shared" si="0"/>
        <v>71.314285714285717</v>
      </c>
    </row>
    <row r="10" spans="1:8" x14ac:dyDescent="0.25">
      <c r="A10" s="5">
        <v>3000</v>
      </c>
      <c r="B10" s="1">
        <v>21</v>
      </c>
      <c r="C10" s="1">
        <v>6.5968586387434556</v>
      </c>
      <c r="D10" s="1">
        <v>10.000000000000002</v>
      </c>
      <c r="E10" s="1">
        <v>3.1413612565445028</v>
      </c>
      <c r="F10" s="1">
        <f t="shared" si="1"/>
        <v>124.8</v>
      </c>
      <c r="G10" s="1">
        <f t="shared" si="0"/>
        <v>59.428571428571445</v>
      </c>
    </row>
    <row r="11" spans="1:8" x14ac:dyDescent="0.25">
      <c r="A11" s="5">
        <v>3500</v>
      </c>
      <c r="B11" s="1">
        <v>18</v>
      </c>
      <c r="C11" s="1">
        <v>6.5968586387434556</v>
      </c>
      <c r="D11" s="1">
        <v>8.571428571428573</v>
      </c>
      <c r="E11" s="1">
        <v>3.1413612565445028</v>
      </c>
      <c r="F11" s="1">
        <f t="shared" si="1"/>
        <v>106.97142857142858</v>
      </c>
      <c r="G11" s="1">
        <f t="shared" si="0"/>
        <v>50.938775510204088</v>
      </c>
    </row>
    <row r="12" spans="1:8" x14ac:dyDescent="0.25">
      <c r="A12" s="5">
        <v>4000</v>
      </c>
      <c r="B12" s="1">
        <v>15.75</v>
      </c>
      <c r="C12" s="1">
        <v>6.5968586387434556</v>
      </c>
      <c r="D12" s="1">
        <v>7.5000000000000009</v>
      </c>
      <c r="E12" s="1">
        <v>3.1413612565445028</v>
      </c>
      <c r="F12" s="1">
        <f t="shared" si="1"/>
        <v>93.6</v>
      </c>
      <c r="G12" s="1">
        <f t="shared" si="0"/>
        <v>44.571428571428577</v>
      </c>
    </row>
    <row r="13" spans="1:8" x14ac:dyDescent="0.25">
      <c r="A13" s="5">
        <v>4500</v>
      </c>
      <c r="B13" s="1">
        <v>14</v>
      </c>
      <c r="C13" s="1">
        <v>6.5968586387434556</v>
      </c>
      <c r="D13" s="1">
        <v>6.6666666666666679</v>
      </c>
      <c r="E13" s="1">
        <v>3.1413612565445028</v>
      </c>
      <c r="F13" s="1">
        <f t="shared" si="1"/>
        <v>83.2</v>
      </c>
      <c r="G13" s="1">
        <f t="shared" si="0"/>
        <v>39.619047619047628</v>
      </c>
    </row>
    <row r="14" spans="1:8" ht="15.75" thickBot="1" x14ac:dyDescent="0.3">
      <c r="A14" s="1"/>
      <c r="B14" s="1"/>
      <c r="C14" s="1"/>
      <c r="D14" s="1"/>
      <c r="E14" s="1"/>
      <c r="F14" s="1"/>
    </row>
    <row r="15" spans="1:8" ht="16.5" thickTop="1" thickBot="1" x14ac:dyDescent="0.3">
      <c r="A15" s="54" t="s">
        <v>55</v>
      </c>
      <c r="B15" s="54"/>
      <c r="C15" s="54"/>
      <c r="D15" s="54"/>
      <c r="E15" s="54"/>
      <c r="F15" s="54"/>
      <c r="G15" s="54"/>
      <c r="H15" s="54"/>
    </row>
    <row r="16" spans="1:8" ht="60.75" thickTop="1" x14ac:dyDescent="0.25">
      <c r="A16" s="4" t="s">
        <v>47</v>
      </c>
      <c r="B16" s="4" t="s">
        <v>48</v>
      </c>
      <c r="C16" s="4" t="s">
        <v>49</v>
      </c>
      <c r="D16" s="4" t="s">
        <v>50</v>
      </c>
      <c r="E16" s="4" t="s">
        <v>51</v>
      </c>
      <c r="F16" s="2" t="s">
        <v>52</v>
      </c>
      <c r="G16" s="2" t="s">
        <v>53</v>
      </c>
    </row>
    <row r="17" spans="1:8" x14ac:dyDescent="0.25">
      <c r="A17" s="5">
        <v>0</v>
      </c>
      <c r="B17" s="1">
        <v>58</v>
      </c>
      <c r="C17" s="1">
        <v>0</v>
      </c>
      <c r="D17" s="1">
        <v>18</v>
      </c>
      <c r="E17" s="1">
        <v>0</v>
      </c>
      <c r="F17" s="1">
        <v>384</v>
      </c>
      <c r="G17" s="1">
        <f t="shared" ref="G17:G26" si="2">D17*$F$17/$B$17</f>
        <v>119.17241379310344</v>
      </c>
    </row>
    <row r="18" spans="1:8" x14ac:dyDescent="0.25">
      <c r="A18" s="5">
        <v>500</v>
      </c>
      <c r="B18" s="1">
        <v>58</v>
      </c>
      <c r="C18" s="1">
        <v>3.0366492146596857</v>
      </c>
      <c r="D18" s="1">
        <v>18</v>
      </c>
      <c r="E18" s="1">
        <v>0.94240837696335078</v>
      </c>
      <c r="F18" s="1">
        <f t="shared" ref="F18:F26" si="3">B18*$F$17/$B$17</f>
        <v>384</v>
      </c>
      <c r="G18" s="1">
        <f t="shared" si="2"/>
        <v>119.17241379310344</v>
      </c>
    </row>
    <row r="19" spans="1:8" x14ac:dyDescent="0.25">
      <c r="A19" s="5">
        <v>1000</v>
      </c>
      <c r="B19" s="1">
        <v>58</v>
      </c>
      <c r="C19" s="1">
        <v>6.0732984293193715</v>
      </c>
      <c r="D19" s="1">
        <v>18</v>
      </c>
      <c r="E19" s="1">
        <v>1.8848167539267016</v>
      </c>
      <c r="F19" s="1">
        <f t="shared" si="3"/>
        <v>384</v>
      </c>
      <c r="G19" s="1">
        <f t="shared" si="2"/>
        <v>119.17241379310344</v>
      </c>
    </row>
    <row r="20" spans="1:8" x14ac:dyDescent="0.25">
      <c r="A20" s="5">
        <v>1500</v>
      </c>
      <c r="B20" s="1">
        <v>58</v>
      </c>
      <c r="C20" s="1">
        <v>9.1099476439790568</v>
      </c>
      <c r="D20" s="1">
        <v>18</v>
      </c>
      <c r="E20" s="1">
        <v>2.8272251308900525</v>
      </c>
      <c r="F20" s="1">
        <f t="shared" si="3"/>
        <v>384</v>
      </c>
      <c r="G20" s="1">
        <f t="shared" si="2"/>
        <v>119.17241379310344</v>
      </c>
    </row>
    <row r="21" spans="1:8" x14ac:dyDescent="0.25">
      <c r="A21" s="5">
        <v>2000</v>
      </c>
      <c r="B21" s="1">
        <v>58</v>
      </c>
      <c r="C21" s="1">
        <v>12.146596858638743</v>
      </c>
      <c r="D21" s="1">
        <v>18</v>
      </c>
      <c r="E21" s="1">
        <v>3.7696335078534031</v>
      </c>
      <c r="F21" s="1">
        <f t="shared" si="3"/>
        <v>384</v>
      </c>
      <c r="G21" s="1">
        <f t="shared" si="2"/>
        <v>119.17241379310344</v>
      </c>
    </row>
    <row r="22" spans="1:8" x14ac:dyDescent="0.25">
      <c r="A22" s="5">
        <v>2650</v>
      </c>
      <c r="B22" s="1">
        <v>43.773584905660378</v>
      </c>
      <c r="C22" s="1">
        <v>12.146596858638743</v>
      </c>
      <c r="D22" s="1">
        <v>18</v>
      </c>
      <c r="E22" s="1">
        <v>4.994764397905759</v>
      </c>
      <c r="F22" s="1">
        <f t="shared" si="3"/>
        <v>289.81132075471697</v>
      </c>
      <c r="G22" s="1">
        <f t="shared" si="2"/>
        <v>119.17241379310344</v>
      </c>
    </row>
    <row r="23" spans="1:8" x14ac:dyDescent="0.25">
      <c r="A23" s="5">
        <v>3000</v>
      </c>
      <c r="B23" s="1">
        <v>38.666666666666664</v>
      </c>
      <c r="C23" s="1">
        <v>12.146596858638743</v>
      </c>
      <c r="D23" s="1">
        <v>15.9</v>
      </c>
      <c r="E23" s="1">
        <v>4.994764397905759</v>
      </c>
      <c r="F23" s="1">
        <f t="shared" si="3"/>
        <v>256</v>
      </c>
      <c r="G23" s="1">
        <f t="shared" si="2"/>
        <v>105.26896551724138</v>
      </c>
    </row>
    <row r="24" spans="1:8" x14ac:dyDescent="0.25">
      <c r="A24" s="5">
        <v>3500</v>
      </c>
      <c r="B24" s="1">
        <v>33.142857142857146</v>
      </c>
      <c r="C24" s="1">
        <v>12.146596858638743</v>
      </c>
      <c r="D24" s="1">
        <v>13.628571428571428</v>
      </c>
      <c r="E24" s="1">
        <v>4.994764397905759</v>
      </c>
      <c r="F24" s="1">
        <f t="shared" si="3"/>
        <v>219.42857142857147</v>
      </c>
      <c r="G24" s="1">
        <f t="shared" si="2"/>
        <v>90.23054187192119</v>
      </c>
    </row>
    <row r="25" spans="1:8" x14ac:dyDescent="0.25">
      <c r="A25" s="5">
        <v>4000</v>
      </c>
      <c r="B25" s="1">
        <v>29</v>
      </c>
      <c r="C25" s="1">
        <v>12.146596858638743</v>
      </c>
      <c r="D25" s="1">
        <v>11.925000000000001</v>
      </c>
      <c r="E25" s="1">
        <v>4.994764397905759</v>
      </c>
      <c r="F25" s="1">
        <f t="shared" si="3"/>
        <v>192</v>
      </c>
      <c r="G25" s="1">
        <f t="shared" si="2"/>
        <v>78.951724137931052</v>
      </c>
    </row>
    <row r="26" spans="1:8" x14ac:dyDescent="0.25">
      <c r="A26" s="5">
        <v>4500</v>
      </c>
      <c r="B26" s="1">
        <v>25.777777777777779</v>
      </c>
      <c r="C26" s="1">
        <v>12.146596858638743</v>
      </c>
      <c r="D26" s="1">
        <v>10.6</v>
      </c>
      <c r="E26" s="1">
        <v>4.994764397905759</v>
      </c>
      <c r="F26" s="1">
        <f t="shared" si="3"/>
        <v>170.66666666666669</v>
      </c>
      <c r="G26" s="1">
        <f t="shared" si="2"/>
        <v>70.179310344827584</v>
      </c>
    </row>
    <row r="27" spans="1:8" ht="15.75" thickBot="1" x14ac:dyDescent="0.3">
      <c r="A27" s="1"/>
      <c r="B27" s="1"/>
      <c r="C27" s="1"/>
      <c r="D27" s="1"/>
      <c r="E27" s="1"/>
      <c r="F27" s="1"/>
    </row>
    <row r="28" spans="1:8" ht="16.5" thickTop="1" thickBot="1" x14ac:dyDescent="0.3">
      <c r="A28" s="54" t="s">
        <v>56</v>
      </c>
      <c r="B28" s="54"/>
      <c r="C28" s="54"/>
      <c r="D28" s="54"/>
      <c r="E28" s="54"/>
      <c r="F28" s="54"/>
      <c r="G28" s="54"/>
      <c r="H28" s="54"/>
    </row>
    <row r="29" spans="1:8" ht="60.75" thickTop="1" x14ac:dyDescent="0.25">
      <c r="A29" s="4" t="s">
        <v>47</v>
      </c>
      <c r="B29" s="4" t="s">
        <v>48</v>
      </c>
      <c r="C29" s="4" t="s">
        <v>49</v>
      </c>
      <c r="D29" s="4" t="s">
        <v>50</v>
      </c>
      <c r="E29" s="4" t="s">
        <v>51</v>
      </c>
      <c r="F29" s="2" t="s">
        <v>52</v>
      </c>
      <c r="G29" s="2" t="s">
        <v>53</v>
      </c>
    </row>
    <row r="30" spans="1:8" x14ac:dyDescent="0.25">
      <c r="A30" s="5">
        <v>0</v>
      </c>
      <c r="B30" s="1">
        <v>80</v>
      </c>
      <c r="C30" s="1">
        <v>0</v>
      </c>
      <c r="D30" s="1">
        <v>30</v>
      </c>
      <c r="E30" s="1">
        <v>0</v>
      </c>
      <c r="F30" s="1">
        <f>638</f>
        <v>638</v>
      </c>
      <c r="G30" s="1">
        <f t="shared" ref="G30:G42" si="4">D30*$F$30/$B$30</f>
        <v>239.25</v>
      </c>
    </row>
    <row r="31" spans="1:8" x14ac:dyDescent="0.25">
      <c r="A31" s="5">
        <v>500</v>
      </c>
      <c r="B31" s="1">
        <v>80</v>
      </c>
      <c r="C31" s="1">
        <v>4.1884816753926701</v>
      </c>
      <c r="D31" s="1">
        <v>30</v>
      </c>
      <c r="E31" s="1">
        <v>1.5706806282722514</v>
      </c>
      <c r="F31" s="1">
        <f t="shared" ref="F31:F42" si="5">B31*$F$30/$B$30</f>
        <v>638</v>
      </c>
      <c r="G31" s="1">
        <f t="shared" si="4"/>
        <v>239.25</v>
      </c>
    </row>
    <row r="32" spans="1:8" x14ac:dyDescent="0.25">
      <c r="A32" s="5">
        <v>1000</v>
      </c>
      <c r="B32" s="1">
        <v>80</v>
      </c>
      <c r="C32" s="1">
        <v>8.3769633507853403</v>
      </c>
      <c r="D32" s="1">
        <v>30</v>
      </c>
      <c r="E32" s="1">
        <v>3.1413612565445028</v>
      </c>
      <c r="F32" s="1">
        <f t="shared" si="5"/>
        <v>638</v>
      </c>
      <c r="G32" s="1">
        <f t="shared" si="4"/>
        <v>239.25</v>
      </c>
    </row>
    <row r="33" spans="1:9" x14ac:dyDescent="0.25">
      <c r="A33" s="5">
        <v>1500</v>
      </c>
      <c r="B33" s="1">
        <v>80</v>
      </c>
      <c r="C33" s="1">
        <v>12.565445026178011</v>
      </c>
      <c r="D33" s="1">
        <v>30</v>
      </c>
      <c r="E33" s="1">
        <v>4.7120418848167542</v>
      </c>
      <c r="F33" s="1">
        <f t="shared" si="5"/>
        <v>638</v>
      </c>
      <c r="G33" s="1">
        <f t="shared" si="4"/>
        <v>239.25</v>
      </c>
    </row>
    <row r="34" spans="1:9" x14ac:dyDescent="0.25">
      <c r="A34" s="5">
        <v>2000</v>
      </c>
      <c r="B34" s="1">
        <v>80</v>
      </c>
      <c r="C34" s="1">
        <v>16.753926701570681</v>
      </c>
      <c r="D34" s="1">
        <v>30</v>
      </c>
      <c r="E34" s="1">
        <v>6.2827225130890056</v>
      </c>
      <c r="F34" s="1">
        <f t="shared" si="5"/>
        <v>638</v>
      </c>
      <c r="G34" s="1">
        <f t="shared" si="4"/>
        <v>239.25</v>
      </c>
    </row>
    <row r="35" spans="1:9" x14ac:dyDescent="0.25">
      <c r="A35" s="5">
        <v>2400</v>
      </c>
      <c r="B35" s="1">
        <v>80</v>
      </c>
      <c r="C35" s="1">
        <v>20.104712041884817</v>
      </c>
      <c r="D35" s="1">
        <v>30</v>
      </c>
      <c r="E35" s="1">
        <v>7.5392670157068062</v>
      </c>
      <c r="F35" s="1">
        <f t="shared" si="5"/>
        <v>638</v>
      </c>
      <c r="G35" s="1">
        <f t="shared" si="4"/>
        <v>239.25</v>
      </c>
    </row>
    <row r="36" spans="1:9" x14ac:dyDescent="0.25">
      <c r="A36" s="5">
        <v>2600</v>
      </c>
      <c r="B36" s="1">
        <v>73.84615384615384</v>
      </c>
      <c r="C36" s="1">
        <v>20.104712041884817</v>
      </c>
      <c r="D36" s="1">
        <v>30</v>
      </c>
      <c r="E36" s="1">
        <v>8.167539267015707</v>
      </c>
      <c r="F36" s="1">
        <f t="shared" si="5"/>
        <v>588.92307692307691</v>
      </c>
      <c r="G36" s="1">
        <f t="shared" si="4"/>
        <v>239.25</v>
      </c>
    </row>
    <row r="37" spans="1:9" x14ac:dyDescent="0.25">
      <c r="A37" s="5">
        <v>3170</v>
      </c>
      <c r="B37" s="1">
        <v>60.56782334384858</v>
      </c>
      <c r="C37" s="1">
        <v>20.104712041884817</v>
      </c>
      <c r="D37" s="1">
        <v>30</v>
      </c>
      <c r="E37" s="1">
        <v>9.9581151832460737</v>
      </c>
      <c r="F37" s="1">
        <f t="shared" si="5"/>
        <v>483.02839116719241</v>
      </c>
      <c r="G37" s="1">
        <f t="shared" si="4"/>
        <v>239.25</v>
      </c>
    </row>
    <row r="38" spans="1:9" x14ac:dyDescent="0.25">
      <c r="A38" s="5">
        <v>4000</v>
      </c>
      <c r="B38" s="1">
        <v>48</v>
      </c>
      <c r="C38" s="1">
        <v>20.104712041884817</v>
      </c>
      <c r="D38" s="1">
        <v>23.774999999999999</v>
      </c>
      <c r="E38" s="1">
        <v>9.9581151832460737</v>
      </c>
      <c r="F38" s="1">
        <f t="shared" si="5"/>
        <v>382.8</v>
      </c>
      <c r="G38" s="1">
        <f t="shared" si="4"/>
        <v>189.60562499999997</v>
      </c>
    </row>
    <row r="39" spans="1:9" x14ac:dyDescent="0.25">
      <c r="A39" s="5">
        <v>4500</v>
      </c>
      <c r="B39" s="1">
        <v>42.666666666666664</v>
      </c>
      <c r="C39" s="1">
        <v>20.104712041884817</v>
      </c>
      <c r="D39" s="1">
        <v>21.133333333333333</v>
      </c>
      <c r="E39" s="1">
        <v>9.9581151832460737</v>
      </c>
      <c r="F39" s="1">
        <f t="shared" si="5"/>
        <v>340.26666666666665</v>
      </c>
      <c r="G39" s="1">
        <f t="shared" si="4"/>
        <v>168.53833333333333</v>
      </c>
    </row>
    <row r="40" spans="1:9" x14ac:dyDescent="0.25">
      <c r="A40" s="5">
        <v>5000</v>
      </c>
      <c r="B40" s="1">
        <v>38.4</v>
      </c>
      <c r="C40" s="1">
        <v>20.104712041884817</v>
      </c>
      <c r="D40" s="1">
        <v>19.02</v>
      </c>
      <c r="E40" s="1">
        <v>9.9581151832460737</v>
      </c>
      <c r="F40" s="1">
        <f t="shared" si="5"/>
        <v>306.24</v>
      </c>
      <c r="G40" s="1">
        <f t="shared" si="4"/>
        <v>151.68450000000001</v>
      </c>
    </row>
    <row r="41" spans="1:9" x14ac:dyDescent="0.25">
      <c r="A41" s="5">
        <v>5500</v>
      </c>
      <c r="B41" s="1">
        <v>34.909090909090907</v>
      </c>
      <c r="C41" s="1">
        <v>20.104712041884817</v>
      </c>
      <c r="D41" s="1">
        <v>17.290909090909089</v>
      </c>
      <c r="E41" s="1">
        <v>9.9581151832460737</v>
      </c>
      <c r="F41" s="1">
        <f t="shared" si="5"/>
        <v>278.39999999999998</v>
      </c>
      <c r="G41" s="1">
        <f t="shared" si="4"/>
        <v>137.89499999999998</v>
      </c>
    </row>
    <row r="42" spans="1:9" x14ac:dyDescent="0.25">
      <c r="A42" s="5">
        <v>6000</v>
      </c>
      <c r="B42" s="1">
        <v>32</v>
      </c>
      <c r="C42" s="1">
        <v>20.104712041884817</v>
      </c>
      <c r="D42" s="1">
        <v>15.85</v>
      </c>
      <c r="E42" s="1">
        <v>9.9581151832460737</v>
      </c>
      <c r="F42" s="1">
        <f t="shared" si="5"/>
        <v>255.2</v>
      </c>
      <c r="G42" s="1">
        <f t="shared" si="4"/>
        <v>126.40374999999999</v>
      </c>
    </row>
    <row r="43" spans="1:9" ht="15.75" thickBot="1" x14ac:dyDescent="0.3"/>
    <row r="44" spans="1:9" ht="16.5" thickTop="1" thickBot="1" x14ac:dyDescent="0.3">
      <c r="A44" s="54" t="s">
        <v>92</v>
      </c>
      <c r="B44" s="54"/>
      <c r="C44" s="54"/>
      <c r="D44" s="54"/>
      <c r="E44" s="54"/>
      <c r="F44" s="54"/>
      <c r="G44" s="54"/>
      <c r="H44" s="54"/>
      <c r="I44" s="54"/>
    </row>
    <row r="45" spans="1:9" ht="30.75" thickTop="1" x14ac:dyDescent="0.25">
      <c r="A45" s="19" t="s">
        <v>47</v>
      </c>
      <c r="B45" s="4" t="s">
        <v>84</v>
      </c>
      <c r="C45" s="4" t="s">
        <v>86</v>
      </c>
      <c r="D45" s="4" t="s">
        <v>85</v>
      </c>
      <c r="E45" s="4" t="s">
        <v>87</v>
      </c>
      <c r="F45" s="4" t="s">
        <v>88</v>
      </c>
      <c r="G45" s="4" t="s">
        <v>89</v>
      </c>
      <c r="H45" s="2" t="s">
        <v>90</v>
      </c>
      <c r="I45" s="2" t="s">
        <v>91</v>
      </c>
    </row>
    <row r="46" spans="1:9" x14ac:dyDescent="0.25">
      <c r="A46" s="1">
        <v>0</v>
      </c>
      <c r="B46" s="1">
        <v>45</v>
      </c>
      <c r="C46" s="1">
        <v>45</v>
      </c>
      <c r="D46" s="1">
        <v>45</v>
      </c>
      <c r="E46" s="1">
        <v>45</v>
      </c>
      <c r="F46" s="1">
        <v>130</v>
      </c>
      <c r="G46">
        <v>130</v>
      </c>
      <c r="H46">
        <v>132</v>
      </c>
      <c r="I46">
        <v>132</v>
      </c>
    </row>
    <row r="47" spans="1:9" x14ac:dyDescent="0.25">
      <c r="A47" s="1">
        <v>1000</v>
      </c>
      <c r="B47" s="1">
        <v>45</v>
      </c>
      <c r="C47" s="1">
        <v>45</v>
      </c>
      <c r="D47" s="1">
        <v>45</v>
      </c>
      <c r="E47" s="1">
        <v>45</v>
      </c>
      <c r="F47" s="1">
        <v>130</v>
      </c>
      <c r="G47">
        <v>130</v>
      </c>
      <c r="H47">
        <v>132</v>
      </c>
      <c r="I47">
        <v>132</v>
      </c>
    </row>
    <row r="48" spans="1:9" x14ac:dyDescent="0.25">
      <c r="A48" s="1">
        <v>2000</v>
      </c>
      <c r="B48" s="1">
        <v>45</v>
      </c>
      <c r="C48" s="1">
        <v>45</v>
      </c>
      <c r="D48" s="1">
        <v>45</v>
      </c>
      <c r="E48" s="1">
        <v>45</v>
      </c>
      <c r="F48" s="1">
        <v>130</v>
      </c>
      <c r="G48">
        <v>130</v>
      </c>
      <c r="H48">
        <v>132</v>
      </c>
      <c r="I48">
        <v>132</v>
      </c>
    </row>
    <row r="49" spans="1:9" x14ac:dyDescent="0.25">
      <c r="A49" s="1">
        <v>3000</v>
      </c>
      <c r="B49" s="1">
        <v>45</v>
      </c>
      <c r="C49" s="1">
        <v>45</v>
      </c>
      <c r="D49" s="1">
        <v>45</v>
      </c>
      <c r="E49" s="1">
        <v>45</v>
      </c>
      <c r="F49" s="1">
        <v>130</v>
      </c>
      <c r="G49">
        <v>130</v>
      </c>
      <c r="H49">
        <v>132</v>
      </c>
      <c r="I49">
        <v>132</v>
      </c>
    </row>
    <row r="50" spans="1:9" x14ac:dyDescent="0.25">
      <c r="A50" s="1">
        <v>4000</v>
      </c>
      <c r="B50" s="1">
        <v>45</v>
      </c>
      <c r="C50" s="1">
        <v>45</v>
      </c>
      <c r="D50" s="1">
        <v>45</v>
      </c>
      <c r="E50" s="1">
        <v>45</v>
      </c>
      <c r="F50" s="1">
        <v>130</v>
      </c>
      <c r="G50">
        <v>130</v>
      </c>
      <c r="H50">
        <v>132</v>
      </c>
      <c r="I50">
        <v>132</v>
      </c>
    </row>
    <row r="51" spans="1:9" x14ac:dyDescent="0.25">
      <c r="A51" s="1">
        <v>5000</v>
      </c>
      <c r="B51" s="1">
        <v>45</v>
      </c>
      <c r="C51" s="1">
        <v>45</v>
      </c>
      <c r="D51" s="1">
        <v>45</v>
      </c>
      <c r="E51" s="1">
        <v>45</v>
      </c>
      <c r="F51" s="1">
        <v>130</v>
      </c>
      <c r="G51">
        <v>130</v>
      </c>
      <c r="H51">
        <v>116.64203082384611</v>
      </c>
      <c r="I51">
        <v>132</v>
      </c>
    </row>
    <row r="52" spans="1:9" x14ac:dyDescent="0.25">
      <c r="A52" s="1">
        <v>6000</v>
      </c>
      <c r="B52" s="1">
        <v>45</v>
      </c>
      <c r="C52" s="1">
        <v>45</v>
      </c>
      <c r="D52" s="1">
        <v>38.255548713240387</v>
      </c>
      <c r="E52" s="1">
        <v>45</v>
      </c>
      <c r="F52" s="1">
        <v>130</v>
      </c>
      <c r="G52">
        <v>130</v>
      </c>
      <c r="H52">
        <v>108.4805680900495</v>
      </c>
      <c r="I52">
        <v>132</v>
      </c>
    </row>
    <row r="53" spans="1:9" x14ac:dyDescent="0.25">
      <c r="A53" s="1">
        <v>7000</v>
      </c>
      <c r="B53" s="1">
        <v>45</v>
      </c>
      <c r="C53" s="1">
        <v>45</v>
      </c>
      <c r="D53" s="1">
        <v>35.454404987744127</v>
      </c>
      <c r="E53" s="1">
        <v>45</v>
      </c>
      <c r="F53" s="1">
        <v>114.72202294971503</v>
      </c>
      <c r="G53">
        <v>130</v>
      </c>
      <c r="H53">
        <v>100.31910535625289</v>
      </c>
      <c r="I53">
        <v>132</v>
      </c>
    </row>
    <row r="54" spans="1:9" x14ac:dyDescent="0.25">
      <c r="A54" s="1">
        <v>8000</v>
      </c>
      <c r="B54" s="1">
        <v>38.319137155633982</v>
      </c>
      <c r="C54" s="1">
        <v>45</v>
      </c>
      <c r="D54" s="1">
        <v>32.653261262247874</v>
      </c>
      <c r="E54" s="1">
        <v>45</v>
      </c>
      <c r="F54" s="1">
        <v>106.62849758056161</v>
      </c>
      <c r="G54">
        <v>130</v>
      </c>
      <c r="H54">
        <v>92.157642622456279</v>
      </c>
      <c r="I54">
        <v>132</v>
      </c>
    </row>
    <row r="55" spans="1:9" x14ac:dyDescent="0.25">
      <c r="A55" s="1">
        <v>8500</v>
      </c>
      <c r="B55" s="1">
        <v>36.925585320254029</v>
      </c>
      <c r="C55" s="1">
        <v>45</v>
      </c>
      <c r="D55" s="1">
        <v>31.252689399499744</v>
      </c>
      <c r="E55" s="1">
        <v>45</v>
      </c>
      <c r="F55" s="1">
        <v>102.58173489598491</v>
      </c>
      <c r="G55">
        <v>130</v>
      </c>
      <c r="H55">
        <v>88.076911255557974</v>
      </c>
      <c r="I55">
        <v>124.38859188537734</v>
      </c>
    </row>
    <row r="56" spans="1:9" x14ac:dyDescent="0.25">
      <c r="A56" s="1">
        <v>9330</v>
      </c>
      <c r="B56" s="1">
        <v>34.612289273523317</v>
      </c>
      <c r="C56" s="1">
        <v>45</v>
      </c>
      <c r="D56" s="1">
        <v>28.927740107337851</v>
      </c>
      <c r="E56" s="1">
        <v>45</v>
      </c>
      <c r="F56" s="1">
        <v>95.864108839587573</v>
      </c>
      <c r="G56">
        <v>130</v>
      </c>
      <c r="H56">
        <v>81.302897186506783</v>
      </c>
      <c r="I56">
        <v>117.44131236645103</v>
      </c>
    </row>
    <row r="57" spans="1:9" x14ac:dyDescent="0.25">
      <c r="A57" s="1">
        <v>11000</v>
      </c>
      <c r="B57" s="1">
        <v>29.957826143354289</v>
      </c>
      <c r="C57" s="1">
        <v>45</v>
      </c>
      <c r="D57" s="1">
        <v>24.249830085759097</v>
      </c>
      <c r="E57" s="1">
        <v>38.168181818181822</v>
      </c>
      <c r="F57" s="1">
        <v>82.34792147310138</v>
      </c>
      <c r="G57">
        <v>124.19735663996107</v>
      </c>
      <c r="H57">
        <v>67.673254421066432</v>
      </c>
      <c r="I57">
        <v>103.46305116571979</v>
      </c>
    </row>
    <row r="58" spans="1:9" x14ac:dyDescent="0.25">
      <c r="A58" s="1">
        <v>12000</v>
      </c>
      <c r="B58" s="1">
        <v>27.170722472594392</v>
      </c>
      <c r="C58" s="1">
        <v>43.406276168332397</v>
      </c>
      <c r="D58" s="1">
        <v>21.44868636026284</v>
      </c>
      <c r="E58" s="1">
        <v>34.987500000000004</v>
      </c>
      <c r="F58" s="1">
        <v>74.254396103947968</v>
      </c>
      <c r="G58">
        <v>115.80717414761034</v>
      </c>
      <c r="H58">
        <v>59.51179168726982</v>
      </c>
      <c r="I58">
        <v>95.092834877856774</v>
      </c>
    </row>
    <row r="59" spans="1:9" x14ac:dyDescent="0.25">
      <c r="A59" s="1">
        <v>13000</v>
      </c>
      <c r="B59" s="1">
        <v>24.383618801834494</v>
      </c>
      <c r="C59" s="1">
        <v>40.471823064246223</v>
      </c>
      <c r="D59" s="1">
        <v>18.64754263476658</v>
      </c>
      <c r="E59" s="1">
        <v>32.29615384615385</v>
      </c>
      <c r="F59" s="1">
        <v>66.160870734794557</v>
      </c>
      <c r="G59">
        <v>107.41699165525962</v>
      </c>
      <c r="H59">
        <v>51.350328953473209</v>
      </c>
      <c r="I59">
        <v>86.722618589993758</v>
      </c>
    </row>
    <row r="60" spans="1:9" x14ac:dyDescent="0.25">
      <c r="A60" s="1">
        <v>14000</v>
      </c>
      <c r="B60" s="1">
        <v>21.596515131074597</v>
      </c>
      <c r="C60" s="1">
        <v>37.537369960160042</v>
      </c>
      <c r="D60" s="1">
        <v>15.84639890927032</v>
      </c>
      <c r="E60" s="1">
        <v>29.989285714285717</v>
      </c>
      <c r="F60" s="1">
        <v>58.06734536564116</v>
      </c>
      <c r="G60">
        <v>99.026809162908904</v>
      </c>
      <c r="H60">
        <v>43.188866219676584</v>
      </c>
      <c r="I60">
        <v>78.352402302130741</v>
      </c>
    </row>
    <row r="61" spans="1:9" x14ac:dyDescent="0.25">
      <c r="A61" s="1">
        <v>15000</v>
      </c>
      <c r="B61" s="1">
        <v>18.809411460314699</v>
      </c>
      <c r="C61" s="1">
        <v>34.602916856073861</v>
      </c>
      <c r="D61" s="1">
        <v>13.045255183774067</v>
      </c>
      <c r="E61" s="1">
        <v>27.990000000000006</v>
      </c>
      <c r="F61" s="1">
        <v>49.973819996487748</v>
      </c>
      <c r="G61" s="1">
        <v>90.636626670558172</v>
      </c>
      <c r="H61">
        <v>35.027403485879972</v>
      </c>
      <c r="I61">
        <v>69.982186014267725</v>
      </c>
    </row>
    <row r="62" spans="1:9" ht="15.75" thickBot="1" x14ac:dyDescent="0.3"/>
    <row r="63" spans="1:9" ht="16.5" thickTop="1" thickBot="1" x14ac:dyDescent="0.3">
      <c r="A63" s="54" t="s">
        <v>93</v>
      </c>
      <c r="B63" s="54"/>
      <c r="C63" s="54"/>
      <c r="D63" s="54"/>
      <c r="E63" s="54"/>
      <c r="F63" s="54"/>
      <c r="G63" s="54"/>
      <c r="H63" s="54"/>
    </row>
    <row r="64" spans="1:9" ht="30.75" thickTop="1" x14ac:dyDescent="0.25">
      <c r="A64" s="4" t="s">
        <v>47</v>
      </c>
      <c r="B64" s="4" t="s">
        <v>102</v>
      </c>
      <c r="C64" s="4" t="s">
        <v>103</v>
      </c>
      <c r="D64" s="4" t="s">
        <v>104</v>
      </c>
      <c r="E64" s="4" t="s">
        <v>105</v>
      </c>
      <c r="F64" s="4" t="s">
        <v>106</v>
      </c>
      <c r="G64" s="4" t="s">
        <v>107</v>
      </c>
      <c r="H64" s="2" t="s">
        <v>108</v>
      </c>
      <c r="I64" s="4" t="s">
        <v>109</v>
      </c>
    </row>
    <row r="65" spans="1:9" x14ac:dyDescent="0.25">
      <c r="A65" s="1">
        <v>0</v>
      </c>
      <c r="B65" s="1">
        <v>85</v>
      </c>
      <c r="C65" s="1">
        <v>85</v>
      </c>
      <c r="D65" s="1">
        <v>85</v>
      </c>
      <c r="E65" s="1">
        <v>85</v>
      </c>
      <c r="F65" s="1">
        <v>206</v>
      </c>
      <c r="G65">
        <v>206</v>
      </c>
      <c r="H65">
        <v>206</v>
      </c>
      <c r="I65">
        <v>206</v>
      </c>
    </row>
    <row r="66" spans="1:9" x14ac:dyDescent="0.25">
      <c r="A66" s="1">
        <v>500</v>
      </c>
      <c r="B66" s="1">
        <v>85</v>
      </c>
      <c r="C66" s="1">
        <v>85</v>
      </c>
      <c r="D66" s="1">
        <v>85</v>
      </c>
      <c r="E66" s="1">
        <v>85</v>
      </c>
      <c r="F66" s="1">
        <v>206</v>
      </c>
      <c r="G66">
        <v>206</v>
      </c>
      <c r="H66">
        <v>206</v>
      </c>
      <c r="I66">
        <v>206</v>
      </c>
    </row>
    <row r="67" spans="1:9" x14ac:dyDescent="0.25">
      <c r="A67" s="1">
        <v>1000</v>
      </c>
      <c r="B67" s="1">
        <v>85</v>
      </c>
      <c r="C67" s="1">
        <v>85</v>
      </c>
      <c r="D67" s="1">
        <v>85</v>
      </c>
      <c r="E67" s="1">
        <v>85</v>
      </c>
      <c r="F67" s="1">
        <v>206</v>
      </c>
      <c r="G67">
        <v>206</v>
      </c>
      <c r="H67">
        <v>206</v>
      </c>
      <c r="I67">
        <v>206</v>
      </c>
    </row>
    <row r="68" spans="1:9" x14ac:dyDescent="0.25">
      <c r="A68" s="1">
        <v>1500</v>
      </c>
      <c r="B68" s="1">
        <v>85</v>
      </c>
      <c r="C68" s="1">
        <v>85</v>
      </c>
      <c r="D68" s="1">
        <v>85</v>
      </c>
      <c r="E68" s="1">
        <v>85</v>
      </c>
      <c r="F68" s="1">
        <v>206</v>
      </c>
      <c r="G68">
        <v>206</v>
      </c>
      <c r="H68">
        <v>206</v>
      </c>
      <c r="I68">
        <v>206</v>
      </c>
    </row>
    <row r="69" spans="1:9" x14ac:dyDescent="0.25">
      <c r="A69" s="1">
        <v>2000</v>
      </c>
      <c r="B69" s="1">
        <v>85</v>
      </c>
      <c r="C69" s="1">
        <v>85</v>
      </c>
      <c r="D69" s="1">
        <v>85</v>
      </c>
      <c r="E69" s="1">
        <v>85</v>
      </c>
      <c r="F69" s="1">
        <v>206</v>
      </c>
      <c r="G69">
        <v>206</v>
      </c>
      <c r="H69">
        <v>206</v>
      </c>
      <c r="I69">
        <v>206</v>
      </c>
    </row>
    <row r="70" spans="1:9" x14ac:dyDescent="0.25">
      <c r="A70" s="1">
        <v>2500</v>
      </c>
      <c r="B70" s="1">
        <v>85</v>
      </c>
      <c r="C70" s="1">
        <v>85</v>
      </c>
      <c r="D70" s="1">
        <v>85</v>
      </c>
      <c r="E70" s="1">
        <v>85</v>
      </c>
      <c r="F70" s="1">
        <v>206</v>
      </c>
      <c r="G70">
        <v>206</v>
      </c>
      <c r="H70">
        <v>206</v>
      </c>
      <c r="I70">
        <v>206</v>
      </c>
    </row>
    <row r="71" spans="1:9" x14ac:dyDescent="0.25">
      <c r="A71" s="1">
        <v>3000</v>
      </c>
      <c r="B71" s="1">
        <v>85</v>
      </c>
      <c r="C71" s="1">
        <v>85</v>
      </c>
      <c r="D71" s="1">
        <v>85</v>
      </c>
      <c r="E71" s="1">
        <v>85</v>
      </c>
      <c r="F71" s="1">
        <v>206</v>
      </c>
      <c r="G71">
        <v>206</v>
      </c>
      <c r="H71">
        <v>206</v>
      </c>
      <c r="I71">
        <v>206</v>
      </c>
    </row>
    <row r="72" spans="1:9" x14ac:dyDescent="0.25">
      <c r="A72" s="1">
        <v>3500</v>
      </c>
      <c r="B72" s="1">
        <v>79</v>
      </c>
      <c r="C72" s="1">
        <v>85</v>
      </c>
      <c r="D72" s="1">
        <v>62.857601529923031</v>
      </c>
      <c r="E72" s="1">
        <v>85</v>
      </c>
      <c r="F72" s="1">
        <v>206</v>
      </c>
      <c r="G72">
        <v>206</v>
      </c>
      <c r="H72">
        <v>170.62152660528199</v>
      </c>
      <c r="I72">
        <v>206</v>
      </c>
    </row>
    <row r="73" spans="1:9" x14ac:dyDescent="0.25">
      <c r="A73" s="1">
        <v>4000</v>
      </c>
      <c r="B73" s="1">
        <v>70.833953479955724</v>
      </c>
      <c r="C73" s="1">
        <v>85</v>
      </c>
      <c r="D73" s="1">
        <v>59.94860552456074</v>
      </c>
      <c r="E73" s="1">
        <v>85</v>
      </c>
      <c r="F73" s="1">
        <v>206</v>
      </c>
      <c r="G73">
        <v>206</v>
      </c>
      <c r="H73">
        <v>162.73023549777918</v>
      </c>
      <c r="I73">
        <v>206</v>
      </c>
    </row>
    <row r="74" spans="1:9" x14ac:dyDescent="0.25">
      <c r="A74" s="1">
        <v>4500</v>
      </c>
      <c r="B74" s="1">
        <v>67.575653296411659</v>
      </c>
      <c r="C74" s="1">
        <v>85</v>
      </c>
      <c r="D74" s="1">
        <v>57.03960951919845</v>
      </c>
      <c r="E74" s="1">
        <v>85</v>
      </c>
      <c r="F74" s="1">
        <v>174.74052058137607</v>
      </c>
      <c r="G74">
        <v>206</v>
      </c>
      <c r="H74">
        <v>154.83894439027642</v>
      </c>
      <c r="I74">
        <v>206</v>
      </c>
    </row>
    <row r="75" spans="1:9" x14ac:dyDescent="0.25">
      <c r="A75" s="1">
        <v>5000</v>
      </c>
      <c r="B75" s="1">
        <v>64.317353112867593</v>
      </c>
      <c r="C75" s="1">
        <v>85</v>
      </c>
      <c r="D75" s="1">
        <v>54.13061351383616</v>
      </c>
      <c r="E75" s="1">
        <v>85</v>
      </c>
      <c r="F75" s="1">
        <v>166.81192556497638</v>
      </c>
      <c r="G75">
        <v>206</v>
      </c>
      <c r="H75">
        <v>146.94765328277362</v>
      </c>
      <c r="I75">
        <v>206</v>
      </c>
    </row>
    <row r="76" spans="1:9" x14ac:dyDescent="0.25">
      <c r="A76" s="1">
        <v>5500</v>
      </c>
      <c r="B76" s="1">
        <v>61.059052929323521</v>
      </c>
      <c r="C76" s="1">
        <v>85</v>
      </c>
      <c r="D76" s="1">
        <v>51.221617508473869</v>
      </c>
      <c r="E76" s="1">
        <v>85</v>
      </c>
      <c r="F76" s="1">
        <v>158.88333054857668</v>
      </c>
      <c r="G76">
        <v>206</v>
      </c>
      <c r="H76">
        <v>139.05636217527086</v>
      </c>
      <c r="I76">
        <v>190.19739947900223</v>
      </c>
    </row>
    <row r="77" spans="1:9" x14ac:dyDescent="0.25">
      <c r="A77" s="1">
        <v>6000</v>
      </c>
      <c r="B77" s="1">
        <v>57.800752745779455</v>
      </c>
      <c r="C77" s="1">
        <v>85</v>
      </c>
      <c r="D77" s="1">
        <v>48.312621503111579</v>
      </c>
      <c r="E77" s="1">
        <v>85</v>
      </c>
      <c r="F77" s="1">
        <v>150.95473553217698</v>
      </c>
      <c r="G77">
        <v>206</v>
      </c>
      <c r="H77">
        <v>131.16507106776805</v>
      </c>
      <c r="I77">
        <v>182.11841073830482</v>
      </c>
    </row>
    <row r="78" spans="1:9" x14ac:dyDescent="0.25">
      <c r="A78" s="1">
        <v>6500</v>
      </c>
      <c r="B78" s="1">
        <v>54.54245256223539</v>
      </c>
      <c r="C78" s="1">
        <v>85</v>
      </c>
      <c r="D78" s="1">
        <v>45.403625497749289</v>
      </c>
      <c r="E78" s="1">
        <v>85</v>
      </c>
      <c r="F78" s="1">
        <v>143.02614051577731</v>
      </c>
      <c r="G78">
        <v>206</v>
      </c>
      <c r="H78">
        <v>123.27377996026529</v>
      </c>
      <c r="I78">
        <v>174.03942199760743</v>
      </c>
    </row>
    <row r="79" spans="1:9" x14ac:dyDescent="0.25">
      <c r="A79" s="1">
        <v>6740</v>
      </c>
      <c r="B79" s="1">
        <v>52.978468474134239</v>
      </c>
      <c r="C79" s="1">
        <v>85</v>
      </c>
      <c r="D79" s="1">
        <v>44.00730741517539</v>
      </c>
      <c r="E79" s="1">
        <v>85</v>
      </c>
      <c r="F79" s="1">
        <v>139.22041490790548</v>
      </c>
      <c r="G79">
        <v>200.97548345059164</v>
      </c>
      <c r="H79">
        <v>119.48596022866396</v>
      </c>
      <c r="I79">
        <v>170.16150740207269</v>
      </c>
    </row>
    <row r="80" spans="1:9" x14ac:dyDescent="0.25">
      <c r="A80" s="1">
        <v>7500</v>
      </c>
      <c r="B80" s="1">
        <v>48.025852195147259</v>
      </c>
      <c r="C80" s="1">
        <v>76.38666666666667</v>
      </c>
      <c r="D80" s="1">
        <v>39.585633487024708</v>
      </c>
      <c r="E80" s="1">
        <v>80.567461317409908</v>
      </c>
      <c r="F80" s="1">
        <v>127.16895048297793</v>
      </c>
      <c r="G80">
        <v>188.25242231928104</v>
      </c>
      <c r="H80">
        <v>107.49119774525974</v>
      </c>
      <c r="I80">
        <v>157.88144451621264</v>
      </c>
    </row>
    <row r="81" spans="1:9" x14ac:dyDescent="0.25">
      <c r="A81" s="1">
        <v>8000</v>
      </c>
      <c r="B81" s="1">
        <v>44.767552011603186</v>
      </c>
      <c r="C81" s="1">
        <v>71.612499999999997</v>
      </c>
      <c r="D81" s="1">
        <v>36.676637481662411</v>
      </c>
      <c r="E81" s="1">
        <v>77.127111904473779</v>
      </c>
      <c r="F81" s="1">
        <v>119.24035546657824</v>
      </c>
      <c r="G81">
        <v>179.88198736447146</v>
      </c>
      <c r="H81">
        <v>99.599906637756959</v>
      </c>
      <c r="I81">
        <v>149.80245577551526</v>
      </c>
    </row>
    <row r="82" spans="1:9" x14ac:dyDescent="0.25">
      <c r="A82" s="1">
        <v>8500</v>
      </c>
      <c r="B82" s="1">
        <v>41.509251828059121</v>
      </c>
      <c r="C82" s="1">
        <v>67.400000000000006</v>
      </c>
      <c r="D82" s="1">
        <v>33.76764147630012</v>
      </c>
      <c r="E82" s="1">
        <v>73.68676249153765</v>
      </c>
      <c r="F82" s="1">
        <v>111.31176045017855</v>
      </c>
      <c r="G82">
        <v>171.51155240966185</v>
      </c>
      <c r="H82">
        <v>91.708615530254178</v>
      </c>
      <c r="I82">
        <v>141.72346703481784</v>
      </c>
    </row>
    <row r="83" spans="1:9" x14ac:dyDescent="0.25">
      <c r="A83" s="1">
        <v>9000</v>
      </c>
      <c r="B83" s="1">
        <v>38.250951644515055</v>
      </c>
      <c r="C83" s="1">
        <v>63.655555555555559</v>
      </c>
      <c r="D83" s="1">
        <v>30.85864547093783</v>
      </c>
      <c r="E83" s="1">
        <v>70.246413078601506</v>
      </c>
      <c r="F83" s="1">
        <v>103.38316543377886</v>
      </c>
      <c r="G83">
        <v>163.14111745485224</v>
      </c>
      <c r="H83">
        <v>83.817324422751398</v>
      </c>
      <c r="I83">
        <v>133.64447829412046</v>
      </c>
    </row>
    <row r="84" spans="1:9" x14ac:dyDescent="0.25">
      <c r="A84" s="1">
        <v>9500</v>
      </c>
      <c r="B84" s="1">
        <v>34.99265146097099</v>
      </c>
      <c r="C84" s="1">
        <v>60.305263157894736</v>
      </c>
      <c r="D84" s="1">
        <v>27.94964946557554</v>
      </c>
      <c r="E84" s="1">
        <v>66.806063665665391</v>
      </c>
      <c r="F84" s="1">
        <v>95.454570417379159</v>
      </c>
      <c r="G84">
        <v>154.77068250004262</v>
      </c>
      <c r="H84">
        <v>75.926033315248617</v>
      </c>
      <c r="I84">
        <v>125.56548955342305</v>
      </c>
    </row>
    <row r="85" spans="1:9" x14ac:dyDescent="0.25">
      <c r="A85" s="1">
        <v>10000</v>
      </c>
      <c r="B85" s="1">
        <v>31.734351277426924</v>
      </c>
      <c r="C85" s="1">
        <v>57.29</v>
      </c>
      <c r="D85" s="1">
        <v>25.04065346021325</v>
      </c>
      <c r="E85" s="1">
        <v>63.365714252729248</v>
      </c>
      <c r="F85" s="1">
        <v>87.52597540097949</v>
      </c>
      <c r="G85">
        <v>146.40024754523301</v>
      </c>
      <c r="H85">
        <v>68.034742207745836</v>
      </c>
      <c r="I85">
        <v>117.48650081272567</v>
      </c>
    </row>
    <row r="86" spans="1:9" x14ac:dyDescent="0.25">
      <c r="A86" s="1">
        <v>10500</v>
      </c>
      <c r="B86" s="1">
        <v>28.476051093882859</v>
      </c>
      <c r="C86" s="1">
        <v>54.561904761904763</v>
      </c>
      <c r="D86" s="1">
        <v>22.131657454850959</v>
      </c>
      <c r="E86" s="1">
        <v>59.925364839793119</v>
      </c>
      <c r="F86" s="1">
        <v>79.597380384579793</v>
      </c>
      <c r="G86">
        <v>138.02981259042343</v>
      </c>
      <c r="H86">
        <v>60.143451100243055</v>
      </c>
      <c r="I86">
        <v>109.40751207202825</v>
      </c>
    </row>
    <row r="87" spans="1:9" x14ac:dyDescent="0.25">
      <c r="A87" s="1">
        <v>11000</v>
      </c>
      <c r="B87" s="1">
        <v>25.217750910338779</v>
      </c>
      <c r="C87" s="1">
        <v>52.081818181818178</v>
      </c>
      <c r="D87" s="1">
        <v>19.222661449488669</v>
      </c>
      <c r="E87" s="1">
        <v>56.48501542685699</v>
      </c>
      <c r="F87" s="1">
        <v>71.668785368180096</v>
      </c>
      <c r="G87">
        <v>129.65937763561382</v>
      </c>
      <c r="H87">
        <v>52.252159992740275</v>
      </c>
      <c r="I87">
        <v>101.32852333133087</v>
      </c>
    </row>
    <row r="88" spans="1:9" x14ac:dyDescent="0.25">
      <c r="A88" s="1">
        <v>11500</v>
      </c>
      <c r="B88" s="1">
        <v>21.959450726794714</v>
      </c>
      <c r="C88" s="1">
        <v>49.817391304347829</v>
      </c>
      <c r="D88" s="1">
        <v>16.313665444126372</v>
      </c>
      <c r="E88" s="1">
        <v>53.04466601392086</v>
      </c>
      <c r="F88" s="1">
        <v>63.740190351780399</v>
      </c>
      <c r="G88">
        <v>121.28894268080421</v>
      </c>
      <c r="H88">
        <v>44.360868885237494</v>
      </c>
      <c r="I88">
        <v>93.249534590633459</v>
      </c>
    </row>
    <row r="89" spans="1:9" x14ac:dyDescent="0.25">
      <c r="A89" s="1">
        <v>12000</v>
      </c>
      <c r="B89" s="1">
        <v>18.701150543250648</v>
      </c>
      <c r="C89" s="1">
        <v>47.741666666666667</v>
      </c>
      <c r="D89" s="1">
        <v>13.404669438764088</v>
      </c>
      <c r="E89" s="1">
        <v>49.604316600984731</v>
      </c>
      <c r="F89" s="1">
        <v>55.811595335380701</v>
      </c>
      <c r="G89">
        <v>112.9185077259946</v>
      </c>
      <c r="H89">
        <v>36.469577777734713</v>
      </c>
      <c r="I89">
        <v>85.170545849936076</v>
      </c>
    </row>
    <row r="90" spans="1:9" x14ac:dyDescent="0.25">
      <c r="A90" s="1">
        <v>12500</v>
      </c>
      <c r="B90" s="1">
        <v>15.442850359706583</v>
      </c>
      <c r="C90" s="1">
        <v>45.832000000000001</v>
      </c>
      <c r="D90" s="1">
        <v>10.495673433401791</v>
      </c>
      <c r="E90" s="1">
        <v>46.163967188048602</v>
      </c>
      <c r="F90" s="1">
        <v>47.883000318981033</v>
      </c>
      <c r="G90">
        <v>104.54807277118502</v>
      </c>
      <c r="H90">
        <v>28.578286670231932</v>
      </c>
      <c r="I90">
        <v>77.091557109238693</v>
      </c>
    </row>
    <row r="92" spans="1:9" ht="15.75" thickBot="1" x14ac:dyDescent="0.3"/>
    <row r="93" spans="1:9" ht="16.5" thickTop="1" thickBot="1" x14ac:dyDescent="0.3">
      <c r="A93" s="54" t="s">
        <v>110</v>
      </c>
      <c r="B93" s="54"/>
      <c r="C93" s="54"/>
      <c r="D93" s="54"/>
      <c r="E93" s="54"/>
      <c r="F93" s="54"/>
      <c r="G93" s="54"/>
      <c r="H93" s="54"/>
    </row>
    <row r="94" spans="1:9" ht="30.75" thickTop="1" x14ac:dyDescent="0.25">
      <c r="A94" s="4" t="s">
        <v>47</v>
      </c>
      <c r="B94" s="4" t="s">
        <v>99</v>
      </c>
      <c r="C94" s="4" t="s">
        <v>100</v>
      </c>
      <c r="D94" s="4" t="s">
        <v>101</v>
      </c>
      <c r="E94" s="4" t="s">
        <v>94</v>
      </c>
      <c r="F94" s="4" t="s">
        <v>95</v>
      </c>
      <c r="G94" s="4" t="s">
        <v>96</v>
      </c>
      <c r="H94" s="2" t="s">
        <v>97</v>
      </c>
      <c r="I94" s="2" t="s">
        <v>98</v>
      </c>
    </row>
    <row r="95" spans="1:9" x14ac:dyDescent="0.25">
      <c r="A95" s="1">
        <v>0</v>
      </c>
      <c r="B95" s="1">
        <v>162</v>
      </c>
      <c r="C95" s="1">
        <v>162</v>
      </c>
      <c r="D95" s="1">
        <v>162</v>
      </c>
      <c r="E95" s="1">
        <v>162</v>
      </c>
      <c r="F95" s="1">
        <v>368</v>
      </c>
      <c r="G95" s="1">
        <v>368</v>
      </c>
      <c r="H95" s="1">
        <v>368</v>
      </c>
      <c r="I95" s="1">
        <v>368</v>
      </c>
    </row>
    <row r="96" spans="1:9" x14ac:dyDescent="0.25">
      <c r="A96" s="1">
        <v>500</v>
      </c>
      <c r="B96" s="1">
        <v>162</v>
      </c>
      <c r="C96" s="1">
        <v>162</v>
      </c>
      <c r="D96" s="1">
        <v>162</v>
      </c>
      <c r="E96" s="1">
        <v>162</v>
      </c>
      <c r="F96" s="1">
        <v>368</v>
      </c>
      <c r="G96" s="1">
        <v>368</v>
      </c>
      <c r="H96" s="1">
        <v>368</v>
      </c>
      <c r="I96" s="1">
        <v>368</v>
      </c>
    </row>
    <row r="97" spans="1:9" x14ac:dyDescent="0.25">
      <c r="A97" s="1">
        <v>1000</v>
      </c>
      <c r="B97" s="1">
        <v>162</v>
      </c>
      <c r="C97" s="1">
        <v>162</v>
      </c>
      <c r="D97" s="1">
        <v>162</v>
      </c>
      <c r="E97" s="1">
        <v>162</v>
      </c>
      <c r="F97" s="1">
        <v>368</v>
      </c>
      <c r="G97" s="1">
        <v>368</v>
      </c>
      <c r="H97" s="1">
        <v>368</v>
      </c>
      <c r="I97" s="1">
        <v>368</v>
      </c>
    </row>
    <row r="98" spans="1:9" x14ac:dyDescent="0.25">
      <c r="A98" s="1">
        <v>1500</v>
      </c>
      <c r="B98" s="1">
        <v>162</v>
      </c>
      <c r="C98" s="1">
        <v>162</v>
      </c>
      <c r="D98" s="1">
        <v>162</v>
      </c>
      <c r="E98" s="1">
        <v>162</v>
      </c>
      <c r="F98" s="1">
        <v>368</v>
      </c>
      <c r="G98" s="1">
        <v>368</v>
      </c>
      <c r="H98" s="1">
        <v>368</v>
      </c>
      <c r="I98" s="1">
        <v>368</v>
      </c>
    </row>
    <row r="99" spans="1:9" x14ac:dyDescent="0.25">
      <c r="A99" s="1">
        <v>2000</v>
      </c>
      <c r="B99" s="1">
        <v>162</v>
      </c>
      <c r="C99" s="1">
        <v>162</v>
      </c>
      <c r="D99" s="1">
        <v>162</v>
      </c>
      <c r="E99" s="1">
        <v>162</v>
      </c>
      <c r="F99" s="1">
        <v>368</v>
      </c>
      <c r="G99" s="1">
        <v>368</v>
      </c>
      <c r="H99" s="1">
        <v>368</v>
      </c>
      <c r="I99" s="1">
        <v>368</v>
      </c>
    </row>
    <row r="100" spans="1:9" x14ac:dyDescent="0.25">
      <c r="A100" s="1">
        <v>2500</v>
      </c>
      <c r="B100" s="1">
        <v>162</v>
      </c>
      <c r="C100" s="1">
        <v>162</v>
      </c>
      <c r="D100" s="1">
        <v>139.14231226195326</v>
      </c>
      <c r="E100" s="1">
        <v>162</v>
      </c>
      <c r="F100" s="1">
        <v>368</v>
      </c>
      <c r="G100" s="1">
        <v>368</v>
      </c>
      <c r="H100" s="1">
        <v>302.64119820350203</v>
      </c>
      <c r="I100" s="1">
        <v>368</v>
      </c>
    </row>
    <row r="101" spans="1:9" x14ac:dyDescent="0.25">
      <c r="A101" s="1">
        <v>3088</v>
      </c>
      <c r="B101" s="1">
        <v>145.25944787457217</v>
      </c>
      <c r="C101" s="1">
        <v>162</v>
      </c>
      <c r="D101" s="1">
        <v>129.39308158758379</v>
      </c>
      <c r="E101" s="1">
        <v>162</v>
      </c>
      <c r="F101" s="1">
        <v>314.11146628890765</v>
      </c>
      <c r="G101" s="1">
        <v>368</v>
      </c>
      <c r="H101" s="1">
        <v>280.7441244737322</v>
      </c>
      <c r="I101" s="1">
        <v>368</v>
      </c>
    </row>
    <row r="102" spans="1:9" x14ac:dyDescent="0.25">
      <c r="A102" s="1">
        <v>3300</v>
      </c>
      <c r="B102" s="1">
        <v>141.7277537057596</v>
      </c>
      <c r="C102" s="1">
        <v>162</v>
      </c>
      <c r="D102" s="1">
        <v>125.87805284104243</v>
      </c>
      <c r="E102" s="1">
        <v>162</v>
      </c>
      <c r="F102" s="1">
        <v>306.33655961861166</v>
      </c>
      <c r="G102" s="1">
        <v>368</v>
      </c>
      <c r="H102" s="1">
        <v>272.84926115619618</v>
      </c>
      <c r="I102" s="1">
        <v>368</v>
      </c>
    </row>
    <row r="103" spans="1:9" x14ac:dyDescent="0.25">
      <c r="A103" s="1">
        <v>4000</v>
      </c>
      <c r="B103" s="1">
        <v>130.06649937477476</v>
      </c>
      <c r="C103" s="1">
        <v>162</v>
      </c>
      <c r="D103" s="1">
        <v>114.27182584774546</v>
      </c>
      <c r="E103" s="1">
        <v>162</v>
      </c>
      <c r="F103" s="1">
        <v>280.66469797140786</v>
      </c>
      <c r="G103" s="1">
        <v>368</v>
      </c>
      <c r="H103" s="1">
        <v>246.78131623980354</v>
      </c>
      <c r="I103" s="1">
        <v>368</v>
      </c>
    </row>
    <row r="104" spans="1:9" x14ac:dyDescent="0.25">
      <c r="A104" s="1">
        <v>4500</v>
      </c>
      <c r="B104" s="1">
        <v>121.73703199549988</v>
      </c>
      <c r="C104" s="1">
        <v>162</v>
      </c>
      <c r="D104" s="1">
        <v>105.9816637096762</v>
      </c>
      <c r="E104" s="1">
        <v>150.64705403301733</v>
      </c>
      <c r="F104" s="1">
        <v>262.32765393769091</v>
      </c>
      <c r="G104" s="1">
        <v>368</v>
      </c>
      <c r="H104" s="1">
        <v>228.1613555852374</v>
      </c>
      <c r="I104" s="1">
        <v>327.34627796420045</v>
      </c>
    </row>
    <row r="105" spans="1:9" x14ac:dyDescent="0.25">
      <c r="A105" s="1">
        <v>5000</v>
      </c>
      <c r="B105" s="1">
        <v>113.40756461622499</v>
      </c>
      <c r="C105" s="1">
        <v>162</v>
      </c>
      <c r="D105" s="1">
        <v>97.691501571606935</v>
      </c>
      <c r="E105" s="1">
        <v>141.79200239305555</v>
      </c>
      <c r="F105" s="1">
        <v>243.9906099039739</v>
      </c>
      <c r="G105" s="1">
        <v>368</v>
      </c>
      <c r="H105" s="1">
        <v>209.54139493067123</v>
      </c>
      <c r="I105" s="1">
        <v>307.51477001028894</v>
      </c>
    </row>
    <row r="106" spans="1:9" x14ac:dyDescent="0.25">
      <c r="A106" s="1">
        <v>5215</v>
      </c>
      <c r="B106" s="1">
        <v>109.82589364313679</v>
      </c>
      <c r="C106" s="1">
        <v>162</v>
      </c>
      <c r="D106" s="1">
        <v>94.126731852237157</v>
      </c>
      <c r="E106" s="1">
        <v>137.98433018787199</v>
      </c>
      <c r="F106" s="1">
        <v>236.1056809694756</v>
      </c>
      <c r="G106" s="1">
        <v>352.50533703308446</v>
      </c>
      <c r="H106" s="1">
        <v>201.53481184920778</v>
      </c>
      <c r="I106" s="1">
        <v>298.98722159010697</v>
      </c>
    </row>
    <row r="107" spans="1:9" x14ac:dyDescent="0.25">
      <c r="A107" s="1">
        <v>5540</v>
      </c>
      <c r="B107" s="1">
        <v>104.41173984660811</v>
      </c>
      <c r="C107" s="1">
        <v>157.02234714393529</v>
      </c>
      <c r="D107" s="1">
        <v>88.738126462492133</v>
      </c>
      <c r="E107" s="1">
        <v>132.22854662189684</v>
      </c>
      <c r="F107" s="1">
        <v>224.18660234755956</v>
      </c>
      <c r="G107" s="1">
        <v>339.52828005470553</v>
      </c>
      <c r="H107" s="1">
        <v>189.43183742373978</v>
      </c>
      <c r="I107" s="1">
        <v>286.09674142006452</v>
      </c>
    </row>
    <row r="108" spans="1:9" x14ac:dyDescent="0.25">
      <c r="A108" s="1">
        <v>6500</v>
      </c>
      <c r="B108" s="1">
        <v>88.419162478400324</v>
      </c>
      <c r="C108" s="1">
        <v>139.60952266290417</v>
      </c>
      <c r="D108" s="1">
        <v>72.821015157399145</v>
      </c>
      <c r="E108" s="1">
        <v>115.22684747317025</v>
      </c>
      <c r="F108" s="1">
        <v>188.97947780282294</v>
      </c>
      <c r="G108" s="1">
        <v>301.19605021087864</v>
      </c>
      <c r="H108" s="1">
        <v>153.68151296697275</v>
      </c>
      <c r="I108" s="1">
        <v>248.02024614855441</v>
      </c>
    </row>
    <row r="109" spans="1:9" x14ac:dyDescent="0.25">
      <c r="A109" s="1">
        <v>6740</v>
      </c>
      <c r="B109" s="1">
        <v>84.42101813634838</v>
      </c>
      <c r="C109" s="1">
        <v>135.2563165426464</v>
      </c>
      <c r="D109" s="1">
        <v>68.841737331125898</v>
      </c>
      <c r="E109" s="1">
        <v>110.97642268598861</v>
      </c>
      <c r="F109" s="1">
        <v>180.17769666663881</v>
      </c>
      <c r="G109" s="1">
        <v>291.61299274992189</v>
      </c>
      <c r="H109" s="1">
        <v>144.743931852781</v>
      </c>
      <c r="I109" s="1">
        <v>238.50112233067688</v>
      </c>
    </row>
    <row r="110" spans="1:9" x14ac:dyDescent="0.25">
      <c r="A110" s="1">
        <v>7500</v>
      </c>
      <c r="B110" s="1">
        <v>71.760227719850548</v>
      </c>
      <c r="C110" s="1">
        <v>121.47116382849677</v>
      </c>
      <c r="D110" s="1">
        <v>56.240690881260619</v>
      </c>
      <c r="E110" s="1">
        <v>97.516744193246723</v>
      </c>
      <c r="F110" s="1">
        <v>152.30538973538899</v>
      </c>
      <c r="G110" s="1">
        <v>261.26664412355893</v>
      </c>
      <c r="H110" s="1">
        <v>116.44159165784043</v>
      </c>
      <c r="I110" s="1">
        <v>208.35723024073138</v>
      </c>
    </row>
    <row r="111" spans="1:9" x14ac:dyDescent="0.25">
      <c r="A111" s="1">
        <v>8000</v>
      </c>
      <c r="B111" s="1">
        <v>63.430760340575659</v>
      </c>
      <c r="C111" s="1">
        <v>112.40198441129306</v>
      </c>
      <c r="D111" s="1">
        <v>47.950528743191342</v>
      </c>
      <c r="E111" s="1">
        <v>88.661692553284951</v>
      </c>
      <c r="F111" s="1">
        <v>133.96834570167198</v>
      </c>
      <c r="G111" s="1">
        <v>241.30194107989911</v>
      </c>
      <c r="H111" s="1">
        <v>97.821631003274263</v>
      </c>
      <c r="I111" s="1">
        <v>188.52572228681987</v>
      </c>
    </row>
    <row r="112" spans="1:9" x14ac:dyDescent="0.25">
      <c r="A112" s="1">
        <v>8500</v>
      </c>
      <c r="B112" s="1">
        <v>55.101292961300771</v>
      </c>
      <c r="C112" s="1">
        <v>103.33280499408937</v>
      </c>
      <c r="D112" s="1">
        <v>39.660366605122078</v>
      </c>
      <c r="E112" s="1">
        <v>79.806640913323179</v>
      </c>
      <c r="F112" s="1">
        <v>115.63130166795503</v>
      </c>
      <c r="G112" s="1">
        <v>221.33723803623923</v>
      </c>
      <c r="H112" s="1">
        <v>79.201670348708092</v>
      </c>
      <c r="I112" s="1">
        <v>168.69421433290836</v>
      </c>
    </row>
    <row r="113" spans="1:9" x14ac:dyDescent="0.25">
      <c r="A113" s="1">
        <v>9000</v>
      </c>
      <c r="B113" s="1">
        <v>46.771825582025883</v>
      </c>
      <c r="C113" s="1">
        <v>94.263625576885659</v>
      </c>
      <c r="D113" s="1">
        <v>31.370204467052815</v>
      </c>
      <c r="E113" s="1">
        <v>70.951589273361407</v>
      </c>
      <c r="F113" s="1">
        <v>97.294257634238022</v>
      </c>
      <c r="G113" s="1">
        <v>201.3725349925794</v>
      </c>
      <c r="H113" s="1">
        <v>60.581709694141978</v>
      </c>
      <c r="I113" s="1">
        <v>148.8627063789969</v>
      </c>
    </row>
    <row r="114" spans="1:9" ht="15.75" thickBot="1" x14ac:dyDescent="0.3"/>
    <row r="115" spans="1:9" ht="16.5" thickTop="1" thickBot="1" x14ac:dyDescent="0.3">
      <c r="A115" s="54" t="s">
        <v>111</v>
      </c>
      <c r="B115" s="54"/>
      <c r="C115" s="54"/>
      <c r="D115" s="54"/>
      <c r="E115" s="54"/>
      <c r="F115" s="54"/>
      <c r="G115" s="54"/>
      <c r="H115" s="54"/>
    </row>
    <row r="116" spans="1:9" ht="30.75" thickTop="1" x14ac:dyDescent="0.25">
      <c r="A116" s="4" t="s">
        <v>47</v>
      </c>
      <c r="B116" s="4" t="s">
        <v>112</v>
      </c>
      <c r="C116" s="4" t="s">
        <v>113</v>
      </c>
      <c r="D116" s="4" t="s">
        <v>114</v>
      </c>
      <c r="E116" s="4" t="s">
        <v>115</v>
      </c>
      <c r="F116" s="4" t="s">
        <v>116</v>
      </c>
      <c r="G116" s="4" t="s">
        <v>117</v>
      </c>
      <c r="H116" s="2" t="s">
        <v>118</v>
      </c>
      <c r="I116" s="2" t="s">
        <v>119</v>
      </c>
    </row>
    <row r="117" spans="1:9" x14ac:dyDescent="0.25">
      <c r="A117">
        <v>0</v>
      </c>
      <c r="B117" s="1">
        <v>215</v>
      </c>
      <c r="C117" s="1">
        <v>215</v>
      </c>
      <c r="D117" s="1">
        <v>215</v>
      </c>
      <c r="E117" s="1">
        <v>215</v>
      </c>
      <c r="F117" s="1">
        <v>581</v>
      </c>
      <c r="G117">
        <v>581</v>
      </c>
      <c r="H117">
        <v>581</v>
      </c>
      <c r="I117">
        <v>581</v>
      </c>
    </row>
    <row r="118" spans="1:9" x14ac:dyDescent="0.25">
      <c r="A118">
        <v>500</v>
      </c>
      <c r="B118" s="1">
        <v>215</v>
      </c>
      <c r="C118" s="1">
        <v>215</v>
      </c>
      <c r="D118" s="1">
        <v>215</v>
      </c>
      <c r="E118" s="1">
        <v>215</v>
      </c>
      <c r="F118" s="1">
        <v>581</v>
      </c>
      <c r="G118">
        <v>581</v>
      </c>
      <c r="H118">
        <v>581</v>
      </c>
      <c r="I118">
        <v>581</v>
      </c>
    </row>
    <row r="119" spans="1:9" x14ac:dyDescent="0.25">
      <c r="A119">
        <v>1000</v>
      </c>
      <c r="B119" s="1">
        <v>215</v>
      </c>
      <c r="C119" s="1">
        <v>215</v>
      </c>
      <c r="D119" s="1">
        <v>215</v>
      </c>
      <c r="E119" s="1">
        <v>215</v>
      </c>
      <c r="F119" s="1">
        <v>581</v>
      </c>
      <c r="G119">
        <v>581</v>
      </c>
      <c r="H119">
        <v>581</v>
      </c>
      <c r="I119">
        <v>581</v>
      </c>
    </row>
    <row r="120" spans="1:9" x14ac:dyDescent="0.25">
      <c r="A120">
        <v>1500</v>
      </c>
      <c r="B120" s="1">
        <v>215</v>
      </c>
      <c r="C120" s="1">
        <v>215</v>
      </c>
      <c r="D120" s="1">
        <v>215</v>
      </c>
      <c r="E120" s="1">
        <v>215</v>
      </c>
      <c r="F120" s="1">
        <v>581</v>
      </c>
      <c r="G120">
        <v>581</v>
      </c>
      <c r="H120">
        <v>581</v>
      </c>
      <c r="I120">
        <v>581</v>
      </c>
    </row>
    <row r="121" spans="1:9" x14ac:dyDescent="0.25">
      <c r="A121">
        <v>2000</v>
      </c>
      <c r="B121" s="1">
        <v>215</v>
      </c>
      <c r="C121" s="1">
        <v>215</v>
      </c>
      <c r="D121" s="1">
        <v>164.84726041945046</v>
      </c>
      <c r="E121" s="1">
        <v>215</v>
      </c>
      <c r="F121" s="1">
        <v>581</v>
      </c>
      <c r="G121">
        <v>581</v>
      </c>
      <c r="H121">
        <v>427.58393230642827</v>
      </c>
      <c r="I121">
        <v>581</v>
      </c>
    </row>
    <row r="122" spans="1:9" x14ac:dyDescent="0.25">
      <c r="A122">
        <v>2500</v>
      </c>
      <c r="B122" s="1">
        <v>169.50059609856103</v>
      </c>
      <c r="C122" s="1">
        <v>215</v>
      </c>
      <c r="D122" s="1">
        <v>152.10403302165628</v>
      </c>
      <c r="E122" s="1">
        <v>215</v>
      </c>
      <c r="F122" s="1">
        <v>439.4569727387879</v>
      </c>
      <c r="G122">
        <v>581</v>
      </c>
      <c r="H122">
        <v>394.19626383740268</v>
      </c>
      <c r="I122">
        <v>581</v>
      </c>
    </row>
    <row r="123" spans="1:9" x14ac:dyDescent="0.25">
      <c r="A123">
        <v>3000</v>
      </c>
      <c r="B123" s="1">
        <v>157.01541991327036</v>
      </c>
      <c r="C123" s="1">
        <v>215</v>
      </c>
      <c r="D123" s="1">
        <v>139.36080562386212</v>
      </c>
      <c r="E123" s="1">
        <v>215</v>
      </c>
      <c r="F123" s="1">
        <v>402.95423259649931</v>
      </c>
      <c r="G123">
        <v>581</v>
      </c>
      <c r="H123">
        <v>360.80859536837715</v>
      </c>
      <c r="I123">
        <v>499.09289748962442</v>
      </c>
    </row>
    <row r="124" spans="1:9" x14ac:dyDescent="0.25">
      <c r="A124">
        <v>3590</v>
      </c>
      <c r="B124" s="1">
        <v>142.28291201462741</v>
      </c>
      <c r="C124" s="1">
        <v>215</v>
      </c>
      <c r="D124" s="1">
        <v>124.32379729446498</v>
      </c>
      <c r="E124" s="1">
        <v>192.3883307658559</v>
      </c>
      <c r="F124" s="1">
        <v>359.88099922859868</v>
      </c>
      <c r="G124">
        <v>524.467769117383</v>
      </c>
      <c r="H124">
        <v>321.41114657492699</v>
      </c>
      <c r="I124">
        <v>457.08777596073094</v>
      </c>
    </row>
    <row r="125" spans="1:9" x14ac:dyDescent="0.25">
      <c r="A125">
        <v>4000</v>
      </c>
      <c r="B125" s="1">
        <v>132.04506754268908</v>
      </c>
      <c r="C125" s="1">
        <v>215</v>
      </c>
      <c r="D125" s="1">
        <v>113.87435082827376</v>
      </c>
      <c r="E125" s="1">
        <v>181.09838253948158</v>
      </c>
      <c r="F125" s="1">
        <v>329.94875231192202</v>
      </c>
      <c r="G125">
        <v>492.25545613845401</v>
      </c>
      <c r="H125">
        <v>294.03325843032599</v>
      </c>
      <c r="I125">
        <v>427.89777625421175</v>
      </c>
    </row>
    <row r="126" spans="1:9" x14ac:dyDescent="0.25">
      <c r="A126">
        <v>4265</v>
      </c>
      <c r="B126" s="1">
        <v>125.42792416448503</v>
      </c>
      <c r="C126" s="1">
        <v>215</v>
      </c>
      <c r="D126" s="1">
        <v>107.12044030744285</v>
      </c>
      <c r="E126" s="1">
        <v>173.80122088097136</v>
      </c>
      <c r="F126" s="1">
        <v>310.60230003650906</v>
      </c>
      <c r="G126">
        <v>471.43530262768286</v>
      </c>
      <c r="H126">
        <v>276.33779414174245</v>
      </c>
      <c r="I126">
        <v>409.03106912682739</v>
      </c>
    </row>
    <row r="127" spans="1:9" x14ac:dyDescent="0.25">
      <c r="A127">
        <v>5000</v>
      </c>
      <c r="B127" s="1">
        <v>107.07471517210779</v>
      </c>
      <c r="C127" s="1">
        <v>182.60323453185572</v>
      </c>
      <c r="D127" s="1">
        <v>88.387896032685404</v>
      </c>
      <c r="E127" s="1">
        <v>153.56192345076374</v>
      </c>
      <c r="F127" s="1">
        <v>256.94327202734473</v>
      </c>
      <c r="G127">
        <v>413.68883911667604</v>
      </c>
      <c r="H127">
        <v>227.25792149227482</v>
      </c>
      <c r="I127">
        <v>356.70265501879908</v>
      </c>
    </row>
    <row r="128" spans="1:9" x14ac:dyDescent="0.25">
      <c r="A128">
        <v>5500</v>
      </c>
      <c r="B128" s="1">
        <v>94.589538986817132</v>
      </c>
      <c r="C128" s="1">
        <v>168.68004639919934</v>
      </c>
      <c r="D128" s="1">
        <v>75.644668634891218</v>
      </c>
      <c r="E128" s="1">
        <v>139.79369390640485</v>
      </c>
      <c r="F128" s="1">
        <v>220.44053188505615</v>
      </c>
      <c r="G128">
        <v>374.40553060578702</v>
      </c>
      <c r="H128">
        <v>193.87025302324929</v>
      </c>
      <c r="I128">
        <v>321.10509440109274</v>
      </c>
    </row>
    <row r="129" spans="1:9" x14ac:dyDescent="0.25">
      <c r="A129">
        <v>6000</v>
      </c>
      <c r="B129" s="1">
        <v>82.104362801526491</v>
      </c>
      <c r="C129" s="1">
        <v>154.75685826654296</v>
      </c>
      <c r="D129" s="1">
        <v>62.90144123709706</v>
      </c>
      <c r="E129" s="1">
        <v>126.02546436204594</v>
      </c>
      <c r="F129" s="1">
        <v>183.9377917427675</v>
      </c>
      <c r="G129">
        <v>335.12222209489801</v>
      </c>
      <c r="H129">
        <v>160.48258455422371</v>
      </c>
      <c r="I129">
        <v>285.50753378338641</v>
      </c>
    </row>
    <row r="130" spans="1:9" x14ac:dyDescent="0.25">
      <c r="A130">
        <v>6500</v>
      </c>
      <c r="B130" s="1">
        <v>69.619186616235851</v>
      </c>
      <c r="C130" s="1">
        <v>140.83367013388659</v>
      </c>
      <c r="D130" s="1">
        <v>50.158213839302874</v>
      </c>
      <c r="E130" s="1">
        <v>112.25723481768702</v>
      </c>
      <c r="F130" s="1">
        <v>147.43505160047886</v>
      </c>
      <c r="G130">
        <v>295.83891358400905</v>
      </c>
      <c r="H130">
        <v>127.09491608519812</v>
      </c>
      <c r="I130">
        <v>249.90997316568001</v>
      </c>
    </row>
    <row r="131" spans="1:9" x14ac:dyDescent="0.25">
      <c r="A131">
        <v>7000</v>
      </c>
      <c r="B131" s="1">
        <v>57.134010430945182</v>
      </c>
      <c r="C131" s="1">
        <v>126.91048200123021</v>
      </c>
      <c r="D131" s="1">
        <v>37.414986441508688</v>
      </c>
      <c r="E131" s="1">
        <v>98.489005273328104</v>
      </c>
      <c r="F131" s="1">
        <v>110.93231145819021</v>
      </c>
      <c r="G131">
        <v>256.55560507312009</v>
      </c>
      <c r="H131">
        <v>93.707247616172538</v>
      </c>
      <c r="I131">
        <v>214.31241254797368</v>
      </c>
    </row>
    <row r="132" spans="1:9" x14ac:dyDescent="0.25">
      <c r="A132">
        <v>7350</v>
      </c>
      <c r="B132" s="1">
        <v>48.394387101241733</v>
      </c>
      <c r="C132" s="1">
        <v>117.16425030837075</v>
      </c>
      <c r="D132" s="1">
        <v>28.494727263052766</v>
      </c>
      <c r="E132" s="1">
        <v>88.851244592276856</v>
      </c>
      <c r="F132" s="1">
        <v>85.380393358588208</v>
      </c>
      <c r="G132">
        <v>229.05728911549772</v>
      </c>
      <c r="H132">
        <v>70.335879687854685</v>
      </c>
      <c r="I132">
        <v>189.39412011557931</v>
      </c>
    </row>
    <row r="134" spans="1:9" ht="15.75" thickBot="1" x14ac:dyDescent="0.3"/>
    <row r="135" spans="1:9" ht="16.5" thickTop="1" thickBot="1" x14ac:dyDescent="0.3">
      <c r="A135" s="54" t="s">
        <v>136</v>
      </c>
      <c r="B135" s="54"/>
      <c r="C135" s="54"/>
      <c r="D135" s="54"/>
      <c r="E135" s="54"/>
      <c r="F135" s="54"/>
      <c r="G135" s="54"/>
      <c r="H135" s="54"/>
    </row>
    <row r="136" spans="1:9" ht="30.75" thickTop="1" x14ac:dyDescent="0.25">
      <c r="A136" s="4" t="s">
        <v>47</v>
      </c>
      <c r="B136" s="4" t="s">
        <v>128</v>
      </c>
      <c r="C136" s="4" t="s">
        <v>129</v>
      </c>
      <c r="D136" s="4" t="s">
        <v>130</v>
      </c>
      <c r="E136" s="4" t="s">
        <v>131</v>
      </c>
      <c r="F136" s="4" t="s">
        <v>132</v>
      </c>
      <c r="G136" s="4" t="s">
        <v>133</v>
      </c>
      <c r="H136" s="2" t="s">
        <v>134</v>
      </c>
      <c r="I136" s="2" t="s">
        <v>135</v>
      </c>
    </row>
    <row r="137" spans="1:9" x14ac:dyDescent="0.25">
      <c r="A137">
        <v>0</v>
      </c>
      <c r="E137">
        <v>445</v>
      </c>
      <c r="I137">
        <v>1114</v>
      </c>
    </row>
    <row r="138" spans="1:9" x14ac:dyDescent="0.25">
      <c r="A138">
        <v>500</v>
      </c>
      <c r="E138">
        <v>445</v>
      </c>
      <c r="I138">
        <v>1114</v>
      </c>
    </row>
    <row r="139" spans="1:9" x14ac:dyDescent="0.25">
      <c r="A139">
        <v>1000</v>
      </c>
      <c r="E139">
        <v>445</v>
      </c>
      <c r="I139">
        <v>1114</v>
      </c>
    </row>
    <row r="140" spans="1:9" x14ac:dyDescent="0.25">
      <c r="A140">
        <v>1560</v>
      </c>
      <c r="E140">
        <v>445</v>
      </c>
      <c r="I140">
        <v>1114</v>
      </c>
    </row>
    <row r="141" spans="1:9" x14ac:dyDescent="0.25">
      <c r="A141">
        <v>1738</v>
      </c>
      <c r="E141">
        <v>445</v>
      </c>
      <c r="I141">
        <v>999.90794016110476</v>
      </c>
    </row>
    <row r="142" spans="1:9" x14ac:dyDescent="0.25">
      <c r="A142">
        <v>2500</v>
      </c>
      <c r="E142">
        <v>309.36399999999998</v>
      </c>
      <c r="I142">
        <v>695.13599999999997</v>
      </c>
    </row>
    <row r="143" spans="1:9" x14ac:dyDescent="0.25">
      <c r="A143">
        <v>3000</v>
      </c>
      <c r="E143">
        <v>257.80333333333334</v>
      </c>
      <c r="I143">
        <v>579.28</v>
      </c>
    </row>
    <row r="144" spans="1:9" x14ac:dyDescent="0.25">
      <c r="A144">
        <v>3590</v>
      </c>
      <c r="E144">
        <v>215.43454038997214</v>
      </c>
      <c r="I144">
        <v>484.07799442896936</v>
      </c>
    </row>
    <row r="145" spans="1:9" x14ac:dyDescent="0.25">
      <c r="A145">
        <v>4000</v>
      </c>
      <c r="E145">
        <v>193.35249999999999</v>
      </c>
      <c r="I145">
        <v>434.46</v>
      </c>
    </row>
    <row r="146" spans="1:9" x14ac:dyDescent="0.25">
      <c r="A146">
        <v>4650</v>
      </c>
      <c r="E146">
        <v>166.32473118279569</v>
      </c>
      <c r="I146">
        <v>373.72903225806454</v>
      </c>
    </row>
  </sheetData>
  <mergeCells count="8">
    <mergeCell ref="A2:H2"/>
    <mergeCell ref="A15:H15"/>
    <mergeCell ref="A28:H28"/>
    <mergeCell ref="A135:H135"/>
    <mergeCell ref="A115:H115"/>
    <mergeCell ref="A93:H93"/>
    <mergeCell ref="A63:H63"/>
    <mergeCell ref="A44:I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Duty Cycle</vt:lpstr>
      <vt:lpstr>HV Plots</vt:lpstr>
      <vt:lpstr>Gearbox</vt:lpstr>
      <vt:lpstr>Magelec Motor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adas</cp:lastModifiedBy>
  <dcterms:created xsi:type="dcterms:W3CDTF">2021-02-04T03:16:42Z</dcterms:created>
  <dcterms:modified xsi:type="dcterms:W3CDTF">2021-03-08T03:04:52Z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