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nigear.sharepoint.com/sites/Engineering/Shared Documents/Electrification/Customer_Related/TrovaCV/"/>
    </mc:Choice>
  </mc:AlternateContent>
  <xr:revisionPtr revIDLastSave="15" documentId="8_{B96C6DE6-D80B-45EE-A17B-89420AD46C4A}" xr6:coauthVersionLast="46" xr6:coauthVersionMax="46" xr10:uidLastSave="{39F182C3-0817-48F9-901E-E9D73C7012DA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J15" i="1"/>
  <c r="K15" i="1" s="1"/>
  <c r="J11" i="1"/>
  <c r="K11" i="1" s="1"/>
  <c r="V11" i="1"/>
  <c r="V12" i="1"/>
  <c r="V13" i="1"/>
  <c r="V14" i="1"/>
  <c r="V15" i="1"/>
  <c r="C38" i="1"/>
  <c r="C30" i="1"/>
  <c r="C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J48" i="1" l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4" i="1"/>
  <c r="C32" i="1"/>
  <c r="C26" i="1"/>
  <c r="C24" i="1"/>
  <c r="C22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R2" i="1" l="1"/>
  <c r="U2" i="1" s="1"/>
  <c r="V2" i="1"/>
  <c r="M15" i="1"/>
  <c r="M14" i="1"/>
  <c r="L13" i="1"/>
  <c r="G6" i="1"/>
  <c r="N14" i="1"/>
  <c r="G10" i="1"/>
  <c r="N2" i="1"/>
  <c r="P2" i="1"/>
  <c r="Q2" i="1" s="1"/>
  <c r="T2" i="1" s="1"/>
  <c r="R15" i="1"/>
  <c r="U15" i="1" s="1"/>
  <c r="N15" i="1"/>
  <c r="I15" i="1"/>
  <c r="M11" i="1"/>
  <c r="G9" i="1"/>
  <c r="L12" i="1"/>
  <c r="G8" i="1"/>
  <c r="V8" i="1" s="1"/>
  <c r="G4" i="1"/>
  <c r="G5" i="1"/>
  <c r="V5" i="1" s="1"/>
  <c r="G7" i="1"/>
  <c r="V7" i="1" s="1"/>
  <c r="G3" i="1"/>
  <c r="I3" i="1" l="1"/>
  <c r="V3" i="1"/>
  <c r="N10" i="1"/>
  <c r="V10" i="1"/>
  <c r="I4" i="1"/>
  <c r="V4" i="1"/>
  <c r="N6" i="1"/>
  <c r="V6" i="1"/>
  <c r="I9" i="1"/>
  <c r="V9" i="1"/>
  <c r="O15" i="1"/>
  <c r="P15" i="1" s="1"/>
  <c r="Q15" i="1" s="1"/>
  <c r="T15" i="1" s="1"/>
  <c r="R6" i="1"/>
  <c r="U6" i="1" s="1"/>
  <c r="H6" i="1"/>
  <c r="O6" i="1" s="1"/>
  <c r="R10" i="1"/>
  <c r="U10" i="1" s="1"/>
  <c r="I6" i="1"/>
  <c r="I14" i="1"/>
  <c r="R14" i="1"/>
  <c r="U14" i="1" s="1"/>
  <c r="I10" i="1"/>
  <c r="I5" i="1"/>
  <c r="I12" i="1"/>
  <c r="O12" i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O13" i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O14" i="1"/>
  <c r="P14" i="1" s="1"/>
  <c r="Q14" i="1" s="1"/>
  <c r="T14" i="1" s="1"/>
  <c r="P6" i="1" l="1"/>
  <c r="Q6" i="1" s="1"/>
  <c r="T6" i="1" s="1"/>
  <c r="P12" i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<sst xmlns="http://schemas.openxmlformats.org/spreadsheetml/2006/main" count="162" uniqueCount="131">
  <si>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</si>
  <si>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</si>
  <si>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</si>
  <si>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</si>
  <si>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</si>
  <si>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</si>
  <si>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</si>
  <si>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</si>
  <si>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</si>
  <si>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</si>
  <si>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</si>
  <si>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</si>
  <si>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</si>
  <si>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</si>
  <si>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</si>
  <si>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</si>
  <si>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</si>
  <si>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</si>
  <si>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</si>
  <si>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</si>
  <si>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</si>
  <si>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</si>
  <si>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</si>
  <si>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</si>
  <si>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</si>
  <si>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</si>
  <si>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</si>
  <si>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</si>
  <si>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</si>
  <si>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</si>
  <si>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</si>
  <si>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</si>
  <si>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</si>
  <si>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</si>
  <si>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</si>
  <si>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</si>
  <si>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</si>
  <si>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</si>
  <si>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</si>
  <si>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</si>
  <si>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</si>
  <si>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</si>
  <si>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</si>
  <si>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</si>
  <si>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</si>
  <si>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</si>
  <si>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</si>
  <si>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</si>
  <si>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</si>
  <si>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</si>
  <si>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</si>
  <si>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</si>
  <si>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</si>
  <si>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</si>
  <si>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</si>
  <si>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</si>
  <si>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</si>
  <si>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</si>
  <si>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</si>
  <si>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</si>
  <si>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</si>
  <si>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</si>
  <si>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</si>
  <si>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</si>
  <si>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</si>
  <si>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</si>
  <si>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</si>
  <si>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</si>
  <si>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</si>
  <si>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</si>
  <si>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</si>
  <si>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</si>
  <si>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</si>
  <si>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</si>
  <si>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</si>
  <si>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</si>
  <si>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</si>
  <si>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</si>
  <si>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</si>
  <si>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</si>
  <si>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</si>
  <si>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</si>
  <si>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</si>
  <si>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</si>
  <si>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</si>
  <si>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</si>
  <si>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</si>
  <si>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</si>
  <si>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</si>
  <si>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</si>
  <si>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</si>
  <si>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</si>
  <si>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</si>
  <si>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</si>
  <si>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</si>
  <si>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</si>
  <si>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</si>
  <si>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</si>
  <si>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</si>
  <si>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</si>
  <si>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</si>
  <si>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</si>
  <si>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</si>
  <si>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</si>
  <si>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</si>
  <si>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</si>
  <si>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</si>
  <si>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</si>
  <si>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</si>
  <si>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</si>
  <si>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</si>
  <si>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</si>
  <si>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</si>
  <si>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</si>
  <si>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</si>
  <si>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</si>
  <si>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</si>
  <si>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</si>
  <si>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</si>
  <si>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</si>
  <si>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</si>
  <si>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</si>
  <si>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</si>
  <si>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</si>
  <si>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</si>
  <si>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</si>
  <si>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</si>
  <si>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</si>
  <si>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</si>
  <si>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 xml:space="preserve">Gradability </t>
  </si>
  <si>
    <t>Max Speed on Max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</si>
</sst>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12.528</c:v>
                </c:pt>
                <c:pt idx="2">
                  <c:v>25.056000000000001</c:v>
                </c:pt>
                <c:pt idx="3">
                  <c:v>37.584000000000003</c:v>
                </c:pt>
                <c:pt idx="4">
                  <c:v>50.112000000000002</c:v>
                </c:pt>
                <c:pt idx="5">
                  <c:v>62.639999999999993</c:v>
                </c:pt>
                <c:pt idx="6">
                  <c:v>75.168000000000006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[Km/hr]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975.02788021603192</c:v>
                </c:pt>
                <c:pt idx="2">
                  <c:v>1950.0557604320638</c:v>
                </c:pt>
                <c:pt idx="3">
                  <c:v>2925.0836406480958</c:v>
                </c:pt>
                <c:pt idx="4">
                  <c:v>3900.1115208641277</c:v>
                </c:pt>
                <c:pt idx="5">
                  <c:v>4875.1394010801596</c:v>
                </c:pt>
                <c:pt idx="6">
                  <c:v>5850.1672812961915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12.872512690355329</c:v>
                </c:pt>
                <c:pt idx="1">
                  <c:v>339.43435452382886</c:v>
                </c:pt>
                <c:pt idx="2">
                  <c:v>340.6064645057578</c:v>
                </c:pt>
                <c:pt idx="3">
                  <c:v>342.55998114230596</c:v>
                </c:pt>
                <c:pt idx="4">
                  <c:v>345.29490443347362</c:v>
                </c:pt>
                <c:pt idx="5">
                  <c:v>348.81123437926021</c:v>
                </c:pt>
                <c:pt idx="6">
                  <c:v>353.10897097966648</c:v>
                </c:pt>
                <c:pt idx="7">
                  <c:v>152.49250622262511</c:v>
                </c:pt>
                <c:pt idx="8">
                  <c:v>28.772419203045683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540.74238868672023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140.09021267471724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104.81730048432841</c:v>
                </c:pt>
                <c:pt idx="1">
                  <c:v>195.8213029225783</c:v>
                </c:pt>
                <c:pt idx="2">
                  <c:v>373.28710450929304</c:v>
                </c:pt>
                <c:pt idx="3">
                  <c:v>540.75045410496602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975.02788021603192</c:v>
                </c:pt>
                <c:pt idx="2">
                  <c:v>1950.0557604320638</c:v>
                </c:pt>
                <c:pt idx="3">
                  <c:v>2925.0836406480958</c:v>
                </c:pt>
                <c:pt idx="4">
                  <c:v>3900.1115208641277</c:v>
                </c:pt>
                <c:pt idx="5">
                  <c:v>4875.1394010801596</c:v>
                </c:pt>
                <c:pt idx="6">
                  <c:v>5850.1672812961915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12.872512690355329</c:v>
                </c:pt>
                <c:pt idx="1">
                  <c:v>339.43435452382886</c:v>
                </c:pt>
                <c:pt idx="2">
                  <c:v>340.6064645057578</c:v>
                </c:pt>
                <c:pt idx="3">
                  <c:v>342.55998114230596</c:v>
                </c:pt>
                <c:pt idx="4">
                  <c:v>345.29490443347362</c:v>
                </c:pt>
                <c:pt idx="5">
                  <c:v>348.81123437926021</c:v>
                </c:pt>
                <c:pt idx="6">
                  <c:v>353.10897097966648</c:v>
                </c:pt>
                <c:pt idx="7">
                  <c:v>152.49250622262511</c:v>
                </c:pt>
                <c:pt idx="8">
                  <c:v>28.772419203045683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540.74238868672023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140.09021267471724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104.81730048432841</c:v>
                </c:pt>
                <c:pt idx="1">
                  <c:v>195.8213029225783</c:v>
                </c:pt>
                <c:pt idx="2">
                  <c:v>373.28710450929304</c:v>
                </c:pt>
                <c:pt idx="3">
                  <c:v>540.75045410496602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975.02788021603192</c:v>
                </c:pt>
                <c:pt idx="2">
                  <c:v>1950.0557604320638</c:v>
                </c:pt>
                <c:pt idx="3">
                  <c:v>2925.0836406480958</c:v>
                </c:pt>
                <c:pt idx="4">
                  <c:v>3900.1115208641277</c:v>
                </c:pt>
                <c:pt idx="5">
                  <c:v>4875.1394010801596</c:v>
                </c:pt>
                <c:pt idx="6">
                  <c:v>5850.1672812961915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12.872512690355329</c:v>
                </c:pt>
                <c:pt idx="1">
                  <c:v>339.43435452382886</c:v>
                </c:pt>
                <c:pt idx="2">
                  <c:v>340.6064645057578</c:v>
                </c:pt>
                <c:pt idx="3">
                  <c:v>342.55998114230596</c:v>
                </c:pt>
                <c:pt idx="4">
                  <c:v>345.29490443347362</c:v>
                </c:pt>
                <c:pt idx="5">
                  <c:v>348.81123437926021</c:v>
                </c:pt>
                <c:pt idx="6">
                  <c:v>353.10897097966648</c:v>
                </c:pt>
                <c:pt idx="7">
                  <c:v>152.49250622262511</c:v>
                </c:pt>
                <c:pt idx="8">
                  <c:v>28.772419203045683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540.74238868672023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140.09021267471724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104.81730048432841</c:v>
                </c:pt>
                <c:pt idx="1">
                  <c:v>195.8213029225783</c:v>
                </c:pt>
                <c:pt idx="2">
                  <c:v>373.28710450929304</c:v>
                </c:pt>
                <c:pt idx="3">
                  <c:v>540.75045410496602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975.02788021603192</c:v>
                </c:pt>
                <c:pt idx="2">
                  <c:v>1950.0557604320638</c:v>
                </c:pt>
                <c:pt idx="3">
                  <c:v>2925.0836406480958</c:v>
                </c:pt>
                <c:pt idx="4">
                  <c:v>3900.1115208641277</c:v>
                </c:pt>
                <c:pt idx="5">
                  <c:v>4875.1394010801596</c:v>
                </c:pt>
                <c:pt idx="6">
                  <c:v>5850.1672812961915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12.872512690355329</c:v>
                </c:pt>
                <c:pt idx="1">
                  <c:v>339.43435452382886</c:v>
                </c:pt>
                <c:pt idx="2">
                  <c:v>340.6064645057578</c:v>
                </c:pt>
                <c:pt idx="3">
                  <c:v>342.55998114230596</c:v>
                </c:pt>
                <c:pt idx="4">
                  <c:v>345.29490443347362</c:v>
                </c:pt>
                <c:pt idx="5">
                  <c:v>348.81123437926021</c:v>
                </c:pt>
                <c:pt idx="6">
                  <c:v>353.10897097966648</c:v>
                </c:pt>
                <c:pt idx="7">
                  <c:v>152.49250622262511</c:v>
                </c:pt>
                <c:pt idx="8">
                  <c:v>28.772419203045683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540.74238868672023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140.09021267471724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104.81730048432841</c:v>
                </c:pt>
                <c:pt idx="1">
                  <c:v>195.8213029225783</c:v>
                </c:pt>
                <c:pt idx="2">
                  <c:v>373.28710450929304</c:v>
                </c:pt>
                <c:pt idx="3">
                  <c:v>540.75045410496602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975.02788021603192</c:v>
                </c:pt>
                <c:pt idx="2">
                  <c:v>1950.0557604320638</c:v>
                </c:pt>
                <c:pt idx="3">
                  <c:v>2925.0836406480958</c:v>
                </c:pt>
                <c:pt idx="4">
                  <c:v>3900.1115208641277</c:v>
                </c:pt>
                <c:pt idx="5">
                  <c:v>4875.1394010801596</c:v>
                </c:pt>
                <c:pt idx="6">
                  <c:v>5850.1672812961915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12.872512690355329</c:v>
                </c:pt>
                <c:pt idx="1">
                  <c:v>339.43435452382886</c:v>
                </c:pt>
                <c:pt idx="2">
                  <c:v>340.6064645057578</c:v>
                </c:pt>
                <c:pt idx="3">
                  <c:v>342.55998114230596</c:v>
                </c:pt>
                <c:pt idx="4">
                  <c:v>345.29490443347362</c:v>
                </c:pt>
                <c:pt idx="5">
                  <c:v>348.81123437926021</c:v>
                </c:pt>
                <c:pt idx="6">
                  <c:v>353.10897097966648</c:v>
                </c:pt>
                <c:pt idx="7">
                  <c:v>152.49250622262511</c:v>
                </c:pt>
                <c:pt idx="8">
                  <c:v>28.772419203045683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540.74238868672023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140.09021267471724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104.81730048432841</c:v>
                </c:pt>
                <c:pt idx="1">
                  <c:v>195.8213029225783</c:v>
                </c:pt>
                <c:pt idx="2">
                  <c:v>373.28710450929304</c:v>
                </c:pt>
                <c:pt idx="3">
                  <c:v>540.75045410496602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604836</xdr:colOff>
      <xdr:row>18</xdr:row>
      <xdr:rowOff>166686</xdr:rowOff>
    </xdr:from>
    <xdr:to>
      <xdr:col>20</xdr:col>
      <xdr:colOff>485775</xdr:colOff>
      <xdr:row>33</xdr:row>
      <xdr:rowOff>342900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18" totalsRowShown="0" headerRowDxfId="4" headerRowBorderDxfId="3" tableBorderDxfId="2">
  <autoFilter ref="A1:C18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0:C38" totalsRowShown="0" headerRowDxfId="1">
  <autoFilter ref="B20:C38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V150"/>
  <sheetViews>
    <sheetView tabSelected="1" zoomScaleNormal="100" workbookViewId="0">
      <selection activeCell="J18" sqref="J18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2" ht="60.75" thickBot="1" x14ac:dyDescent="0.3">
      <c r="A1" s="27" t="s">
        <v>11</v>
      </c>
      <c r="B1" s="27" t="s">
        <v>0</v>
      </c>
      <c r="C1" s="27" t="s">
        <v>1</v>
      </c>
      <c r="D1" s="37" t="s">
        <v>49</v>
      </c>
      <c r="E1" s="2" t="s">
        <v>20</v>
      </c>
      <c r="F1" s="2" t="s">
        <v>21</v>
      </c>
      <c r="G1" s="2" t="s">
        <v>36</v>
      </c>
      <c r="H1" s="2" t="s">
        <v>28</v>
      </c>
      <c r="I1" s="2" t="s">
        <v>22</v>
      </c>
      <c r="J1" s="2" t="s">
        <v>126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29</v>
      </c>
      <c r="Q1" s="2" t="s">
        <v>30</v>
      </c>
      <c r="R1" s="2" t="s">
        <v>34</v>
      </c>
      <c r="S1" s="2" t="s">
        <v>31</v>
      </c>
      <c r="T1" s="2" t="s">
        <v>33</v>
      </c>
      <c r="U1" s="2" t="s">
        <v>35</v>
      </c>
      <c r="V1" s="2" t="s">
        <v>127</v>
      </c>
    </row>
    <row r="2" spans="1:22" x14ac:dyDescent="0.25">
      <c r="A2" s="26" t="s">
        <v>3</v>
      </c>
      <c r="B2" s="26">
        <v>11000</v>
      </c>
      <c r="C2" s="26" t="s">
        <v>2</v>
      </c>
      <c r="D2" s="37"/>
      <c r="E2" s="20">
        <v>0</v>
      </c>
      <c r="F2" s="20">
        <v>0</v>
      </c>
      <c r="G2" s="20">
        <f>IF(F2&gt;$B$15,$B$15,F2)</f>
        <v>0</v>
      </c>
      <c r="H2" s="21">
        <v>0</v>
      </c>
      <c r="I2" s="20">
        <f>$B$2*$B$3*$B$8</f>
        <v>43164</v>
      </c>
      <c r="J2" s="20">
        <v>0</v>
      </c>
      <c r="K2" s="20">
        <v>0</v>
      </c>
      <c r="L2" s="20">
        <f>$B$2*$B$3*SIN(K2)</f>
        <v>0</v>
      </c>
      <c r="M2" s="20">
        <f>$B$2*$B$3*$B$7*COS(K2)</f>
        <v>755.37</v>
      </c>
      <c r="N2" s="20">
        <f>0.5*$B$5*$B$6*$B$4*G2^2</f>
        <v>0</v>
      </c>
      <c r="O2" s="20">
        <f>$B$2*H2</f>
        <v>0</v>
      </c>
      <c r="P2" s="20">
        <f>SUM(L2,M2,N2,O2)</f>
        <v>755.37</v>
      </c>
      <c r="Q2" s="20">
        <f>P2*$B$9</f>
        <v>355.02389999999997</v>
      </c>
      <c r="R2" s="20">
        <f>G2*60/2/PI()/$B$9</f>
        <v>0</v>
      </c>
      <c r="S2" s="20">
        <f>$B$17*$B$18</f>
        <v>13.79</v>
      </c>
      <c r="T2" s="20">
        <f>Q2/S2/$B$16</f>
        <v>12.872512690355329</v>
      </c>
      <c r="U2" s="20">
        <f>R2*S2</f>
        <v>0</v>
      </c>
      <c r="V2" s="20">
        <f>3600*G2/1000</f>
        <v>0</v>
      </c>
    </row>
    <row r="3" spans="1:22" x14ac:dyDescent="0.25">
      <c r="A3" s="26" t="s">
        <v>4</v>
      </c>
      <c r="B3" s="26">
        <v>9.81</v>
      </c>
      <c r="C3" s="26" t="s">
        <v>5</v>
      </c>
      <c r="D3" s="37"/>
      <c r="E3" s="20">
        <v>2</v>
      </c>
      <c r="F3" s="20">
        <f>F2+$B$14*2</f>
        <v>3.48</v>
      </c>
      <c r="G3" s="20">
        <f>IF(F3&gt;$B$15,$B$15,F3)</f>
        <v>3.48</v>
      </c>
      <c r="H3" s="21">
        <f>(G3-G2)/(E3-E2)</f>
        <v>1.74</v>
      </c>
      <c r="I3" s="20">
        <f>$I$2/G3</f>
        <v>12403.448275862069</v>
      </c>
      <c r="J3" s="20">
        <v>0</v>
      </c>
      <c r="K3" s="20">
        <v>0</v>
      </c>
      <c r="L3" s="20">
        <f t="shared" ref="L3:L15" si="0">$B$2*$B$3*SIN(K3)</f>
        <v>0</v>
      </c>
      <c r="M3" s="20">
        <f t="shared" ref="M3:M15" si="1">$B$2*$B$3*$B$7*COS(K3)</f>
        <v>755.37</v>
      </c>
      <c r="N3" s="20">
        <f t="shared" ref="N3:N15" si="2">0.5*$B$5*$B$6*$B$4*G3^2</f>
        <v>22.926803760000002</v>
      </c>
      <c r="O3" s="20">
        <f t="shared" ref="O3:O15" si="3">$B$2*H3</f>
        <v>19140</v>
      </c>
      <c r="P3" s="20">
        <f t="shared" ref="P3:P15" si="4">SUM(L3,M3,N3,O3)</f>
        <v>19918.29680376</v>
      </c>
      <c r="Q3" s="20">
        <f t="shared" ref="Q3:Q15" si="5">P3*$B$9</f>
        <v>9361.5994977671999</v>
      </c>
      <c r="R3" s="20">
        <f t="shared" ref="R3:R15" si="6">G3*60/2/PI()/$B$9</f>
        <v>70.70543003742074</v>
      </c>
      <c r="S3" s="20">
        <f>$B$17*$B$18</f>
        <v>13.79</v>
      </c>
      <c r="T3" s="20">
        <f>Q3/S3/$B$16</f>
        <v>339.43435452382886</v>
      </c>
      <c r="U3" s="20">
        <f t="shared" ref="U3:U15" si="7">R3*S3</f>
        <v>975.02788021603192</v>
      </c>
      <c r="V3" s="20">
        <f t="shared" ref="V3:V15" si="8">3600*G3/1000</f>
        <v>12.528</v>
      </c>
    </row>
    <row r="4" spans="1:22" x14ac:dyDescent="0.25">
      <c r="A4" s="26" t="s">
        <v>13</v>
      </c>
      <c r="B4" s="26">
        <v>4.2</v>
      </c>
      <c r="C4" s="26" t="s">
        <v>14</v>
      </c>
      <c r="D4" s="37"/>
      <c r="E4" s="20">
        <v>4</v>
      </c>
      <c r="F4" s="20">
        <f>F3+$B$14*2</f>
        <v>6.96</v>
      </c>
      <c r="G4" s="20">
        <f>IF(F4&gt;$B$15,$B$15,F4)</f>
        <v>6.96</v>
      </c>
      <c r="H4" s="21">
        <f t="shared" ref="H4:H10" si="9">(G4-G3)/(E4-E3)</f>
        <v>1.74</v>
      </c>
      <c r="I4" s="20">
        <f>$I$2/G4</f>
        <v>6201.7241379310344</v>
      </c>
      <c r="J4" s="20">
        <v>0</v>
      </c>
      <c r="K4" s="20">
        <v>0</v>
      </c>
      <c r="L4" s="20">
        <f t="shared" si="0"/>
        <v>0</v>
      </c>
      <c r="M4" s="20">
        <f t="shared" si="1"/>
        <v>755.37</v>
      </c>
      <c r="N4" s="20">
        <f t="shared" si="2"/>
        <v>91.707215040000008</v>
      </c>
      <c r="O4" s="20">
        <f t="shared" si="3"/>
        <v>19140</v>
      </c>
      <c r="P4" s="20">
        <f t="shared" si="4"/>
        <v>19987.077215040001</v>
      </c>
      <c r="Q4" s="20">
        <f t="shared" si="5"/>
        <v>9393.9262910687994</v>
      </c>
      <c r="R4" s="20">
        <f t="shared" si="6"/>
        <v>141.41086007484148</v>
      </c>
      <c r="S4" s="20">
        <f>$B$17*$B$18</f>
        <v>13.79</v>
      </c>
      <c r="T4" s="20">
        <f>Q4/S4/$B$16</f>
        <v>340.6064645057578</v>
      </c>
      <c r="U4" s="20">
        <f t="shared" si="7"/>
        <v>1950.0557604320638</v>
      </c>
      <c r="V4" s="20">
        <f t="shared" si="8"/>
        <v>25.056000000000001</v>
      </c>
    </row>
    <row r="5" spans="1:22" x14ac:dyDescent="0.25">
      <c r="A5" s="26" t="s">
        <v>6</v>
      </c>
      <c r="B5" s="26">
        <v>1.202</v>
      </c>
      <c r="C5" s="26" t="s">
        <v>7</v>
      </c>
      <c r="D5" s="37"/>
      <c r="E5" s="20">
        <v>6</v>
      </c>
      <c r="F5" s="20">
        <f>F4+$B$14*2</f>
        <v>10.44</v>
      </c>
      <c r="G5" s="20">
        <f>IF(F5&gt;$B$15,$B$15,F5)</f>
        <v>10.44</v>
      </c>
      <c r="H5" s="21">
        <f t="shared" si="9"/>
        <v>1.7399999999999998</v>
      </c>
      <c r="I5" s="20">
        <f t="shared" ref="I5:I15" si="10">$I$2/G5</f>
        <v>4134.4827586206902</v>
      </c>
      <c r="J5" s="20">
        <v>0</v>
      </c>
      <c r="K5" s="20">
        <v>0</v>
      </c>
      <c r="L5" s="20">
        <f t="shared" si="0"/>
        <v>0</v>
      </c>
      <c r="M5" s="20">
        <f t="shared" si="1"/>
        <v>755.37</v>
      </c>
      <c r="N5" s="20">
        <f t="shared" si="2"/>
        <v>206.34123383999997</v>
      </c>
      <c r="O5" s="20">
        <f t="shared" si="3"/>
        <v>19139.999999999996</v>
      </c>
      <c r="P5" s="20">
        <f t="shared" si="4"/>
        <v>20101.711233839997</v>
      </c>
      <c r="Q5" s="20">
        <f t="shared" si="5"/>
        <v>9447.804279904798</v>
      </c>
      <c r="R5" s="20">
        <f t="shared" si="6"/>
        <v>212.11629011226222</v>
      </c>
      <c r="S5" s="20">
        <f>$B$17*$B$18</f>
        <v>13.79</v>
      </c>
      <c r="T5" s="20">
        <f>Q5/S5/$B$16</f>
        <v>342.55998114230596</v>
      </c>
      <c r="U5" s="20">
        <f t="shared" si="7"/>
        <v>2925.0836406480958</v>
      </c>
      <c r="V5" s="20">
        <f t="shared" si="8"/>
        <v>37.584000000000003</v>
      </c>
    </row>
    <row r="6" spans="1:22" x14ac:dyDescent="0.25">
      <c r="A6" s="26" t="s">
        <v>15</v>
      </c>
      <c r="B6" s="26">
        <v>0.75</v>
      </c>
      <c r="C6" s="26"/>
      <c r="D6" s="37"/>
      <c r="E6" s="20">
        <v>8</v>
      </c>
      <c r="F6" s="20">
        <f>F5+$B$14*2</f>
        <v>13.92</v>
      </c>
      <c r="G6" s="20">
        <f>IF(F6&gt;$B$15,$B$15,F6)</f>
        <v>13.92</v>
      </c>
      <c r="H6" s="21">
        <f t="shared" si="9"/>
        <v>1.7400000000000002</v>
      </c>
      <c r="I6" s="20">
        <f t="shared" si="10"/>
        <v>3100.8620689655172</v>
      </c>
      <c r="J6" s="20">
        <v>0</v>
      </c>
      <c r="K6" s="20">
        <v>0</v>
      </c>
      <c r="L6" s="20">
        <f t="shared" si="0"/>
        <v>0</v>
      </c>
      <c r="M6" s="20">
        <f t="shared" si="1"/>
        <v>755.37</v>
      </c>
      <c r="N6" s="20">
        <f t="shared" si="2"/>
        <v>366.82886016000003</v>
      </c>
      <c r="O6" s="20">
        <f t="shared" si="3"/>
        <v>19140.000000000004</v>
      </c>
      <c r="P6" s="20">
        <f t="shared" si="4"/>
        <v>20262.198860160002</v>
      </c>
      <c r="Q6" s="20">
        <f t="shared" si="5"/>
        <v>9523.2334642752012</v>
      </c>
      <c r="R6" s="20">
        <f t="shared" si="6"/>
        <v>282.82172014968296</v>
      </c>
      <c r="S6" s="20">
        <f>$B$17*$B$18</f>
        <v>13.79</v>
      </c>
      <c r="T6" s="20">
        <f>Q6/S6/$B$16</f>
        <v>345.29490443347362</v>
      </c>
      <c r="U6" s="20">
        <f t="shared" si="7"/>
        <v>3900.1115208641277</v>
      </c>
      <c r="V6" s="20">
        <f t="shared" si="8"/>
        <v>50.112000000000002</v>
      </c>
    </row>
    <row r="7" spans="1:22" x14ac:dyDescent="0.25">
      <c r="A7" s="26" t="s">
        <v>123</v>
      </c>
      <c r="B7" s="26">
        <v>7.0000000000000001E-3</v>
      </c>
      <c r="C7" s="26"/>
      <c r="D7" s="37"/>
      <c r="E7" s="20">
        <v>10</v>
      </c>
      <c r="F7" s="20">
        <f>F6+$B$14*2</f>
        <v>17.399999999999999</v>
      </c>
      <c r="G7" s="20">
        <f>IF(F7&gt;$B$15,$B$15,F7)</f>
        <v>17.399999999999999</v>
      </c>
      <c r="H7" s="21">
        <f t="shared" si="9"/>
        <v>1.7399999999999993</v>
      </c>
      <c r="I7" s="20">
        <f t="shared" si="10"/>
        <v>2480.6896551724139</v>
      </c>
      <c r="J7" s="20">
        <v>0</v>
      </c>
      <c r="K7" s="20">
        <v>0</v>
      </c>
      <c r="L7" s="20">
        <f t="shared" si="0"/>
        <v>0</v>
      </c>
      <c r="M7" s="20">
        <f t="shared" si="1"/>
        <v>755.37</v>
      </c>
      <c r="N7" s="20">
        <f t="shared" si="2"/>
        <v>573.17009399999995</v>
      </c>
      <c r="O7" s="20">
        <f t="shared" si="3"/>
        <v>19139.999999999993</v>
      </c>
      <c r="P7" s="20">
        <f t="shared" si="4"/>
        <v>20468.540093999993</v>
      </c>
      <c r="Q7" s="20">
        <f t="shared" si="5"/>
        <v>9620.2138441799962</v>
      </c>
      <c r="R7" s="20">
        <f t="shared" si="6"/>
        <v>353.5271501871037</v>
      </c>
      <c r="S7" s="20">
        <f>$B$17*$B$18</f>
        <v>13.79</v>
      </c>
      <c r="T7" s="20">
        <f>Q7/S7/$B$16</f>
        <v>348.81123437926021</v>
      </c>
      <c r="U7" s="20">
        <f t="shared" si="7"/>
        <v>4875.1394010801596</v>
      </c>
      <c r="V7" s="20">
        <f t="shared" si="8"/>
        <v>62.639999999999993</v>
      </c>
    </row>
    <row r="8" spans="1:22" x14ac:dyDescent="0.25">
      <c r="A8" s="26" t="s">
        <v>8</v>
      </c>
      <c r="B8" s="26">
        <v>0.4</v>
      </c>
      <c r="C8" s="26"/>
      <c r="D8" s="37"/>
      <c r="E8" s="20">
        <v>12</v>
      </c>
      <c r="F8" s="20">
        <f>F7+$B$14*2</f>
        <v>20.88</v>
      </c>
      <c r="G8" s="20">
        <f>IF(F8&gt;$B$15,$B$15,F8)</f>
        <v>20.88</v>
      </c>
      <c r="H8" s="21">
        <f t="shared" si="9"/>
        <v>1.7400000000000002</v>
      </c>
      <c r="I8" s="20">
        <f t="shared" si="10"/>
        <v>2067.2413793103451</v>
      </c>
      <c r="J8" s="20">
        <v>0</v>
      </c>
      <c r="K8" s="20">
        <v>0</v>
      </c>
      <c r="L8" s="20">
        <f t="shared" si="0"/>
        <v>0</v>
      </c>
      <c r="M8" s="20">
        <f t="shared" si="1"/>
        <v>755.37</v>
      </c>
      <c r="N8" s="20">
        <f t="shared" si="2"/>
        <v>825.36493535999989</v>
      </c>
      <c r="O8" s="20">
        <f t="shared" si="3"/>
        <v>19140.000000000004</v>
      </c>
      <c r="P8" s="20">
        <f t="shared" si="4"/>
        <v>20720.734935360004</v>
      </c>
      <c r="Q8" s="20">
        <f t="shared" si="5"/>
        <v>9738.7454196192011</v>
      </c>
      <c r="R8" s="20">
        <f t="shared" si="6"/>
        <v>424.23258022452444</v>
      </c>
      <c r="S8" s="20">
        <f>$B$17*$B$18</f>
        <v>13.79</v>
      </c>
      <c r="T8" s="20">
        <f>Q8/S8/$B$16</f>
        <v>353.10897097966648</v>
      </c>
      <c r="U8" s="20">
        <f t="shared" si="7"/>
        <v>5850.1672812961915</v>
      </c>
      <c r="V8" s="20">
        <f t="shared" si="8"/>
        <v>75.168000000000006</v>
      </c>
    </row>
    <row r="9" spans="1:22" x14ac:dyDescent="0.25">
      <c r="A9" s="26" t="s">
        <v>9</v>
      </c>
      <c r="B9" s="26">
        <v>0.47</v>
      </c>
      <c r="C9" s="26" t="s">
        <v>10</v>
      </c>
      <c r="D9" s="37"/>
      <c r="E9" s="20">
        <v>14</v>
      </c>
      <c r="F9" s="20">
        <f>F8+$B$14*2</f>
        <v>24.36</v>
      </c>
      <c r="G9" s="20">
        <f>IF(F9&gt;$B$15,$B$15,F9)</f>
        <v>22.2</v>
      </c>
      <c r="H9" s="21">
        <f t="shared" si="9"/>
        <v>0.66000000000000014</v>
      </c>
      <c r="I9" s="20">
        <f t="shared" si="10"/>
        <v>1944.3243243243244</v>
      </c>
      <c r="J9" s="20">
        <v>0</v>
      </c>
      <c r="K9" s="20">
        <v>0</v>
      </c>
      <c r="L9" s="20">
        <f t="shared" si="0"/>
        <v>0</v>
      </c>
      <c r="M9" s="20">
        <f t="shared" si="1"/>
        <v>755.37</v>
      </c>
      <c r="N9" s="20">
        <f t="shared" si="2"/>
        <v>933.02004599999998</v>
      </c>
      <c r="O9" s="20">
        <f t="shared" si="3"/>
        <v>7260.0000000000018</v>
      </c>
      <c r="P9" s="20">
        <f t="shared" si="4"/>
        <v>8948.3900460000023</v>
      </c>
      <c r="Q9" s="20">
        <f t="shared" si="5"/>
        <v>4205.7433216200006</v>
      </c>
      <c r="R9" s="20">
        <f t="shared" si="6"/>
        <v>451.05188127320127</v>
      </c>
      <c r="S9" s="20">
        <f>$B$17*$B$18</f>
        <v>13.79</v>
      </c>
      <c r="T9" s="20">
        <f>Q9/S9/$B$16</f>
        <v>152.49250622262511</v>
      </c>
      <c r="U9" s="20">
        <f t="shared" si="7"/>
        <v>6220.0054427574451</v>
      </c>
      <c r="V9" s="20">
        <f t="shared" si="8"/>
        <v>79.92</v>
      </c>
    </row>
    <row r="10" spans="1:22" x14ac:dyDescent="0.25">
      <c r="A10" s="26" t="s">
        <v>12</v>
      </c>
      <c r="B10" s="26">
        <v>0.95</v>
      </c>
      <c r="C10" s="26"/>
      <c r="D10" s="37"/>
      <c r="E10" s="20">
        <v>16</v>
      </c>
      <c r="F10" s="20">
        <f>F9+$B$14*2</f>
        <v>27.84</v>
      </c>
      <c r="G10" s="20">
        <f>IF(F10&gt;$B$15,$B$15,F10)</f>
        <v>22.2</v>
      </c>
      <c r="H10" s="21">
        <f t="shared" si="9"/>
        <v>0</v>
      </c>
      <c r="I10" s="20">
        <f t="shared" si="10"/>
        <v>1944.3243243243244</v>
      </c>
      <c r="J10" s="20">
        <v>0</v>
      </c>
      <c r="K10" s="20">
        <v>0</v>
      </c>
      <c r="L10" s="20">
        <f t="shared" si="0"/>
        <v>0</v>
      </c>
      <c r="M10" s="20">
        <f t="shared" si="1"/>
        <v>755.37</v>
      </c>
      <c r="N10" s="20">
        <f t="shared" si="2"/>
        <v>933.02004599999998</v>
      </c>
      <c r="O10" s="20">
        <f t="shared" si="3"/>
        <v>0</v>
      </c>
      <c r="P10" s="20">
        <f t="shared" si="4"/>
        <v>1688.390046</v>
      </c>
      <c r="Q10" s="20">
        <f t="shared" si="5"/>
        <v>793.54332161999992</v>
      </c>
      <c r="R10" s="20">
        <f t="shared" si="6"/>
        <v>451.05188127320127</v>
      </c>
      <c r="S10" s="20">
        <f>$B$17*$B$18</f>
        <v>13.79</v>
      </c>
      <c r="T10" s="20">
        <f>Q10/S10/$B$16</f>
        <v>28.772419203045683</v>
      </c>
      <c r="U10" s="20">
        <f t="shared" si="7"/>
        <v>6220.0054427574451</v>
      </c>
      <c r="V10" s="20">
        <f t="shared" si="8"/>
        <v>79.92</v>
      </c>
    </row>
    <row r="11" spans="1:22" x14ac:dyDescent="0.25">
      <c r="A11" s="26" t="s">
        <v>128</v>
      </c>
      <c r="B11" s="26">
        <v>30</v>
      </c>
      <c r="C11" s="26" t="s">
        <v>16</v>
      </c>
      <c r="D11" s="37"/>
      <c r="E11" s="24">
        <v>18</v>
      </c>
      <c r="F11" s="24">
        <f>F10+$B$14*2</f>
        <v>31.32</v>
      </c>
      <c r="G11" s="24">
        <v>1E-3</v>
      </c>
      <c r="H11" s="25">
        <v>0</v>
      </c>
      <c r="I11" s="24">
        <f t="shared" si="10"/>
        <v>43164000</v>
      </c>
      <c r="J11" s="24">
        <f>Table2[[#This Row],[Value]]</f>
        <v>30</v>
      </c>
      <c r="K11" s="24">
        <f>ATAN2(100, J11)</f>
        <v>0.2914567944778671</v>
      </c>
      <c r="L11" s="24">
        <f t="shared" si="0"/>
        <v>31007.710331464335</v>
      </c>
      <c r="M11" s="24">
        <f t="shared" si="1"/>
        <v>723.51324106750121</v>
      </c>
      <c r="N11" s="24">
        <f t="shared" si="2"/>
        <v>1.89315E-6</v>
      </c>
      <c r="O11" s="24">
        <f t="shared" si="3"/>
        <v>0</v>
      </c>
      <c r="P11" s="24">
        <f t="shared" si="4"/>
        <v>31731.223574424985</v>
      </c>
      <c r="Q11" s="24">
        <f t="shared" si="5"/>
        <v>14913.675079979743</v>
      </c>
      <c r="R11" s="24">
        <f t="shared" si="6"/>
        <v>2.0317652309603661E-2</v>
      </c>
      <c r="S11" s="24">
        <f>$B$17*$B$18</f>
        <v>13.79</v>
      </c>
      <c r="T11" s="24">
        <f>Q11/S11/$B$16</f>
        <v>540.74238868672023</v>
      </c>
      <c r="U11" s="24">
        <f>R11*S11</f>
        <v>0.28018042534943444</v>
      </c>
      <c r="V11" s="24">
        <f t="shared" si="8"/>
        <v>3.5999999999999999E-3</v>
      </c>
    </row>
    <row r="12" spans="1:22" x14ac:dyDescent="0.25">
      <c r="A12" s="26" t="s">
        <v>129</v>
      </c>
      <c r="B12" s="26">
        <v>30</v>
      </c>
      <c r="C12" s="26" t="s">
        <v>16</v>
      </c>
      <c r="D12" s="37"/>
      <c r="E12" s="22">
        <v>20</v>
      </c>
      <c r="F12" s="22">
        <f>F11+$B$14*2</f>
        <v>34.799999999999997</v>
      </c>
      <c r="G12" s="34">
        <v>2</v>
      </c>
      <c r="H12" s="23">
        <v>0</v>
      </c>
      <c r="I12" s="22">
        <f t="shared" si="10"/>
        <v>21582</v>
      </c>
      <c r="J12" s="34">
        <v>5</v>
      </c>
      <c r="K12" s="22">
        <f t="shared" ref="K12:K15" si="11">ATAN2(100, J12)</f>
        <v>4.9958395721942765E-2</v>
      </c>
      <c r="L12" s="22">
        <f t="shared" si="0"/>
        <v>5388.7682444154116</v>
      </c>
      <c r="M12" s="22">
        <f t="shared" si="1"/>
        <v>754.42755421815752</v>
      </c>
      <c r="N12" s="22">
        <f t="shared" si="2"/>
        <v>7.5726000000000004</v>
      </c>
      <c r="O12" s="22">
        <f t="shared" si="3"/>
        <v>0</v>
      </c>
      <c r="P12" s="22">
        <f t="shared" si="4"/>
        <v>6150.7683986335696</v>
      </c>
      <c r="Q12" s="22">
        <f t="shared" si="5"/>
        <v>2890.8611473577776</v>
      </c>
      <c r="R12" s="22">
        <f t="shared" si="6"/>
        <v>40.635304619207325</v>
      </c>
      <c r="S12" s="22">
        <f>$B$17*$B$18</f>
        <v>13.79</v>
      </c>
      <c r="T12" s="22">
        <f>Q12/S12/$B$16</f>
        <v>104.81730048432841</v>
      </c>
      <c r="U12" s="22">
        <f t="shared" si="7"/>
        <v>560.36085069886894</v>
      </c>
      <c r="V12" s="22">
        <f t="shared" si="8"/>
        <v>7.2</v>
      </c>
    </row>
    <row r="13" spans="1:22" x14ac:dyDescent="0.25">
      <c r="A13" s="26" t="s">
        <v>130</v>
      </c>
      <c r="B13" s="26">
        <v>0.5</v>
      </c>
      <c r="C13" s="26" t="s">
        <v>19</v>
      </c>
      <c r="D13" s="37"/>
      <c r="E13" s="22">
        <v>22</v>
      </c>
      <c r="F13" s="22">
        <f>F12+$B$14*2</f>
        <v>38.279999999999994</v>
      </c>
      <c r="G13" s="34">
        <v>1</v>
      </c>
      <c r="H13" s="23">
        <v>0</v>
      </c>
      <c r="I13" s="22">
        <f t="shared" si="10"/>
        <v>43164</v>
      </c>
      <c r="J13" s="34">
        <v>10</v>
      </c>
      <c r="K13" s="22">
        <f t="shared" si="11"/>
        <v>9.9668652491162038E-2</v>
      </c>
      <c r="L13" s="22">
        <f t="shared" si="0"/>
        <v>10737.446319555995</v>
      </c>
      <c r="M13" s="22">
        <f t="shared" si="1"/>
        <v>751.62124236891952</v>
      </c>
      <c r="N13" s="22">
        <f t="shared" si="2"/>
        <v>1.8931500000000001</v>
      </c>
      <c r="O13" s="22">
        <f t="shared" si="3"/>
        <v>0</v>
      </c>
      <c r="P13" s="22">
        <f t="shared" si="4"/>
        <v>11490.960711924914</v>
      </c>
      <c r="Q13" s="22">
        <f t="shared" si="5"/>
        <v>5400.7515346047094</v>
      </c>
      <c r="R13" s="22">
        <f t="shared" si="6"/>
        <v>20.317652309603663</v>
      </c>
      <c r="S13" s="22">
        <f>$B$17*$B$18</f>
        <v>13.79</v>
      </c>
      <c r="T13" s="22">
        <f>Q13/S13/$B$16</f>
        <v>195.8213029225783</v>
      </c>
      <c r="U13" s="22">
        <f t="shared" si="7"/>
        <v>280.18042534943447</v>
      </c>
      <c r="V13" s="22">
        <f t="shared" si="8"/>
        <v>3.6</v>
      </c>
    </row>
    <row r="14" spans="1:22" x14ac:dyDescent="0.25">
      <c r="A14" s="26" t="s">
        <v>17</v>
      </c>
      <c r="B14" s="26">
        <v>1.74</v>
      </c>
      <c r="C14" s="26" t="s">
        <v>5</v>
      </c>
      <c r="D14" s="37"/>
      <c r="E14" s="22">
        <v>24</v>
      </c>
      <c r="F14" s="22">
        <f>F13+$B$14*2</f>
        <v>41.759999999999991</v>
      </c>
      <c r="G14" s="34">
        <v>0.8</v>
      </c>
      <c r="H14" s="23">
        <v>0</v>
      </c>
      <c r="I14" s="22">
        <f t="shared" si="10"/>
        <v>53955</v>
      </c>
      <c r="J14" s="34">
        <v>20</v>
      </c>
      <c r="K14" s="22">
        <f t="shared" si="11"/>
        <v>0.19739555984988078</v>
      </c>
      <c r="L14" s="22">
        <f t="shared" si="0"/>
        <v>21162.89214276144</v>
      </c>
      <c r="M14" s="22">
        <f t="shared" si="1"/>
        <v>740.70122499665035</v>
      </c>
      <c r="N14" s="22">
        <f t="shared" si="2"/>
        <v>1.2116160000000002</v>
      </c>
      <c r="O14" s="22">
        <f t="shared" si="3"/>
        <v>0</v>
      </c>
      <c r="P14" s="22">
        <f t="shared" si="4"/>
        <v>21904.804983758091</v>
      </c>
      <c r="Q14" s="22">
        <f t="shared" si="5"/>
        <v>10295.258342366302</v>
      </c>
      <c r="R14" s="22">
        <f t="shared" si="6"/>
        <v>16.254121847682928</v>
      </c>
      <c r="S14" s="22">
        <f>$B$17*$B$18</f>
        <v>13.79</v>
      </c>
      <c r="T14" s="22">
        <f>Q14/S14/$B$16</f>
        <v>373.28710450929304</v>
      </c>
      <c r="U14" s="22">
        <f t="shared" si="7"/>
        <v>224.14434027954755</v>
      </c>
      <c r="V14" s="22">
        <f t="shared" si="8"/>
        <v>2.88</v>
      </c>
    </row>
    <row r="15" spans="1:22" x14ac:dyDescent="0.25">
      <c r="A15" s="26" t="s">
        <v>18</v>
      </c>
      <c r="B15" s="26">
        <v>22.2</v>
      </c>
      <c r="C15" s="26" t="s">
        <v>19</v>
      </c>
      <c r="D15" s="37"/>
      <c r="E15" s="22">
        <v>26</v>
      </c>
      <c r="F15" s="22">
        <f>F14+$B$14*2</f>
        <v>45.239999999999988</v>
      </c>
      <c r="G15" s="34">
        <f>B13</f>
        <v>0.5</v>
      </c>
      <c r="H15" s="23">
        <v>0</v>
      </c>
      <c r="I15" s="22">
        <f t="shared" si="10"/>
        <v>86328</v>
      </c>
      <c r="J15" s="34">
        <f>B12</f>
        <v>30</v>
      </c>
      <c r="K15" s="22">
        <f t="shared" si="11"/>
        <v>0.2914567944778671</v>
      </c>
      <c r="L15" s="22">
        <f t="shared" si="0"/>
        <v>31007.710331464335</v>
      </c>
      <c r="M15" s="22">
        <f t="shared" si="1"/>
        <v>723.51324106750121</v>
      </c>
      <c r="N15" s="22">
        <f t="shared" si="2"/>
        <v>0.47328750000000003</v>
      </c>
      <c r="O15" s="22">
        <f t="shared" si="3"/>
        <v>0</v>
      </c>
      <c r="P15" s="22">
        <f t="shared" si="4"/>
        <v>31731.696860031836</v>
      </c>
      <c r="Q15" s="22">
        <f t="shared" si="5"/>
        <v>14913.897524214963</v>
      </c>
      <c r="R15" s="22">
        <f t="shared" si="6"/>
        <v>10.158826154801831</v>
      </c>
      <c r="S15" s="22">
        <f>$B$17*$B$18</f>
        <v>13.79</v>
      </c>
      <c r="T15" s="22">
        <f>Q15/S15/$B$16</f>
        <v>540.75045410496602</v>
      </c>
      <c r="U15" s="22">
        <f t="shared" si="7"/>
        <v>140.09021267471724</v>
      </c>
      <c r="V15" s="22">
        <f t="shared" si="8"/>
        <v>1.8</v>
      </c>
    </row>
    <row r="16" spans="1:22" x14ac:dyDescent="0.25">
      <c r="A16" s="26" t="s">
        <v>32</v>
      </c>
      <c r="B16" s="26">
        <v>2</v>
      </c>
      <c r="C16" s="26"/>
      <c r="D16" s="37"/>
      <c r="I16" s="1"/>
      <c r="J16" s="1"/>
      <c r="S16" s="1"/>
    </row>
    <row r="17" spans="1:12" x14ac:dyDescent="0.25">
      <c r="A17" s="26" t="s">
        <v>83</v>
      </c>
      <c r="B17" s="26">
        <v>3.94</v>
      </c>
      <c r="C17" s="26"/>
      <c r="D17" s="37"/>
      <c r="I17" s="1"/>
      <c r="J17" s="1"/>
    </row>
    <row r="18" spans="1:12" x14ac:dyDescent="0.25">
      <c r="A18" s="26" t="s">
        <v>84</v>
      </c>
      <c r="B18" s="26">
        <v>3.5</v>
      </c>
      <c r="C18" s="26"/>
      <c r="D18" s="37"/>
    </row>
    <row r="19" spans="1:12" x14ac:dyDescent="0.25">
      <c r="A19" s="35" t="s">
        <v>37</v>
      </c>
      <c r="B19" s="35"/>
      <c r="C19" s="35"/>
      <c r="D19" s="37"/>
    </row>
    <row r="20" spans="1:12" x14ac:dyDescent="0.25">
      <c r="A20" s="3"/>
      <c r="B20" s="29" t="s">
        <v>124</v>
      </c>
      <c r="C20" s="29" t="s">
        <v>125</v>
      </c>
      <c r="D20" s="37"/>
      <c r="E20" s="38" t="s">
        <v>57</v>
      </c>
      <c r="F20" s="38"/>
      <c r="G20" s="38"/>
      <c r="H20" s="38"/>
      <c r="I20" s="38"/>
      <c r="J20" s="38"/>
      <c r="K20" s="38"/>
      <c r="L20" s="38"/>
    </row>
    <row r="21" spans="1:12" ht="45" x14ac:dyDescent="0.25">
      <c r="A21" s="3"/>
      <c r="B21" s="29" t="s">
        <v>38</v>
      </c>
      <c r="C21" s="29" t="s">
        <v>2</v>
      </c>
      <c r="D21" s="37"/>
      <c r="E21" s="2" t="s">
        <v>50</v>
      </c>
      <c r="F21" s="2" t="s">
        <v>51</v>
      </c>
      <c r="G21" s="2" t="s">
        <v>52</v>
      </c>
      <c r="H21" s="2" t="s">
        <v>53</v>
      </c>
      <c r="I21" s="2" t="s">
        <v>54</v>
      </c>
      <c r="J21" s="2" t="s">
        <v>55</v>
      </c>
      <c r="K21" s="2" t="s">
        <v>56</v>
      </c>
    </row>
    <row r="22" spans="1:12" x14ac:dyDescent="0.25">
      <c r="B22" s="31">
        <v>65000</v>
      </c>
      <c r="C22" s="31">
        <f>B22*0.453592</f>
        <v>29483.48</v>
      </c>
      <c r="D22" s="37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2">H22*$J$22/$F$22</f>
        <v>71.314285714285717</v>
      </c>
    </row>
    <row r="23" spans="1:12" x14ac:dyDescent="0.25">
      <c r="B23" s="32" t="s">
        <v>39</v>
      </c>
      <c r="C23" s="32" t="s">
        <v>40</v>
      </c>
      <c r="D23" s="37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2"/>
        <v>71.314285714285717</v>
      </c>
    </row>
    <row r="24" spans="1:12" x14ac:dyDescent="0.25">
      <c r="B24" s="31">
        <v>1</v>
      </c>
      <c r="C24" s="31">
        <f>B24*0.0254</f>
        <v>2.5399999999999999E-2</v>
      </c>
      <c r="D24" s="37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2"/>
        <v>71.314285714285717</v>
      </c>
    </row>
    <row r="25" spans="1:12" x14ac:dyDescent="0.25">
      <c r="B25" s="32" t="s">
        <v>41</v>
      </c>
      <c r="C25" s="32" t="s">
        <v>42</v>
      </c>
      <c r="D25" s="37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2"/>
        <v>71.314285714285717</v>
      </c>
    </row>
    <row r="26" spans="1:12" x14ac:dyDescent="0.25">
      <c r="B26" s="31">
        <v>1</v>
      </c>
      <c r="C26" s="31">
        <f>B26*4.44822</f>
        <v>4.4482200000000001</v>
      </c>
      <c r="D26" s="37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3">F26*$J$22/$F$22</f>
        <v>187.2</v>
      </c>
      <c r="K26" s="1">
        <f t="shared" si="12"/>
        <v>71.314285714285717</v>
      </c>
    </row>
    <row r="27" spans="1:12" x14ac:dyDescent="0.25">
      <c r="B27" s="32" t="s">
        <v>43</v>
      </c>
      <c r="C27" s="32" t="s">
        <v>19</v>
      </c>
      <c r="D27" s="37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3"/>
        <v>149.76</v>
      </c>
      <c r="K27" s="1">
        <f t="shared" si="12"/>
        <v>71.314285714285717</v>
      </c>
    </row>
    <row r="28" spans="1:12" x14ac:dyDescent="0.25">
      <c r="B28" s="31">
        <v>50</v>
      </c>
      <c r="C28" s="31">
        <f>B28/2.23694</f>
        <v>22.351962949386213</v>
      </c>
      <c r="D28" s="37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3"/>
        <v>124.8</v>
      </c>
      <c r="K28" s="1">
        <f t="shared" si="12"/>
        <v>59.428571428571445</v>
      </c>
    </row>
    <row r="29" spans="1:12" x14ac:dyDescent="0.25">
      <c r="B29" s="32" t="s">
        <v>44</v>
      </c>
      <c r="C29" s="32" t="s">
        <v>19</v>
      </c>
      <c r="D29" s="37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3"/>
        <v>106.97142857142858</v>
      </c>
      <c r="K29" s="1">
        <f t="shared" si="12"/>
        <v>50.938775510204088</v>
      </c>
    </row>
    <row r="30" spans="1:12" x14ac:dyDescent="0.25">
      <c r="B30" s="31">
        <v>100</v>
      </c>
      <c r="C30" s="31">
        <f>B30*0.277778</f>
        <v>27.777800000000003</v>
      </c>
      <c r="D30" s="37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3"/>
        <v>93.6</v>
      </c>
      <c r="K30" s="1">
        <f t="shared" si="12"/>
        <v>44.571428571428577</v>
      </c>
    </row>
    <row r="31" spans="1:12" x14ac:dyDescent="0.25">
      <c r="B31" s="32" t="s">
        <v>45</v>
      </c>
      <c r="C31" s="32" t="s">
        <v>46</v>
      </c>
      <c r="D31" s="37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3"/>
        <v>83.2</v>
      </c>
      <c r="K31" s="1">
        <f t="shared" si="12"/>
        <v>39.619047619047628</v>
      </c>
    </row>
    <row r="32" spans="1:12" x14ac:dyDescent="0.25">
      <c r="B32" s="31">
        <v>1</v>
      </c>
      <c r="C32" s="31">
        <f>B32*1.35582</f>
        <v>1.35582</v>
      </c>
      <c r="D32" s="37"/>
      <c r="E32" s="1"/>
      <c r="F32" s="1"/>
      <c r="G32" s="1"/>
      <c r="H32" s="1"/>
      <c r="I32" s="1"/>
      <c r="J32" s="1"/>
    </row>
    <row r="33" spans="2:12" x14ac:dyDescent="0.25">
      <c r="B33" s="32" t="s">
        <v>47</v>
      </c>
      <c r="C33" s="32" t="s">
        <v>48</v>
      </c>
      <c r="D33" s="37"/>
      <c r="E33" s="36" t="s">
        <v>58</v>
      </c>
      <c r="F33" s="36"/>
      <c r="G33" s="36"/>
      <c r="H33" s="36"/>
      <c r="I33" s="36"/>
      <c r="J33" s="36"/>
      <c r="K33" s="36"/>
      <c r="L33" s="36"/>
    </row>
    <row r="34" spans="2:12" ht="45" x14ac:dyDescent="0.25">
      <c r="B34" s="31">
        <v>1</v>
      </c>
      <c r="C34" s="31">
        <f>B34*0.7457</f>
        <v>0.74570000000000003</v>
      </c>
      <c r="D34" s="37"/>
      <c r="E34" s="4" t="s">
        <v>50</v>
      </c>
      <c r="F34" s="4" t="s">
        <v>51</v>
      </c>
      <c r="G34" s="4" t="s">
        <v>52</v>
      </c>
      <c r="H34" s="4" t="s">
        <v>53</v>
      </c>
      <c r="I34" s="4" t="s">
        <v>54</v>
      </c>
      <c r="J34" s="2" t="s">
        <v>55</v>
      </c>
      <c r="K34" s="2" t="s">
        <v>56</v>
      </c>
    </row>
    <row r="35" spans="2:12" x14ac:dyDescent="0.25">
      <c r="B35" s="33" t="s">
        <v>17</v>
      </c>
      <c r="C35" s="33"/>
      <c r="D35" s="37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4">H35*$J$35/$F$35</f>
        <v>119.17241379310344</v>
      </c>
    </row>
    <row r="36" spans="2:12" x14ac:dyDescent="0.25">
      <c r="B36" s="28" t="s">
        <v>85</v>
      </c>
      <c r="C36" s="28">
        <v>100</v>
      </c>
      <c r="D36" s="37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5">F36*$J$35/$F$35</f>
        <v>384</v>
      </c>
      <c r="K36" s="1">
        <f t="shared" si="14"/>
        <v>119.17241379310344</v>
      </c>
    </row>
    <row r="37" spans="2:12" x14ac:dyDescent="0.25">
      <c r="B37" s="28" t="s">
        <v>86</v>
      </c>
      <c r="C37" s="28">
        <v>16</v>
      </c>
      <c r="D37" s="37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5"/>
        <v>384</v>
      </c>
      <c r="K37" s="1">
        <f t="shared" si="14"/>
        <v>119.17241379310344</v>
      </c>
    </row>
    <row r="38" spans="2:12" x14ac:dyDescent="0.25">
      <c r="B38" s="28" t="s">
        <v>5</v>
      </c>
      <c r="C38" s="30">
        <f>1000*C36/3600/C37</f>
        <v>1.7361111111111112</v>
      </c>
      <c r="D38" s="37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5"/>
        <v>384</v>
      </c>
      <c r="K38" s="1">
        <f t="shared" si="14"/>
        <v>119.17241379310344</v>
      </c>
    </row>
    <row r="39" spans="2:12" x14ac:dyDescent="0.25">
      <c r="D39" s="37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5"/>
        <v>384</v>
      </c>
      <c r="K39" s="1">
        <f t="shared" si="14"/>
        <v>119.17241379310344</v>
      </c>
    </row>
    <row r="40" spans="2:12" x14ac:dyDescent="0.25">
      <c r="D40" s="37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5"/>
        <v>289.81132075471697</v>
      </c>
      <c r="K40" s="1">
        <f t="shared" si="14"/>
        <v>119.17241379310344</v>
      </c>
    </row>
    <row r="41" spans="2:12" x14ac:dyDescent="0.25">
      <c r="D41" s="37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5"/>
        <v>256</v>
      </c>
      <c r="K41" s="1">
        <f t="shared" si="14"/>
        <v>105.26896551724138</v>
      </c>
    </row>
    <row r="42" spans="2:12" x14ac:dyDescent="0.25">
      <c r="D42" s="37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5"/>
        <v>219.42857142857147</v>
      </c>
      <c r="K42" s="1">
        <f t="shared" si="14"/>
        <v>90.23054187192119</v>
      </c>
    </row>
    <row r="43" spans="2:12" x14ac:dyDescent="0.25">
      <c r="D43" s="37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5"/>
        <v>192</v>
      </c>
      <c r="K43" s="1">
        <f t="shared" si="14"/>
        <v>78.951724137931052</v>
      </c>
    </row>
    <row r="44" spans="2:12" x14ac:dyDescent="0.25">
      <c r="D44" s="37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5"/>
        <v>170.66666666666669</v>
      </c>
      <c r="K44" s="1">
        <f t="shared" si="14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36" t="s">
        <v>59</v>
      </c>
      <c r="F46" s="36"/>
      <c r="G46" s="36"/>
      <c r="H46" s="36"/>
      <c r="I46" s="36"/>
      <c r="J46" s="36"/>
      <c r="K46" s="36"/>
      <c r="L46" s="36"/>
    </row>
    <row r="47" spans="2:12" ht="45" x14ac:dyDescent="0.25">
      <c r="E47" s="4" t="s">
        <v>50</v>
      </c>
      <c r="F47" s="4" t="s">
        <v>51</v>
      </c>
      <c r="G47" s="4" t="s">
        <v>52</v>
      </c>
      <c r="H47" s="4" t="s">
        <v>53</v>
      </c>
      <c r="I47" s="4" t="s">
        <v>54</v>
      </c>
      <c r="J47" s="2" t="s">
        <v>55</v>
      </c>
      <c r="K47" s="2" t="s">
        <v>56</v>
      </c>
    </row>
    <row r="48" spans="2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16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17">F49*$J$48/$F$48</f>
        <v>638</v>
      </c>
      <c r="K49" s="1">
        <f t="shared" si="16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17"/>
        <v>638</v>
      </c>
      <c r="K50" s="1">
        <f t="shared" si="16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17"/>
        <v>638</v>
      </c>
      <c r="K51" s="1">
        <f t="shared" si="16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17"/>
        <v>638</v>
      </c>
      <c r="K52" s="1">
        <f t="shared" si="16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17"/>
        <v>638</v>
      </c>
      <c r="K53" s="1">
        <f t="shared" si="16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17"/>
        <v>588.92307692307691</v>
      </c>
      <c r="K54" s="1">
        <f t="shared" si="16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17"/>
        <v>483.02839116719241</v>
      </c>
      <c r="K55" s="1">
        <f t="shared" si="16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17"/>
        <v>382.8</v>
      </c>
      <c r="K56" s="1">
        <f t="shared" si="16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17"/>
        <v>340.26666666666665</v>
      </c>
      <c r="K57" s="1">
        <f t="shared" si="16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17"/>
        <v>306.24</v>
      </c>
      <c r="K58" s="1">
        <f t="shared" si="16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17"/>
        <v>278.39999999999998</v>
      </c>
      <c r="K59" s="1">
        <f t="shared" si="16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17"/>
        <v>255.2</v>
      </c>
      <c r="K60" s="1">
        <f t="shared" si="16"/>
        <v>126.40374999999999</v>
      </c>
    </row>
    <row r="62" spans="5:13" x14ac:dyDescent="0.25">
      <c r="E62" s="36" t="s">
        <v>95</v>
      </c>
      <c r="F62" s="36"/>
      <c r="G62" s="36"/>
      <c r="H62" s="36"/>
      <c r="I62" s="36"/>
      <c r="J62" s="36"/>
      <c r="K62" s="36"/>
      <c r="L62" s="36"/>
      <c r="M62" s="36"/>
    </row>
    <row r="63" spans="5:13" ht="30" x14ac:dyDescent="0.25">
      <c r="E63" s="19" t="s">
        <v>50</v>
      </c>
      <c r="F63" s="4" t="s">
        <v>87</v>
      </c>
      <c r="G63" s="4" t="s">
        <v>89</v>
      </c>
      <c r="H63" s="4" t="s">
        <v>88</v>
      </c>
      <c r="I63" s="4" t="s">
        <v>90</v>
      </c>
      <c r="J63" s="4" t="s">
        <v>91</v>
      </c>
      <c r="K63" s="4" t="s">
        <v>92</v>
      </c>
      <c r="L63" s="2" t="s">
        <v>93</v>
      </c>
      <c r="M63" s="2" t="s">
        <v>94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36" t="s">
        <v>96</v>
      </c>
      <c r="F81" s="36"/>
      <c r="G81" s="36"/>
      <c r="H81" s="36"/>
      <c r="I81" s="36"/>
      <c r="J81" s="36"/>
      <c r="K81" s="36"/>
      <c r="L81" s="36"/>
    </row>
    <row r="82" spans="5:13" ht="30" x14ac:dyDescent="0.25">
      <c r="E82" s="4" t="s">
        <v>50</v>
      </c>
      <c r="F82" s="4" t="s">
        <v>105</v>
      </c>
      <c r="G82" s="4" t="s">
        <v>106</v>
      </c>
      <c r="H82" s="4" t="s">
        <v>107</v>
      </c>
      <c r="I82" s="4" t="s">
        <v>108</v>
      </c>
      <c r="J82" s="4" t="s">
        <v>109</v>
      </c>
      <c r="K82" s="4" t="s">
        <v>110</v>
      </c>
      <c r="L82" s="2" t="s">
        <v>111</v>
      </c>
      <c r="M82" s="4" t="s">
        <v>112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1" spans="5:13" x14ac:dyDescent="0.25">
      <c r="E111" s="36" t="s">
        <v>113</v>
      </c>
      <c r="F111" s="36"/>
      <c r="G111" s="36"/>
      <c r="H111" s="36"/>
      <c r="I111" s="36"/>
      <c r="J111" s="36"/>
      <c r="K111" s="36"/>
      <c r="L111" s="36"/>
    </row>
    <row r="112" spans="5:13" ht="30" x14ac:dyDescent="0.25">
      <c r="E112" s="4" t="s">
        <v>50</v>
      </c>
      <c r="F112" s="4" t="s">
        <v>102</v>
      </c>
      <c r="G112" s="4" t="s">
        <v>103</v>
      </c>
      <c r="H112" s="4" t="s">
        <v>104</v>
      </c>
      <c r="I112" s="4" t="s">
        <v>97</v>
      </c>
      <c r="J112" s="4" t="s">
        <v>98</v>
      </c>
      <c r="K112" s="4" t="s">
        <v>99</v>
      </c>
      <c r="L112" s="2" t="s">
        <v>100</v>
      </c>
      <c r="M112" s="2" t="s">
        <v>101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3" spans="5:13" x14ac:dyDescent="0.25">
      <c r="E133" s="36" t="s">
        <v>114</v>
      </c>
      <c r="F133" s="36"/>
      <c r="G133" s="36"/>
      <c r="H133" s="36"/>
      <c r="I133" s="36"/>
      <c r="J133" s="36"/>
      <c r="K133" s="36"/>
      <c r="L133" s="36"/>
    </row>
    <row r="134" spans="5:13" ht="30" x14ac:dyDescent="0.25">
      <c r="E134" s="4" t="s">
        <v>50</v>
      </c>
      <c r="F134" s="4" t="s">
        <v>115</v>
      </c>
      <c r="G134" s="4" t="s">
        <v>116</v>
      </c>
      <c r="H134" s="4" t="s">
        <v>117</v>
      </c>
      <c r="I134" s="4" t="s">
        <v>118</v>
      </c>
      <c r="J134" s="4" t="s">
        <v>119</v>
      </c>
      <c r="K134" s="4" t="s">
        <v>120</v>
      </c>
      <c r="L134" s="2" t="s">
        <v>121</v>
      </c>
      <c r="M134" s="2" t="s">
        <v>122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</sheetData>
  <mergeCells count="9">
    <mergeCell ref="A19:C19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4" workbookViewId="0">
      <selection activeCell="AD41" sqref="AD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76</v>
      </c>
      <c r="B1" s="9" t="s">
        <v>68</v>
      </c>
      <c r="C1" s="9" t="s">
        <v>69</v>
      </c>
      <c r="D1" s="9" t="s">
        <v>70</v>
      </c>
      <c r="E1" s="10" t="s">
        <v>71</v>
      </c>
      <c r="G1" s="11" t="s">
        <v>77</v>
      </c>
      <c r="H1" s="9" t="s">
        <v>68</v>
      </c>
      <c r="I1" s="9" t="s">
        <v>78</v>
      </c>
      <c r="J1" s="9" t="s">
        <v>51</v>
      </c>
      <c r="K1" s="10" t="s">
        <v>71</v>
      </c>
    </row>
    <row r="2" spans="1:11" x14ac:dyDescent="0.25">
      <c r="A2" s="39" t="s">
        <v>60</v>
      </c>
      <c r="B2" s="42">
        <v>15000</v>
      </c>
      <c r="C2" s="42">
        <v>300</v>
      </c>
      <c r="D2" s="42">
        <v>1330</v>
      </c>
      <c r="E2" s="12">
        <v>1.35</v>
      </c>
      <c r="G2" s="39" t="s">
        <v>75</v>
      </c>
      <c r="H2" s="42">
        <v>4000</v>
      </c>
      <c r="I2" s="42">
        <v>125</v>
      </c>
      <c r="J2" s="42">
        <v>250</v>
      </c>
      <c r="K2" s="15">
        <v>35.01</v>
      </c>
    </row>
    <row r="3" spans="1:11" ht="15.75" thickBot="1" x14ac:dyDescent="0.3">
      <c r="A3" s="40"/>
      <c r="B3" s="43"/>
      <c r="C3" s="43"/>
      <c r="D3" s="43"/>
      <c r="E3" s="13">
        <v>2.5299999999999998</v>
      </c>
      <c r="G3" s="41"/>
      <c r="H3" s="44"/>
      <c r="I3" s="44"/>
      <c r="J3" s="44"/>
      <c r="K3" s="16">
        <v>47.74</v>
      </c>
    </row>
    <row r="4" spans="1:11" ht="15.75" thickBot="1" x14ac:dyDescent="0.3">
      <c r="A4" s="40"/>
      <c r="B4" s="43"/>
      <c r="C4" s="43"/>
      <c r="D4" s="43"/>
      <c r="E4" s="13">
        <v>3.5</v>
      </c>
      <c r="G4" s="6" t="s">
        <v>79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40"/>
      <c r="B5" s="43"/>
      <c r="C5" s="43"/>
      <c r="D5" s="43"/>
      <c r="E5" s="13">
        <v>4</v>
      </c>
      <c r="G5" s="6" t="s">
        <v>80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41"/>
      <c r="B6" s="44"/>
      <c r="C6" s="44"/>
      <c r="D6" s="44"/>
      <c r="E6" s="14">
        <v>4.43</v>
      </c>
      <c r="G6" s="39" t="s">
        <v>81</v>
      </c>
      <c r="H6" s="42">
        <v>1106</v>
      </c>
      <c r="I6" s="42">
        <v>500</v>
      </c>
      <c r="J6" s="42">
        <v>1000</v>
      </c>
      <c r="K6" s="15">
        <v>21.26</v>
      </c>
    </row>
    <row r="7" spans="1:11" x14ac:dyDescent="0.25">
      <c r="A7" s="45" t="s">
        <v>61</v>
      </c>
      <c r="B7" s="47">
        <v>15000</v>
      </c>
      <c r="C7" s="47">
        <v>300</v>
      </c>
      <c r="D7" s="47">
        <v>4000</v>
      </c>
      <c r="E7" s="12">
        <v>5.2</v>
      </c>
      <c r="G7" s="40"/>
      <c r="H7" s="43"/>
      <c r="I7" s="43"/>
      <c r="J7" s="43"/>
      <c r="K7" s="18">
        <v>30.68</v>
      </c>
    </row>
    <row r="8" spans="1:11" x14ac:dyDescent="0.25">
      <c r="A8" s="49"/>
      <c r="B8" s="50"/>
      <c r="C8" s="50"/>
      <c r="D8" s="50"/>
      <c r="E8" s="13">
        <v>6.04</v>
      </c>
      <c r="G8" s="40"/>
      <c r="H8" s="43"/>
      <c r="I8" s="43"/>
      <c r="J8" s="43"/>
      <c r="K8" s="18">
        <v>45.13</v>
      </c>
    </row>
    <row r="9" spans="1:11" ht="15.75" thickBot="1" x14ac:dyDescent="0.3">
      <c r="A9" s="49"/>
      <c r="B9" s="50"/>
      <c r="C9" s="50"/>
      <c r="D9" s="50"/>
      <c r="E9" s="13">
        <v>7.04</v>
      </c>
      <c r="G9" s="41"/>
      <c r="H9" s="44"/>
      <c r="I9" s="44"/>
      <c r="J9" s="44"/>
      <c r="K9" s="16">
        <v>50.62</v>
      </c>
    </row>
    <row r="10" spans="1:11" x14ac:dyDescent="0.25">
      <c r="A10" s="49"/>
      <c r="B10" s="50"/>
      <c r="C10" s="50"/>
      <c r="D10" s="50"/>
      <c r="E10" s="13">
        <v>8.08</v>
      </c>
      <c r="G10" s="39" t="s">
        <v>82</v>
      </c>
      <c r="H10" s="42">
        <v>5000</v>
      </c>
      <c r="I10" s="42">
        <v>3500</v>
      </c>
      <c r="J10" s="42">
        <v>7000</v>
      </c>
      <c r="K10" s="15">
        <v>18.78</v>
      </c>
    </row>
    <row r="11" spans="1:11" x14ac:dyDescent="0.25">
      <c r="A11" s="49"/>
      <c r="B11" s="50"/>
      <c r="C11" s="50"/>
      <c r="D11" s="50"/>
      <c r="E11" s="13">
        <v>9.1</v>
      </c>
      <c r="G11" s="40"/>
      <c r="H11" s="43"/>
      <c r="I11" s="43"/>
      <c r="J11" s="43"/>
      <c r="K11" s="18">
        <v>24.92</v>
      </c>
    </row>
    <row r="12" spans="1:11" x14ac:dyDescent="0.25">
      <c r="A12" s="49"/>
      <c r="B12" s="50"/>
      <c r="C12" s="50"/>
      <c r="D12" s="50"/>
      <c r="E12" s="13">
        <v>10.11</v>
      </c>
      <c r="G12" s="40"/>
      <c r="H12" s="43"/>
      <c r="I12" s="43"/>
      <c r="J12" s="43"/>
      <c r="K12" s="18">
        <v>25.92</v>
      </c>
    </row>
    <row r="13" spans="1:11" x14ac:dyDescent="0.25">
      <c r="A13" s="49"/>
      <c r="B13" s="50"/>
      <c r="C13" s="50"/>
      <c r="D13" s="50"/>
      <c r="E13" s="13">
        <v>11.05</v>
      </c>
      <c r="G13" s="40"/>
      <c r="H13" s="43"/>
      <c r="I13" s="43"/>
      <c r="J13" s="43"/>
      <c r="K13" s="18">
        <v>47.6</v>
      </c>
    </row>
    <row r="14" spans="1:11" x14ac:dyDescent="0.25">
      <c r="A14" s="49"/>
      <c r="B14" s="50"/>
      <c r="C14" s="50"/>
      <c r="D14" s="50"/>
      <c r="E14" s="13">
        <v>11.9</v>
      </c>
      <c r="G14" s="40"/>
      <c r="H14" s="43"/>
      <c r="I14" s="43"/>
      <c r="J14" s="43"/>
      <c r="K14" s="18">
        <v>57.49</v>
      </c>
    </row>
    <row r="15" spans="1:11" ht="15.75" thickBot="1" x14ac:dyDescent="0.3">
      <c r="A15" s="46"/>
      <c r="B15" s="48"/>
      <c r="C15" s="48"/>
      <c r="D15" s="48"/>
      <c r="E15" s="14">
        <v>13.35</v>
      </c>
      <c r="G15" s="41"/>
      <c r="H15" s="44"/>
      <c r="I15" s="44"/>
      <c r="J15" s="44"/>
      <c r="K15" s="16">
        <v>64.08</v>
      </c>
    </row>
    <row r="16" spans="1:11" x14ac:dyDescent="0.25">
      <c r="A16" s="45" t="s">
        <v>62</v>
      </c>
      <c r="B16" s="47">
        <v>12000</v>
      </c>
      <c r="C16" s="47">
        <v>600</v>
      </c>
      <c r="D16" s="47">
        <v>2100</v>
      </c>
      <c r="E16" s="12">
        <v>1.1000000000000001</v>
      </c>
    </row>
    <row r="17" spans="1:5" x14ac:dyDescent="0.25">
      <c r="A17" s="49"/>
      <c r="B17" s="50"/>
      <c r="C17" s="50"/>
      <c r="D17" s="50"/>
      <c r="E17" s="13">
        <v>1.97</v>
      </c>
    </row>
    <row r="18" spans="1:5" x14ac:dyDescent="0.25">
      <c r="A18" s="49"/>
      <c r="B18" s="50"/>
      <c r="C18" s="50"/>
      <c r="D18" s="50"/>
      <c r="E18" s="13">
        <v>2.88</v>
      </c>
    </row>
    <row r="19" spans="1:5" ht="15.75" thickBot="1" x14ac:dyDescent="0.3">
      <c r="A19" s="46"/>
      <c r="B19" s="48"/>
      <c r="C19" s="48"/>
      <c r="D19" s="48"/>
      <c r="E19" s="14">
        <v>3.5</v>
      </c>
    </row>
    <row r="20" spans="1:5" x14ac:dyDescent="0.25">
      <c r="A20" s="45" t="s">
        <v>63</v>
      </c>
      <c r="B20" s="47">
        <v>12000</v>
      </c>
      <c r="C20" s="47">
        <v>600</v>
      </c>
      <c r="D20" s="47">
        <v>6500</v>
      </c>
      <c r="E20" s="12">
        <v>5.9</v>
      </c>
    </row>
    <row r="21" spans="1:5" x14ac:dyDescent="0.25">
      <c r="A21" s="49"/>
      <c r="B21" s="50"/>
      <c r="C21" s="50"/>
      <c r="D21" s="50"/>
      <c r="E21" s="13">
        <v>7.42</v>
      </c>
    </row>
    <row r="22" spans="1:5" x14ac:dyDescent="0.25">
      <c r="A22" s="49"/>
      <c r="B22" s="50"/>
      <c r="C22" s="50"/>
      <c r="D22" s="50"/>
      <c r="E22" s="13">
        <v>8.5500000000000007</v>
      </c>
    </row>
    <row r="23" spans="1:5" x14ac:dyDescent="0.25">
      <c r="A23" s="49"/>
      <c r="B23" s="50"/>
      <c r="C23" s="50"/>
      <c r="D23" s="50"/>
      <c r="E23" s="13">
        <v>9.4600000000000009</v>
      </c>
    </row>
    <row r="24" spans="1:5" x14ac:dyDescent="0.25">
      <c r="A24" s="49"/>
      <c r="B24" s="50"/>
      <c r="C24" s="50"/>
      <c r="D24" s="50"/>
      <c r="E24" s="13">
        <v>9.94</v>
      </c>
    </row>
    <row r="25" spans="1:5" x14ac:dyDescent="0.25">
      <c r="A25" s="49"/>
      <c r="B25" s="50"/>
      <c r="C25" s="50"/>
      <c r="D25" s="50"/>
      <c r="E25" s="13">
        <v>10.79</v>
      </c>
    </row>
    <row r="26" spans="1:5" x14ac:dyDescent="0.25">
      <c r="A26" s="49"/>
      <c r="B26" s="50"/>
      <c r="C26" s="50"/>
      <c r="D26" s="50"/>
      <c r="E26" s="13">
        <v>12.36</v>
      </c>
    </row>
    <row r="27" spans="1:5" ht="15.75" thickBot="1" x14ac:dyDescent="0.3">
      <c r="A27" s="46"/>
      <c r="B27" s="48"/>
      <c r="C27" s="48"/>
      <c r="D27" s="48"/>
      <c r="E27" s="14">
        <v>13.32</v>
      </c>
    </row>
    <row r="28" spans="1:5" x14ac:dyDescent="0.25">
      <c r="A28" s="45" t="s">
        <v>64</v>
      </c>
      <c r="B28" s="47">
        <v>7500</v>
      </c>
      <c r="C28" s="47">
        <v>1200</v>
      </c>
      <c r="D28" s="47">
        <v>4770</v>
      </c>
      <c r="E28" s="12" t="s">
        <v>72</v>
      </c>
    </row>
    <row r="29" spans="1:5" x14ac:dyDescent="0.25">
      <c r="A29" s="49"/>
      <c r="B29" s="50"/>
      <c r="C29" s="50"/>
      <c r="D29" s="50"/>
      <c r="E29" s="13">
        <v>1</v>
      </c>
    </row>
    <row r="30" spans="1:5" x14ac:dyDescent="0.25">
      <c r="A30" s="49"/>
      <c r="B30" s="50"/>
      <c r="C30" s="50"/>
      <c r="D30" s="50"/>
      <c r="E30" s="13">
        <v>2</v>
      </c>
    </row>
    <row r="31" spans="1:5" x14ac:dyDescent="0.25">
      <c r="A31" s="49"/>
      <c r="B31" s="50"/>
      <c r="C31" s="50"/>
      <c r="D31" s="50"/>
      <c r="E31" s="13">
        <v>2.97</v>
      </c>
    </row>
    <row r="32" spans="1:5" ht="15.75" thickBot="1" x14ac:dyDescent="0.3">
      <c r="A32" s="46"/>
      <c r="B32" s="48"/>
      <c r="C32" s="48"/>
      <c r="D32" s="48"/>
      <c r="E32" s="14">
        <v>3.94</v>
      </c>
    </row>
    <row r="33" spans="1:5" x14ac:dyDescent="0.25">
      <c r="A33" s="45" t="s">
        <v>65</v>
      </c>
      <c r="B33" s="47"/>
      <c r="C33" s="47">
        <v>265</v>
      </c>
      <c r="D33" s="47"/>
      <c r="E33" s="12">
        <v>2.98</v>
      </c>
    </row>
    <row r="34" spans="1:5" x14ac:dyDescent="0.25">
      <c r="A34" s="49"/>
      <c r="B34" s="50"/>
      <c r="C34" s="50"/>
      <c r="D34" s="50"/>
      <c r="E34" s="13">
        <v>3.98</v>
      </c>
    </row>
    <row r="35" spans="1:5" ht="15.75" thickBot="1" x14ac:dyDescent="0.3">
      <c r="A35" s="46"/>
      <c r="B35" s="48"/>
      <c r="C35" s="48"/>
      <c r="D35" s="48"/>
      <c r="E35" s="14">
        <v>6.03</v>
      </c>
    </row>
    <row r="36" spans="1:5" x14ac:dyDescent="0.25">
      <c r="A36" s="45" t="s">
        <v>66</v>
      </c>
      <c r="B36" s="47">
        <v>12500</v>
      </c>
      <c r="C36" s="47" t="s">
        <v>73</v>
      </c>
      <c r="D36" s="47" t="s">
        <v>74</v>
      </c>
      <c r="E36" s="12">
        <v>5.67</v>
      </c>
    </row>
    <row r="37" spans="1:5" ht="15.75" thickBot="1" x14ac:dyDescent="0.3">
      <c r="A37" s="46"/>
      <c r="B37" s="48"/>
      <c r="C37" s="48"/>
      <c r="D37" s="48"/>
      <c r="E37" s="14">
        <v>6</v>
      </c>
    </row>
    <row r="38" spans="1:5" x14ac:dyDescent="0.25">
      <c r="A38" s="45" t="s">
        <v>67</v>
      </c>
      <c r="B38" s="47">
        <v>12500</v>
      </c>
      <c r="C38" s="47" t="s">
        <v>73</v>
      </c>
      <c r="D38" s="47" t="s">
        <v>74</v>
      </c>
      <c r="E38" s="12">
        <v>5.67</v>
      </c>
    </row>
    <row r="39" spans="1:5" ht="15.75" thickBot="1" x14ac:dyDescent="0.3">
      <c r="A39" s="46"/>
      <c r="B39" s="48"/>
      <c r="C39" s="48"/>
      <c r="D39" s="48"/>
      <c r="E39" s="14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2021-02-09T22:21:53Z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