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mni\ElectricMotors\Sizing\"/>
    </mc:Choice>
  </mc:AlternateContent>
  <xr:revisionPtr revIDLastSave="0" documentId="13_ncr:1_{E4AFB24D-E3E2-48D4-8C10-CE6368E7BEFE}" xr6:coauthVersionLast="46" xr6:coauthVersionMax="46" xr10:uidLastSave="{00000000-0000-0000-0000-000000000000}"/>
  <bookViews>
    <workbookView xWindow="-60" yWindow="-60" windowWidth="20640" windowHeight="13200" xr2:uid="{0626AE80-454B-4539-8E37-8436CB968B23}"/>
  </bookViews>
  <sheets>
    <sheet name="Application" sheetId="1" r:id="rId1"/>
    <sheet name="LV Plots" sheetId="4" r:id="rId2"/>
    <sheet name="HV Plots" sheetId="5" r:id="rId3"/>
    <sheet name="Gearbox" sheetId="2" r:id="rId4"/>
    <sheet name="Magelec Motor Dat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52" i="1"/>
  <c r="F53" i="1"/>
  <c r="F54" i="1"/>
  <c r="F55" i="1"/>
  <c r="H51" i="1"/>
  <c r="I51" i="1" s="1"/>
  <c r="H52" i="1"/>
  <c r="I52" i="1" s="1"/>
  <c r="H53" i="1"/>
  <c r="I54" i="1" s="1"/>
  <c r="H54" i="1"/>
  <c r="H55" i="1"/>
  <c r="I55" i="1"/>
  <c r="I39" i="1"/>
  <c r="I40" i="1"/>
  <c r="I41" i="1"/>
  <c r="I42" i="1"/>
  <c r="I43" i="1"/>
  <c r="I44" i="1"/>
  <c r="I45" i="1"/>
  <c r="I46" i="1"/>
  <c r="I47" i="1"/>
  <c r="I48" i="1"/>
  <c r="I49" i="1"/>
  <c r="I50" i="1"/>
  <c r="G37" i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36" i="1"/>
  <c r="H35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3" i="1"/>
  <c r="AD4" i="1"/>
  <c r="AD5" i="1"/>
  <c r="AD6" i="1"/>
  <c r="AD7" i="1"/>
  <c r="AD8" i="1"/>
  <c r="AD9" i="1"/>
  <c r="AD10" i="1"/>
  <c r="AD2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F41" i="7"/>
  <c r="F40" i="7"/>
  <c r="G39" i="7"/>
  <c r="F39" i="7"/>
  <c r="G38" i="7"/>
  <c r="G37" i="7"/>
  <c r="F37" i="7"/>
  <c r="G36" i="7"/>
  <c r="F36" i="7"/>
  <c r="G35" i="7"/>
  <c r="F35" i="7"/>
  <c r="G34" i="7"/>
  <c r="G33" i="7"/>
  <c r="F33" i="7"/>
  <c r="G32" i="7"/>
  <c r="F32" i="7"/>
  <c r="G31" i="7"/>
  <c r="F31" i="7"/>
  <c r="G30" i="7"/>
  <c r="F30" i="7"/>
  <c r="G42" i="7" s="1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G6" i="7"/>
  <c r="G5" i="7"/>
  <c r="G4" i="7"/>
  <c r="AD51" i="1"/>
  <c r="AD52" i="1"/>
  <c r="AD53" i="1"/>
  <c r="AD54" i="1"/>
  <c r="AD55" i="1"/>
  <c r="E3" i="1"/>
  <c r="E4" i="1" s="1"/>
  <c r="E5" i="1" s="1"/>
  <c r="E6" i="1" s="1"/>
  <c r="E7" i="1" s="1"/>
  <c r="E8" i="1" s="1"/>
  <c r="E9" i="1" s="1"/>
  <c r="E10" i="1" s="1"/>
  <c r="K55" i="1"/>
  <c r="L55" i="1" s="1"/>
  <c r="K51" i="1"/>
  <c r="L51" i="1" s="1"/>
  <c r="C42" i="1"/>
  <c r="C34" i="1"/>
  <c r="C32" i="1"/>
  <c r="T3" i="1"/>
  <c r="T4" i="1"/>
  <c r="T5" i="1"/>
  <c r="T6" i="1"/>
  <c r="T7" i="1"/>
  <c r="T8" i="1"/>
  <c r="T9" i="1"/>
  <c r="T10" i="1"/>
  <c r="T51" i="1"/>
  <c r="T52" i="1"/>
  <c r="T53" i="1"/>
  <c r="T54" i="1"/>
  <c r="T55" i="1"/>
  <c r="T2" i="1"/>
  <c r="L52" i="1"/>
  <c r="L53" i="1"/>
  <c r="L54" i="1"/>
  <c r="I53" i="1" l="1"/>
  <c r="G40" i="7"/>
  <c r="G41" i="7"/>
  <c r="F34" i="7"/>
  <c r="F38" i="7"/>
  <c r="F42" i="7"/>
  <c r="G3" i="1"/>
  <c r="G4" i="1" l="1"/>
  <c r="G5" i="1" s="1"/>
  <c r="G6" i="1" s="1"/>
  <c r="G7" i="1" s="1"/>
  <c r="G8" i="1" s="1"/>
  <c r="G9" i="1" s="1"/>
  <c r="G10" i="1" s="1"/>
  <c r="H3" i="1"/>
  <c r="C38" i="1"/>
  <c r="C36" i="1"/>
  <c r="C30" i="1"/>
  <c r="C28" i="1"/>
  <c r="C26" i="1"/>
  <c r="J2" i="1"/>
  <c r="J51" i="1" s="1"/>
  <c r="P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N52" i="1"/>
  <c r="N53" i="1"/>
  <c r="M54" i="1"/>
  <c r="M55" i="1"/>
  <c r="M51" i="1"/>
  <c r="H2" i="1"/>
  <c r="H10" i="1" l="1"/>
  <c r="G11" i="1"/>
  <c r="S2" i="1"/>
  <c r="V2" i="1" s="1"/>
  <c r="F2" i="1"/>
  <c r="N55" i="1"/>
  <c r="N54" i="1"/>
  <c r="M53" i="1"/>
  <c r="H6" i="1"/>
  <c r="O54" i="1"/>
  <c r="O2" i="1"/>
  <c r="Q2" i="1"/>
  <c r="R2" i="1" s="1"/>
  <c r="U2" i="1" s="1"/>
  <c r="S55" i="1"/>
  <c r="V55" i="1" s="1"/>
  <c r="O55" i="1"/>
  <c r="J55" i="1"/>
  <c r="N51" i="1"/>
  <c r="H9" i="1"/>
  <c r="M52" i="1"/>
  <c r="H8" i="1"/>
  <c r="F8" i="1" s="1"/>
  <c r="H4" i="1"/>
  <c r="H5" i="1"/>
  <c r="F5" i="1" s="1"/>
  <c r="H7" i="1"/>
  <c r="F7" i="1" s="1"/>
  <c r="G12" i="1" l="1"/>
  <c r="H11" i="1"/>
  <c r="W2" i="1"/>
  <c r="X2" i="1" s="1"/>
  <c r="Z2" i="1" s="1"/>
  <c r="J3" i="1"/>
  <c r="F3" i="1"/>
  <c r="O10" i="1"/>
  <c r="F10" i="1"/>
  <c r="J4" i="1"/>
  <c r="F4" i="1"/>
  <c r="O6" i="1"/>
  <c r="F6" i="1"/>
  <c r="J9" i="1"/>
  <c r="F9" i="1"/>
  <c r="P55" i="1"/>
  <c r="Q55" i="1" s="1"/>
  <c r="R55" i="1" s="1"/>
  <c r="U55" i="1" s="1"/>
  <c r="W55" i="1" s="1"/>
  <c r="X55" i="1" s="1"/>
  <c r="Z55" i="1" s="1"/>
  <c r="AA55" i="1" s="1"/>
  <c r="AB55" i="1" s="1"/>
  <c r="S6" i="1"/>
  <c r="V6" i="1" s="1"/>
  <c r="I6" i="1"/>
  <c r="P6" i="1" s="1"/>
  <c r="S10" i="1"/>
  <c r="V10" i="1" s="1"/>
  <c r="J6" i="1"/>
  <c r="J54" i="1"/>
  <c r="S54" i="1"/>
  <c r="V54" i="1" s="1"/>
  <c r="J10" i="1"/>
  <c r="J5" i="1"/>
  <c r="J52" i="1"/>
  <c r="P52" i="1"/>
  <c r="O52" i="1"/>
  <c r="S52" i="1"/>
  <c r="V52" i="1" s="1"/>
  <c r="S9" i="1"/>
  <c r="V9" i="1" s="1"/>
  <c r="I9" i="1"/>
  <c r="P9" i="1" s="1"/>
  <c r="O9" i="1"/>
  <c r="I10" i="1"/>
  <c r="P10" i="1" s="1"/>
  <c r="I4" i="1"/>
  <c r="P4" i="1" s="1"/>
  <c r="O4" i="1"/>
  <c r="S4" i="1"/>
  <c r="V4" i="1" s="1"/>
  <c r="S53" i="1"/>
  <c r="V53" i="1" s="1"/>
  <c r="O53" i="1"/>
  <c r="P53" i="1"/>
  <c r="I3" i="1"/>
  <c r="P3" i="1" s="1"/>
  <c r="S3" i="1"/>
  <c r="V3" i="1" s="1"/>
  <c r="O3" i="1"/>
  <c r="J53" i="1"/>
  <c r="O7" i="1"/>
  <c r="S7" i="1"/>
  <c r="V7" i="1" s="1"/>
  <c r="J7" i="1"/>
  <c r="I7" i="1"/>
  <c r="P7" i="1" s="1"/>
  <c r="S51" i="1"/>
  <c r="V51" i="1" s="1"/>
  <c r="P51" i="1"/>
  <c r="O51" i="1"/>
  <c r="S5" i="1"/>
  <c r="V5" i="1" s="1"/>
  <c r="O5" i="1"/>
  <c r="I5" i="1"/>
  <c r="P5" i="1" s="1"/>
  <c r="J8" i="1"/>
  <c r="I8" i="1"/>
  <c r="P8" i="1" s="1"/>
  <c r="S8" i="1"/>
  <c r="V8" i="1" s="1"/>
  <c r="O8" i="1"/>
  <c r="P54" i="1"/>
  <c r="Q54" i="1" s="1"/>
  <c r="R54" i="1" s="1"/>
  <c r="U54" i="1" s="1"/>
  <c r="Q10" i="1" l="1"/>
  <c r="R10" i="1" s="1"/>
  <c r="U10" i="1" s="1"/>
  <c r="I11" i="1"/>
  <c r="P11" i="1" s="1"/>
  <c r="O11" i="1"/>
  <c r="F11" i="1"/>
  <c r="S11" i="1"/>
  <c r="V11" i="1" s="1"/>
  <c r="J11" i="1"/>
  <c r="G13" i="1"/>
  <c r="H12" i="1"/>
  <c r="W10" i="1"/>
  <c r="X10" i="1" s="1"/>
  <c r="Z10" i="1" s="1"/>
  <c r="W54" i="1"/>
  <c r="X54" i="1" s="1"/>
  <c r="Z54" i="1" s="1"/>
  <c r="AA54" i="1" s="1"/>
  <c r="AB54" i="1" s="1"/>
  <c r="Q6" i="1"/>
  <c r="R6" i="1" s="1"/>
  <c r="U6" i="1" s="1"/>
  <c r="W6" i="1" s="1"/>
  <c r="X6" i="1" s="1"/>
  <c r="Z6" i="1" s="1"/>
  <c r="Q52" i="1"/>
  <c r="R52" i="1" s="1"/>
  <c r="U52" i="1" s="1"/>
  <c r="W52" i="1" s="1"/>
  <c r="X52" i="1" s="1"/>
  <c r="Z52" i="1" s="1"/>
  <c r="Q3" i="1"/>
  <c r="R3" i="1" s="1"/>
  <c r="U3" i="1" s="1"/>
  <c r="W3" i="1" s="1"/>
  <c r="X3" i="1" s="1"/>
  <c r="Q8" i="1"/>
  <c r="R8" i="1" s="1"/>
  <c r="U8" i="1" s="1"/>
  <c r="W8" i="1" s="1"/>
  <c r="X8" i="1" s="1"/>
  <c r="Z8" i="1" s="1"/>
  <c r="Q9" i="1"/>
  <c r="R9" i="1" s="1"/>
  <c r="U9" i="1" s="1"/>
  <c r="W9" i="1" s="1"/>
  <c r="X9" i="1" s="1"/>
  <c r="Z9" i="1" s="1"/>
  <c r="Q4" i="1"/>
  <c r="R4" i="1" s="1"/>
  <c r="U4" i="1" s="1"/>
  <c r="W4" i="1" s="1"/>
  <c r="X4" i="1" s="1"/>
  <c r="Z4" i="1" s="1"/>
  <c r="Q51" i="1"/>
  <c r="R51" i="1" s="1"/>
  <c r="U51" i="1" s="1"/>
  <c r="W51" i="1" s="1"/>
  <c r="X51" i="1" s="1"/>
  <c r="Z51" i="1" s="1"/>
  <c r="Q5" i="1"/>
  <c r="R5" i="1" s="1"/>
  <c r="U5" i="1" s="1"/>
  <c r="W5" i="1" s="1"/>
  <c r="X5" i="1" s="1"/>
  <c r="Z5" i="1" s="1"/>
  <c r="Q53" i="1"/>
  <c r="R53" i="1" s="1"/>
  <c r="U53" i="1" s="1"/>
  <c r="W53" i="1" s="1"/>
  <c r="X53" i="1" s="1"/>
  <c r="Z53" i="1" s="1"/>
  <c r="Q7" i="1"/>
  <c r="R7" i="1" s="1"/>
  <c r="U7" i="1" s="1"/>
  <c r="W7" i="1" s="1"/>
  <c r="X7" i="1" s="1"/>
  <c r="Z7" i="1" s="1"/>
  <c r="AA53" i="1" l="1"/>
  <c r="AB53" i="1" s="1"/>
  <c r="Q11" i="1"/>
  <c r="R11" i="1" s="1"/>
  <c r="U11" i="1" s="1"/>
  <c r="W11" i="1" s="1"/>
  <c r="X11" i="1" s="1"/>
  <c r="Z11" i="1" s="1"/>
  <c r="AA10" i="1" s="1"/>
  <c r="S12" i="1"/>
  <c r="V12" i="1" s="1"/>
  <c r="J12" i="1"/>
  <c r="F12" i="1"/>
  <c r="I12" i="1"/>
  <c r="P12" i="1" s="1"/>
  <c r="O12" i="1"/>
  <c r="G14" i="1"/>
  <c r="H13" i="1"/>
  <c r="AA8" i="1"/>
  <c r="AA9" i="1"/>
  <c r="AB9" i="1" s="1"/>
  <c r="AA7" i="1"/>
  <c r="AB7" i="1" s="1"/>
  <c r="AA5" i="1"/>
  <c r="AB5" i="1" s="1"/>
  <c r="AA51" i="1"/>
  <c r="AB51" i="1" s="1"/>
  <c r="AA4" i="1"/>
  <c r="AB4" i="1" s="1"/>
  <c r="AA52" i="1"/>
  <c r="AB52" i="1" s="1"/>
  <c r="AA6" i="1"/>
  <c r="AB6" i="1" s="1"/>
  <c r="AB8" i="1"/>
  <c r="Z3" i="1"/>
  <c r="J13" i="1" l="1"/>
  <c r="F13" i="1"/>
  <c r="I13" i="1"/>
  <c r="P13" i="1" s="1"/>
  <c r="O13" i="1"/>
  <c r="S13" i="1"/>
  <c r="V13" i="1" s="1"/>
  <c r="H14" i="1"/>
  <c r="G15" i="1"/>
  <c r="Q12" i="1"/>
  <c r="R12" i="1" s="1"/>
  <c r="U12" i="1" s="1"/>
  <c r="W12" i="1" s="1"/>
  <c r="X12" i="1" s="1"/>
  <c r="Z12" i="1" s="1"/>
  <c r="AA3" i="1"/>
  <c r="AB3" i="1" s="1"/>
  <c r="AA2" i="1"/>
  <c r="AB2" i="1" s="1"/>
  <c r="Q13" i="1" l="1"/>
  <c r="R13" i="1" s="1"/>
  <c r="U13" i="1" s="1"/>
  <c r="W13" i="1" s="1"/>
  <c r="X13" i="1" s="1"/>
  <c r="Z13" i="1" s="1"/>
  <c r="AA12" i="1"/>
  <c r="AB12" i="1" s="1"/>
  <c r="AA11" i="1"/>
  <c r="AB11" i="1" s="1"/>
  <c r="G16" i="1"/>
  <c r="H15" i="1"/>
  <c r="J14" i="1"/>
  <c r="F14" i="1"/>
  <c r="O14" i="1"/>
  <c r="I14" i="1"/>
  <c r="P14" i="1" s="1"/>
  <c r="S14" i="1"/>
  <c r="V14" i="1" s="1"/>
  <c r="AC3" i="1"/>
  <c r="AC2" i="1"/>
  <c r="AC4" i="1"/>
  <c r="AC5" i="1"/>
  <c r="AC6" i="1"/>
  <c r="AC7" i="1"/>
  <c r="AC8" i="1"/>
  <c r="AC9" i="1"/>
  <c r="J15" i="1" l="1"/>
  <c r="F15" i="1"/>
  <c r="S15" i="1"/>
  <c r="V15" i="1" s="1"/>
  <c r="O15" i="1"/>
  <c r="I15" i="1"/>
  <c r="P15" i="1" s="1"/>
  <c r="G17" i="1"/>
  <c r="H16" i="1"/>
  <c r="Q14" i="1"/>
  <c r="R14" i="1" s="1"/>
  <c r="U14" i="1" s="1"/>
  <c r="W14" i="1" s="1"/>
  <c r="X14" i="1" s="1"/>
  <c r="Z14" i="1" s="1"/>
  <c r="AE8" i="1"/>
  <c r="AF8" i="1"/>
  <c r="AF7" i="1"/>
  <c r="AE7" i="1"/>
  <c r="AF6" i="1"/>
  <c r="AE6" i="1"/>
  <c r="AE5" i="1"/>
  <c r="AF5" i="1"/>
  <c r="AE4" i="1"/>
  <c r="AF4" i="1"/>
  <c r="AE2" i="1"/>
  <c r="AF2" i="1"/>
  <c r="AF9" i="1"/>
  <c r="AE9" i="1"/>
  <c r="AE3" i="1"/>
  <c r="AF3" i="1"/>
  <c r="O16" i="1" l="1"/>
  <c r="I16" i="1"/>
  <c r="P16" i="1" s="1"/>
  <c r="J16" i="1"/>
  <c r="F16" i="1"/>
  <c r="S16" i="1"/>
  <c r="V16" i="1" s="1"/>
  <c r="G18" i="1"/>
  <c r="H17" i="1"/>
  <c r="Q15" i="1"/>
  <c r="R15" i="1" s="1"/>
  <c r="U15" i="1" s="1"/>
  <c r="W15" i="1" s="1"/>
  <c r="X15" i="1" s="1"/>
  <c r="Z15" i="1" s="1"/>
  <c r="AA13" i="1"/>
  <c r="AB13" i="1" s="1"/>
  <c r="AB10" i="1"/>
  <c r="S17" i="1" l="1"/>
  <c r="V17" i="1" s="1"/>
  <c r="I17" i="1"/>
  <c r="P17" i="1" s="1"/>
  <c r="J17" i="1"/>
  <c r="O17" i="1"/>
  <c r="Q17" i="1" s="1"/>
  <c r="R17" i="1" s="1"/>
  <c r="U17" i="1" s="1"/>
  <c r="W17" i="1" s="1"/>
  <c r="X17" i="1" s="1"/>
  <c r="Z17" i="1" s="1"/>
  <c r="F17" i="1"/>
  <c r="G19" i="1"/>
  <c r="H18" i="1"/>
  <c r="AC12" i="1"/>
  <c r="AC13" i="1"/>
  <c r="AC11" i="1"/>
  <c r="Q16" i="1"/>
  <c r="R16" i="1" s="1"/>
  <c r="U16" i="1" s="1"/>
  <c r="W16" i="1" s="1"/>
  <c r="X16" i="1" s="1"/>
  <c r="AA14" i="1"/>
  <c r="AB14" i="1" s="1"/>
  <c r="AC10" i="1"/>
  <c r="I18" i="1" l="1"/>
  <c r="P18" i="1" s="1"/>
  <c r="O18" i="1"/>
  <c r="J18" i="1"/>
  <c r="S18" i="1"/>
  <c r="V18" i="1" s="1"/>
  <c r="F18" i="1"/>
  <c r="AE12" i="1"/>
  <c r="AF12" i="1"/>
  <c r="Z16" i="1"/>
  <c r="AE11" i="1"/>
  <c r="AF11" i="1"/>
  <c r="AC14" i="1"/>
  <c r="G20" i="1"/>
  <c r="H19" i="1"/>
  <c r="AE13" i="1"/>
  <c r="AF13" i="1"/>
  <c r="AF10" i="1"/>
  <c r="AE10" i="1"/>
  <c r="G21" i="1" l="1"/>
  <c r="H20" i="1"/>
  <c r="Q18" i="1"/>
  <c r="R18" i="1" s="1"/>
  <c r="U18" i="1" s="1"/>
  <c r="W18" i="1" s="1"/>
  <c r="X18" i="1" s="1"/>
  <c r="AE14" i="1"/>
  <c r="AF14" i="1"/>
  <c r="I19" i="1"/>
  <c r="P19" i="1" s="1"/>
  <c r="O19" i="1"/>
  <c r="S19" i="1"/>
  <c r="V19" i="1" s="1"/>
  <c r="F19" i="1"/>
  <c r="J19" i="1"/>
  <c r="AA16" i="1"/>
  <c r="AB16" i="1" s="1"/>
  <c r="AA15" i="1"/>
  <c r="AB15" i="1" s="1"/>
  <c r="Q19" i="1" l="1"/>
  <c r="R19" i="1" s="1"/>
  <c r="U19" i="1" s="1"/>
  <c r="W19" i="1" s="1"/>
  <c r="X19" i="1" s="1"/>
  <c r="Z19" i="1" s="1"/>
  <c r="AC16" i="1"/>
  <c r="AC15" i="1"/>
  <c r="S20" i="1"/>
  <c r="V20" i="1" s="1"/>
  <c r="J20" i="1"/>
  <c r="F20" i="1"/>
  <c r="O20" i="1"/>
  <c r="I20" i="1"/>
  <c r="P20" i="1" s="1"/>
  <c r="Z18" i="1"/>
  <c r="G22" i="1"/>
  <c r="H21" i="1"/>
  <c r="Q20" i="1" l="1"/>
  <c r="R20" i="1" s="1"/>
  <c r="U20" i="1" s="1"/>
  <c r="W20" i="1" s="1"/>
  <c r="X20" i="1" s="1"/>
  <c r="Z20" i="1" s="1"/>
  <c r="AF15" i="1"/>
  <c r="AE15" i="1"/>
  <c r="J21" i="1"/>
  <c r="F21" i="1"/>
  <c r="I21" i="1"/>
  <c r="P21" i="1" s="1"/>
  <c r="O21" i="1"/>
  <c r="S21" i="1"/>
  <c r="V21" i="1" s="1"/>
  <c r="AF16" i="1"/>
  <c r="AE16" i="1"/>
  <c r="AA18" i="1"/>
  <c r="AB18" i="1" s="1"/>
  <c r="AA17" i="1"/>
  <c r="AB17" i="1" s="1"/>
  <c r="G23" i="1"/>
  <c r="H22" i="1"/>
  <c r="AA19" i="1"/>
  <c r="AB19" i="1" s="1"/>
  <c r="Q21" i="1" l="1"/>
  <c r="R21" i="1" s="1"/>
  <c r="U21" i="1" s="1"/>
  <c r="W21" i="1" s="1"/>
  <c r="X21" i="1" s="1"/>
  <c r="Z21" i="1" s="1"/>
  <c r="J22" i="1"/>
  <c r="F22" i="1"/>
  <c r="O22" i="1"/>
  <c r="I22" i="1"/>
  <c r="P22" i="1" s="1"/>
  <c r="S22" i="1"/>
  <c r="V22" i="1" s="1"/>
  <c r="AC17" i="1"/>
  <c r="AC19" i="1"/>
  <c r="AC18" i="1"/>
  <c r="G24" i="1"/>
  <c r="H23" i="1"/>
  <c r="AA20" i="1"/>
  <c r="AB20" i="1" s="1"/>
  <c r="G25" i="1" l="1"/>
  <c r="H24" i="1"/>
  <c r="AF17" i="1"/>
  <c r="AE17" i="1"/>
  <c r="AE18" i="1"/>
  <c r="AF18" i="1"/>
  <c r="Q22" i="1"/>
  <c r="R22" i="1" s="1"/>
  <c r="U22" i="1" s="1"/>
  <c r="W22" i="1" s="1"/>
  <c r="X22" i="1" s="1"/>
  <c r="AC20" i="1"/>
  <c r="AE19" i="1"/>
  <c r="AF19" i="1"/>
  <c r="J23" i="1"/>
  <c r="S23" i="1"/>
  <c r="V23" i="1" s="1"/>
  <c r="O23" i="1"/>
  <c r="F23" i="1"/>
  <c r="I23" i="1"/>
  <c r="P23" i="1" s="1"/>
  <c r="Z22" i="1" l="1"/>
  <c r="O24" i="1"/>
  <c r="I24" i="1"/>
  <c r="P24" i="1" s="1"/>
  <c r="S24" i="1"/>
  <c r="V24" i="1" s="1"/>
  <c r="F24" i="1"/>
  <c r="J24" i="1"/>
  <c r="AE20" i="1"/>
  <c r="AF20" i="1"/>
  <c r="G26" i="1"/>
  <c r="H25" i="1"/>
  <c r="Q23" i="1"/>
  <c r="R23" i="1" s="1"/>
  <c r="U23" i="1" s="1"/>
  <c r="W23" i="1" s="1"/>
  <c r="X23" i="1" s="1"/>
  <c r="Z23" i="1" s="1"/>
  <c r="S25" i="1" l="1"/>
  <c r="V25" i="1" s="1"/>
  <c r="I25" i="1"/>
  <c r="P25" i="1" s="1"/>
  <c r="F25" i="1"/>
  <c r="O25" i="1"/>
  <c r="Q25" i="1" s="1"/>
  <c r="R25" i="1" s="1"/>
  <c r="U25" i="1" s="1"/>
  <c r="W25" i="1" s="1"/>
  <c r="X25" i="1" s="1"/>
  <c r="Z25" i="1" s="1"/>
  <c r="J25" i="1"/>
  <c r="Q24" i="1"/>
  <c r="R24" i="1" s="1"/>
  <c r="U24" i="1" s="1"/>
  <c r="W24" i="1" s="1"/>
  <c r="X24" i="1" s="1"/>
  <c r="Z24" i="1" s="1"/>
  <c r="G27" i="1"/>
  <c r="H26" i="1"/>
  <c r="AA22" i="1"/>
  <c r="AB22" i="1" s="1"/>
  <c r="AA21" i="1"/>
  <c r="AB21" i="1" s="1"/>
  <c r="AA24" i="1" l="1"/>
  <c r="AB24" i="1" s="1"/>
  <c r="AC22" i="1"/>
  <c r="AC24" i="1"/>
  <c r="G28" i="1"/>
  <c r="H27" i="1"/>
  <c r="AC21" i="1"/>
  <c r="AF22" i="1"/>
  <c r="AE22" i="1"/>
  <c r="I26" i="1"/>
  <c r="P26" i="1" s="1"/>
  <c r="O26" i="1"/>
  <c r="Q26" i="1" s="1"/>
  <c r="R26" i="1" s="1"/>
  <c r="U26" i="1" s="1"/>
  <c r="F26" i="1"/>
  <c r="S26" i="1"/>
  <c r="V26" i="1" s="1"/>
  <c r="J26" i="1"/>
  <c r="AA23" i="1"/>
  <c r="AB23" i="1" s="1"/>
  <c r="AC23" i="1" s="1"/>
  <c r="AE21" i="1" l="1"/>
  <c r="AF21" i="1"/>
  <c r="W26" i="1"/>
  <c r="X26" i="1" s="1"/>
  <c r="Z26" i="1" s="1"/>
  <c r="AF24" i="1"/>
  <c r="AE24" i="1"/>
  <c r="AF23" i="1"/>
  <c r="AE23" i="1"/>
  <c r="G29" i="1"/>
  <c r="H28" i="1"/>
  <c r="I27" i="1"/>
  <c r="P27" i="1" s="1"/>
  <c r="O27" i="1"/>
  <c r="Q27" i="1" s="1"/>
  <c r="R27" i="1" s="1"/>
  <c r="U27" i="1" s="1"/>
  <c r="J27" i="1"/>
  <c r="S27" i="1"/>
  <c r="V27" i="1" s="1"/>
  <c r="F27" i="1"/>
  <c r="W27" i="1" l="1"/>
  <c r="X27" i="1" s="1"/>
  <c r="Z27" i="1" s="1"/>
  <c r="AA26" i="1"/>
  <c r="AB26" i="1" s="1"/>
  <c r="AA25" i="1"/>
  <c r="AB25" i="1" s="1"/>
  <c r="S28" i="1"/>
  <c r="V28" i="1" s="1"/>
  <c r="J28" i="1"/>
  <c r="F28" i="1"/>
  <c r="O28" i="1"/>
  <c r="I28" i="1"/>
  <c r="P28" i="1" s="1"/>
  <c r="G30" i="1"/>
  <c r="H29" i="1"/>
  <c r="AC25" i="1" l="1"/>
  <c r="AC26" i="1"/>
  <c r="Q28" i="1"/>
  <c r="R28" i="1" s="1"/>
  <c r="U28" i="1" s="1"/>
  <c r="W28" i="1" s="1"/>
  <c r="X28" i="1" s="1"/>
  <c r="Z28" i="1" s="1"/>
  <c r="AA27" i="1" s="1"/>
  <c r="AB27" i="1" s="1"/>
  <c r="J29" i="1"/>
  <c r="F29" i="1"/>
  <c r="O29" i="1"/>
  <c r="I29" i="1"/>
  <c r="P29" i="1" s="1"/>
  <c r="S29" i="1"/>
  <c r="V29" i="1" s="1"/>
  <c r="G31" i="1"/>
  <c r="H30" i="1"/>
  <c r="AC27" i="1" l="1"/>
  <c r="AF26" i="1"/>
  <c r="AE26" i="1"/>
  <c r="J30" i="1"/>
  <c r="F30" i="1"/>
  <c r="O30" i="1"/>
  <c r="Q30" i="1" s="1"/>
  <c r="R30" i="1" s="1"/>
  <c r="U30" i="1" s="1"/>
  <c r="W30" i="1" s="1"/>
  <c r="X30" i="1" s="1"/>
  <c r="Z30" i="1" s="1"/>
  <c r="S30" i="1"/>
  <c r="V30" i="1" s="1"/>
  <c r="I30" i="1"/>
  <c r="P30" i="1" s="1"/>
  <c r="G32" i="1"/>
  <c r="H31" i="1"/>
  <c r="Q29" i="1"/>
  <c r="R29" i="1" s="1"/>
  <c r="U29" i="1" s="1"/>
  <c r="W29" i="1" s="1"/>
  <c r="X29" i="1" s="1"/>
  <c r="Z29" i="1" s="1"/>
  <c r="AF25" i="1"/>
  <c r="AE25" i="1"/>
  <c r="F31" i="1" l="1"/>
  <c r="J31" i="1"/>
  <c r="S31" i="1"/>
  <c r="V31" i="1" s="1"/>
  <c r="O31" i="1"/>
  <c r="I31" i="1"/>
  <c r="P31" i="1" s="1"/>
  <c r="G33" i="1"/>
  <c r="H32" i="1"/>
  <c r="AA29" i="1"/>
  <c r="AB29" i="1" s="1"/>
  <c r="AA28" i="1"/>
  <c r="AB28" i="1" s="1"/>
  <c r="AC28" i="1" s="1"/>
  <c r="AE27" i="1"/>
  <c r="AF27" i="1"/>
  <c r="O32" i="1" l="1"/>
  <c r="I32" i="1"/>
  <c r="P32" i="1" s="1"/>
  <c r="J32" i="1"/>
  <c r="S32" i="1"/>
  <c r="V32" i="1" s="1"/>
  <c r="F32" i="1"/>
  <c r="G34" i="1"/>
  <c r="H33" i="1"/>
  <c r="Q31" i="1"/>
  <c r="R31" i="1" s="1"/>
  <c r="U31" i="1" s="1"/>
  <c r="W31" i="1" s="1"/>
  <c r="X31" i="1" s="1"/>
  <c r="Z31" i="1" s="1"/>
  <c r="AE28" i="1"/>
  <c r="AF28" i="1"/>
  <c r="AC29" i="1"/>
  <c r="H34" i="1" l="1"/>
  <c r="S33" i="1"/>
  <c r="V33" i="1" s="1"/>
  <c r="I33" i="1"/>
  <c r="P33" i="1" s="1"/>
  <c r="J33" i="1"/>
  <c r="F33" i="1"/>
  <c r="O33" i="1"/>
  <c r="AA30" i="1"/>
  <c r="AB30" i="1" s="1"/>
  <c r="AC30" i="1" s="1"/>
  <c r="AE29" i="1"/>
  <c r="AF29" i="1"/>
  <c r="Q32" i="1"/>
  <c r="R32" i="1" s="1"/>
  <c r="U32" i="1" s="1"/>
  <c r="W32" i="1" s="1"/>
  <c r="X32" i="1" s="1"/>
  <c r="Z32" i="1" s="1"/>
  <c r="AA31" i="1" l="1"/>
  <c r="AB31" i="1" s="1"/>
  <c r="AC31" i="1" s="1"/>
  <c r="I34" i="1"/>
  <c r="P34" i="1" s="1"/>
  <c r="O34" i="1"/>
  <c r="Q34" i="1" s="1"/>
  <c r="R34" i="1" s="1"/>
  <c r="U34" i="1" s="1"/>
  <c r="W34" i="1" s="1"/>
  <c r="X34" i="1" s="1"/>
  <c r="Z34" i="1" s="1"/>
  <c r="S34" i="1"/>
  <c r="V34" i="1" s="1"/>
  <c r="J34" i="1"/>
  <c r="F34" i="1"/>
  <c r="Q33" i="1"/>
  <c r="R33" i="1" s="1"/>
  <c r="U33" i="1" s="1"/>
  <c r="W33" i="1" s="1"/>
  <c r="X33" i="1" s="1"/>
  <c r="Z33" i="1" s="1"/>
  <c r="AA33" i="1" s="1"/>
  <c r="AB33" i="1" s="1"/>
  <c r="AF30" i="1"/>
  <c r="AE30" i="1"/>
  <c r="H36" i="1"/>
  <c r="I35" i="1" l="1"/>
  <c r="P35" i="1" s="1"/>
  <c r="O35" i="1"/>
  <c r="Q35" i="1" s="1"/>
  <c r="R35" i="1" s="1"/>
  <c r="U35" i="1" s="1"/>
  <c r="F35" i="1"/>
  <c r="J35" i="1"/>
  <c r="S35" i="1"/>
  <c r="V35" i="1" s="1"/>
  <c r="H37" i="1"/>
  <c r="AF31" i="1"/>
  <c r="AE31" i="1"/>
  <c r="AA32" i="1"/>
  <c r="AB32" i="1" s="1"/>
  <c r="AC32" i="1" s="1"/>
  <c r="W35" i="1" l="1"/>
  <c r="X35" i="1" s="1"/>
  <c r="Z35" i="1" s="1"/>
  <c r="AA34" i="1" s="1"/>
  <c r="AB34" i="1" s="1"/>
  <c r="AC34" i="1" s="1"/>
  <c r="AF32" i="1"/>
  <c r="AE32" i="1"/>
  <c r="AC33" i="1"/>
  <c r="S36" i="1"/>
  <c r="V36" i="1" s="1"/>
  <c r="O36" i="1"/>
  <c r="J36" i="1"/>
  <c r="F36" i="1"/>
  <c r="I36" i="1"/>
  <c r="P36" i="1" s="1"/>
  <c r="Q36" i="1" l="1"/>
  <c r="R36" i="1" s="1"/>
  <c r="U36" i="1" s="1"/>
  <c r="W36" i="1" s="1"/>
  <c r="X36" i="1" s="1"/>
  <c r="Z36" i="1" s="1"/>
  <c r="AA35" i="1" s="1"/>
  <c r="AB35" i="1" s="1"/>
  <c r="AC35" i="1" s="1"/>
  <c r="H38" i="1"/>
  <c r="O38" i="1" s="1"/>
  <c r="AF34" i="1"/>
  <c r="AE34" i="1"/>
  <c r="AE33" i="1"/>
  <c r="AF33" i="1"/>
  <c r="J37" i="1"/>
  <c r="O37" i="1"/>
  <c r="I37" i="1"/>
  <c r="P37" i="1" s="1"/>
  <c r="F37" i="1"/>
  <c r="S37" i="1"/>
  <c r="V37" i="1" s="1"/>
  <c r="S38" i="1" l="1"/>
  <c r="V38" i="1" s="1"/>
  <c r="I38" i="1"/>
  <c r="P38" i="1" s="1"/>
  <c r="Q38" i="1" s="1"/>
  <c r="R38" i="1" s="1"/>
  <c r="U38" i="1" s="1"/>
  <c r="W38" i="1" s="1"/>
  <c r="X38" i="1" s="1"/>
  <c r="F38" i="1"/>
  <c r="J38" i="1"/>
  <c r="H39" i="1"/>
  <c r="F39" i="1" s="1"/>
  <c r="AE35" i="1"/>
  <c r="AF35" i="1"/>
  <c r="Q37" i="1"/>
  <c r="R37" i="1" s="1"/>
  <c r="U37" i="1" s="1"/>
  <c r="W37" i="1" s="1"/>
  <c r="X37" i="1" s="1"/>
  <c r="Z37" i="1" s="1"/>
  <c r="H40" i="1" l="1"/>
  <c r="F40" i="1" s="1"/>
  <c r="AA36" i="1"/>
  <c r="AB36" i="1" s="1"/>
  <c r="AC36" i="1" s="1"/>
  <c r="Z38" i="1"/>
  <c r="AA38" i="1" s="1"/>
  <c r="AB38" i="1" s="1"/>
  <c r="AC57" i="1"/>
  <c r="H41" i="1" l="1"/>
  <c r="F41" i="1" s="1"/>
  <c r="AE36" i="1"/>
  <c r="AF36" i="1"/>
  <c r="AA37" i="1"/>
  <c r="AB37" i="1" s="1"/>
  <c r="AC37" i="1" s="1"/>
  <c r="H42" i="1" l="1"/>
  <c r="F42" i="1" s="1"/>
  <c r="AC42" i="1"/>
  <c r="AF42" i="1" s="1"/>
  <c r="AE37" i="1"/>
  <c r="AF37" i="1"/>
  <c r="AC41" i="1"/>
  <c r="AC38" i="1"/>
  <c r="AC55" i="1"/>
  <c r="AC39" i="1"/>
  <c r="AC40" i="1"/>
  <c r="AC43" i="1"/>
  <c r="AC44" i="1"/>
  <c r="AC52" i="1"/>
  <c r="AC51" i="1"/>
  <c r="AC54" i="1"/>
  <c r="AC53" i="1"/>
  <c r="AE42" i="1" l="1"/>
  <c r="H43" i="1"/>
  <c r="F43" i="1" s="1"/>
  <c r="AF39" i="1"/>
  <c r="AE39" i="1"/>
  <c r="AE54" i="1"/>
  <c r="AF54" i="1"/>
  <c r="AE53" i="1"/>
  <c r="AF53" i="1"/>
  <c r="AF38" i="1"/>
  <c r="AE38" i="1"/>
  <c r="AE55" i="1"/>
  <c r="AF55" i="1"/>
  <c r="AE52" i="1"/>
  <c r="AF52" i="1"/>
  <c r="AF41" i="1"/>
  <c r="AE41" i="1"/>
  <c r="AF51" i="1"/>
  <c r="AE51" i="1"/>
  <c r="AE44" i="1"/>
  <c r="AF44" i="1"/>
  <c r="AE43" i="1"/>
  <c r="AF43" i="1"/>
  <c r="AF40" i="1"/>
  <c r="AE40" i="1"/>
  <c r="H44" i="1" l="1"/>
  <c r="F44" i="1" s="1"/>
  <c r="H45" i="1" l="1"/>
  <c r="F45" i="1" s="1"/>
  <c r="H46" i="1" l="1"/>
  <c r="F46" i="1" s="1"/>
  <c r="H47" i="1" l="1"/>
  <c r="F47" i="1" s="1"/>
  <c r="H48" i="1" l="1"/>
  <c r="F48" i="1" s="1"/>
  <c r="H49" i="1" l="1"/>
  <c r="F49" i="1" s="1"/>
  <c r="H50" i="1" l="1"/>
  <c r="F50" i="1" s="1"/>
</calcChain>
</file>

<file path=xl/sharedStrings.xml><?xml version="1.0" encoding="utf-8"?>
<sst xmlns="http://schemas.openxmlformats.org/spreadsheetml/2006/main" count="192" uniqueCount="159">
  <si>
    <t>Value</t>
  </si>
  <si>
    <t>Unit</t>
  </si>
  <si>
    <t>Kg</t>
  </si>
  <si>
    <t>GVW</t>
  </si>
  <si>
    <t>g</t>
  </si>
  <si>
    <t>m/s^2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</si>
  <si>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</si>
  <si>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</si>
  <si>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</si>
  <si>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</si>
  <si>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</si>
  <si>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</si>
  <si>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</si>
  <si>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</si>
  <si>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</si>
  <si>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</si>
  <si>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</si>
  <si>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</si>
  <si>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</si>
  <si>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</si>
  <si>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</si>
  <si>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</si>
  <si>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</si>
  <si>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</si>
  <si>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</si>
  <si>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</si>
  <si>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</si>
  <si>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</si>
  <si>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</si>
  <si>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</si>
  <si>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</si>
  <si>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</si>
  <si>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</si>
  <si>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</si>
  <si>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</si>
  <si>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</si>
  <si>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</si>
  <si>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</si>
  <si>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</si>
  <si>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</si>
  <si>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</si>
  <si>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</si>
  <si>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</si>
  <si>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</si>
  <si>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</si>
  <si>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</si>
  <si>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</si>
  <si>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</si>
  <si>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</si>
  <si>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</si>
  <si>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</si>
  <si>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</si>
  <si>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</si>
  <si>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</si>
  <si>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</si>
  <si>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</si>
  <si>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</si>
  <si>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</si>
  <si>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</si>
  <si>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</si>
  <si>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</si>
  <si>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</si>
  <si>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</si>
  <si>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</si>
  <si>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</si>
  <si>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</si>
  <si>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</si>
  <si>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</si>
  <si>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</si>
  <si>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</si>
  <si>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</si>
  <si>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</si>
  <si>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</si>
  <si>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</si>
  <si>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</si>
  <si>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</si>
  <si>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</si>
  <si>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</si>
  <si>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</si>
  <si>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</si>
  <si>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</si>
  <si>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</si>
  <si>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</si>
  <si>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</si>
  <si>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</si>
  <si>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</si>
  <si>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</si>
  <si>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</si>
  <si>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</si>
  <si>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</si>
  <si>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</si>
  <si>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</si>
  <si>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</si>
  <si>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</si>
  <si>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</si>
  <si>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</si>
  <si>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</si>
  <si>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</si>
  <si>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</si>
  <si>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</si>
  <si>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</si>
  <si>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</si>
  <si>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</si>
  <si>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</si>
  <si>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</si>
  <si>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</si>
  <si>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</si>
  <si>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</si>
  <si>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</si>
  <si>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</si>
  <si>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</si>
  <si>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</si>
  <si>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</si>
  <si>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</si>
  <si>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</si>
  <si>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</si>
  <si>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</si>
  <si>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</si>
  <si>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</si>
  <si>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</si>
  <si>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</si>
  <si>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</si>
  <si>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</si>
  <si>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</si>
  <si>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</si>
  <si>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</si>
  <si>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</si>
  <si>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</si>
  <si>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</si>
  <si>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</si>
  <si>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</si>
  <si>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</si>
  <si>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</si>
  <si>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</si>
  <si>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</si>
  <si>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</si>
  <si>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</si>
  <si>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</si>
  <si>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</si>
  <si>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</si>
  <si>
    <t>Battery Voltage [V]</t>
  </si>
  <si>
    <t>Battery Current [A]</t>
  </si>
  <si>
    <t>Battery Capacity</t>
  </si>
  <si>
    <t>Machine Run Time</t>
  </si>
  <si>
    <t>Hr</t>
  </si>
  <si>
    <t>Air Density</t>
  </si>
  <si>
    <t xml:space="preserve">Gradeability </t>
  </si>
  <si>
    <t>Average Current [A]</t>
  </si>
  <si>
    <t>kWhr</t>
  </si>
  <si>
    <t>Battery Voltage</t>
  </si>
  <si>
    <t>V</t>
  </si>
  <si>
    <t>Battery Capacity Max [AmpHr]</t>
  </si>
  <si>
    <t>SOC Capacity [%]</t>
  </si>
  <si>
    <t>DOD [%]</t>
  </si>
  <si>
    <t>Amp Hr</t>
  </si>
  <si>
    <t>Integration</t>
  </si>
  <si>
    <t>Acceleration on grade</t>
  </si>
  <si>
    <t>Acceleration on Level Ground</t>
  </si>
  <si>
    <t>Max Speed on Level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</si>
</sst>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12" applyNumberFormat="0" applyAlignment="0" applyProtection="0"/>
  </cellStyleXfs>
  <cellXfs count="5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6" borderId="0" xfId="0" applyNumberFormat="1" applyFill="1"/>
    <xf numFmtId="0" fontId="3" fillId="7" borderId="12" xfId="1"/>
    <xf numFmtId="0" fontId="3" fillId="7" borderId="12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8" borderId="0" xfId="0" applyFill="1"/>
    <xf numFmtId="2" fontId="3" fillId="7" borderId="12" xfId="1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textRotation="90" wrapText="1"/>
    </xf>
    <xf numFmtId="0" fontId="3" fillId="7" borderId="12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Fill="1"/>
  </cellXfs>
  <cellStyles count="2"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Application!$H$1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Application!$F$2:$F$55</c:f>
              <c:numCache>
                <c:formatCode>0.00</c:formatCode>
                <c:ptCount val="54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64.8</c:v>
                </c:pt>
                <c:pt idx="6">
                  <c:v>64.8</c:v>
                </c:pt>
                <c:pt idx="7">
                  <c:v>64.8</c:v>
                </c:pt>
                <c:pt idx="8">
                  <c:v>64.8</c:v>
                </c:pt>
                <c:pt idx="9">
                  <c:v>64.8</c:v>
                </c:pt>
                <c:pt idx="10">
                  <c:v>64.8</c:v>
                </c:pt>
                <c:pt idx="11">
                  <c:v>64.8</c:v>
                </c:pt>
                <c:pt idx="12">
                  <c:v>64.8</c:v>
                </c:pt>
                <c:pt idx="13">
                  <c:v>64.8</c:v>
                </c:pt>
                <c:pt idx="14">
                  <c:v>64.8</c:v>
                </c:pt>
                <c:pt idx="15">
                  <c:v>64.8</c:v>
                </c:pt>
                <c:pt idx="16">
                  <c:v>64.8</c:v>
                </c:pt>
                <c:pt idx="17">
                  <c:v>64.8</c:v>
                </c:pt>
                <c:pt idx="18">
                  <c:v>64.8</c:v>
                </c:pt>
                <c:pt idx="19">
                  <c:v>64.8</c:v>
                </c:pt>
                <c:pt idx="20">
                  <c:v>64.8</c:v>
                </c:pt>
                <c:pt idx="21">
                  <c:v>64.8</c:v>
                </c:pt>
                <c:pt idx="22">
                  <c:v>64.8</c:v>
                </c:pt>
                <c:pt idx="23">
                  <c:v>64.8</c:v>
                </c:pt>
                <c:pt idx="24">
                  <c:v>64.8</c:v>
                </c:pt>
                <c:pt idx="25">
                  <c:v>64.8</c:v>
                </c:pt>
                <c:pt idx="26">
                  <c:v>64.8</c:v>
                </c:pt>
                <c:pt idx="27">
                  <c:v>64.8</c:v>
                </c:pt>
                <c:pt idx="28">
                  <c:v>64.8</c:v>
                </c:pt>
                <c:pt idx="29">
                  <c:v>64.8</c:v>
                </c:pt>
                <c:pt idx="30">
                  <c:v>64.8</c:v>
                </c:pt>
                <c:pt idx="31">
                  <c:v>64.8</c:v>
                </c:pt>
                <c:pt idx="32">
                  <c:v>64.8</c:v>
                </c:pt>
                <c:pt idx="33">
                  <c:v>0</c:v>
                </c:pt>
                <c:pt idx="34">
                  <c:v>0.36</c:v>
                </c:pt>
                <c:pt idx="35">
                  <c:v>0.72</c:v>
                </c:pt>
                <c:pt idx="36">
                  <c:v>1.0800000000000003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1.08</c:v>
                </c:pt>
                <c:pt idx="49">
                  <c:v>1.08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</c:numCache>
            </c:numRef>
          </c:xVal>
          <c:yVal>
            <c:numRef>
              <c:f>Application!$E$2:$E$55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Application!$H$2:$H$55</c:f>
              <c:numCache>
                <c:formatCode>0.00</c:formatCode>
                <c:ptCount val="5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0</c:v>
                </c:pt>
                <c:pt idx="34">
                  <c:v>0.1</c:v>
                </c:pt>
                <c:pt idx="35">
                  <c:v>0.2</c:v>
                </c:pt>
                <c:pt idx="36">
                  <c:v>0.30000000000000004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</c:numCache>
            </c:numRef>
          </c:xVal>
          <c:yVal>
            <c:numRef>
              <c:f>Application!$K$2:$K$55</c:f>
              <c:numCache>
                <c:formatCode>0.00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10</c:v>
                </c:pt>
                <c:pt idx="52">
                  <c:v>20</c:v>
                </c:pt>
                <c:pt idx="5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speed [km/hr]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Application!$X$1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Application!$V$2:$V$55</c:f>
              <c:numCache>
                <c:formatCode>0.00</c:formatCode>
                <c:ptCount val="54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4397.1179626318999</c:v>
                </c:pt>
                <c:pt idx="4">
                  <c:v>5862.8239501758662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  <c:pt idx="9">
                  <c:v>6595.6769439478494</c:v>
                </c:pt>
                <c:pt idx="10">
                  <c:v>6595.6769439478494</c:v>
                </c:pt>
                <c:pt idx="11">
                  <c:v>6595.6769439478494</c:v>
                </c:pt>
                <c:pt idx="12">
                  <c:v>6595.6769439478494</c:v>
                </c:pt>
                <c:pt idx="13">
                  <c:v>6595.6769439478494</c:v>
                </c:pt>
                <c:pt idx="14">
                  <c:v>6595.6769439478494</c:v>
                </c:pt>
                <c:pt idx="15">
                  <c:v>6595.6769439478494</c:v>
                </c:pt>
                <c:pt idx="16">
                  <c:v>6595.6769439478494</c:v>
                </c:pt>
                <c:pt idx="17">
                  <c:v>6595.6769439478494</c:v>
                </c:pt>
                <c:pt idx="18">
                  <c:v>6595.6769439478494</c:v>
                </c:pt>
                <c:pt idx="19">
                  <c:v>6595.6769439478494</c:v>
                </c:pt>
                <c:pt idx="20">
                  <c:v>6595.6769439478494</c:v>
                </c:pt>
                <c:pt idx="21">
                  <c:v>6595.6769439478494</c:v>
                </c:pt>
                <c:pt idx="22">
                  <c:v>6595.6769439478494</c:v>
                </c:pt>
                <c:pt idx="23">
                  <c:v>6595.6769439478494</c:v>
                </c:pt>
                <c:pt idx="24">
                  <c:v>6595.6769439478494</c:v>
                </c:pt>
                <c:pt idx="25">
                  <c:v>6595.6769439478494</c:v>
                </c:pt>
                <c:pt idx="26">
                  <c:v>6595.6769439478494</c:v>
                </c:pt>
                <c:pt idx="27">
                  <c:v>6595.6769439478494</c:v>
                </c:pt>
                <c:pt idx="28">
                  <c:v>6595.6769439478494</c:v>
                </c:pt>
                <c:pt idx="29">
                  <c:v>6595.6769439478494</c:v>
                </c:pt>
                <c:pt idx="30">
                  <c:v>6595.6769439478494</c:v>
                </c:pt>
                <c:pt idx="31">
                  <c:v>6595.6769439478494</c:v>
                </c:pt>
                <c:pt idx="32">
                  <c:v>6595.6769439478494</c:v>
                </c:pt>
                <c:pt idx="33">
                  <c:v>0</c:v>
                </c:pt>
                <c:pt idx="34">
                  <c:v>36.642649688599164</c:v>
                </c:pt>
                <c:pt idx="35">
                  <c:v>73.285299377198328</c:v>
                </c:pt>
                <c:pt idx="36">
                  <c:v>109.92794906579751</c:v>
                </c:pt>
                <c:pt idx="49">
                  <c:v>109.92794906579748</c:v>
                </c:pt>
                <c:pt idx="50">
                  <c:v>109.92794906579748</c:v>
                </c:pt>
                <c:pt idx="51">
                  <c:v>109.92794906579748</c:v>
                </c:pt>
                <c:pt idx="52">
                  <c:v>109.92794906579748</c:v>
                </c:pt>
                <c:pt idx="53">
                  <c:v>109.92794906579748</c:v>
                </c:pt>
              </c:numCache>
            </c:numRef>
          </c:xVal>
          <c:yVal>
            <c:numRef>
              <c:f>Application!$X$2:$X$55</c:f>
              <c:numCache>
                <c:formatCode>General</c:formatCode>
                <c:ptCount val="54"/>
                <c:pt idx="0">
                  <c:v>0</c:v>
                </c:pt>
                <c:pt idx="1">
                  <c:v>58.282231284210539</c:v>
                </c:pt>
                <c:pt idx="2">
                  <c:v>117.17664749473686</c:v>
                </c:pt>
                <c:pt idx="3">
                  <c:v>177.2954335578948</c:v>
                </c:pt>
                <c:pt idx="4">
                  <c:v>239.25077440000004</c:v>
                </c:pt>
                <c:pt idx="5">
                  <c:v>159.38340802105265</c:v>
                </c:pt>
                <c:pt idx="6">
                  <c:v>47.658355389473698</c:v>
                </c:pt>
                <c:pt idx="7">
                  <c:v>47.658355389473698</c:v>
                </c:pt>
                <c:pt idx="8">
                  <c:v>47.658355389473698</c:v>
                </c:pt>
                <c:pt idx="9">
                  <c:v>47.658355389473698</c:v>
                </c:pt>
                <c:pt idx="10">
                  <c:v>47.658355389473698</c:v>
                </c:pt>
                <c:pt idx="11">
                  <c:v>47.658355389473698</c:v>
                </c:pt>
                <c:pt idx="12">
                  <c:v>47.658355389473698</c:v>
                </c:pt>
                <c:pt idx="13">
                  <c:v>47.658355389473698</c:v>
                </c:pt>
                <c:pt idx="14">
                  <c:v>47.658355389473698</c:v>
                </c:pt>
                <c:pt idx="15">
                  <c:v>47.658355389473698</c:v>
                </c:pt>
                <c:pt idx="16">
                  <c:v>47.658355389473698</c:v>
                </c:pt>
                <c:pt idx="17">
                  <c:v>47.658355389473698</c:v>
                </c:pt>
                <c:pt idx="18">
                  <c:v>47.658355389473698</c:v>
                </c:pt>
                <c:pt idx="19">
                  <c:v>47.658355389473698</c:v>
                </c:pt>
                <c:pt idx="20">
                  <c:v>47.658355389473698</c:v>
                </c:pt>
                <c:pt idx="21">
                  <c:v>47.658355389473698</c:v>
                </c:pt>
                <c:pt idx="22">
                  <c:v>47.658355389473698</c:v>
                </c:pt>
                <c:pt idx="23">
                  <c:v>47.658355389473698</c:v>
                </c:pt>
                <c:pt idx="24">
                  <c:v>47.658355389473698</c:v>
                </c:pt>
                <c:pt idx="25">
                  <c:v>47.658355389473698</c:v>
                </c:pt>
                <c:pt idx="26">
                  <c:v>47.658355389473698</c:v>
                </c:pt>
                <c:pt idx="27">
                  <c:v>47.658355389473698</c:v>
                </c:pt>
                <c:pt idx="28">
                  <c:v>47.658355389473698</c:v>
                </c:pt>
                <c:pt idx="29">
                  <c:v>47.658355389473698</c:v>
                </c:pt>
                <c:pt idx="30">
                  <c:v>47.658355389473698</c:v>
                </c:pt>
                <c:pt idx="31">
                  <c:v>47.658355389473698</c:v>
                </c:pt>
                <c:pt idx="32">
                  <c:v>47.658355389473698</c:v>
                </c:pt>
                <c:pt idx="33">
                  <c:v>0</c:v>
                </c:pt>
                <c:pt idx="34">
                  <c:v>0.24415186896842109</c:v>
                </c:pt>
                <c:pt idx="35">
                  <c:v>0.48831330332631584</c:v>
                </c:pt>
                <c:pt idx="36">
                  <c:v>0.73249386846315812</c:v>
                </c:pt>
                <c:pt idx="49">
                  <c:v>0</c:v>
                </c:pt>
                <c:pt idx="50">
                  <c:v>5.1996557255286175</c:v>
                </c:pt>
                <c:pt idx="51">
                  <c:v>9.7244118173119318</c:v>
                </c:pt>
                <c:pt idx="52">
                  <c:v>18.53928639147594</c:v>
                </c:pt>
                <c:pt idx="53">
                  <c:v>2.4656012061320856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SOC and DoD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Application!$AE$1</c:f>
              <c:strCache>
                <c:ptCount val="1"/>
                <c:pt idx="0">
                  <c:v>SOC Capacity [%]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Application!$AE$2:$AE$55</c:f>
              <c:numCache>
                <c:formatCode>0.00</c:formatCode>
                <c:ptCount val="54"/>
                <c:pt idx="0">
                  <c:v>99.919052456549693</c:v>
                </c:pt>
                <c:pt idx="1">
                  <c:v>99.675359569356715</c:v>
                </c:pt>
                <c:pt idx="2">
                  <c:v>99.266370567894725</c:v>
                </c:pt>
                <c:pt idx="3">
                  <c:v>98.687834167953213</c:v>
                </c:pt>
                <c:pt idx="4">
                  <c:v>98.134175581257296</c:v>
                </c:pt>
                <c:pt idx="5">
                  <c:v>97.846617576520458</c:v>
                </c:pt>
                <c:pt idx="6">
                  <c:v>97.714233255994145</c:v>
                </c:pt>
                <c:pt idx="7">
                  <c:v>97.581848935467846</c:v>
                </c:pt>
                <c:pt idx="8">
                  <c:v>97.449464614941519</c:v>
                </c:pt>
                <c:pt idx="9">
                  <c:v>97.317080294415206</c:v>
                </c:pt>
                <c:pt idx="10">
                  <c:v>97.184695973888878</c:v>
                </c:pt>
                <c:pt idx="11">
                  <c:v>97.052311653362565</c:v>
                </c:pt>
                <c:pt idx="12">
                  <c:v>96.919927332836238</c:v>
                </c:pt>
                <c:pt idx="13">
                  <c:v>96.787543012309953</c:v>
                </c:pt>
                <c:pt idx="14">
                  <c:v>96.655158691783626</c:v>
                </c:pt>
                <c:pt idx="15">
                  <c:v>96.522774371257313</c:v>
                </c:pt>
                <c:pt idx="16">
                  <c:v>96.390390050730986</c:v>
                </c:pt>
                <c:pt idx="17">
                  <c:v>96.258005730204673</c:v>
                </c:pt>
                <c:pt idx="18">
                  <c:v>96.125621409678374</c:v>
                </c:pt>
                <c:pt idx="19">
                  <c:v>95.993237089152046</c:v>
                </c:pt>
                <c:pt idx="20">
                  <c:v>95.860852768625733</c:v>
                </c:pt>
                <c:pt idx="21">
                  <c:v>95.728468448099406</c:v>
                </c:pt>
                <c:pt idx="22">
                  <c:v>95.596084127573093</c:v>
                </c:pt>
                <c:pt idx="23">
                  <c:v>95.463699807046794</c:v>
                </c:pt>
                <c:pt idx="24">
                  <c:v>95.331315486520481</c:v>
                </c:pt>
                <c:pt idx="25">
                  <c:v>95.198931165994154</c:v>
                </c:pt>
                <c:pt idx="26">
                  <c:v>95.06654684546784</c:v>
                </c:pt>
                <c:pt idx="27">
                  <c:v>94.934162524941513</c:v>
                </c:pt>
                <c:pt idx="28">
                  <c:v>94.8017782044152</c:v>
                </c:pt>
                <c:pt idx="29">
                  <c:v>94.669393883888901</c:v>
                </c:pt>
                <c:pt idx="30">
                  <c:v>94.537009563362574</c:v>
                </c:pt>
                <c:pt idx="31">
                  <c:v>94.404625242836261</c:v>
                </c:pt>
                <c:pt idx="32">
                  <c:v>94.338433082573104</c:v>
                </c:pt>
                <c:pt idx="33">
                  <c:v>94.338093982755097</c:v>
                </c:pt>
                <c:pt idx="34">
                  <c:v>94.33707667001579</c:v>
                </c:pt>
                <c:pt idx="35">
                  <c:v>94.335381104499419</c:v>
                </c:pt>
                <c:pt idx="36">
                  <c:v>94.333346399309249</c:v>
                </c:pt>
                <c:pt idx="37">
                  <c:v>94.333346399309249</c:v>
                </c:pt>
                <c:pt idx="38">
                  <c:v>94.333346399309249</c:v>
                </c:pt>
                <c:pt idx="39">
                  <c:v>94.333346399309249</c:v>
                </c:pt>
                <c:pt idx="40">
                  <c:v>94.333346399309249</c:v>
                </c:pt>
                <c:pt idx="41">
                  <c:v>94.333346399309249</c:v>
                </c:pt>
                <c:pt idx="42">
                  <c:v>94.333346399309249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2-4D63-B8E7-759A7CEC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560"/>
        <c:axId val="358225808"/>
      </c:scatterChart>
      <c:scatterChart>
        <c:scatterStyle val="smoothMarker"/>
        <c:varyColors val="0"/>
        <c:ser>
          <c:idx val="1"/>
          <c:order val="1"/>
          <c:tx>
            <c:strRef>
              <c:f>Application!$AF$1</c:f>
              <c:strCache>
                <c:ptCount val="1"/>
                <c:pt idx="0">
                  <c:v>DOD [%]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Application!$E$2:$E$55</c:f>
              <c:numCache>
                <c:formatCode>0.00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</c:numCache>
            </c:numRef>
          </c:xVal>
          <c:yVal>
            <c:numRef>
              <c:f>Application!$AF$2:$AF$55</c:f>
              <c:numCache>
                <c:formatCode>General</c:formatCode>
                <c:ptCount val="54"/>
                <c:pt idx="0">
                  <c:v>8.0947543450292411E-2</c:v>
                </c:pt>
                <c:pt idx="1">
                  <c:v>0.32464043064327491</c:v>
                </c:pt>
                <c:pt idx="2">
                  <c:v>0.73362943210526332</c:v>
                </c:pt>
                <c:pt idx="3">
                  <c:v>1.3121658320467842</c:v>
                </c:pt>
                <c:pt idx="4">
                  <c:v>1.8658244187426911</c:v>
                </c:pt>
                <c:pt idx="5">
                  <c:v>2.1533824234795333</c:v>
                </c:pt>
                <c:pt idx="6">
                  <c:v>2.2857667440058487</c:v>
                </c:pt>
                <c:pt idx="7">
                  <c:v>2.4181510645321644</c:v>
                </c:pt>
                <c:pt idx="8">
                  <c:v>2.5505353850584802</c:v>
                </c:pt>
                <c:pt idx="9">
                  <c:v>2.682919705584796</c:v>
                </c:pt>
                <c:pt idx="10">
                  <c:v>2.8153040261111113</c:v>
                </c:pt>
                <c:pt idx="11">
                  <c:v>2.9476883466374271</c:v>
                </c:pt>
                <c:pt idx="12">
                  <c:v>3.0800726671637424</c:v>
                </c:pt>
                <c:pt idx="13">
                  <c:v>3.2124569876900586</c:v>
                </c:pt>
                <c:pt idx="14">
                  <c:v>3.3448413082163739</c:v>
                </c:pt>
                <c:pt idx="15">
                  <c:v>3.4772256287426893</c:v>
                </c:pt>
                <c:pt idx="16">
                  <c:v>3.6096099492690055</c:v>
                </c:pt>
                <c:pt idx="17">
                  <c:v>3.7419942697953208</c:v>
                </c:pt>
                <c:pt idx="18">
                  <c:v>3.8743785903216361</c:v>
                </c:pt>
                <c:pt idx="19">
                  <c:v>4.0067629108479519</c:v>
                </c:pt>
                <c:pt idx="20">
                  <c:v>4.1391472313742677</c:v>
                </c:pt>
                <c:pt idx="21">
                  <c:v>4.2715315519005834</c:v>
                </c:pt>
                <c:pt idx="22">
                  <c:v>4.4039158724268983</c:v>
                </c:pt>
                <c:pt idx="23">
                  <c:v>4.536300192953215</c:v>
                </c:pt>
                <c:pt idx="24">
                  <c:v>4.6686845134795298</c:v>
                </c:pt>
                <c:pt idx="25">
                  <c:v>4.8010688340058456</c:v>
                </c:pt>
                <c:pt idx="26">
                  <c:v>4.9334531545321614</c:v>
                </c:pt>
                <c:pt idx="27">
                  <c:v>5.0658374750584771</c:v>
                </c:pt>
                <c:pt idx="28">
                  <c:v>5.1982217955847929</c:v>
                </c:pt>
                <c:pt idx="29">
                  <c:v>5.3306061161111078</c:v>
                </c:pt>
                <c:pt idx="30">
                  <c:v>5.4629904366374245</c:v>
                </c:pt>
                <c:pt idx="31">
                  <c:v>5.5953747571637393</c:v>
                </c:pt>
                <c:pt idx="32">
                  <c:v>5.6615669174268977</c:v>
                </c:pt>
                <c:pt idx="33">
                  <c:v>5.6619060172449096</c:v>
                </c:pt>
                <c:pt idx="34">
                  <c:v>5.6629233299842081</c:v>
                </c:pt>
                <c:pt idx="35">
                  <c:v>5.6646188955005812</c:v>
                </c:pt>
                <c:pt idx="36">
                  <c:v>5.6666536006907569</c:v>
                </c:pt>
                <c:pt idx="37">
                  <c:v>5.6666536006907569</c:v>
                </c:pt>
                <c:pt idx="38">
                  <c:v>5.6666536006907569</c:v>
                </c:pt>
                <c:pt idx="39">
                  <c:v>5.6666536006907569</c:v>
                </c:pt>
                <c:pt idx="40">
                  <c:v>5.6666536006907569</c:v>
                </c:pt>
                <c:pt idx="41">
                  <c:v>5.6666536006907569</c:v>
                </c:pt>
                <c:pt idx="42">
                  <c:v>5.6666536006907569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5C-47CD-82AE-0C8E9085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44904"/>
        <c:axId val="693649824"/>
      </c:scatterChart>
      <c:valAx>
        <c:axId val="3582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5808"/>
        <c:crosses val="autoZero"/>
        <c:crossBetween val="midCat"/>
      </c:valAx>
      <c:valAx>
        <c:axId val="358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0560"/>
        <c:crosses val="autoZero"/>
        <c:crossBetween val="midCat"/>
      </c:valAx>
      <c:valAx>
        <c:axId val="69364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44904"/>
        <c:crosses val="max"/>
        <c:crossBetween val="midCat"/>
      </c:valAx>
      <c:valAx>
        <c:axId val="693644904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936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Data'!$A$4:$A$13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Data'!$D$4:$D$13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Data'!$A$17:$A$26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Data'!$D$17:$D$26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Data'!$A$30:$A$42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'Magelec Motor Data'!$D$30:$D$42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Data'!$A$4:$A$13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Data'!$B$4:$B$13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Data'!$A$17:$A$26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'Magelec Motor Data'!$B$17:$B$26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Data'!$A$30:$A$42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'Magelec Motor Data'!$B$30:$B$42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4397.1179626318999</c:v>
                </c:pt>
                <c:pt idx="4">
                  <c:v>5862.8239501758662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94.929391864433811</c:v>
                </c:pt>
                <c:pt idx="2">
                  <c:v>95.427951558213721</c:v>
                </c:pt>
                <c:pt idx="3">
                  <c:v>96.258884381180238</c:v>
                </c:pt>
                <c:pt idx="4">
                  <c:v>97.422190333333347</c:v>
                </c:pt>
                <c:pt idx="5">
                  <c:v>57.68928068102074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Application!$U$51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Application!$V$52:$V$55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Application!$U$52:$U$55</c:f>
              <c:numCache>
                <c:formatCode>0.00</c:formatCode>
                <c:ptCount val="4"/>
                <c:pt idx="0">
                  <c:v>112.92181626148009</c:v>
                </c:pt>
                <c:pt idx="1">
                  <c:v>211.1867212850571</c:v>
                </c:pt>
                <c:pt idx="2">
                  <c:v>402.6208660775078</c:v>
                </c:pt>
                <c:pt idx="3">
                  <c:v>53.545884779636211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Data'!$B$45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Data'!$B$46:$B$61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'Magelec Motor Data'!$C$45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Data'!$C$46:$C$61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'Magelec Motor Data'!$D$45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Data'!$D$46:$D$61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'Magelec Motor Data'!$E$45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Data'!$E$46:$E$61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'Magelec Motor Data'!$F$45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Data'!$F$46:$F$61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'Magelec Motor Data'!$G$45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Data'!$G$46:$G$61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'Magelec Motor Data'!$H$45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Data'!$H$46:$H$61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'Magelec Motor Data'!$I$45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Data'!$A$46:$A$61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'Magelec Motor Data'!$I$46:$I$61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4397.1179626318999</c:v>
                </c:pt>
                <c:pt idx="4">
                  <c:v>5862.8239501758662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94.929391864433811</c:v>
                </c:pt>
                <c:pt idx="2">
                  <c:v>95.427951558213721</c:v>
                </c:pt>
                <c:pt idx="3">
                  <c:v>96.258884381180238</c:v>
                </c:pt>
                <c:pt idx="4">
                  <c:v>97.422190333333347</c:v>
                </c:pt>
                <c:pt idx="5">
                  <c:v>57.68928068102074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Application!$U$51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Application!$V$52:$V$55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Application!$U$52:$U$55</c:f>
              <c:numCache>
                <c:formatCode>0.00</c:formatCode>
                <c:ptCount val="4"/>
                <c:pt idx="0">
                  <c:v>112.92181626148009</c:v>
                </c:pt>
                <c:pt idx="1">
                  <c:v>211.1867212850571</c:v>
                </c:pt>
                <c:pt idx="2">
                  <c:v>402.6208660775078</c:v>
                </c:pt>
                <c:pt idx="3">
                  <c:v>53.545884779636211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Data'!$B$64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Data'!$B$65:$B$90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'Magelec Motor Data'!$C$64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Data'!$C$65:$C$90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'Magelec Motor Data'!$D$64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Data'!$D$65:$D$90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'Magelec Motor Data'!$E$64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Data'!$E$65:$E$90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'Magelec Motor Data'!$F$64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Data'!$F$65:$F$90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'Magelec Motor Data'!$G$64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Data'!$G$65:$G$90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'Magelec Motor Data'!$H$64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Data'!$H$65:$H$90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'Magelec Motor Data'!$I$64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Data'!$A$65:$A$90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'Magelec Motor Data'!$I$65:$I$90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4397.1179626318999</c:v>
                </c:pt>
                <c:pt idx="4">
                  <c:v>5862.8239501758662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94.929391864433811</c:v>
                </c:pt>
                <c:pt idx="2">
                  <c:v>95.427951558213721</c:v>
                </c:pt>
                <c:pt idx="3">
                  <c:v>96.258884381180238</c:v>
                </c:pt>
                <c:pt idx="4">
                  <c:v>97.422190333333347</c:v>
                </c:pt>
                <c:pt idx="5">
                  <c:v>57.68928068102074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Application!$U$51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Application!$V$52:$V$55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Application!$U$52:$U$55</c:f>
              <c:numCache>
                <c:formatCode>0.00</c:formatCode>
                <c:ptCount val="4"/>
                <c:pt idx="0">
                  <c:v>112.92181626148009</c:v>
                </c:pt>
                <c:pt idx="1">
                  <c:v>211.1867212850571</c:v>
                </c:pt>
                <c:pt idx="2">
                  <c:v>402.6208660775078</c:v>
                </c:pt>
                <c:pt idx="3">
                  <c:v>53.545884779636211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Data'!$B$94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Data'!$B$95:$B$113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'Magelec Motor Data'!$C$94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Data'!$C$95:$C$113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'Magelec Motor Data'!$D$94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Data'!$D$95:$D$113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'Magelec Motor Data'!$E$94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Data'!$E$95:$E$113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'Magelec Motor Data'!$F$94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Data'!$F$95:$F$113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'Magelec Motor Data'!$G$94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Data'!$G$95:$G$113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'Magelec Motor Data'!$H$94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Data'!$H$95:$H$113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'Magelec Motor Data'!$I$94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Data'!$A$95:$A$113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'Magelec Motor Data'!$I$95:$I$113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4397.1179626318999</c:v>
                </c:pt>
                <c:pt idx="4">
                  <c:v>5862.8239501758662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94.929391864433811</c:v>
                </c:pt>
                <c:pt idx="2">
                  <c:v>95.427951558213721</c:v>
                </c:pt>
                <c:pt idx="3">
                  <c:v>96.258884381180238</c:v>
                </c:pt>
                <c:pt idx="4">
                  <c:v>97.422190333333347</c:v>
                </c:pt>
                <c:pt idx="5">
                  <c:v>57.68928068102074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Application!$U$51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Application!$V$52:$V$55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Application!$U$52:$U$55</c:f>
              <c:numCache>
                <c:formatCode>0.00</c:formatCode>
                <c:ptCount val="4"/>
                <c:pt idx="0">
                  <c:v>112.92181626148009</c:v>
                </c:pt>
                <c:pt idx="1">
                  <c:v>211.1867212850571</c:v>
                </c:pt>
                <c:pt idx="2">
                  <c:v>402.6208660775078</c:v>
                </c:pt>
                <c:pt idx="3">
                  <c:v>53.545884779636211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Data'!$B$116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Data'!$B$117:$B$132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'Magelec Motor Data'!$C$116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Data'!$C$117:$C$132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'Magelec Motor Data'!$D$116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Data'!$D$117:$D$132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'Magelec Motor Data'!$E$116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Data'!$E$117:$E$132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'Magelec Motor Data'!$F$116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Data'!$F$117:$F$132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'Magelec Motor Data'!$G$116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Data'!$G$117:$G$132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'Magelec Motor Data'!$H$116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Data'!$H$117:$H$132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'Magelec Motor Data'!$I$116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Data'!$A$117:$A$132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'Magelec Motor Data'!$I$117:$I$132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4397.1179626318999</c:v>
                </c:pt>
                <c:pt idx="4">
                  <c:v>5862.8239501758662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94.929391864433811</c:v>
                </c:pt>
                <c:pt idx="2">
                  <c:v>95.427951558213721</c:v>
                </c:pt>
                <c:pt idx="3">
                  <c:v>96.258884381180238</c:v>
                </c:pt>
                <c:pt idx="4">
                  <c:v>97.422190333333347</c:v>
                </c:pt>
                <c:pt idx="5">
                  <c:v>57.68928068102074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Application!$U$51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Application!$V$52:$V$55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Application!$U$52:$U$55</c:f>
              <c:numCache>
                <c:formatCode>0.00</c:formatCode>
                <c:ptCount val="4"/>
                <c:pt idx="0">
                  <c:v>112.92181626148009</c:v>
                </c:pt>
                <c:pt idx="1">
                  <c:v>211.1867212850571</c:v>
                </c:pt>
                <c:pt idx="2">
                  <c:v>402.6208660775078</c:v>
                </c:pt>
                <c:pt idx="3">
                  <c:v>53.545884779636211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'Magelec Motor Data'!$E$136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Data'!$A$137:$A$146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'Magelec Motor Data'!$E$137:$E$146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'Magelec Motor Data'!$I$136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'Magelec Motor Data'!$A$137:$A$146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'Magelec Motor Data'!$I$137:$I$146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1465.7059875439666</c:v>
                </c:pt>
                <c:pt idx="2">
                  <c:v>2931.4119750879331</c:v>
                </c:pt>
                <c:pt idx="3">
                  <c:v>4397.1179626318999</c:v>
                </c:pt>
                <c:pt idx="4">
                  <c:v>5862.8239501758662</c:v>
                </c:pt>
                <c:pt idx="5">
                  <c:v>6595.6769439478494</c:v>
                </c:pt>
                <c:pt idx="6">
                  <c:v>6595.6769439478494</c:v>
                </c:pt>
                <c:pt idx="7">
                  <c:v>6595.6769439478494</c:v>
                </c:pt>
                <c:pt idx="8">
                  <c:v>6595.6769439478494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13.88480019617225</c:v>
                </c:pt>
                <c:pt idx="1">
                  <c:v>94.929391864433811</c:v>
                </c:pt>
                <c:pt idx="2">
                  <c:v>95.427951558213721</c:v>
                </c:pt>
                <c:pt idx="3">
                  <c:v>96.258884381180238</c:v>
                </c:pt>
                <c:pt idx="4">
                  <c:v>97.422190333333347</c:v>
                </c:pt>
                <c:pt idx="5">
                  <c:v>57.68928068102074</c:v>
                </c:pt>
                <c:pt idx="6">
                  <c:v>17.250078129186605</c:v>
                </c:pt>
                <c:pt idx="7">
                  <c:v>17.250078129186605</c:v>
                </c:pt>
                <c:pt idx="8">
                  <c:v>17.250078129186605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Application!$V$51</c:f>
              <c:numCache>
                <c:formatCode>0.00</c:formatCode>
                <c:ptCount val="1"/>
                <c:pt idx="0">
                  <c:v>109.92794906579748</c:v>
                </c:pt>
              </c:numCache>
            </c:numRef>
          </c:xVal>
          <c:yVal>
            <c:numRef>
              <c:f>Application!$U$51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Application!$V$52:$V$55</c:f>
              <c:numCache>
                <c:formatCode>0.00</c:formatCode>
                <c:ptCount val="4"/>
                <c:pt idx="0">
                  <c:v>109.92794906579748</c:v>
                </c:pt>
                <c:pt idx="1">
                  <c:v>109.92794906579748</c:v>
                </c:pt>
                <c:pt idx="2">
                  <c:v>109.92794906579748</c:v>
                </c:pt>
                <c:pt idx="3">
                  <c:v>109.92794906579748</c:v>
                </c:pt>
              </c:numCache>
            </c:numRef>
          </c:xVal>
          <c:yVal>
            <c:numRef>
              <c:f>Application!$U$52:$U$55</c:f>
              <c:numCache>
                <c:formatCode>0.00</c:formatCode>
                <c:ptCount val="4"/>
                <c:pt idx="0">
                  <c:v>112.92181626148009</c:v>
                </c:pt>
                <c:pt idx="1">
                  <c:v>211.1867212850571</c:v>
                </c:pt>
                <c:pt idx="2">
                  <c:v>402.6208660775078</c:v>
                </c:pt>
                <c:pt idx="3">
                  <c:v>53.545884779636211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361269</xdr:colOff>
      <xdr:row>78</xdr:row>
      <xdr:rowOff>106813</xdr:rowOff>
    </xdr:from>
    <xdr:to>
      <xdr:col>12</xdr:col>
      <xdr:colOff>382362</xdr:colOff>
      <xdr:row>97</xdr:row>
      <xdr:rowOff>19049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538161</xdr:colOff>
      <xdr:row>78</xdr:row>
      <xdr:rowOff>100013</xdr:rowOff>
    </xdr:from>
    <xdr:to>
      <xdr:col>32</xdr:col>
      <xdr:colOff>504824</xdr:colOff>
      <xdr:row>97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466723</xdr:colOff>
      <xdr:row>78</xdr:row>
      <xdr:rowOff>128586</xdr:rowOff>
    </xdr:from>
    <xdr:to>
      <xdr:col>22</xdr:col>
      <xdr:colOff>514348</xdr:colOff>
      <xdr:row>97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9ECB7-CA36-4789-9F54-78136B9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556" cy="62834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2" totalsRowShown="0" headerRowDxfId="4" headerRowBorderDxfId="3" tableBorderDxfId="2">
  <autoFilter ref="A1:C22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4:C42" totalsRowShown="0" headerRowDxfId="1">
  <autoFilter ref="B24:C42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AF57"/>
  <sheetViews>
    <sheetView tabSelected="1" topLeftCell="A14" zoomScale="70" zoomScaleNormal="70" workbookViewId="0">
      <selection activeCell="F46" sqref="F46:F55"/>
    </sheetView>
  </sheetViews>
  <sheetFormatPr defaultRowHeight="14.25" x14ac:dyDescent="0.45"/>
  <cols>
    <col min="1" max="1" width="34.265625" customWidth="1"/>
    <col min="2" max="3" width="11" customWidth="1"/>
    <col min="4" max="4" width="7.3984375" customWidth="1"/>
    <col min="5" max="8" width="11.59765625" customWidth="1"/>
    <col min="9" max="10" width="12" customWidth="1"/>
    <col min="19" max="19" width="8" customWidth="1"/>
    <col min="23" max="23" width="10.265625" customWidth="1"/>
    <col min="29" max="29" width="10.1328125" customWidth="1"/>
  </cols>
  <sheetData>
    <row r="1" spans="1:32" ht="57.4" thickBot="1" x14ac:dyDescent="0.5">
      <c r="A1" s="25" t="s">
        <v>10</v>
      </c>
      <c r="B1" s="25" t="s">
        <v>0</v>
      </c>
      <c r="C1" s="25" t="s">
        <v>1</v>
      </c>
      <c r="D1" s="41" t="s">
        <v>47</v>
      </c>
      <c r="E1" s="2" t="s">
        <v>18</v>
      </c>
      <c r="F1" s="2" t="s">
        <v>125</v>
      </c>
      <c r="G1" s="2" t="s">
        <v>19</v>
      </c>
      <c r="H1" s="2" t="s">
        <v>34</v>
      </c>
      <c r="I1" s="2" t="s">
        <v>26</v>
      </c>
      <c r="J1" s="2" t="s">
        <v>20</v>
      </c>
      <c r="K1" s="2" t="s">
        <v>124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27</v>
      </c>
      <c r="R1" s="2" t="s">
        <v>28</v>
      </c>
      <c r="S1" s="2" t="s">
        <v>32</v>
      </c>
      <c r="T1" s="2" t="s">
        <v>29</v>
      </c>
      <c r="U1" s="2" t="s">
        <v>31</v>
      </c>
      <c r="V1" s="2" t="s">
        <v>33</v>
      </c>
      <c r="W1" s="35" t="s">
        <v>138</v>
      </c>
      <c r="X1" s="35" t="s">
        <v>139</v>
      </c>
      <c r="Y1" s="35" t="s">
        <v>140</v>
      </c>
      <c r="Z1" s="35" t="s">
        <v>141</v>
      </c>
      <c r="AA1" s="35" t="s">
        <v>147</v>
      </c>
      <c r="AB1" s="35" t="s">
        <v>154</v>
      </c>
      <c r="AC1" s="35" t="s">
        <v>155</v>
      </c>
      <c r="AD1" s="35" t="s">
        <v>151</v>
      </c>
      <c r="AE1" s="35" t="s">
        <v>152</v>
      </c>
      <c r="AF1" s="35" t="s">
        <v>153</v>
      </c>
    </row>
    <row r="2" spans="1:32" x14ac:dyDescent="0.45">
      <c r="A2" s="24" t="s">
        <v>3</v>
      </c>
      <c r="B2" s="24">
        <v>29483</v>
      </c>
      <c r="C2" s="24" t="s">
        <v>2</v>
      </c>
      <c r="D2" s="41"/>
      <c r="E2" s="20">
        <v>0</v>
      </c>
      <c r="F2" s="20">
        <f>3600*H2/1000</f>
        <v>0</v>
      </c>
      <c r="G2" s="20">
        <v>0</v>
      </c>
      <c r="H2" s="20">
        <f>IF(G2&gt;$B$16,$B$16,G2)</f>
        <v>0</v>
      </c>
      <c r="I2" s="21">
        <v>0</v>
      </c>
      <c r="J2" s="20">
        <f>$B$2*$B$3*$B$8</f>
        <v>115691.29200000002</v>
      </c>
      <c r="K2" s="20">
        <v>0</v>
      </c>
      <c r="L2" s="20">
        <v>0</v>
      </c>
      <c r="M2" s="20">
        <f>$B$2*$B$3*SIN(L2)</f>
        <v>0</v>
      </c>
      <c r="N2" s="20">
        <f>$B$2*$B$3*$B$7*COS(L2)</f>
        <v>2024.5976100000003</v>
      </c>
      <c r="O2" s="20">
        <f>0.5*$B$5*$B$6*$B$4*H2^2</f>
        <v>0</v>
      </c>
      <c r="P2" s="20">
        <f>$B$2*I2</f>
        <v>0</v>
      </c>
      <c r="Q2" s="20">
        <f>SUM(M2,N2,O2,P2)</f>
        <v>2024.5976100000003</v>
      </c>
      <c r="R2" s="20">
        <f>Q2*$B$9</f>
        <v>870.57697230000008</v>
      </c>
      <c r="S2" s="20">
        <f>H2*60/2/PI()/$B$9</f>
        <v>0</v>
      </c>
      <c r="T2" s="20">
        <f>$B$18*$B$19</f>
        <v>16.5</v>
      </c>
      <c r="U2" s="20">
        <f>R2/T2/$B$17/$B$10</f>
        <v>13.88480019617225</v>
      </c>
      <c r="V2" s="20">
        <f>S2*T2</f>
        <v>0</v>
      </c>
      <c r="W2" s="38">
        <f>U2*V2*2*PI()/60/1000</f>
        <v>0</v>
      </c>
      <c r="X2" s="38">
        <f>W2*$B$17</f>
        <v>0</v>
      </c>
      <c r="Y2" s="38">
        <v>600</v>
      </c>
      <c r="Z2" s="38">
        <f>1000*X2/Y2</f>
        <v>0</v>
      </c>
      <c r="AA2" s="38">
        <f>AVERAGE(Z2:Z3)</f>
        <v>48.568526070175452</v>
      </c>
      <c r="AB2" s="38">
        <f>AA2*$B$44/3600</f>
        <v>0.13491257241715401</v>
      </c>
      <c r="AC2">
        <f>SUM($AB$2:AB2)</f>
        <v>0.13491257241715401</v>
      </c>
      <c r="AD2" s="1">
        <f>$B$21*1000/$B$20</f>
        <v>166.66666666666666</v>
      </c>
      <c r="AE2" s="1">
        <f>100*(AD2-AC2)/AD2</f>
        <v>99.919052456549693</v>
      </c>
      <c r="AF2">
        <f>100*AC2/AD2</f>
        <v>8.0947543450292411E-2</v>
      </c>
    </row>
    <row r="3" spans="1:32" x14ac:dyDescent="0.45">
      <c r="A3" s="24" t="s">
        <v>4</v>
      </c>
      <c r="B3" s="24">
        <v>9.81</v>
      </c>
      <c r="C3" s="24" t="s">
        <v>5</v>
      </c>
      <c r="D3" s="41"/>
      <c r="E3" s="20">
        <f>E2+$B$44</f>
        <v>10</v>
      </c>
      <c r="F3" s="20">
        <f>3600*H3/1000</f>
        <v>14.4</v>
      </c>
      <c r="G3" s="20">
        <f>G2+$B$15*(E3-E2)</f>
        <v>4</v>
      </c>
      <c r="H3" s="20">
        <f>IF(G3&gt;$B$16,$B$16,G3)</f>
        <v>4</v>
      </c>
      <c r="I3" s="21">
        <f>(H3-H2)/(E3-E2)</f>
        <v>0.4</v>
      </c>
      <c r="J3" s="20">
        <f>$J$2/H3</f>
        <v>28922.823000000004</v>
      </c>
      <c r="K3" s="20">
        <v>0</v>
      </c>
      <c r="L3" s="20">
        <v>0</v>
      </c>
      <c r="M3" s="20">
        <f>$B$2*$B$3*SIN(L3)</f>
        <v>0</v>
      </c>
      <c r="N3" s="20">
        <f>$B$2*$B$3*$B$7*COS(L3)</f>
        <v>2024.5976100000003</v>
      </c>
      <c r="O3" s="20">
        <f>0.5*$B$5*$B$6*$B$4*H3^2</f>
        <v>24.232319999999998</v>
      </c>
      <c r="P3" s="20">
        <f>$B$2*I3</f>
        <v>11793.2</v>
      </c>
      <c r="Q3" s="20">
        <f>SUM(M3,N3,O3,P3)</f>
        <v>13842.029930000001</v>
      </c>
      <c r="R3" s="20">
        <f t="shared" ref="R3:R55" si="0">Q3*$B$9</f>
        <v>5952.0728699000001</v>
      </c>
      <c r="S3" s="20">
        <f>H3*60/2/PI()/$B$9</f>
        <v>88.830665911755545</v>
      </c>
      <c r="T3" s="20">
        <f>$B$18*$B$19</f>
        <v>16.5</v>
      </c>
      <c r="U3" s="20">
        <f>R3/T3/$B$17/$B$10</f>
        <v>94.929391864433811</v>
      </c>
      <c r="V3" s="20">
        <f t="shared" ref="V3:V55" si="1">S3*T3</f>
        <v>1465.7059875439666</v>
      </c>
      <c r="W3" s="38">
        <f t="shared" ref="W3:W55" si="2">U3*V3*2*PI()/60/1000</f>
        <v>14.570557821052635</v>
      </c>
      <c r="X3" s="38">
        <f>W3*$B$17</f>
        <v>58.282231284210539</v>
      </c>
      <c r="Y3" s="38">
        <v>600</v>
      </c>
      <c r="Z3" s="38">
        <f t="shared" ref="Z3:Z55" si="3">1000*X3/Y3</f>
        <v>97.137052140350903</v>
      </c>
      <c r="AA3" s="38">
        <f t="shared" ref="AA3:AA55" si="4">AVERAGE(Z3:Z4)</f>
        <v>146.2157323157895</v>
      </c>
      <c r="AB3" s="38">
        <f>AA3*$B$44/3600</f>
        <v>0.40615481198830417</v>
      </c>
      <c r="AC3">
        <f>SUM($AB$2:AB3)</f>
        <v>0.54106738440545821</v>
      </c>
      <c r="AD3" s="1">
        <f>$B$21*1000/$B$20</f>
        <v>166.66666666666666</v>
      </c>
      <c r="AE3" s="1">
        <f t="shared" ref="AE3:AE55" si="5">100*(AD3-AC3)/AD3</f>
        <v>99.675359569356715</v>
      </c>
      <c r="AF3">
        <f t="shared" ref="AF3:AF55" si="6">100*AC3/AD3</f>
        <v>0.32464043064327491</v>
      </c>
    </row>
    <row r="4" spans="1:32" x14ac:dyDescent="0.45">
      <c r="A4" s="24" t="s">
        <v>12</v>
      </c>
      <c r="B4" s="24">
        <v>4.2</v>
      </c>
      <c r="C4" s="24" t="s">
        <v>13</v>
      </c>
      <c r="D4" s="41"/>
      <c r="E4" s="20">
        <f>E3+$B$44</f>
        <v>20</v>
      </c>
      <c r="F4" s="20">
        <f>3600*H4/1000</f>
        <v>28.8</v>
      </c>
      <c r="G4" s="20">
        <f>G3+$B$15*(E4-E3)</f>
        <v>8</v>
      </c>
      <c r="H4" s="20">
        <f>IF(G4&gt;$B$16,$B$16,G4)</f>
        <v>8</v>
      </c>
      <c r="I4" s="21">
        <f>(H4-H3)/(E4-E3)</f>
        <v>0.4</v>
      </c>
      <c r="J4" s="20">
        <f>$J$2/H4</f>
        <v>14461.411500000002</v>
      </c>
      <c r="K4" s="20">
        <v>0</v>
      </c>
      <c r="L4" s="20">
        <v>0</v>
      </c>
      <c r="M4" s="20">
        <f>$B$2*$B$3*SIN(L4)</f>
        <v>0</v>
      </c>
      <c r="N4" s="20">
        <f>$B$2*$B$3*$B$7*COS(L4)</f>
        <v>2024.5976100000003</v>
      </c>
      <c r="O4" s="20">
        <f>0.5*$B$5*$B$6*$B$4*H4^2</f>
        <v>96.929279999999991</v>
      </c>
      <c r="P4" s="20">
        <f>$B$2*I4</f>
        <v>11793.2</v>
      </c>
      <c r="Q4" s="20">
        <f>SUM(M4,N4,O4,P4)</f>
        <v>13914.726890000002</v>
      </c>
      <c r="R4" s="20">
        <f t="shared" si="0"/>
        <v>5983.3325627000004</v>
      </c>
      <c r="S4" s="20">
        <f>H4*60/2/PI()/$B$9</f>
        <v>177.66133182351109</v>
      </c>
      <c r="T4" s="20">
        <f>$B$18*$B$19</f>
        <v>16.5</v>
      </c>
      <c r="U4" s="20">
        <f>R4/T4/$B$17/$B$10</f>
        <v>95.427951558213721</v>
      </c>
      <c r="V4" s="20">
        <f t="shared" si="1"/>
        <v>2931.4119750879331</v>
      </c>
      <c r="W4" s="38">
        <f t="shared" si="2"/>
        <v>29.294161873684214</v>
      </c>
      <c r="X4" s="38">
        <f>W4*$B$17</f>
        <v>117.17664749473686</v>
      </c>
      <c r="Y4" s="38">
        <v>600</v>
      </c>
      <c r="Z4" s="38">
        <f t="shared" si="3"/>
        <v>195.29441249122809</v>
      </c>
      <c r="AA4" s="38">
        <f t="shared" si="4"/>
        <v>245.39340087719307</v>
      </c>
      <c r="AB4" s="38">
        <f>AA4*$B$44/3600</f>
        <v>0.68164833576998074</v>
      </c>
      <c r="AC4">
        <f>SUM($AB$2:AB4)</f>
        <v>1.2227157201754388</v>
      </c>
      <c r="AD4" s="1">
        <f>$B$21*1000/$B$20</f>
        <v>166.66666666666666</v>
      </c>
      <c r="AE4" s="1">
        <f t="shared" si="5"/>
        <v>99.266370567894725</v>
      </c>
      <c r="AF4">
        <f t="shared" si="6"/>
        <v>0.73362943210526332</v>
      </c>
    </row>
    <row r="5" spans="1:32" x14ac:dyDescent="0.45">
      <c r="A5" s="24" t="s">
        <v>145</v>
      </c>
      <c r="B5" s="24">
        <v>1.202</v>
      </c>
      <c r="C5" s="24" t="s">
        <v>6</v>
      </c>
      <c r="D5" s="41"/>
      <c r="E5" s="20">
        <f>E4+$B$44</f>
        <v>30</v>
      </c>
      <c r="F5" s="20">
        <f>3600*H5/1000</f>
        <v>43.2</v>
      </c>
      <c r="G5" s="20">
        <f>G4+$B$15*(E5-E4)</f>
        <v>12</v>
      </c>
      <c r="H5" s="20">
        <f>IF(G5&gt;$B$16,$B$16,G5)</f>
        <v>12</v>
      </c>
      <c r="I5" s="21">
        <f>(H5-H4)/(E5-E4)</f>
        <v>0.4</v>
      </c>
      <c r="J5" s="20">
        <f>$J$2/H5</f>
        <v>9640.9410000000007</v>
      </c>
      <c r="K5" s="20">
        <v>0</v>
      </c>
      <c r="L5" s="20">
        <v>0</v>
      </c>
      <c r="M5" s="20">
        <f>$B$2*$B$3*SIN(L5)</f>
        <v>0</v>
      </c>
      <c r="N5" s="20">
        <f>$B$2*$B$3*$B$7*COS(L5)</f>
        <v>2024.5976100000003</v>
      </c>
      <c r="O5" s="20">
        <f>0.5*$B$5*$B$6*$B$4*H5^2</f>
        <v>218.09087999999997</v>
      </c>
      <c r="P5" s="20">
        <f>$B$2*I5</f>
        <v>11793.2</v>
      </c>
      <c r="Q5" s="20">
        <f>SUM(M5,N5,O5,P5)</f>
        <v>14035.888490000001</v>
      </c>
      <c r="R5" s="20">
        <f t="shared" si="0"/>
        <v>6035.4320507000002</v>
      </c>
      <c r="S5" s="20">
        <f>H5*60/2/PI()/$B$9</f>
        <v>266.49199773526664</v>
      </c>
      <c r="T5" s="20">
        <f>$B$18*$B$19</f>
        <v>16.5</v>
      </c>
      <c r="U5" s="20">
        <f>R5/T5/$B$17/$B$10</f>
        <v>96.258884381180238</v>
      </c>
      <c r="V5" s="20">
        <f t="shared" si="1"/>
        <v>4397.1179626318999</v>
      </c>
      <c r="W5" s="38">
        <f t="shared" si="2"/>
        <v>44.323858389473699</v>
      </c>
      <c r="X5" s="38">
        <f>W5*$B$17</f>
        <v>177.2954335578948</v>
      </c>
      <c r="Y5" s="38">
        <v>600</v>
      </c>
      <c r="Z5" s="38">
        <f t="shared" si="3"/>
        <v>295.49238926315803</v>
      </c>
      <c r="AA5" s="38">
        <f t="shared" si="4"/>
        <v>347.1218399649124</v>
      </c>
      <c r="AB5" s="38">
        <f>AA5*$B$44/3600</f>
        <v>0.96422733323586773</v>
      </c>
      <c r="AC5">
        <f>SUM($AB$2:AB5)</f>
        <v>2.1869430534113068</v>
      </c>
      <c r="AD5" s="1">
        <f>$B$21*1000/$B$20</f>
        <v>166.66666666666666</v>
      </c>
      <c r="AE5" s="1">
        <f t="shared" si="5"/>
        <v>98.687834167953213</v>
      </c>
      <c r="AF5">
        <f t="shared" si="6"/>
        <v>1.3121658320467842</v>
      </c>
    </row>
    <row r="6" spans="1:32" x14ac:dyDescent="0.45">
      <c r="A6" s="24" t="s">
        <v>14</v>
      </c>
      <c r="B6" s="24">
        <v>0.6</v>
      </c>
      <c r="C6" s="24"/>
      <c r="D6" s="41"/>
      <c r="E6" s="20">
        <f>E5+$B$44</f>
        <v>40</v>
      </c>
      <c r="F6" s="20">
        <f>3600*H6/1000</f>
        <v>57.6</v>
      </c>
      <c r="G6" s="20">
        <f>G5+$B$15*(E6-E5)</f>
        <v>16</v>
      </c>
      <c r="H6" s="20">
        <f>IF(G6&gt;$B$16,$B$16,G6)</f>
        <v>16</v>
      </c>
      <c r="I6" s="21">
        <f>(H6-H5)/(E6-E5)</f>
        <v>0.4</v>
      </c>
      <c r="J6" s="20">
        <f>$J$2/H6</f>
        <v>7230.705750000001</v>
      </c>
      <c r="K6" s="20">
        <v>0</v>
      </c>
      <c r="L6" s="20">
        <v>0</v>
      </c>
      <c r="M6" s="20">
        <f>$B$2*$B$3*SIN(L6)</f>
        <v>0</v>
      </c>
      <c r="N6" s="20">
        <f>$B$2*$B$3*$B$7*COS(L6)</f>
        <v>2024.5976100000003</v>
      </c>
      <c r="O6" s="20">
        <f>0.5*$B$5*$B$6*$B$4*H6^2</f>
        <v>387.71711999999997</v>
      </c>
      <c r="P6" s="20">
        <f>$B$2*I6</f>
        <v>11793.2</v>
      </c>
      <c r="Q6" s="20">
        <f>SUM(M6,N6,O6,P6)</f>
        <v>14205.514730000001</v>
      </c>
      <c r="R6" s="20">
        <f t="shared" si="0"/>
        <v>6108.3713339000005</v>
      </c>
      <c r="S6" s="20">
        <f>H6*60/2/PI()/$B$9</f>
        <v>355.32266364702218</v>
      </c>
      <c r="T6" s="20">
        <f>$B$18*$B$19</f>
        <v>16.5</v>
      </c>
      <c r="U6" s="20">
        <f>R6/T6/$B$17/$B$10</f>
        <v>97.422190333333347</v>
      </c>
      <c r="V6" s="20">
        <f t="shared" si="1"/>
        <v>5862.8239501758662</v>
      </c>
      <c r="W6" s="38">
        <f t="shared" si="2"/>
        <v>59.81269360000001</v>
      </c>
      <c r="X6" s="38">
        <f>W6*$B$17</f>
        <v>239.25077440000004</v>
      </c>
      <c r="Y6" s="38">
        <v>600</v>
      </c>
      <c r="Z6" s="38">
        <f t="shared" si="3"/>
        <v>398.75129066666676</v>
      </c>
      <c r="AA6" s="38">
        <f t="shared" si="4"/>
        <v>332.19515201754393</v>
      </c>
      <c r="AB6" s="38">
        <f>AA6*$B$44/3600</f>
        <v>0.92276431115984425</v>
      </c>
      <c r="AC6">
        <f>SUM($AB$2:AB6)</f>
        <v>3.1097073645711513</v>
      </c>
      <c r="AD6" s="1">
        <f>$B$21*1000/$B$20</f>
        <v>166.66666666666666</v>
      </c>
      <c r="AE6" s="1">
        <f t="shared" si="5"/>
        <v>98.134175581257296</v>
      </c>
      <c r="AF6">
        <f t="shared" si="6"/>
        <v>1.8658244187426911</v>
      </c>
    </row>
    <row r="7" spans="1:32" x14ac:dyDescent="0.45">
      <c r="A7" s="24" t="s">
        <v>121</v>
      </c>
      <c r="B7" s="24">
        <v>7.0000000000000001E-3</v>
      </c>
      <c r="C7" s="24"/>
      <c r="D7" s="41"/>
      <c r="E7" s="20">
        <f>E6+$B$44</f>
        <v>50</v>
      </c>
      <c r="F7" s="20">
        <f>3600*H7/1000</f>
        <v>64.8</v>
      </c>
      <c r="G7" s="20">
        <f>G6+$B$15*(E7-E6)</f>
        <v>20</v>
      </c>
      <c r="H7" s="20">
        <f>IF(G7&gt;$B$16,$B$16,G7)</f>
        <v>18</v>
      </c>
      <c r="I7" s="21">
        <f>(H7-H6)/(E7-E6)</f>
        <v>0.2</v>
      </c>
      <c r="J7" s="20">
        <f>$J$2/H7</f>
        <v>6427.2940000000008</v>
      </c>
      <c r="K7" s="20">
        <v>0</v>
      </c>
      <c r="L7" s="20">
        <v>0</v>
      </c>
      <c r="M7" s="20">
        <f>$B$2*$B$3*SIN(L7)</f>
        <v>0</v>
      </c>
      <c r="N7" s="20">
        <f>$B$2*$B$3*$B$7*COS(L7)</f>
        <v>2024.5976100000003</v>
      </c>
      <c r="O7" s="20">
        <f>0.5*$B$5*$B$6*$B$4*H7^2</f>
        <v>490.70447999999993</v>
      </c>
      <c r="P7" s="20">
        <f>$B$2*I7</f>
        <v>5896.6</v>
      </c>
      <c r="Q7" s="20">
        <f>SUM(M7,N7,O7,P7)</f>
        <v>8411.9020899999996</v>
      </c>
      <c r="R7" s="20">
        <f t="shared" si="0"/>
        <v>3617.1178986999998</v>
      </c>
      <c r="S7" s="20">
        <f>H7*60/2/PI()/$B$9</f>
        <v>399.73799660289995</v>
      </c>
      <c r="T7" s="20">
        <f>$B$18*$B$19</f>
        <v>16.5</v>
      </c>
      <c r="U7" s="20">
        <f>R7/T7/$B$17/$B$10</f>
        <v>57.68928068102074</v>
      </c>
      <c r="V7" s="20">
        <f t="shared" si="1"/>
        <v>6595.6769439478494</v>
      </c>
      <c r="W7" s="38">
        <f t="shared" si="2"/>
        <v>39.845852005263161</v>
      </c>
      <c r="X7" s="38">
        <f>W7*$B$17</f>
        <v>159.38340802105265</v>
      </c>
      <c r="Y7" s="38">
        <v>600</v>
      </c>
      <c r="Z7" s="38">
        <f t="shared" si="3"/>
        <v>265.6390133684211</v>
      </c>
      <c r="AA7" s="38">
        <f t="shared" si="4"/>
        <v>172.53480284210531</v>
      </c>
      <c r="AB7" s="38">
        <f>AA7*$B$44/3600</f>
        <v>0.47926334122807035</v>
      </c>
      <c r="AC7">
        <f>SUM($AB$2:AB7)</f>
        <v>3.5889707057992215</v>
      </c>
      <c r="AD7" s="1">
        <f>$B$21*1000/$B$20</f>
        <v>166.66666666666666</v>
      </c>
      <c r="AE7" s="1">
        <f t="shared" si="5"/>
        <v>97.846617576520458</v>
      </c>
      <c r="AF7">
        <f t="shared" si="6"/>
        <v>2.1533824234795333</v>
      </c>
    </row>
    <row r="8" spans="1:32" x14ac:dyDescent="0.45">
      <c r="A8" s="24" t="s">
        <v>7</v>
      </c>
      <c r="B8" s="24">
        <v>0.4</v>
      </c>
      <c r="C8" s="24"/>
      <c r="D8" s="41"/>
      <c r="E8" s="20">
        <f>E7+$B$44</f>
        <v>60</v>
      </c>
      <c r="F8" s="20">
        <f>3600*H8/1000</f>
        <v>64.8</v>
      </c>
      <c r="G8" s="20">
        <f>G7+$B$15*(E8-E7)</f>
        <v>24</v>
      </c>
      <c r="H8" s="20">
        <f>IF(G8&gt;$B$16,$B$16,G8)</f>
        <v>18</v>
      </c>
      <c r="I8" s="21">
        <f>(H8-H7)/(E8-E7)</f>
        <v>0</v>
      </c>
      <c r="J8" s="20">
        <f>$J$2/H8</f>
        <v>6427.2940000000008</v>
      </c>
      <c r="K8" s="20">
        <v>0</v>
      </c>
      <c r="L8" s="20">
        <v>0</v>
      </c>
      <c r="M8" s="20">
        <f>$B$2*$B$3*SIN(L8)</f>
        <v>0</v>
      </c>
      <c r="N8" s="20">
        <f>$B$2*$B$3*$B$7*COS(L8)</f>
        <v>2024.5976100000003</v>
      </c>
      <c r="O8" s="20">
        <f>0.5*$B$5*$B$6*$B$4*H8^2</f>
        <v>490.70447999999993</v>
      </c>
      <c r="P8" s="20">
        <f>$B$2*I8</f>
        <v>0</v>
      </c>
      <c r="Q8" s="20">
        <f>SUM(M8,N8,O8,P8)</f>
        <v>2515.3020900000001</v>
      </c>
      <c r="R8" s="20">
        <f t="shared" si="0"/>
        <v>1081.5798987000001</v>
      </c>
      <c r="S8" s="20">
        <f>H8*60/2/PI()/$B$9</f>
        <v>399.73799660289995</v>
      </c>
      <c r="T8" s="20">
        <f>$B$18*$B$19</f>
        <v>16.5</v>
      </c>
      <c r="U8" s="20">
        <f>R8/T8/$B$17/$B$10</f>
        <v>17.250078129186605</v>
      </c>
      <c r="V8" s="20">
        <f t="shared" si="1"/>
        <v>6595.6769439478494</v>
      </c>
      <c r="W8" s="38">
        <f t="shared" si="2"/>
        <v>11.914588847368424</v>
      </c>
      <c r="X8" s="38">
        <f>W8*$B$17</f>
        <v>47.658355389473698</v>
      </c>
      <c r="Y8" s="38">
        <v>600</v>
      </c>
      <c r="Z8" s="38">
        <f t="shared" si="3"/>
        <v>79.430592315789497</v>
      </c>
      <c r="AA8" s="38">
        <f>AVERAGE(Z8:Z9)</f>
        <v>79.430592315789497</v>
      </c>
      <c r="AB8" s="38">
        <f>AA8*$B$44/3600</f>
        <v>0.2206405342105264</v>
      </c>
      <c r="AC8">
        <f>SUM($AB$2:AB8)</f>
        <v>3.8096112400097479</v>
      </c>
      <c r="AD8" s="1">
        <f>$B$21*1000/$B$20</f>
        <v>166.66666666666666</v>
      </c>
      <c r="AE8" s="1">
        <f t="shared" si="5"/>
        <v>97.714233255994145</v>
      </c>
      <c r="AF8">
        <f t="shared" si="6"/>
        <v>2.2857667440058487</v>
      </c>
    </row>
    <row r="9" spans="1:32" x14ac:dyDescent="0.45">
      <c r="A9" s="24" t="s">
        <v>8</v>
      </c>
      <c r="B9" s="24">
        <v>0.43</v>
      </c>
      <c r="C9" s="24" t="s">
        <v>9</v>
      </c>
      <c r="D9" s="41"/>
      <c r="E9" s="20">
        <f>E8+$B$44</f>
        <v>70</v>
      </c>
      <c r="F9" s="20">
        <f>3600*H9/1000</f>
        <v>64.8</v>
      </c>
      <c r="G9" s="20">
        <f>G8+$B$15*(E9-E8)</f>
        <v>28</v>
      </c>
      <c r="H9" s="20">
        <f>IF(G9&gt;$B$16,$B$16,G9)</f>
        <v>18</v>
      </c>
      <c r="I9" s="21">
        <f>(H9-H8)/(E9-E8)</f>
        <v>0</v>
      </c>
      <c r="J9" s="20">
        <f>$J$2/H9</f>
        <v>6427.2940000000008</v>
      </c>
      <c r="K9" s="20">
        <v>0</v>
      </c>
      <c r="L9" s="20">
        <v>0</v>
      </c>
      <c r="M9" s="20">
        <f>$B$2*$B$3*SIN(L9)</f>
        <v>0</v>
      </c>
      <c r="N9" s="20">
        <f>$B$2*$B$3*$B$7*COS(L9)</f>
        <v>2024.5976100000003</v>
      </c>
      <c r="O9" s="20">
        <f>0.5*$B$5*$B$6*$B$4*H9^2</f>
        <v>490.70447999999993</v>
      </c>
      <c r="P9" s="20">
        <f>$B$2*I9</f>
        <v>0</v>
      </c>
      <c r="Q9" s="20">
        <f>SUM(M9,N9,O9,P9)</f>
        <v>2515.3020900000001</v>
      </c>
      <c r="R9" s="20">
        <f t="shared" si="0"/>
        <v>1081.5798987000001</v>
      </c>
      <c r="S9" s="20">
        <f>H9*60/2/PI()/$B$9</f>
        <v>399.73799660289995</v>
      </c>
      <c r="T9" s="20">
        <f>$B$18*$B$19</f>
        <v>16.5</v>
      </c>
      <c r="U9" s="20">
        <f>R9/T9/$B$17/$B$10</f>
        <v>17.250078129186605</v>
      </c>
      <c r="V9" s="20">
        <f t="shared" si="1"/>
        <v>6595.6769439478494</v>
      </c>
      <c r="W9" s="38">
        <f t="shared" si="2"/>
        <v>11.914588847368424</v>
      </c>
      <c r="X9" s="38">
        <f>W9*$B$17</f>
        <v>47.658355389473698</v>
      </c>
      <c r="Y9" s="38">
        <v>600</v>
      </c>
      <c r="Z9" s="38">
        <f t="shared" si="3"/>
        <v>79.430592315789497</v>
      </c>
      <c r="AA9" s="38">
        <f t="shared" si="4"/>
        <v>79.430592315789497</v>
      </c>
      <c r="AB9" s="38">
        <f>AA9*$B$44/3600</f>
        <v>0.2206405342105264</v>
      </c>
      <c r="AC9">
        <f>SUM($AB$2:AB9)</f>
        <v>4.0302517742202744</v>
      </c>
      <c r="AD9" s="1">
        <f>$B$21*1000/$B$20</f>
        <v>166.66666666666666</v>
      </c>
      <c r="AE9" s="1">
        <f t="shared" si="5"/>
        <v>97.581848935467846</v>
      </c>
      <c r="AF9">
        <f t="shared" si="6"/>
        <v>2.4181510645321644</v>
      </c>
    </row>
    <row r="10" spans="1:32" x14ac:dyDescent="0.45">
      <c r="A10" s="24" t="s">
        <v>11</v>
      </c>
      <c r="B10" s="24">
        <v>0.95</v>
      </c>
      <c r="C10" s="24"/>
      <c r="D10" s="41"/>
      <c r="E10" s="20">
        <f>E9+$B$44</f>
        <v>80</v>
      </c>
      <c r="F10" s="20">
        <f>3600*H10/1000</f>
        <v>64.8</v>
      </c>
      <c r="G10" s="20">
        <f>G9+$B$15*(E10-E9)</f>
        <v>32</v>
      </c>
      <c r="H10" s="20">
        <f>IF(G10&gt;$B$16,$B$16,G10)</f>
        <v>18</v>
      </c>
      <c r="I10" s="21">
        <f>(H10-H9)/(E10-E9)</f>
        <v>0</v>
      </c>
      <c r="J10" s="20">
        <f>$J$2/H10</f>
        <v>6427.2940000000008</v>
      </c>
      <c r="K10" s="20">
        <v>0</v>
      </c>
      <c r="L10" s="20">
        <v>0</v>
      </c>
      <c r="M10" s="20">
        <f>$B$2*$B$3*SIN(L10)</f>
        <v>0</v>
      </c>
      <c r="N10" s="20">
        <f>$B$2*$B$3*$B$7*COS(L10)</f>
        <v>2024.5976100000003</v>
      </c>
      <c r="O10" s="20">
        <f>0.5*$B$5*$B$6*$B$4*H10^2</f>
        <v>490.70447999999993</v>
      </c>
      <c r="P10" s="20">
        <f>$B$2*I10</f>
        <v>0</v>
      </c>
      <c r="Q10" s="20">
        <f>SUM(M10,N10,O10,P10)</f>
        <v>2515.3020900000001</v>
      </c>
      <c r="R10" s="20">
        <f t="shared" si="0"/>
        <v>1081.5798987000001</v>
      </c>
      <c r="S10" s="20">
        <f>H10*60/2/PI()/$B$9</f>
        <v>399.73799660289995</v>
      </c>
      <c r="T10" s="20">
        <f>$B$18*$B$19</f>
        <v>16.5</v>
      </c>
      <c r="U10" s="20">
        <f>R10/T10/$B$17/$B$10</f>
        <v>17.250078129186605</v>
      </c>
      <c r="V10" s="20">
        <f t="shared" si="1"/>
        <v>6595.6769439478494</v>
      </c>
      <c r="W10" s="38">
        <f t="shared" si="2"/>
        <v>11.914588847368424</v>
      </c>
      <c r="X10" s="38">
        <f>W10*$B$17</f>
        <v>47.658355389473698</v>
      </c>
      <c r="Y10" s="38">
        <v>600</v>
      </c>
      <c r="Z10" s="38">
        <f t="shared" si="3"/>
        <v>79.430592315789497</v>
      </c>
      <c r="AA10" s="38">
        <f t="shared" si="4"/>
        <v>79.430592315789497</v>
      </c>
      <c r="AB10" s="38">
        <f>AA10*$B$44/3600</f>
        <v>0.2206405342105264</v>
      </c>
      <c r="AC10">
        <f>SUM($AB$2:AB10)</f>
        <v>4.2508923084308003</v>
      </c>
      <c r="AD10" s="1">
        <f>$B$21*1000/$B$20</f>
        <v>166.66666666666666</v>
      </c>
      <c r="AE10" s="1">
        <f t="shared" si="5"/>
        <v>97.449464614941519</v>
      </c>
      <c r="AF10">
        <f t="shared" si="6"/>
        <v>2.5505353850584802</v>
      </c>
    </row>
    <row r="11" spans="1:32" x14ac:dyDescent="0.45">
      <c r="A11" s="24" t="s">
        <v>126</v>
      </c>
      <c r="B11" s="24">
        <v>2</v>
      </c>
      <c r="C11" s="24" t="s">
        <v>15</v>
      </c>
      <c r="D11" s="41"/>
      <c r="E11" s="20">
        <f>E10+$B$44</f>
        <v>90</v>
      </c>
      <c r="F11" s="20">
        <f t="shared" ref="F11:F55" si="7">3600*H11/1000</f>
        <v>64.8</v>
      </c>
      <c r="G11" s="20">
        <f>G10+$B$15*(E11-E10)</f>
        <v>36</v>
      </c>
      <c r="H11" s="20">
        <f>IF(G11&gt;$B$16,$B$16,G11)</f>
        <v>18</v>
      </c>
      <c r="I11" s="21">
        <f t="shared" ref="I11:I55" si="8">(H11-H10)/(E11-E10)</f>
        <v>0</v>
      </c>
      <c r="J11" s="20">
        <f t="shared" ref="J11:J38" si="9">$J$2/H11</f>
        <v>6427.2940000000008</v>
      </c>
      <c r="K11" s="20">
        <v>0</v>
      </c>
      <c r="L11" s="20">
        <v>0</v>
      </c>
      <c r="M11" s="20">
        <f t="shared" ref="M11:M38" si="10">$B$2*$B$3*SIN(L11)</f>
        <v>0</v>
      </c>
      <c r="N11" s="20">
        <f t="shared" ref="N11:N38" si="11">$B$2*$B$3*$B$7*COS(L11)</f>
        <v>2024.5976100000003</v>
      </c>
      <c r="O11" s="20">
        <f t="shared" ref="O11:O38" si="12">0.5*$B$5*$B$6*$B$4*H11^2</f>
        <v>490.70447999999993</v>
      </c>
      <c r="P11" s="20">
        <f t="shared" ref="P11:P38" si="13">$B$2*I11</f>
        <v>0</v>
      </c>
      <c r="Q11" s="20">
        <f t="shared" ref="Q11:Q38" si="14">SUM(M11,N11,O11,P11)</f>
        <v>2515.3020900000001</v>
      </c>
      <c r="R11" s="20">
        <f t="shared" ref="R11:R38" si="15">Q11*$B$9</f>
        <v>1081.5798987000001</v>
      </c>
      <c r="S11" s="20">
        <f t="shared" ref="S11:S38" si="16">H11*60/2/PI()/$B$9</f>
        <v>399.73799660289995</v>
      </c>
      <c r="T11" s="20">
        <f t="shared" ref="T11:T38" si="17">$B$18*$B$19</f>
        <v>16.5</v>
      </c>
      <c r="U11" s="20">
        <f>R11/T11/$B$17/$B$10</f>
        <v>17.250078129186605</v>
      </c>
      <c r="V11" s="20">
        <f t="shared" ref="V11:V38" si="18">S11*T11</f>
        <v>6595.6769439478494</v>
      </c>
      <c r="W11" s="38">
        <f t="shared" ref="W11:W38" si="19">U11*V11*2*PI()/60/1000</f>
        <v>11.914588847368424</v>
      </c>
      <c r="X11" s="38">
        <f>W11*$B$17</f>
        <v>47.658355389473698</v>
      </c>
      <c r="Y11" s="38">
        <v>600</v>
      </c>
      <c r="Z11" s="38">
        <f t="shared" ref="Z11:Z38" si="20">1000*X11/Y11</f>
        <v>79.430592315789497</v>
      </c>
      <c r="AA11" s="38">
        <f t="shared" si="4"/>
        <v>79.430592315789497</v>
      </c>
      <c r="AB11" s="38">
        <f>AA11*$B$44/3600</f>
        <v>0.2206405342105264</v>
      </c>
      <c r="AC11">
        <f>SUM($AB$2:AB11)</f>
        <v>4.4715328426413263</v>
      </c>
      <c r="AD11" s="1">
        <f>$B$21*1000/$B$20</f>
        <v>166.66666666666666</v>
      </c>
      <c r="AE11" s="1">
        <f t="shared" si="5"/>
        <v>97.317080294415206</v>
      </c>
      <c r="AF11">
        <f t="shared" si="6"/>
        <v>2.682919705584796</v>
      </c>
    </row>
    <row r="12" spans="1:32" x14ac:dyDescent="0.45">
      <c r="A12" s="24" t="s">
        <v>146</v>
      </c>
      <c r="B12" s="24">
        <v>2</v>
      </c>
      <c r="C12" s="24" t="s">
        <v>15</v>
      </c>
      <c r="D12" s="41"/>
      <c r="E12" s="20">
        <f>E11+$B$44</f>
        <v>100</v>
      </c>
      <c r="F12" s="20">
        <f t="shared" si="7"/>
        <v>64.8</v>
      </c>
      <c r="G12" s="20">
        <f>G11+$B$15*(E12-E11)</f>
        <v>40</v>
      </c>
      <c r="H12" s="20">
        <f>IF(G12&gt;$B$16,$B$16,G12)</f>
        <v>18</v>
      </c>
      <c r="I12" s="21">
        <f t="shared" si="8"/>
        <v>0</v>
      </c>
      <c r="J12" s="20">
        <f t="shared" si="9"/>
        <v>6427.2940000000008</v>
      </c>
      <c r="K12" s="20">
        <v>0</v>
      </c>
      <c r="L12" s="20">
        <v>0</v>
      </c>
      <c r="M12" s="20">
        <f t="shared" si="10"/>
        <v>0</v>
      </c>
      <c r="N12" s="20">
        <f t="shared" si="11"/>
        <v>2024.5976100000003</v>
      </c>
      <c r="O12" s="20">
        <f t="shared" si="12"/>
        <v>490.70447999999993</v>
      </c>
      <c r="P12" s="20">
        <f t="shared" si="13"/>
        <v>0</v>
      </c>
      <c r="Q12" s="20">
        <f t="shared" si="14"/>
        <v>2515.3020900000001</v>
      </c>
      <c r="R12" s="20">
        <f t="shared" si="15"/>
        <v>1081.5798987000001</v>
      </c>
      <c r="S12" s="20">
        <f t="shared" si="16"/>
        <v>399.73799660289995</v>
      </c>
      <c r="T12" s="20">
        <f t="shared" si="17"/>
        <v>16.5</v>
      </c>
      <c r="U12" s="20">
        <f>R12/T12/$B$17/$B$10</f>
        <v>17.250078129186605</v>
      </c>
      <c r="V12" s="20">
        <f t="shared" si="18"/>
        <v>6595.6769439478494</v>
      </c>
      <c r="W12" s="38">
        <f t="shared" si="19"/>
        <v>11.914588847368424</v>
      </c>
      <c r="X12" s="38">
        <f>W12*$B$17</f>
        <v>47.658355389473698</v>
      </c>
      <c r="Y12" s="38">
        <v>600</v>
      </c>
      <c r="Z12" s="38">
        <f t="shared" si="20"/>
        <v>79.430592315789497</v>
      </c>
      <c r="AA12" s="38">
        <f t="shared" si="4"/>
        <v>79.430592315789497</v>
      </c>
      <c r="AB12" s="38">
        <f>AA12*$B$44/3600</f>
        <v>0.2206405342105264</v>
      </c>
      <c r="AC12">
        <f>SUM($AB$2:AB12)</f>
        <v>4.6921733768518523</v>
      </c>
      <c r="AD12" s="1">
        <f>$B$21*1000/$B$20</f>
        <v>166.66666666666666</v>
      </c>
      <c r="AE12" s="1">
        <f t="shared" si="5"/>
        <v>97.184695973888878</v>
      </c>
      <c r="AF12">
        <f t="shared" si="6"/>
        <v>2.8153040261111113</v>
      </c>
    </row>
    <row r="13" spans="1:32" x14ac:dyDescent="0.45">
      <c r="A13" s="24" t="s">
        <v>127</v>
      </c>
      <c r="B13" s="24">
        <v>0.3</v>
      </c>
      <c r="C13" s="24" t="s">
        <v>17</v>
      </c>
      <c r="D13" s="41"/>
      <c r="E13" s="20">
        <f>E12+$B$44</f>
        <v>110</v>
      </c>
      <c r="F13" s="20">
        <f t="shared" si="7"/>
        <v>64.8</v>
      </c>
      <c r="G13" s="20">
        <f>G12+$B$15*(E13-E12)</f>
        <v>44</v>
      </c>
      <c r="H13" s="20">
        <f>IF(G13&gt;$B$16,$B$16,G13)</f>
        <v>18</v>
      </c>
      <c r="I13" s="21">
        <f t="shared" si="8"/>
        <v>0</v>
      </c>
      <c r="J13" s="20">
        <f t="shared" si="9"/>
        <v>6427.2940000000008</v>
      </c>
      <c r="K13" s="20">
        <v>0</v>
      </c>
      <c r="L13" s="20">
        <v>0</v>
      </c>
      <c r="M13" s="20">
        <f t="shared" si="10"/>
        <v>0</v>
      </c>
      <c r="N13" s="20">
        <f t="shared" si="11"/>
        <v>2024.5976100000003</v>
      </c>
      <c r="O13" s="20">
        <f t="shared" si="12"/>
        <v>490.70447999999993</v>
      </c>
      <c r="P13" s="20">
        <f t="shared" si="13"/>
        <v>0</v>
      </c>
      <c r="Q13" s="20">
        <f t="shared" si="14"/>
        <v>2515.3020900000001</v>
      </c>
      <c r="R13" s="20">
        <f t="shared" si="15"/>
        <v>1081.5798987000001</v>
      </c>
      <c r="S13" s="20">
        <f t="shared" si="16"/>
        <v>399.73799660289995</v>
      </c>
      <c r="T13" s="20">
        <f t="shared" si="17"/>
        <v>16.5</v>
      </c>
      <c r="U13" s="20">
        <f>R13/T13/$B$17/$B$10</f>
        <v>17.250078129186605</v>
      </c>
      <c r="V13" s="20">
        <f t="shared" si="18"/>
        <v>6595.6769439478494</v>
      </c>
      <c r="W13" s="38">
        <f t="shared" si="19"/>
        <v>11.914588847368424</v>
      </c>
      <c r="X13" s="38">
        <f>W13*$B$17</f>
        <v>47.658355389473698</v>
      </c>
      <c r="Y13" s="38">
        <v>600</v>
      </c>
      <c r="Z13" s="38">
        <f t="shared" si="20"/>
        <v>79.430592315789497</v>
      </c>
      <c r="AA13" s="38">
        <f t="shared" si="4"/>
        <v>79.430592315789497</v>
      </c>
      <c r="AB13" s="38">
        <f>AA13*$B$44/3600</f>
        <v>0.2206405342105264</v>
      </c>
      <c r="AC13">
        <f>SUM($AB$2:AB13)</f>
        <v>4.9128139110623783</v>
      </c>
      <c r="AD13" s="1">
        <f>$B$21*1000/$B$20</f>
        <v>166.66666666666666</v>
      </c>
      <c r="AE13" s="1">
        <f t="shared" si="5"/>
        <v>97.052311653362565</v>
      </c>
      <c r="AF13">
        <f t="shared" si="6"/>
        <v>2.9476883466374271</v>
      </c>
    </row>
    <row r="14" spans="1:32" x14ac:dyDescent="0.45">
      <c r="A14" s="24" t="s">
        <v>156</v>
      </c>
      <c r="B14" s="24">
        <v>0.01</v>
      </c>
      <c r="C14" s="24" t="s">
        <v>5</v>
      </c>
      <c r="D14" s="41"/>
      <c r="E14" s="20">
        <f>E13+$B$44</f>
        <v>120</v>
      </c>
      <c r="F14" s="20">
        <f t="shared" si="7"/>
        <v>64.8</v>
      </c>
      <c r="G14" s="20">
        <f>G13+$B$15*(E14-E13)</f>
        <v>48</v>
      </c>
      <c r="H14" s="20">
        <f>IF(G14&gt;$B$16,$B$16,G14)</f>
        <v>18</v>
      </c>
      <c r="I14" s="21">
        <f t="shared" si="8"/>
        <v>0</v>
      </c>
      <c r="J14" s="20">
        <f t="shared" si="9"/>
        <v>6427.2940000000008</v>
      </c>
      <c r="K14" s="20">
        <v>0</v>
      </c>
      <c r="L14" s="20">
        <v>0</v>
      </c>
      <c r="M14" s="20">
        <f t="shared" si="10"/>
        <v>0</v>
      </c>
      <c r="N14" s="20">
        <f t="shared" si="11"/>
        <v>2024.5976100000003</v>
      </c>
      <c r="O14" s="20">
        <f t="shared" si="12"/>
        <v>490.70447999999993</v>
      </c>
      <c r="P14" s="20">
        <f t="shared" si="13"/>
        <v>0</v>
      </c>
      <c r="Q14" s="20">
        <f t="shared" si="14"/>
        <v>2515.3020900000001</v>
      </c>
      <c r="R14" s="20">
        <f t="shared" si="15"/>
        <v>1081.5798987000001</v>
      </c>
      <c r="S14" s="20">
        <f t="shared" si="16"/>
        <v>399.73799660289995</v>
      </c>
      <c r="T14" s="20">
        <f t="shared" si="17"/>
        <v>16.5</v>
      </c>
      <c r="U14" s="20">
        <f>R14/T14/$B$17/$B$10</f>
        <v>17.250078129186605</v>
      </c>
      <c r="V14" s="20">
        <f t="shared" si="18"/>
        <v>6595.6769439478494</v>
      </c>
      <c r="W14" s="38">
        <f t="shared" si="19"/>
        <v>11.914588847368424</v>
      </c>
      <c r="X14" s="38">
        <f>W14*$B$17</f>
        <v>47.658355389473698</v>
      </c>
      <c r="Y14" s="38">
        <v>600</v>
      </c>
      <c r="Z14" s="38">
        <f t="shared" si="20"/>
        <v>79.430592315789497</v>
      </c>
      <c r="AA14" s="38">
        <f t="shared" si="4"/>
        <v>79.430592315789497</v>
      </c>
      <c r="AB14" s="38">
        <f>AA14*$B$44/3600</f>
        <v>0.2206405342105264</v>
      </c>
      <c r="AC14">
        <f>SUM($AB$2:AB14)</f>
        <v>5.1334544452729043</v>
      </c>
      <c r="AD14" s="1">
        <f>$B$21*1000/$B$20</f>
        <v>166.66666666666666</v>
      </c>
      <c r="AE14" s="1">
        <f t="shared" si="5"/>
        <v>96.919927332836238</v>
      </c>
      <c r="AF14">
        <f t="shared" si="6"/>
        <v>3.0800726671637424</v>
      </c>
    </row>
    <row r="15" spans="1:32" x14ac:dyDescent="0.45">
      <c r="A15" s="24" t="s">
        <v>157</v>
      </c>
      <c r="B15" s="24">
        <v>0.4</v>
      </c>
      <c r="C15" s="24" t="s">
        <v>5</v>
      </c>
      <c r="D15" s="41"/>
      <c r="E15" s="20">
        <f>E14+$B$44</f>
        <v>130</v>
      </c>
      <c r="F15" s="20">
        <f t="shared" si="7"/>
        <v>64.8</v>
      </c>
      <c r="G15" s="20">
        <f>G14+$B$15*(E15-E14)</f>
        <v>52</v>
      </c>
      <c r="H15" s="20">
        <f>IF(G15&gt;$B$16,$B$16,G15)</f>
        <v>18</v>
      </c>
      <c r="I15" s="21">
        <f t="shared" si="8"/>
        <v>0</v>
      </c>
      <c r="J15" s="20">
        <f t="shared" si="9"/>
        <v>6427.2940000000008</v>
      </c>
      <c r="K15" s="20">
        <v>0</v>
      </c>
      <c r="L15" s="20">
        <v>0</v>
      </c>
      <c r="M15" s="20">
        <f t="shared" si="10"/>
        <v>0</v>
      </c>
      <c r="N15" s="20">
        <f t="shared" si="11"/>
        <v>2024.5976100000003</v>
      </c>
      <c r="O15" s="20">
        <f t="shared" si="12"/>
        <v>490.70447999999993</v>
      </c>
      <c r="P15" s="20">
        <f t="shared" si="13"/>
        <v>0</v>
      </c>
      <c r="Q15" s="20">
        <f t="shared" si="14"/>
        <v>2515.3020900000001</v>
      </c>
      <c r="R15" s="20">
        <f t="shared" si="15"/>
        <v>1081.5798987000001</v>
      </c>
      <c r="S15" s="20">
        <f t="shared" si="16"/>
        <v>399.73799660289995</v>
      </c>
      <c r="T15" s="20">
        <f t="shared" si="17"/>
        <v>16.5</v>
      </c>
      <c r="U15" s="20">
        <f>R15/T15/$B$17/$B$10</f>
        <v>17.250078129186605</v>
      </c>
      <c r="V15" s="20">
        <f t="shared" si="18"/>
        <v>6595.6769439478494</v>
      </c>
      <c r="W15" s="38">
        <f t="shared" si="19"/>
        <v>11.914588847368424</v>
      </c>
      <c r="X15" s="38">
        <f>W15*$B$17</f>
        <v>47.658355389473698</v>
      </c>
      <c r="Y15" s="38">
        <v>600</v>
      </c>
      <c r="Z15" s="38">
        <f t="shared" si="20"/>
        <v>79.430592315789497</v>
      </c>
      <c r="AA15" s="38">
        <f t="shared" si="4"/>
        <v>79.430592315789497</v>
      </c>
      <c r="AB15" s="38">
        <f>AA15*$B$44/3600</f>
        <v>0.2206405342105264</v>
      </c>
      <c r="AC15">
        <f>SUM($AB$2:AB15)</f>
        <v>5.3540949794834303</v>
      </c>
      <c r="AD15" s="1">
        <f>$B$21*1000/$B$20</f>
        <v>166.66666666666666</v>
      </c>
      <c r="AE15" s="1">
        <f t="shared" si="5"/>
        <v>96.787543012309953</v>
      </c>
      <c r="AF15">
        <f t="shared" si="6"/>
        <v>3.2124569876900586</v>
      </c>
    </row>
    <row r="16" spans="1:32" x14ac:dyDescent="0.45">
      <c r="A16" s="24" t="s">
        <v>158</v>
      </c>
      <c r="B16" s="24">
        <v>18</v>
      </c>
      <c r="C16" s="24" t="s">
        <v>17</v>
      </c>
      <c r="D16" s="41"/>
      <c r="E16" s="20">
        <f>E15+$B$44</f>
        <v>140</v>
      </c>
      <c r="F16" s="20">
        <f t="shared" si="7"/>
        <v>64.8</v>
      </c>
      <c r="G16" s="20">
        <f>G15+$B$15*(E16-E15)</f>
        <v>56</v>
      </c>
      <c r="H16" s="20">
        <f>IF(G16&gt;$B$16,$B$16,G16)</f>
        <v>18</v>
      </c>
      <c r="I16" s="21">
        <f t="shared" si="8"/>
        <v>0</v>
      </c>
      <c r="J16" s="20">
        <f t="shared" si="9"/>
        <v>6427.2940000000008</v>
      </c>
      <c r="K16" s="20">
        <v>0</v>
      </c>
      <c r="L16" s="20">
        <v>0</v>
      </c>
      <c r="M16" s="20">
        <f t="shared" si="10"/>
        <v>0</v>
      </c>
      <c r="N16" s="20">
        <f t="shared" si="11"/>
        <v>2024.5976100000003</v>
      </c>
      <c r="O16" s="20">
        <f t="shared" si="12"/>
        <v>490.70447999999993</v>
      </c>
      <c r="P16" s="20">
        <f t="shared" si="13"/>
        <v>0</v>
      </c>
      <c r="Q16" s="20">
        <f t="shared" si="14"/>
        <v>2515.3020900000001</v>
      </c>
      <c r="R16" s="20">
        <f t="shared" si="15"/>
        <v>1081.5798987000001</v>
      </c>
      <c r="S16" s="20">
        <f t="shared" si="16"/>
        <v>399.73799660289995</v>
      </c>
      <c r="T16" s="20">
        <f t="shared" si="17"/>
        <v>16.5</v>
      </c>
      <c r="U16" s="20">
        <f>R16/T16/$B$17/$B$10</f>
        <v>17.250078129186605</v>
      </c>
      <c r="V16" s="20">
        <f t="shared" si="18"/>
        <v>6595.6769439478494</v>
      </c>
      <c r="W16" s="38">
        <f t="shared" si="19"/>
        <v>11.914588847368424</v>
      </c>
      <c r="X16" s="38">
        <f>W16*$B$17</f>
        <v>47.658355389473698</v>
      </c>
      <c r="Y16" s="38">
        <v>600</v>
      </c>
      <c r="Z16" s="38">
        <f t="shared" si="20"/>
        <v>79.430592315789497</v>
      </c>
      <c r="AA16" s="38">
        <f t="shared" si="4"/>
        <v>79.430592315789497</v>
      </c>
      <c r="AB16" s="38">
        <f>AA16*$B$44/3600</f>
        <v>0.2206405342105264</v>
      </c>
      <c r="AC16">
        <f>SUM($AB$2:AB16)</f>
        <v>5.5747355136939563</v>
      </c>
      <c r="AD16" s="1">
        <f>$B$21*1000/$B$20</f>
        <v>166.66666666666666</v>
      </c>
      <c r="AE16" s="1">
        <f t="shared" si="5"/>
        <v>96.655158691783626</v>
      </c>
      <c r="AF16">
        <f t="shared" si="6"/>
        <v>3.3448413082163739</v>
      </c>
    </row>
    <row r="17" spans="1:32" x14ac:dyDescent="0.45">
      <c r="A17" s="24" t="s">
        <v>30</v>
      </c>
      <c r="B17" s="24">
        <v>4</v>
      </c>
      <c r="C17" s="24"/>
      <c r="D17" s="41"/>
      <c r="E17" s="20">
        <f>E16+$B$44</f>
        <v>150</v>
      </c>
      <c r="F17" s="20">
        <f t="shared" si="7"/>
        <v>64.8</v>
      </c>
      <c r="G17" s="20">
        <f>G16+$B$15*(E17-E16)</f>
        <v>60</v>
      </c>
      <c r="H17" s="20">
        <f>IF(G17&gt;$B$16,$B$16,G17)</f>
        <v>18</v>
      </c>
      <c r="I17" s="21">
        <f t="shared" si="8"/>
        <v>0</v>
      </c>
      <c r="J17" s="20">
        <f t="shared" si="9"/>
        <v>6427.2940000000008</v>
      </c>
      <c r="K17" s="20">
        <v>0</v>
      </c>
      <c r="L17" s="20">
        <v>0</v>
      </c>
      <c r="M17" s="20">
        <f t="shared" si="10"/>
        <v>0</v>
      </c>
      <c r="N17" s="20">
        <f t="shared" si="11"/>
        <v>2024.5976100000003</v>
      </c>
      <c r="O17" s="20">
        <f t="shared" si="12"/>
        <v>490.70447999999993</v>
      </c>
      <c r="P17" s="20">
        <f t="shared" si="13"/>
        <v>0</v>
      </c>
      <c r="Q17" s="20">
        <f t="shared" si="14"/>
        <v>2515.3020900000001</v>
      </c>
      <c r="R17" s="20">
        <f t="shared" si="15"/>
        <v>1081.5798987000001</v>
      </c>
      <c r="S17" s="20">
        <f t="shared" si="16"/>
        <v>399.73799660289995</v>
      </c>
      <c r="T17" s="20">
        <f t="shared" si="17"/>
        <v>16.5</v>
      </c>
      <c r="U17" s="20">
        <f>R17/T17/$B$17/$B$10</f>
        <v>17.250078129186605</v>
      </c>
      <c r="V17" s="20">
        <f t="shared" si="18"/>
        <v>6595.6769439478494</v>
      </c>
      <c r="W17" s="38">
        <f t="shared" si="19"/>
        <v>11.914588847368424</v>
      </c>
      <c r="X17" s="38">
        <f>W17*$B$17</f>
        <v>47.658355389473698</v>
      </c>
      <c r="Y17" s="38">
        <v>600</v>
      </c>
      <c r="Z17" s="38">
        <f t="shared" si="20"/>
        <v>79.430592315789497</v>
      </c>
      <c r="AA17" s="38">
        <f t="shared" si="4"/>
        <v>79.430592315789497</v>
      </c>
      <c r="AB17" s="38">
        <f>AA17*$B$44/3600</f>
        <v>0.2206405342105264</v>
      </c>
      <c r="AC17">
        <f>SUM($AB$2:AB17)</f>
        <v>5.7953760479044822</v>
      </c>
      <c r="AD17" s="1">
        <f>$B$21*1000/$B$20</f>
        <v>166.66666666666666</v>
      </c>
      <c r="AE17" s="1">
        <f t="shared" si="5"/>
        <v>96.522774371257313</v>
      </c>
      <c r="AF17">
        <f t="shared" si="6"/>
        <v>3.4772256287426893</v>
      </c>
    </row>
    <row r="18" spans="1:32" x14ac:dyDescent="0.45">
      <c r="A18" s="24" t="s">
        <v>81</v>
      </c>
      <c r="B18" s="24">
        <v>1</v>
      </c>
      <c r="C18" s="24"/>
      <c r="D18" s="41"/>
      <c r="E18" s="20">
        <f>E17+$B$44</f>
        <v>160</v>
      </c>
      <c r="F18" s="20">
        <f t="shared" si="7"/>
        <v>64.8</v>
      </c>
      <c r="G18" s="20">
        <f>G17+$B$15*(E18-E17)</f>
        <v>64</v>
      </c>
      <c r="H18" s="20">
        <f>IF(G18&gt;$B$16,$B$16,G18)</f>
        <v>18</v>
      </c>
      <c r="I18" s="21">
        <f t="shared" si="8"/>
        <v>0</v>
      </c>
      <c r="J18" s="20">
        <f t="shared" si="9"/>
        <v>6427.2940000000008</v>
      </c>
      <c r="K18" s="20">
        <v>0</v>
      </c>
      <c r="L18" s="20">
        <v>0</v>
      </c>
      <c r="M18" s="20">
        <f t="shared" si="10"/>
        <v>0</v>
      </c>
      <c r="N18" s="20">
        <f t="shared" si="11"/>
        <v>2024.5976100000003</v>
      </c>
      <c r="O18" s="20">
        <f t="shared" si="12"/>
        <v>490.70447999999993</v>
      </c>
      <c r="P18" s="20">
        <f t="shared" si="13"/>
        <v>0</v>
      </c>
      <c r="Q18" s="20">
        <f t="shared" si="14"/>
        <v>2515.3020900000001</v>
      </c>
      <c r="R18" s="20">
        <f t="shared" si="15"/>
        <v>1081.5798987000001</v>
      </c>
      <c r="S18" s="20">
        <f t="shared" si="16"/>
        <v>399.73799660289995</v>
      </c>
      <c r="T18" s="20">
        <f t="shared" si="17"/>
        <v>16.5</v>
      </c>
      <c r="U18" s="20">
        <f>R18/T18/$B$17/$B$10</f>
        <v>17.250078129186605</v>
      </c>
      <c r="V18" s="20">
        <f t="shared" si="18"/>
        <v>6595.6769439478494</v>
      </c>
      <c r="W18" s="38">
        <f t="shared" si="19"/>
        <v>11.914588847368424</v>
      </c>
      <c r="X18" s="38">
        <f>W18*$B$17</f>
        <v>47.658355389473698</v>
      </c>
      <c r="Y18" s="38">
        <v>600</v>
      </c>
      <c r="Z18" s="38">
        <f t="shared" si="20"/>
        <v>79.430592315789497</v>
      </c>
      <c r="AA18" s="38">
        <f t="shared" si="4"/>
        <v>79.430592315789497</v>
      </c>
      <c r="AB18" s="38">
        <f>AA18*$B$44/3600</f>
        <v>0.2206405342105264</v>
      </c>
      <c r="AC18">
        <f>SUM($AB$2:AB18)</f>
        <v>6.0160165821150082</v>
      </c>
      <c r="AD18" s="1">
        <f>$B$21*1000/$B$20</f>
        <v>166.66666666666666</v>
      </c>
      <c r="AE18" s="1">
        <f t="shared" si="5"/>
        <v>96.390390050730986</v>
      </c>
      <c r="AF18">
        <f t="shared" si="6"/>
        <v>3.6096099492690055</v>
      </c>
    </row>
    <row r="19" spans="1:32" x14ac:dyDescent="0.45">
      <c r="A19" s="24" t="s">
        <v>82</v>
      </c>
      <c r="B19" s="24">
        <v>16.5</v>
      </c>
      <c r="C19" s="24"/>
      <c r="D19" s="41"/>
      <c r="E19" s="20">
        <f>E18+$B$44</f>
        <v>170</v>
      </c>
      <c r="F19" s="20">
        <f t="shared" si="7"/>
        <v>64.8</v>
      </c>
      <c r="G19" s="20">
        <f>G18+$B$15*(E19-E18)</f>
        <v>68</v>
      </c>
      <c r="H19" s="20">
        <f>IF(G19&gt;$B$16,$B$16,G19)</f>
        <v>18</v>
      </c>
      <c r="I19" s="21">
        <f t="shared" si="8"/>
        <v>0</v>
      </c>
      <c r="J19" s="20">
        <f t="shared" si="9"/>
        <v>6427.2940000000008</v>
      </c>
      <c r="K19" s="20">
        <v>0</v>
      </c>
      <c r="L19" s="20">
        <v>0</v>
      </c>
      <c r="M19" s="20">
        <f t="shared" si="10"/>
        <v>0</v>
      </c>
      <c r="N19" s="20">
        <f t="shared" si="11"/>
        <v>2024.5976100000003</v>
      </c>
      <c r="O19" s="20">
        <f t="shared" si="12"/>
        <v>490.70447999999993</v>
      </c>
      <c r="P19" s="20">
        <f t="shared" si="13"/>
        <v>0</v>
      </c>
      <c r="Q19" s="20">
        <f t="shared" si="14"/>
        <v>2515.3020900000001</v>
      </c>
      <c r="R19" s="20">
        <f t="shared" si="15"/>
        <v>1081.5798987000001</v>
      </c>
      <c r="S19" s="20">
        <f t="shared" si="16"/>
        <v>399.73799660289995</v>
      </c>
      <c r="T19" s="20">
        <f t="shared" si="17"/>
        <v>16.5</v>
      </c>
      <c r="U19" s="20">
        <f>R19/T19/$B$17/$B$10</f>
        <v>17.250078129186605</v>
      </c>
      <c r="V19" s="20">
        <f t="shared" si="18"/>
        <v>6595.6769439478494</v>
      </c>
      <c r="W19" s="38">
        <f t="shared" si="19"/>
        <v>11.914588847368424</v>
      </c>
      <c r="X19" s="38">
        <f>W19*$B$17</f>
        <v>47.658355389473698</v>
      </c>
      <c r="Y19" s="38">
        <v>600</v>
      </c>
      <c r="Z19" s="38">
        <f t="shared" si="20"/>
        <v>79.430592315789497</v>
      </c>
      <c r="AA19" s="38">
        <f t="shared" si="4"/>
        <v>79.430592315789497</v>
      </c>
      <c r="AB19" s="38">
        <f>AA19*$B$44/3600</f>
        <v>0.2206405342105264</v>
      </c>
      <c r="AC19">
        <f>SUM($AB$2:AB19)</f>
        <v>6.2366571163255342</v>
      </c>
      <c r="AD19" s="1">
        <f>$B$21*1000/$B$20</f>
        <v>166.66666666666666</v>
      </c>
      <c r="AE19" s="1">
        <f t="shared" si="5"/>
        <v>96.258005730204673</v>
      </c>
      <c r="AF19">
        <f t="shared" si="6"/>
        <v>3.7419942697953208</v>
      </c>
    </row>
    <row r="20" spans="1:32" x14ac:dyDescent="0.45">
      <c r="A20" s="24" t="s">
        <v>149</v>
      </c>
      <c r="B20" s="24">
        <v>600</v>
      </c>
      <c r="C20" s="24" t="s">
        <v>150</v>
      </c>
      <c r="D20" s="41"/>
      <c r="E20" s="20">
        <f>E19+$B$44</f>
        <v>180</v>
      </c>
      <c r="F20" s="20">
        <f t="shared" si="7"/>
        <v>64.8</v>
      </c>
      <c r="G20" s="20">
        <f>G19+$B$15*(E20-E19)</f>
        <v>72</v>
      </c>
      <c r="H20" s="20">
        <f>IF(G20&gt;$B$16,$B$16,G20)</f>
        <v>18</v>
      </c>
      <c r="I20" s="21">
        <f t="shared" si="8"/>
        <v>0</v>
      </c>
      <c r="J20" s="20">
        <f t="shared" si="9"/>
        <v>6427.2940000000008</v>
      </c>
      <c r="K20" s="20">
        <v>0</v>
      </c>
      <c r="L20" s="20">
        <v>0</v>
      </c>
      <c r="M20" s="20">
        <f t="shared" si="10"/>
        <v>0</v>
      </c>
      <c r="N20" s="20">
        <f t="shared" si="11"/>
        <v>2024.5976100000003</v>
      </c>
      <c r="O20" s="20">
        <f t="shared" si="12"/>
        <v>490.70447999999993</v>
      </c>
      <c r="P20" s="20">
        <f t="shared" si="13"/>
        <v>0</v>
      </c>
      <c r="Q20" s="20">
        <f t="shared" si="14"/>
        <v>2515.3020900000001</v>
      </c>
      <c r="R20" s="20">
        <f t="shared" si="15"/>
        <v>1081.5798987000001</v>
      </c>
      <c r="S20" s="20">
        <f t="shared" si="16"/>
        <v>399.73799660289995</v>
      </c>
      <c r="T20" s="20">
        <f t="shared" si="17"/>
        <v>16.5</v>
      </c>
      <c r="U20" s="20">
        <f>R20/T20/$B$17/$B$10</f>
        <v>17.250078129186605</v>
      </c>
      <c r="V20" s="20">
        <f t="shared" si="18"/>
        <v>6595.6769439478494</v>
      </c>
      <c r="W20" s="38">
        <f t="shared" si="19"/>
        <v>11.914588847368424</v>
      </c>
      <c r="X20" s="38">
        <f>W20*$B$17</f>
        <v>47.658355389473698</v>
      </c>
      <c r="Y20" s="38">
        <v>600</v>
      </c>
      <c r="Z20" s="38">
        <f t="shared" si="20"/>
        <v>79.430592315789497</v>
      </c>
      <c r="AA20" s="38">
        <f t="shared" si="4"/>
        <v>79.430592315789497</v>
      </c>
      <c r="AB20" s="38">
        <f>AA20*$B$44/3600</f>
        <v>0.2206405342105264</v>
      </c>
      <c r="AC20">
        <f>SUM($AB$2:AB20)</f>
        <v>6.4572976505360602</v>
      </c>
      <c r="AD20" s="1">
        <f>$B$21*1000/$B$20</f>
        <v>166.66666666666666</v>
      </c>
      <c r="AE20" s="1">
        <f t="shared" si="5"/>
        <v>96.125621409678374</v>
      </c>
      <c r="AF20">
        <f t="shared" si="6"/>
        <v>3.8743785903216361</v>
      </c>
    </row>
    <row r="21" spans="1:32" x14ac:dyDescent="0.45">
      <c r="A21" s="24" t="s">
        <v>142</v>
      </c>
      <c r="B21" s="24">
        <v>100</v>
      </c>
      <c r="C21" s="24" t="s">
        <v>148</v>
      </c>
      <c r="D21" s="41"/>
      <c r="E21" s="20">
        <f>E20+$B$44</f>
        <v>190</v>
      </c>
      <c r="F21" s="20">
        <f t="shared" si="7"/>
        <v>64.8</v>
      </c>
      <c r="G21" s="20">
        <f>G20+$B$15*(E21-E20)</f>
        <v>76</v>
      </c>
      <c r="H21" s="20">
        <f>IF(G21&gt;$B$16,$B$16,G21)</f>
        <v>18</v>
      </c>
      <c r="I21" s="21">
        <f t="shared" si="8"/>
        <v>0</v>
      </c>
      <c r="J21" s="20">
        <f t="shared" si="9"/>
        <v>6427.2940000000008</v>
      </c>
      <c r="K21" s="20">
        <v>0</v>
      </c>
      <c r="L21" s="20">
        <v>0</v>
      </c>
      <c r="M21" s="20">
        <f t="shared" si="10"/>
        <v>0</v>
      </c>
      <c r="N21" s="20">
        <f t="shared" si="11"/>
        <v>2024.5976100000003</v>
      </c>
      <c r="O21" s="20">
        <f t="shared" si="12"/>
        <v>490.70447999999993</v>
      </c>
      <c r="P21" s="20">
        <f t="shared" si="13"/>
        <v>0</v>
      </c>
      <c r="Q21" s="20">
        <f t="shared" si="14"/>
        <v>2515.3020900000001</v>
      </c>
      <c r="R21" s="20">
        <f t="shared" si="15"/>
        <v>1081.5798987000001</v>
      </c>
      <c r="S21" s="20">
        <f t="shared" si="16"/>
        <v>399.73799660289995</v>
      </c>
      <c r="T21" s="20">
        <f t="shared" si="17"/>
        <v>16.5</v>
      </c>
      <c r="U21" s="20">
        <f>R21/T21/$B$17/$B$10</f>
        <v>17.250078129186605</v>
      </c>
      <c r="V21" s="20">
        <f t="shared" si="18"/>
        <v>6595.6769439478494</v>
      </c>
      <c r="W21" s="38">
        <f t="shared" si="19"/>
        <v>11.914588847368424</v>
      </c>
      <c r="X21" s="38">
        <f>W21*$B$17</f>
        <v>47.658355389473698</v>
      </c>
      <c r="Y21" s="38">
        <v>600</v>
      </c>
      <c r="Z21" s="38">
        <f t="shared" si="20"/>
        <v>79.430592315789497</v>
      </c>
      <c r="AA21" s="38">
        <f t="shared" si="4"/>
        <v>79.430592315789497</v>
      </c>
      <c r="AB21" s="38">
        <f>AA21*$B$44/3600</f>
        <v>0.2206405342105264</v>
      </c>
      <c r="AC21">
        <f>SUM($AB$2:AB21)</f>
        <v>6.6779381847465862</v>
      </c>
      <c r="AD21" s="1">
        <f>$B$21*1000/$B$20</f>
        <v>166.66666666666666</v>
      </c>
      <c r="AE21" s="1">
        <f t="shared" si="5"/>
        <v>95.993237089152046</v>
      </c>
      <c r="AF21">
        <f t="shared" si="6"/>
        <v>4.0067629108479519</v>
      </c>
    </row>
    <row r="22" spans="1:32" x14ac:dyDescent="0.45">
      <c r="A22" s="24" t="s">
        <v>143</v>
      </c>
      <c r="B22" s="24">
        <v>3</v>
      </c>
      <c r="C22" s="24" t="s">
        <v>144</v>
      </c>
      <c r="D22" s="41"/>
      <c r="E22" s="20">
        <f>E21+$B$44</f>
        <v>200</v>
      </c>
      <c r="F22" s="20">
        <f t="shared" si="7"/>
        <v>64.8</v>
      </c>
      <c r="G22" s="20">
        <f>G21+$B$15*(E22-E21)</f>
        <v>80</v>
      </c>
      <c r="H22" s="20">
        <f>IF(G22&gt;$B$16,$B$16,G22)</f>
        <v>18</v>
      </c>
      <c r="I22" s="21">
        <f t="shared" si="8"/>
        <v>0</v>
      </c>
      <c r="J22" s="20">
        <f t="shared" si="9"/>
        <v>6427.2940000000008</v>
      </c>
      <c r="K22" s="20">
        <v>0</v>
      </c>
      <c r="L22" s="20">
        <v>0</v>
      </c>
      <c r="M22" s="20">
        <f t="shared" si="10"/>
        <v>0</v>
      </c>
      <c r="N22" s="20">
        <f t="shared" si="11"/>
        <v>2024.5976100000003</v>
      </c>
      <c r="O22" s="20">
        <f t="shared" si="12"/>
        <v>490.70447999999993</v>
      </c>
      <c r="P22" s="20">
        <f t="shared" si="13"/>
        <v>0</v>
      </c>
      <c r="Q22" s="20">
        <f t="shared" si="14"/>
        <v>2515.3020900000001</v>
      </c>
      <c r="R22" s="20">
        <f t="shared" si="15"/>
        <v>1081.5798987000001</v>
      </c>
      <c r="S22" s="20">
        <f t="shared" si="16"/>
        <v>399.73799660289995</v>
      </c>
      <c r="T22" s="20">
        <f t="shared" si="17"/>
        <v>16.5</v>
      </c>
      <c r="U22" s="20">
        <f>R22/T22/$B$17/$B$10</f>
        <v>17.250078129186605</v>
      </c>
      <c r="V22" s="20">
        <f t="shared" si="18"/>
        <v>6595.6769439478494</v>
      </c>
      <c r="W22" s="38">
        <f t="shared" si="19"/>
        <v>11.914588847368424</v>
      </c>
      <c r="X22" s="38">
        <f>W22*$B$17</f>
        <v>47.658355389473698</v>
      </c>
      <c r="Y22" s="38">
        <v>600</v>
      </c>
      <c r="Z22" s="38">
        <f t="shared" si="20"/>
        <v>79.430592315789497</v>
      </c>
      <c r="AA22" s="38">
        <f t="shared" si="4"/>
        <v>79.430592315789497</v>
      </c>
      <c r="AB22" s="38">
        <f>AA22*$B$44/3600</f>
        <v>0.2206405342105264</v>
      </c>
      <c r="AC22">
        <f>SUM($AB$2:AB22)</f>
        <v>6.8985787189571122</v>
      </c>
      <c r="AD22" s="1">
        <f>$B$21*1000/$B$20</f>
        <v>166.66666666666666</v>
      </c>
      <c r="AE22" s="1">
        <f t="shared" si="5"/>
        <v>95.860852768625733</v>
      </c>
      <c r="AF22">
        <f t="shared" si="6"/>
        <v>4.1391472313742677</v>
      </c>
    </row>
    <row r="23" spans="1:32" x14ac:dyDescent="0.45">
      <c r="A23" s="40" t="s">
        <v>35</v>
      </c>
      <c r="B23" s="40"/>
      <c r="C23" s="40"/>
      <c r="D23" s="41"/>
      <c r="E23" s="20">
        <f>E22+$B$44</f>
        <v>210</v>
      </c>
      <c r="F23" s="20">
        <f t="shared" si="7"/>
        <v>64.8</v>
      </c>
      <c r="G23" s="20">
        <f>G22+$B$15*(E23-E22)</f>
        <v>84</v>
      </c>
      <c r="H23" s="20">
        <f>IF(G23&gt;$B$16,$B$16,G23)</f>
        <v>18</v>
      </c>
      <c r="I23" s="21">
        <f t="shared" si="8"/>
        <v>0</v>
      </c>
      <c r="J23" s="20">
        <f t="shared" si="9"/>
        <v>6427.2940000000008</v>
      </c>
      <c r="K23" s="20">
        <v>0</v>
      </c>
      <c r="L23" s="20">
        <v>0</v>
      </c>
      <c r="M23" s="20">
        <f t="shared" si="10"/>
        <v>0</v>
      </c>
      <c r="N23" s="20">
        <f t="shared" si="11"/>
        <v>2024.5976100000003</v>
      </c>
      <c r="O23" s="20">
        <f t="shared" si="12"/>
        <v>490.70447999999993</v>
      </c>
      <c r="P23" s="20">
        <f t="shared" si="13"/>
        <v>0</v>
      </c>
      <c r="Q23" s="20">
        <f t="shared" si="14"/>
        <v>2515.3020900000001</v>
      </c>
      <c r="R23" s="20">
        <f t="shared" si="15"/>
        <v>1081.5798987000001</v>
      </c>
      <c r="S23" s="20">
        <f t="shared" si="16"/>
        <v>399.73799660289995</v>
      </c>
      <c r="T23" s="20">
        <f t="shared" si="17"/>
        <v>16.5</v>
      </c>
      <c r="U23" s="20">
        <f>R23/T23/$B$17/$B$10</f>
        <v>17.250078129186605</v>
      </c>
      <c r="V23" s="20">
        <f t="shared" si="18"/>
        <v>6595.6769439478494</v>
      </c>
      <c r="W23" s="38">
        <f t="shared" si="19"/>
        <v>11.914588847368424</v>
      </c>
      <c r="X23" s="38">
        <f>W23*$B$17</f>
        <v>47.658355389473698</v>
      </c>
      <c r="Y23" s="38">
        <v>600</v>
      </c>
      <c r="Z23" s="38">
        <f t="shared" si="20"/>
        <v>79.430592315789497</v>
      </c>
      <c r="AA23" s="38">
        <f t="shared" si="4"/>
        <v>79.430592315789497</v>
      </c>
      <c r="AB23" s="38">
        <f>AA23*$B$44/3600</f>
        <v>0.2206405342105264</v>
      </c>
      <c r="AC23">
        <f>SUM($AB$2:AB23)</f>
        <v>7.1192192531676382</v>
      </c>
      <c r="AD23" s="1">
        <f>$B$21*1000/$B$20</f>
        <v>166.66666666666666</v>
      </c>
      <c r="AE23" s="1">
        <f t="shared" si="5"/>
        <v>95.728468448099406</v>
      </c>
      <c r="AF23">
        <f t="shared" si="6"/>
        <v>4.2715315519005834</v>
      </c>
    </row>
    <row r="24" spans="1:32" x14ac:dyDescent="0.45">
      <c r="A24" s="3"/>
      <c r="B24" s="27" t="s">
        <v>122</v>
      </c>
      <c r="C24" s="27" t="s">
        <v>123</v>
      </c>
      <c r="D24" s="41"/>
      <c r="E24" s="20">
        <f>E23+$B$44</f>
        <v>220</v>
      </c>
      <c r="F24" s="20">
        <f t="shared" si="7"/>
        <v>64.8</v>
      </c>
      <c r="G24" s="20">
        <f>G23+$B$15*(E24-E23)</f>
        <v>88</v>
      </c>
      <c r="H24" s="20">
        <f>IF(G24&gt;$B$16,$B$16,G24)</f>
        <v>18</v>
      </c>
      <c r="I24" s="21">
        <f t="shared" si="8"/>
        <v>0</v>
      </c>
      <c r="J24" s="20">
        <f t="shared" si="9"/>
        <v>6427.2940000000008</v>
      </c>
      <c r="K24" s="20">
        <v>0</v>
      </c>
      <c r="L24" s="20">
        <v>0</v>
      </c>
      <c r="M24" s="20">
        <f t="shared" si="10"/>
        <v>0</v>
      </c>
      <c r="N24" s="20">
        <f t="shared" si="11"/>
        <v>2024.5976100000003</v>
      </c>
      <c r="O24" s="20">
        <f t="shared" si="12"/>
        <v>490.70447999999993</v>
      </c>
      <c r="P24" s="20">
        <f t="shared" si="13"/>
        <v>0</v>
      </c>
      <c r="Q24" s="20">
        <f t="shared" si="14"/>
        <v>2515.3020900000001</v>
      </c>
      <c r="R24" s="20">
        <f t="shared" si="15"/>
        <v>1081.5798987000001</v>
      </c>
      <c r="S24" s="20">
        <f t="shared" si="16"/>
        <v>399.73799660289995</v>
      </c>
      <c r="T24" s="20">
        <f t="shared" si="17"/>
        <v>16.5</v>
      </c>
      <c r="U24" s="20">
        <f>R24/T24/$B$17/$B$10</f>
        <v>17.250078129186605</v>
      </c>
      <c r="V24" s="20">
        <f t="shared" si="18"/>
        <v>6595.6769439478494</v>
      </c>
      <c r="W24" s="38">
        <f t="shared" si="19"/>
        <v>11.914588847368424</v>
      </c>
      <c r="X24" s="38">
        <f>W24*$B$17</f>
        <v>47.658355389473698</v>
      </c>
      <c r="Y24" s="38">
        <v>600</v>
      </c>
      <c r="Z24" s="38">
        <f t="shared" si="20"/>
        <v>79.430592315789497</v>
      </c>
      <c r="AA24" s="38">
        <f t="shared" si="4"/>
        <v>79.430592315789497</v>
      </c>
      <c r="AB24" s="38">
        <f>AA24*$B$44/3600</f>
        <v>0.2206405342105264</v>
      </c>
      <c r="AC24">
        <f>SUM($AB$2:AB24)</f>
        <v>7.3398597873781641</v>
      </c>
      <c r="AD24" s="1">
        <f>$B$21*1000/$B$20</f>
        <v>166.66666666666666</v>
      </c>
      <c r="AE24" s="1">
        <f t="shared" si="5"/>
        <v>95.596084127573093</v>
      </c>
      <c r="AF24">
        <f t="shared" si="6"/>
        <v>4.4039158724268983</v>
      </c>
    </row>
    <row r="25" spans="1:32" x14ac:dyDescent="0.45">
      <c r="A25" s="3"/>
      <c r="B25" s="27" t="s">
        <v>36</v>
      </c>
      <c r="C25" s="27" t="s">
        <v>2</v>
      </c>
      <c r="D25" s="41"/>
      <c r="E25" s="20">
        <f>E24+$B$44</f>
        <v>230</v>
      </c>
      <c r="F25" s="20">
        <f t="shared" si="7"/>
        <v>64.8</v>
      </c>
      <c r="G25" s="20">
        <f>G24+$B$15*(E25-E24)</f>
        <v>92</v>
      </c>
      <c r="H25" s="20">
        <f>IF(G25&gt;$B$16,$B$16,G25)</f>
        <v>18</v>
      </c>
      <c r="I25" s="21">
        <f t="shared" si="8"/>
        <v>0</v>
      </c>
      <c r="J25" s="20">
        <f t="shared" si="9"/>
        <v>6427.2940000000008</v>
      </c>
      <c r="K25" s="20">
        <v>0</v>
      </c>
      <c r="L25" s="20">
        <v>0</v>
      </c>
      <c r="M25" s="20">
        <f t="shared" si="10"/>
        <v>0</v>
      </c>
      <c r="N25" s="20">
        <f t="shared" si="11"/>
        <v>2024.5976100000003</v>
      </c>
      <c r="O25" s="20">
        <f t="shared" si="12"/>
        <v>490.70447999999993</v>
      </c>
      <c r="P25" s="20">
        <f t="shared" si="13"/>
        <v>0</v>
      </c>
      <c r="Q25" s="20">
        <f t="shared" si="14"/>
        <v>2515.3020900000001</v>
      </c>
      <c r="R25" s="20">
        <f t="shared" si="15"/>
        <v>1081.5798987000001</v>
      </c>
      <c r="S25" s="20">
        <f t="shared" si="16"/>
        <v>399.73799660289995</v>
      </c>
      <c r="T25" s="20">
        <f t="shared" si="17"/>
        <v>16.5</v>
      </c>
      <c r="U25" s="20">
        <f>R25/T25/$B$17/$B$10</f>
        <v>17.250078129186605</v>
      </c>
      <c r="V25" s="20">
        <f t="shared" si="18"/>
        <v>6595.6769439478494</v>
      </c>
      <c r="W25" s="38">
        <f t="shared" si="19"/>
        <v>11.914588847368424</v>
      </c>
      <c r="X25" s="38">
        <f>W25*$B$17</f>
        <v>47.658355389473698</v>
      </c>
      <c r="Y25" s="38">
        <v>600</v>
      </c>
      <c r="Z25" s="38">
        <f t="shared" si="20"/>
        <v>79.430592315789497</v>
      </c>
      <c r="AA25" s="38">
        <f t="shared" si="4"/>
        <v>79.430592315789497</v>
      </c>
      <c r="AB25" s="38">
        <f>AA25*$B$44/3600</f>
        <v>0.2206405342105264</v>
      </c>
      <c r="AC25">
        <f>SUM($AB$2:AB25)</f>
        <v>7.5605003215886901</v>
      </c>
      <c r="AD25" s="1">
        <f>$B$21*1000/$B$20</f>
        <v>166.66666666666666</v>
      </c>
      <c r="AE25" s="1">
        <f t="shared" si="5"/>
        <v>95.463699807046794</v>
      </c>
      <c r="AF25">
        <f t="shared" si="6"/>
        <v>4.536300192953215</v>
      </c>
    </row>
    <row r="26" spans="1:32" x14ac:dyDescent="0.45">
      <c r="B26" s="29">
        <v>65000</v>
      </c>
      <c r="C26" s="29">
        <f>B26*0.453592</f>
        <v>29483.48</v>
      </c>
      <c r="D26" s="41"/>
      <c r="E26" s="20">
        <f>E25+$B$44</f>
        <v>240</v>
      </c>
      <c r="F26" s="20">
        <f t="shared" si="7"/>
        <v>64.8</v>
      </c>
      <c r="G26" s="20">
        <f>G25+$B$15*(E26-E25)</f>
        <v>96</v>
      </c>
      <c r="H26" s="20">
        <f>IF(G26&gt;$B$16,$B$16,G26)</f>
        <v>18</v>
      </c>
      <c r="I26" s="21">
        <f t="shared" si="8"/>
        <v>0</v>
      </c>
      <c r="J26" s="20">
        <f t="shared" si="9"/>
        <v>6427.2940000000008</v>
      </c>
      <c r="K26" s="20">
        <v>0</v>
      </c>
      <c r="L26" s="20">
        <v>0</v>
      </c>
      <c r="M26" s="20">
        <f t="shared" si="10"/>
        <v>0</v>
      </c>
      <c r="N26" s="20">
        <f t="shared" si="11"/>
        <v>2024.5976100000003</v>
      </c>
      <c r="O26" s="20">
        <f t="shared" si="12"/>
        <v>490.70447999999993</v>
      </c>
      <c r="P26" s="20">
        <f t="shared" si="13"/>
        <v>0</v>
      </c>
      <c r="Q26" s="20">
        <f t="shared" si="14"/>
        <v>2515.3020900000001</v>
      </c>
      <c r="R26" s="20">
        <f t="shared" si="15"/>
        <v>1081.5798987000001</v>
      </c>
      <c r="S26" s="20">
        <f t="shared" si="16"/>
        <v>399.73799660289995</v>
      </c>
      <c r="T26" s="20">
        <f t="shared" si="17"/>
        <v>16.5</v>
      </c>
      <c r="U26" s="20">
        <f>R26/T26/$B$17/$B$10</f>
        <v>17.250078129186605</v>
      </c>
      <c r="V26" s="20">
        <f t="shared" si="18"/>
        <v>6595.6769439478494</v>
      </c>
      <c r="W26" s="38">
        <f t="shared" si="19"/>
        <v>11.914588847368424</v>
      </c>
      <c r="X26" s="38">
        <f>W26*$B$17</f>
        <v>47.658355389473698</v>
      </c>
      <c r="Y26" s="38">
        <v>600</v>
      </c>
      <c r="Z26" s="38">
        <f t="shared" si="20"/>
        <v>79.430592315789497</v>
      </c>
      <c r="AA26" s="38">
        <f t="shared" si="4"/>
        <v>79.430592315789497</v>
      </c>
      <c r="AB26" s="38">
        <f>AA26*$B$44/3600</f>
        <v>0.2206405342105264</v>
      </c>
      <c r="AC26">
        <f>SUM($AB$2:AB26)</f>
        <v>7.7811408557992161</v>
      </c>
      <c r="AD26" s="1">
        <f>$B$21*1000/$B$20</f>
        <v>166.66666666666666</v>
      </c>
      <c r="AE26" s="1">
        <f t="shared" si="5"/>
        <v>95.331315486520481</v>
      </c>
      <c r="AF26">
        <f t="shared" si="6"/>
        <v>4.6686845134795298</v>
      </c>
    </row>
    <row r="27" spans="1:32" x14ac:dyDescent="0.45">
      <c r="B27" s="30" t="s">
        <v>37</v>
      </c>
      <c r="C27" s="30" t="s">
        <v>38</v>
      </c>
      <c r="D27" s="41"/>
      <c r="E27" s="20">
        <f>E26+$B$44</f>
        <v>250</v>
      </c>
      <c r="F27" s="20">
        <f t="shared" si="7"/>
        <v>64.8</v>
      </c>
      <c r="G27" s="20">
        <f>G26+$B$15*(E27-E26)</f>
        <v>100</v>
      </c>
      <c r="H27" s="20">
        <f>IF(G27&gt;$B$16,$B$16,G27)</f>
        <v>18</v>
      </c>
      <c r="I27" s="21">
        <f t="shared" si="8"/>
        <v>0</v>
      </c>
      <c r="J27" s="20">
        <f t="shared" si="9"/>
        <v>6427.2940000000008</v>
      </c>
      <c r="K27" s="20">
        <v>0</v>
      </c>
      <c r="L27" s="20">
        <v>0</v>
      </c>
      <c r="M27" s="20">
        <f t="shared" si="10"/>
        <v>0</v>
      </c>
      <c r="N27" s="20">
        <f t="shared" si="11"/>
        <v>2024.5976100000003</v>
      </c>
      <c r="O27" s="20">
        <f t="shared" si="12"/>
        <v>490.70447999999993</v>
      </c>
      <c r="P27" s="20">
        <f t="shared" si="13"/>
        <v>0</v>
      </c>
      <c r="Q27" s="20">
        <f t="shared" si="14"/>
        <v>2515.3020900000001</v>
      </c>
      <c r="R27" s="20">
        <f t="shared" si="15"/>
        <v>1081.5798987000001</v>
      </c>
      <c r="S27" s="20">
        <f t="shared" si="16"/>
        <v>399.73799660289995</v>
      </c>
      <c r="T27" s="20">
        <f t="shared" si="17"/>
        <v>16.5</v>
      </c>
      <c r="U27" s="20">
        <f>R27/T27/$B$17/$B$10</f>
        <v>17.250078129186605</v>
      </c>
      <c r="V27" s="20">
        <f t="shared" si="18"/>
        <v>6595.6769439478494</v>
      </c>
      <c r="W27" s="38">
        <f t="shared" si="19"/>
        <v>11.914588847368424</v>
      </c>
      <c r="X27" s="38">
        <f>W27*$B$17</f>
        <v>47.658355389473698</v>
      </c>
      <c r="Y27" s="38">
        <v>600</v>
      </c>
      <c r="Z27" s="38">
        <f t="shared" si="20"/>
        <v>79.430592315789497</v>
      </c>
      <c r="AA27" s="38">
        <f t="shared" si="4"/>
        <v>79.430592315789497</v>
      </c>
      <c r="AB27" s="38">
        <f>AA27*$B$44/3600</f>
        <v>0.2206405342105264</v>
      </c>
      <c r="AC27">
        <f>SUM($AB$2:AB27)</f>
        <v>8.001781390009743</v>
      </c>
      <c r="AD27" s="1">
        <f>$B$21*1000/$B$20</f>
        <v>166.66666666666666</v>
      </c>
      <c r="AE27" s="1">
        <f t="shared" si="5"/>
        <v>95.198931165994154</v>
      </c>
      <c r="AF27">
        <f t="shared" si="6"/>
        <v>4.8010688340058456</v>
      </c>
    </row>
    <row r="28" spans="1:32" x14ac:dyDescent="0.45">
      <c r="B28" s="29">
        <v>1</v>
      </c>
      <c r="C28" s="29">
        <f>B28*0.0254</f>
        <v>2.5399999999999999E-2</v>
      </c>
      <c r="D28" s="41"/>
      <c r="E28" s="20">
        <f>E27+$B$44</f>
        <v>260</v>
      </c>
      <c r="F28" s="20">
        <f t="shared" si="7"/>
        <v>64.8</v>
      </c>
      <c r="G28" s="20">
        <f>G27+$B$15*(E28-E27)</f>
        <v>104</v>
      </c>
      <c r="H28" s="20">
        <f>IF(G28&gt;$B$16,$B$16,G28)</f>
        <v>18</v>
      </c>
      <c r="I28" s="21">
        <f t="shared" si="8"/>
        <v>0</v>
      </c>
      <c r="J28" s="20">
        <f t="shared" si="9"/>
        <v>6427.2940000000008</v>
      </c>
      <c r="K28" s="20">
        <v>0</v>
      </c>
      <c r="L28" s="20">
        <v>0</v>
      </c>
      <c r="M28" s="20">
        <f t="shared" si="10"/>
        <v>0</v>
      </c>
      <c r="N28" s="20">
        <f t="shared" si="11"/>
        <v>2024.5976100000003</v>
      </c>
      <c r="O28" s="20">
        <f t="shared" si="12"/>
        <v>490.70447999999993</v>
      </c>
      <c r="P28" s="20">
        <f t="shared" si="13"/>
        <v>0</v>
      </c>
      <c r="Q28" s="20">
        <f t="shared" si="14"/>
        <v>2515.3020900000001</v>
      </c>
      <c r="R28" s="20">
        <f t="shared" si="15"/>
        <v>1081.5798987000001</v>
      </c>
      <c r="S28" s="20">
        <f t="shared" si="16"/>
        <v>399.73799660289995</v>
      </c>
      <c r="T28" s="20">
        <f t="shared" si="17"/>
        <v>16.5</v>
      </c>
      <c r="U28" s="20">
        <f>R28/T28/$B$17/$B$10</f>
        <v>17.250078129186605</v>
      </c>
      <c r="V28" s="20">
        <f t="shared" si="18"/>
        <v>6595.6769439478494</v>
      </c>
      <c r="W28" s="38">
        <f t="shared" si="19"/>
        <v>11.914588847368424</v>
      </c>
      <c r="X28" s="38">
        <f>W28*$B$17</f>
        <v>47.658355389473698</v>
      </c>
      <c r="Y28" s="38">
        <v>600</v>
      </c>
      <c r="Z28" s="38">
        <f t="shared" si="20"/>
        <v>79.430592315789497</v>
      </c>
      <c r="AA28" s="38">
        <f t="shared" si="4"/>
        <v>79.430592315789497</v>
      </c>
      <c r="AB28" s="38">
        <f>AA28*$B$44/3600</f>
        <v>0.2206405342105264</v>
      </c>
      <c r="AC28">
        <f>SUM($AB$2:AB28)</f>
        <v>8.222421924220269</v>
      </c>
      <c r="AD28" s="1">
        <f>$B$21*1000/$B$20</f>
        <v>166.66666666666666</v>
      </c>
      <c r="AE28" s="1">
        <f t="shared" si="5"/>
        <v>95.06654684546784</v>
      </c>
      <c r="AF28">
        <f t="shared" si="6"/>
        <v>4.9334531545321614</v>
      </c>
    </row>
    <row r="29" spans="1:32" x14ac:dyDescent="0.45">
      <c r="B29" s="30" t="s">
        <v>39</v>
      </c>
      <c r="C29" s="30" t="s">
        <v>40</v>
      </c>
      <c r="D29" s="41"/>
      <c r="E29" s="20">
        <f>E28+$B$44</f>
        <v>270</v>
      </c>
      <c r="F29" s="20">
        <f t="shared" si="7"/>
        <v>64.8</v>
      </c>
      <c r="G29" s="20">
        <f>G28+$B$15*(E29-E28)</f>
        <v>108</v>
      </c>
      <c r="H29" s="20">
        <f>IF(G29&gt;$B$16,$B$16,G29)</f>
        <v>18</v>
      </c>
      <c r="I29" s="21">
        <f t="shared" si="8"/>
        <v>0</v>
      </c>
      <c r="J29" s="20">
        <f t="shared" si="9"/>
        <v>6427.2940000000008</v>
      </c>
      <c r="K29" s="20">
        <v>0</v>
      </c>
      <c r="L29" s="20">
        <v>0</v>
      </c>
      <c r="M29" s="20">
        <f t="shared" si="10"/>
        <v>0</v>
      </c>
      <c r="N29" s="20">
        <f t="shared" si="11"/>
        <v>2024.5976100000003</v>
      </c>
      <c r="O29" s="20">
        <f t="shared" si="12"/>
        <v>490.70447999999993</v>
      </c>
      <c r="P29" s="20">
        <f t="shared" si="13"/>
        <v>0</v>
      </c>
      <c r="Q29" s="20">
        <f t="shared" si="14"/>
        <v>2515.3020900000001</v>
      </c>
      <c r="R29" s="20">
        <f t="shared" si="15"/>
        <v>1081.5798987000001</v>
      </c>
      <c r="S29" s="20">
        <f t="shared" si="16"/>
        <v>399.73799660289995</v>
      </c>
      <c r="T29" s="20">
        <f t="shared" si="17"/>
        <v>16.5</v>
      </c>
      <c r="U29" s="20">
        <f>R29/T29/$B$17/$B$10</f>
        <v>17.250078129186605</v>
      </c>
      <c r="V29" s="20">
        <f t="shared" si="18"/>
        <v>6595.6769439478494</v>
      </c>
      <c r="W29" s="38">
        <f t="shared" si="19"/>
        <v>11.914588847368424</v>
      </c>
      <c r="X29" s="38">
        <f>W29*$B$17</f>
        <v>47.658355389473698</v>
      </c>
      <c r="Y29" s="38">
        <v>600</v>
      </c>
      <c r="Z29" s="38">
        <f t="shared" si="20"/>
        <v>79.430592315789497</v>
      </c>
      <c r="AA29" s="38">
        <f t="shared" si="4"/>
        <v>79.430592315789497</v>
      </c>
      <c r="AB29" s="38">
        <f>AA29*$B$44/3600</f>
        <v>0.2206405342105264</v>
      </c>
      <c r="AC29">
        <f>SUM($AB$2:AB29)</f>
        <v>8.4430624584307949</v>
      </c>
      <c r="AD29" s="1">
        <f>$B$21*1000/$B$20</f>
        <v>166.66666666666666</v>
      </c>
      <c r="AE29" s="1">
        <f t="shared" si="5"/>
        <v>94.934162524941513</v>
      </c>
      <c r="AF29">
        <f t="shared" si="6"/>
        <v>5.0658374750584771</v>
      </c>
    </row>
    <row r="30" spans="1:32" x14ac:dyDescent="0.45">
      <c r="B30" s="29">
        <v>1</v>
      </c>
      <c r="C30" s="29">
        <f>B30*4.44822</f>
        <v>4.4482200000000001</v>
      </c>
      <c r="D30" s="41"/>
      <c r="E30" s="20">
        <f>E29+$B$44</f>
        <v>280</v>
      </c>
      <c r="F30" s="20">
        <f t="shared" si="7"/>
        <v>64.8</v>
      </c>
      <c r="G30" s="20">
        <f>G29+$B$15*(E30-E29)</f>
        <v>112</v>
      </c>
      <c r="H30" s="20">
        <f>IF(G30&gt;$B$16,$B$16,G30)</f>
        <v>18</v>
      </c>
      <c r="I30" s="21">
        <f t="shared" si="8"/>
        <v>0</v>
      </c>
      <c r="J30" s="20">
        <f t="shared" si="9"/>
        <v>6427.2940000000008</v>
      </c>
      <c r="K30" s="20">
        <v>0</v>
      </c>
      <c r="L30" s="20">
        <v>0</v>
      </c>
      <c r="M30" s="20">
        <f t="shared" si="10"/>
        <v>0</v>
      </c>
      <c r="N30" s="20">
        <f t="shared" si="11"/>
        <v>2024.5976100000003</v>
      </c>
      <c r="O30" s="20">
        <f t="shared" si="12"/>
        <v>490.70447999999993</v>
      </c>
      <c r="P30" s="20">
        <f t="shared" si="13"/>
        <v>0</v>
      </c>
      <c r="Q30" s="20">
        <f t="shared" si="14"/>
        <v>2515.3020900000001</v>
      </c>
      <c r="R30" s="20">
        <f t="shared" si="15"/>
        <v>1081.5798987000001</v>
      </c>
      <c r="S30" s="20">
        <f t="shared" si="16"/>
        <v>399.73799660289995</v>
      </c>
      <c r="T30" s="20">
        <f t="shared" si="17"/>
        <v>16.5</v>
      </c>
      <c r="U30" s="20">
        <f>R30/T30/$B$17/$B$10</f>
        <v>17.250078129186605</v>
      </c>
      <c r="V30" s="20">
        <f t="shared" si="18"/>
        <v>6595.6769439478494</v>
      </c>
      <c r="W30" s="38">
        <f t="shared" si="19"/>
        <v>11.914588847368424</v>
      </c>
      <c r="X30" s="38">
        <f>W30*$B$17</f>
        <v>47.658355389473698</v>
      </c>
      <c r="Y30" s="38">
        <v>600</v>
      </c>
      <c r="Z30" s="38">
        <f t="shared" si="20"/>
        <v>79.430592315789497</v>
      </c>
      <c r="AA30" s="38">
        <f t="shared" si="4"/>
        <v>79.430592315789497</v>
      </c>
      <c r="AB30" s="38">
        <f>AA30*$B$44/3600</f>
        <v>0.2206405342105264</v>
      </c>
      <c r="AC30">
        <f>SUM($AB$2:AB30)</f>
        <v>8.6637029926413209</v>
      </c>
      <c r="AD30" s="1">
        <f>$B$21*1000/$B$20</f>
        <v>166.66666666666666</v>
      </c>
      <c r="AE30" s="1">
        <f t="shared" si="5"/>
        <v>94.8017782044152</v>
      </c>
      <c r="AF30">
        <f t="shared" si="6"/>
        <v>5.1982217955847929</v>
      </c>
    </row>
    <row r="31" spans="1:32" x14ac:dyDescent="0.45">
      <c r="B31" s="30" t="s">
        <v>41</v>
      </c>
      <c r="C31" s="30" t="s">
        <v>17</v>
      </c>
      <c r="D31" s="41"/>
      <c r="E31" s="20">
        <f>E30+$B$44</f>
        <v>290</v>
      </c>
      <c r="F31" s="20">
        <f t="shared" si="7"/>
        <v>64.8</v>
      </c>
      <c r="G31" s="20">
        <f>G30+$B$15*(E31-E30)</f>
        <v>116</v>
      </c>
      <c r="H31" s="20">
        <f>IF(G31&gt;$B$16,$B$16,G31)</f>
        <v>18</v>
      </c>
      <c r="I31" s="21">
        <f t="shared" si="8"/>
        <v>0</v>
      </c>
      <c r="J31" s="20">
        <f t="shared" si="9"/>
        <v>6427.2940000000008</v>
      </c>
      <c r="K31" s="20">
        <v>0</v>
      </c>
      <c r="L31" s="20">
        <v>0</v>
      </c>
      <c r="M31" s="20">
        <f t="shared" si="10"/>
        <v>0</v>
      </c>
      <c r="N31" s="20">
        <f t="shared" si="11"/>
        <v>2024.5976100000003</v>
      </c>
      <c r="O31" s="20">
        <f t="shared" si="12"/>
        <v>490.70447999999993</v>
      </c>
      <c r="P31" s="20">
        <f t="shared" si="13"/>
        <v>0</v>
      </c>
      <c r="Q31" s="20">
        <f t="shared" si="14"/>
        <v>2515.3020900000001</v>
      </c>
      <c r="R31" s="20">
        <f t="shared" si="15"/>
        <v>1081.5798987000001</v>
      </c>
      <c r="S31" s="20">
        <f t="shared" si="16"/>
        <v>399.73799660289995</v>
      </c>
      <c r="T31" s="20">
        <f t="shared" si="17"/>
        <v>16.5</v>
      </c>
      <c r="U31" s="20">
        <f>R31/T31/$B$17/$B$10</f>
        <v>17.250078129186605</v>
      </c>
      <c r="V31" s="20">
        <f t="shared" si="18"/>
        <v>6595.6769439478494</v>
      </c>
      <c r="W31" s="38">
        <f t="shared" si="19"/>
        <v>11.914588847368424</v>
      </c>
      <c r="X31" s="38">
        <f>W31*$B$17</f>
        <v>47.658355389473698</v>
      </c>
      <c r="Y31" s="38">
        <v>600</v>
      </c>
      <c r="Z31" s="38">
        <f t="shared" si="20"/>
        <v>79.430592315789497</v>
      </c>
      <c r="AA31" s="38">
        <f t="shared" si="4"/>
        <v>79.430592315789497</v>
      </c>
      <c r="AB31" s="38">
        <f>AA31*$B$44/3600</f>
        <v>0.2206405342105264</v>
      </c>
      <c r="AC31">
        <f>SUM($AB$2:AB31)</f>
        <v>8.8843435268518469</v>
      </c>
      <c r="AD31" s="1">
        <f>$B$21*1000/$B$20</f>
        <v>166.66666666666666</v>
      </c>
      <c r="AE31" s="1">
        <f t="shared" si="5"/>
        <v>94.669393883888901</v>
      </c>
      <c r="AF31">
        <f t="shared" si="6"/>
        <v>5.3306061161111078</v>
      </c>
    </row>
    <row r="32" spans="1:32" x14ac:dyDescent="0.45">
      <c r="B32" s="29">
        <v>200</v>
      </c>
      <c r="C32" s="29">
        <f>B32/2.23694</f>
        <v>89.407851797544851</v>
      </c>
      <c r="D32" s="41"/>
      <c r="E32" s="20">
        <f>E31+$B$44</f>
        <v>300</v>
      </c>
      <c r="F32" s="20">
        <f t="shared" si="7"/>
        <v>64.8</v>
      </c>
      <c r="G32" s="20">
        <f>G31+$B$15*(E32-E31)</f>
        <v>120</v>
      </c>
      <c r="H32" s="20">
        <f>IF(G32&gt;$B$16,$B$16,G32)</f>
        <v>18</v>
      </c>
      <c r="I32" s="21">
        <f t="shared" si="8"/>
        <v>0</v>
      </c>
      <c r="J32" s="20">
        <f t="shared" si="9"/>
        <v>6427.2940000000008</v>
      </c>
      <c r="K32" s="20">
        <v>0</v>
      </c>
      <c r="L32" s="20">
        <v>0</v>
      </c>
      <c r="M32" s="20">
        <f t="shared" si="10"/>
        <v>0</v>
      </c>
      <c r="N32" s="20">
        <f t="shared" si="11"/>
        <v>2024.5976100000003</v>
      </c>
      <c r="O32" s="20">
        <f t="shared" si="12"/>
        <v>490.70447999999993</v>
      </c>
      <c r="P32" s="20">
        <f t="shared" si="13"/>
        <v>0</v>
      </c>
      <c r="Q32" s="20">
        <f t="shared" si="14"/>
        <v>2515.3020900000001</v>
      </c>
      <c r="R32" s="20">
        <f t="shared" si="15"/>
        <v>1081.5798987000001</v>
      </c>
      <c r="S32" s="20">
        <f t="shared" si="16"/>
        <v>399.73799660289995</v>
      </c>
      <c r="T32" s="20">
        <f t="shared" si="17"/>
        <v>16.5</v>
      </c>
      <c r="U32" s="20">
        <f>R32/T32/$B$17/$B$10</f>
        <v>17.250078129186605</v>
      </c>
      <c r="V32" s="20">
        <f t="shared" si="18"/>
        <v>6595.6769439478494</v>
      </c>
      <c r="W32" s="38">
        <f t="shared" si="19"/>
        <v>11.914588847368424</v>
      </c>
      <c r="X32" s="38">
        <f>W32*$B$17</f>
        <v>47.658355389473698</v>
      </c>
      <c r="Y32" s="38">
        <v>600</v>
      </c>
      <c r="Z32" s="38">
        <f t="shared" si="20"/>
        <v>79.430592315789497</v>
      </c>
      <c r="AA32" s="38">
        <f t="shared" si="4"/>
        <v>79.430592315789497</v>
      </c>
      <c r="AB32" s="38">
        <f>AA32*$B$44/3600</f>
        <v>0.2206405342105264</v>
      </c>
      <c r="AC32">
        <f>SUM($AB$2:AB32)</f>
        <v>9.1049840610623729</v>
      </c>
      <c r="AD32" s="1">
        <f>$B$21*1000/$B$20</f>
        <v>166.66666666666666</v>
      </c>
      <c r="AE32" s="1">
        <f t="shared" si="5"/>
        <v>94.537009563362574</v>
      </c>
      <c r="AF32">
        <f t="shared" si="6"/>
        <v>5.4629904366374245</v>
      </c>
    </row>
    <row r="33" spans="1:32" x14ac:dyDescent="0.45">
      <c r="B33" s="30" t="s">
        <v>42</v>
      </c>
      <c r="C33" s="30" t="s">
        <v>17</v>
      </c>
      <c r="D33" s="41"/>
      <c r="E33" s="20">
        <f>E32+$B$44</f>
        <v>310</v>
      </c>
      <c r="F33" s="20">
        <f t="shared" si="7"/>
        <v>64.8</v>
      </c>
      <c r="G33" s="20">
        <f>G32+$B$15*(E33-E32)</f>
        <v>124</v>
      </c>
      <c r="H33" s="20">
        <f>IF(G33&gt;$B$16,$B$16,G33)</f>
        <v>18</v>
      </c>
      <c r="I33" s="21">
        <f t="shared" si="8"/>
        <v>0</v>
      </c>
      <c r="J33" s="20">
        <f t="shared" si="9"/>
        <v>6427.2940000000008</v>
      </c>
      <c r="K33" s="20">
        <v>0</v>
      </c>
      <c r="L33" s="20">
        <v>0</v>
      </c>
      <c r="M33" s="20">
        <f t="shared" si="10"/>
        <v>0</v>
      </c>
      <c r="N33" s="20">
        <f t="shared" si="11"/>
        <v>2024.5976100000003</v>
      </c>
      <c r="O33" s="20">
        <f t="shared" si="12"/>
        <v>490.70447999999993</v>
      </c>
      <c r="P33" s="20">
        <f t="shared" si="13"/>
        <v>0</v>
      </c>
      <c r="Q33" s="20">
        <f t="shared" si="14"/>
        <v>2515.3020900000001</v>
      </c>
      <c r="R33" s="20">
        <f t="shared" si="15"/>
        <v>1081.5798987000001</v>
      </c>
      <c r="S33" s="20">
        <f t="shared" si="16"/>
        <v>399.73799660289995</v>
      </c>
      <c r="T33" s="20">
        <f t="shared" si="17"/>
        <v>16.5</v>
      </c>
      <c r="U33" s="20">
        <f>R33/T33/$B$17/$B$10</f>
        <v>17.250078129186605</v>
      </c>
      <c r="V33" s="20">
        <f t="shared" si="18"/>
        <v>6595.6769439478494</v>
      </c>
      <c r="W33" s="38">
        <f t="shared" si="19"/>
        <v>11.914588847368424</v>
      </c>
      <c r="X33" s="38">
        <f>W33*$B$17</f>
        <v>47.658355389473698</v>
      </c>
      <c r="Y33" s="38">
        <v>600</v>
      </c>
      <c r="Z33" s="38">
        <f t="shared" si="20"/>
        <v>79.430592315789497</v>
      </c>
      <c r="AA33" s="38">
        <f t="shared" si="4"/>
        <v>79.430592315789497</v>
      </c>
      <c r="AB33" s="38">
        <f>AA33*$B$44/3600</f>
        <v>0.2206405342105264</v>
      </c>
      <c r="AC33">
        <f>SUM($AB$2:AB33)</f>
        <v>9.3256245952728989</v>
      </c>
      <c r="AD33" s="1">
        <f>$B$21*1000/$B$20</f>
        <v>166.66666666666666</v>
      </c>
      <c r="AE33" s="1">
        <f t="shared" si="5"/>
        <v>94.404625242836261</v>
      </c>
      <c r="AF33">
        <f t="shared" si="6"/>
        <v>5.5953747571637393</v>
      </c>
    </row>
    <row r="34" spans="1:32" x14ac:dyDescent="0.45">
      <c r="B34" s="29">
        <v>50</v>
      </c>
      <c r="C34" s="29">
        <f>B34*0.277778</f>
        <v>13.888900000000001</v>
      </c>
      <c r="D34" s="41"/>
      <c r="E34" s="20">
        <f>E33+$B$44</f>
        <v>320</v>
      </c>
      <c r="F34" s="20">
        <f t="shared" si="7"/>
        <v>64.8</v>
      </c>
      <c r="G34" s="20">
        <f>G33+$B$15*(E34-E33)</f>
        <v>128</v>
      </c>
      <c r="H34" s="20">
        <f>IF(G34&gt;$B$16,$B$16,G34)</f>
        <v>18</v>
      </c>
      <c r="I34" s="21">
        <f t="shared" si="8"/>
        <v>0</v>
      </c>
      <c r="J34" s="20">
        <f t="shared" si="9"/>
        <v>6427.2940000000008</v>
      </c>
      <c r="K34" s="20">
        <v>0</v>
      </c>
      <c r="L34" s="20">
        <v>0</v>
      </c>
      <c r="M34" s="20">
        <f t="shared" si="10"/>
        <v>0</v>
      </c>
      <c r="N34" s="20">
        <f t="shared" si="11"/>
        <v>2024.5976100000003</v>
      </c>
      <c r="O34" s="20">
        <f t="shared" si="12"/>
        <v>490.70447999999993</v>
      </c>
      <c r="P34" s="20">
        <f t="shared" si="13"/>
        <v>0</v>
      </c>
      <c r="Q34" s="20">
        <f t="shared" si="14"/>
        <v>2515.3020900000001</v>
      </c>
      <c r="R34" s="20">
        <f t="shared" si="15"/>
        <v>1081.5798987000001</v>
      </c>
      <c r="S34" s="20">
        <f t="shared" si="16"/>
        <v>399.73799660289995</v>
      </c>
      <c r="T34" s="20">
        <f t="shared" si="17"/>
        <v>16.5</v>
      </c>
      <c r="U34" s="20">
        <f>R34/T34/$B$17/$B$10</f>
        <v>17.250078129186605</v>
      </c>
      <c r="V34" s="20">
        <f t="shared" si="18"/>
        <v>6595.6769439478494</v>
      </c>
      <c r="W34" s="38">
        <f t="shared" si="19"/>
        <v>11.914588847368424</v>
      </c>
      <c r="X34" s="38">
        <f>W34*$B$17</f>
        <v>47.658355389473698</v>
      </c>
      <c r="Y34" s="38">
        <v>600</v>
      </c>
      <c r="Z34" s="38">
        <f t="shared" si="20"/>
        <v>79.430592315789497</v>
      </c>
      <c r="AA34" s="38">
        <f t="shared" si="4"/>
        <v>39.715296157894748</v>
      </c>
      <c r="AB34" s="38">
        <f>AA34*$B$44/3600</f>
        <v>0.1103202671052632</v>
      </c>
      <c r="AC34">
        <f>SUM($AB$2:AB34)</f>
        <v>9.4359448623781628</v>
      </c>
      <c r="AD34" s="1">
        <f>$B$21*1000/$B$20</f>
        <v>166.66666666666666</v>
      </c>
      <c r="AE34" s="1">
        <f t="shared" si="5"/>
        <v>94.338433082573104</v>
      </c>
      <c r="AF34">
        <f t="shared" si="6"/>
        <v>5.6615669174268977</v>
      </c>
    </row>
    <row r="35" spans="1:32" x14ac:dyDescent="0.45">
      <c r="B35" s="30" t="s">
        <v>43</v>
      </c>
      <c r="C35" s="30" t="s">
        <v>44</v>
      </c>
      <c r="D35" s="41"/>
      <c r="E35" s="55">
        <f>E34+$B$44</f>
        <v>330</v>
      </c>
      <c r="F35" s="55">
        <f t="shared" si="7"/>
        <v>0</v>
      </c>
      <c r="G35" s="55">
        <v>0</v>
      </c>
      <c r="H35" s="55">
        <f>IF(G35&gt;$B$13,$B$13,G35)</f>
        <v>0</v>
      </c>
      <c r="I35" s="56">
        <f t="shared" si="8"/>
        <v>-1.8</v>
      </c>
      <c r="J35" s="55" t="e">
        <f t="shared" si="9"/>
        <v>#DIV/0!</v>
      </c>
      <c r="K35" s="55">
        <v>0</v>
      </c>
      <c r="L35" s="55">
        <v>0</v>
      </c>
      <c r="M35" s="55">
        <f t="shared" si="10"/>
        <v>0</v>
      </c>
      <c r="N35" s="55">
        <f t="shared" si="11"/>
        <v>2024.5976100000003</v>
      </c>
      <c r="O35" s="55">
        <f t="shared" si="12"/>
        <v>0</v>
      </c>
      <c r="P35" s="55">
        <f t="shared" si="13"/>
        <v>-53069.4</v>
      </c>
      <c r="Q35" s="55">
        <f t="shared" si="14"/>
        <v>-51044.802390000004</v>
      </c>
      <c r="R35" s="55">
        <f t="shared" si="15"/>
        <v>-21949.265027700003</v>
      </c>
      <c r="S35" s="55">
        <f t="shared" si="16"/>
        <v>0</v>
      </c>
      <c r="T35" s="55">
        <f t="shared" si="17"/>
        <v>16.5</v>
      </c>
      <c r="U35" s="55">
        <f>R35/T35/$B$17/$B$10</f>
        <v>-350.06802277033501</v>
      </c>
      <c r="V35" s="55">
        <f t="shared" si="18"/>
        <v>0</v>
      </c>
      <c r="W35" s="57">
        <f t="shared" si="19"/>
        <v>0</v>
      </c>
      <c r="X35" s="57">
        <f>W35*$B$17</f>
        <v>0</v>
      </c>
      <c r="Y35" s="57">
        <v>600</v>
      </c>
      <c r="Z35" s="57">
        <f t="shared" si="20"/>
        <v>0</v>
      </c>
      <c r="AA35" s="57">
        <f t="shared" si="4"/>
        <v>0.20345989080701757</v>
      </c>
      <c r="AB35" s="57">
        <f>AA35*$B$44/3600</f>
        <v>5.6516636335282664E-4</v>
      </c>
      <c r="AC35">
        <f>SUM($AB$2:AB35)</f>
        <v>9.436510028741516</v>
      </c>
      <c r="AD35" s="1">
        <f>$B$21*1000/$B$20</f>
        <v>166.66666666666666</v>
      </c>
      <c r="AE35" s="1">
        <f t="shared" si="5"/>
        <v>94.338093982755097</v>
      </c>
      <c r="AF35">
        <f t="shared" si="6"/>
        <v>5.6619060172449096</v>
      </c>
    </row>
    <row r="36" spans="1:32" x14ac:dyDescent="0.45">
      <c r="B36" s="29">
        <v>1</v>
      </c>
      <c r="C36" s="29">
        <f>B36*1.35582</f>
        <v>1.35582</v>
      </c>
      <c r="D36" s="41"/>
      <c r="E36" s="55">
        <f>E35+$B$44</f>
        <v>340</v>
      </c>
      <c r="F36" s="55">
        <f t="shared" si="7"/>
        <v>0.36</v>
      </c>
      <c r="G36" s="55">
        <f>G35+$B$14*(E36-E35)</f>
        <v>0.1</v>
      </c>
      <c r="H36" s="55">
        <f t="shared" ref="H36:H55" si="21">IF(G36&gt;$B$13,$B$13,G36)</f>
        <v>0.1</v>
      </c>
      <c r="I36" s="56">
        <f t="shared" si="8"/>
        <v>0.01</v>
      </c>
      <c r="J36" s="55">
        <f t="shared" si="9"/>
        <v>1156912.9200000002</v>
      </c>
      <c r="K36" s="55">
        <v>0</v>
      </c>
      <c r="L36" s="55">
        <v>0</v>
      </c>
      <c r="M36" s="55">
        <f t="shared" si="10"/>
        <v>0</v>
      </c>
      <c r="N36" s="55">
        <f t="shared" si="11"/>
        <v>2024.5976100000003</v>
      </c>
      <c r="O36" s="55">
        <f t="shared" si="12"/>
        <v>1.5145200000000001E-2</v>
      </c>
      <c r="P36" s="55">
        <f t="shared" si="13"/>
        <v>294.83</v>
      </c>
      <c r="Q36" s="55">
        <f t="shared" si="14"/>
        <v>2319.4427552000002</v>
      </c>
      <c r="R36" s="55">
        <f t="shared" si="15"/>
        <v>997.36038473600001</v>
      </c>
      <c r="S36" s="55">
        <f t="shared" si="16"/>
        <v>2.2207666477938885</v>
      </c>
      <c r="T36" s="55">
        <f t="shared" si="17"/>
        <v>16.5</v>
      </c>
      <c r="U36" s="55">
        <f>R36/T36/$B$17/$B$10</f>
        <v>15.906864190366827</v>
      </c>
      <c r="V36" s="55">
        <f t="shared" si="18"/>
        <v>36.642649688599164</v>
      </c>
      <c r="W36" s="57">
        <f t="shared" si="19"/>
        <v>6.1037967242105272E-2</v>
      </c>
      <c r="X36" s="57">
        <f>W36*$B$17</f>
        <v>0.24415186896842109</v>
      </c>
      <c r="Y36" s="57">
        <v>600</v>
      </c>
      <c r="Z36" s="57">
        <f t="shared" si="20"/>
        <v>0.40691978161403514</v>
      </c>
      <c r="AA36" s="57">
        <f t="shared" si="4"/>
        <v>0.61038764357894748</v>
      </c>
      <c r="AB36" s="57">
        <f>AA36*$B$44/3600</f>
        <v>1.6955212321637431E-3</v>
      </c>
      <c r="AC36">
        <f>SUM($AB$2:AB36)</f>
        <v>9.438205549973679</v>
      </c>
      <c r="AD36" s="1">
        <f>$B$21*1000/$B$20</f>
        <v>166.66666666666666</v>
      </c>
      <c r="AE36" s="1">
        <f t="shared" si="5"/>
        <v>94.33707667001579</v>
      </c>
      <c r="AF36">
        <f t="shared" si="6"/>
        <v>5.6629233299842081</v>
      </c>
    </row>
    <row r="37" spans="1:32" x14ac:dyDescent="0.45">
      <c r="B37" s="30" t="s">
        <v>45</v>
      </c>
      <c r="C37" s="30" t="s">
        <v>46</v>
      </c>
      <c r="D37" s="41"/>
      <c r="E37" s="55">
        <f>E36+$B$44</f>
        <v>350</v>
      </c>
      <c r="F37" s="55">
        <f t="shared" si="7"/>
        <v>0.72</v>
      </c>
      <c r="G37" s="55">
        <f t="shared" ref="G37:G55" si="22">G36+$B$14*(E37-E36)</f>
        <v>0.2</v>
      </c>
      <c r="H37" s="55">
        <f t="shared" si="21"/>
        <v>0.2</v>
      </c>
      <c r="I37" s="56">
        <f t="shared" si="8"/>
        <v>0.01</v>
      </c>
      <c r="J37" s="55">
        <f t="shared" si="9"/>
        <v>578456.46000000008</v>
      </c>
      <c r="K37" s="55">
        <v>0</v>
      </c>
      <c r="L37" s="55">
        <v>0</v>
      </c>
      <c r="M37" s="55">
        <f t="shared" si="10"/>
        <v>0</v>
      </c>
      <c r="N37" s="55">
        <f t="shared" si="11"/>
        <v>2024.5976100000003</v>
      </c>
      <c r="O37" s="55">
        <f t="shared" si="12"/>
        <v>6.0580800000000004E-2</v>
      </c>
      <c r="P37" s="55">
        <f t="shared" si="13"/>
        <v>294.83</v>
      </c>
      <c r="Q37" s="55">
        <f t="shared" si="14"/>
        <v>2319.4881908000002</v>
      </c>
      <c r="R37" s="55">
        <f t="shared" si="15"/>
        <v>997.37992204400007</v>
      </c>
      <c r="S37" s="55">
        <f t="shared" si="16"/>
        <v>4.4415332955877771</v>
      </c>
      <c r="T37" s="55">
        <f t="shared" si="17"/>
        <v>16.5</v>
      </c>
      <c r="U37" s="55">
        <f>R37/T37/$B$17/$B$10</f>
        <v>15.90717579017544</v>
      </c>
      <c r="V37" s="55">
        <f t="shared" si="18"/>
        <v>73.285299377198328</v>
      </c>
      <c r="W37" s="57">
        <f t="shared" si="19"/>
        <v>0.12207832583157896</v>
      </c>
      <c r="X37" s="57">
        <f>W37*$B$17</f>
        <v>0.48831330332631584</v>
      </c>
      <c r="Y37" s="57">
        <v>600</v>
      </c>
      <c r="Z37" s="57">
        <f t="shared" si="20"/>
        <v>0.81385550554385977</v>
      </c>
      <c r="AA37" s="57">
        <f t="shared" si="4"/>
        <v>1.0173393098245618</v>
      </c>
      <c r="AB37" s="57">
        <f>AA37*$B$44/3600</f>
        <v>2.8259425272904497E-3</v>
      </c>
      <c r="AC37">
        <f>SUM($AB$2:AB37)</f>
        <v>9.4410314925009686</v>
      </c>
      <c r="AD37" s="1">
        <f>$B$21*1000/$B$20</f>
        <v>166.66666666666666</v>
      </c>
      <c r="AE37" s="1">
        <f t="shared" si="5"/>
        <v>94.335381104499419</v>
      </c>
      <c r="AF37">
        <f t="shared" si="6"/>
        <v>5.6646188955005812</v>
      </c>
    </row>
    <row r="38" spans="1:32" x14ac:dyDescent="0.45">
      <c r="B38" s="29">
        <v>100</v>
      </c>
      <c r="C38" s="29">
        <f>B38*0.7457</f>
        <v>74.570000000000007</v>
      </c>
      <c r="D38" s="41"/>
      <c r="E38" s="55">
        <f>E37+$B$44</f>
        <v>360</v>
      </c>
      <c r="F38" s="55">
        <f t="shared" si="7"/>
        <v>1.0800000000000003</v>
      </c>
      <c r="G38" s="55">
        <f t="shared" si="22"/>
        <v>0.30000000000000004</v>
      </c>
      <c r="H38" s="55">
        <f t="shared" si="21"/>
        <v>0.30000000000000004</v>
      </c>
      <c r="I38" s="56">
        <f t="shared" si="8"/>
        <v>1.0000000000000004E-2</v>
      </c>
      <c r="J38" s="55">
        <f t="shared" si="9"/>
        <v>385637.64</v>
      </c>
      <c r="K38" s="55">
        <v>0</v>
      </c>
      <c r="L38" s="55">
        <v>0</v>
      </c>
      <c r="M38" s="55">
        <f t="shared" si="10"/>
        <v>0</v>
      </c>
      <c r="N38" s="55">
        <f t="shared" si="11"/>
        <v>2024.5976100000003</v>
      </c>
      <c r="O38" s="55">
        <f t="shared" si="12"/>
        <v>0.13630680000000003</v>
      </c>
      <c r="P38" s="55">
        <f t="shared" si="13"/>
        <v>294.8300000000001</v>
      </c>
      <c r="Q38" s="55">
        <f t="shared" si="14"/>
        <v>2319.5639168000002</v>
      </c>
      <c r="R38" s="55">
        <f t="shared" si="15"/>
        <v>997.41248422400008</v>
      </c>
      <c r="S38" s="55">
        <f t="shared" si="16"/>
        <v>6.662299943381667</v>
      </c>
      <c r="T38" s="55">
        <f t="shared" si="17"/>
        <v>16.5</v>
      </c>
      <c r="U38" s="55">
        <f>R38/T38/$B$17/$B$10</f>
        <v>15.907695123189795</v>
      </c>
      <c r="V38" s="55">
        <f t="shared" si="18"/>
        <v>109.92794906579751</v>
      </c>
      <c r="W38" s="57">
        <f t="shared" si="19"/>
        <v>0.18312346711578953</v>
      </c>
      <c r="X38" s="57">
        <f>W38*$B$17</f>
        <v>0.73249386846315812</v>
      </c>
      <c r="Y38" s="57">
        <v>600</v>
      </c>
      <c r="Z38" s="57">
        <f t="shared" si="20"/>
        <v>1.2208231141052637</v>
      </c>
      <c r="AA38" s="57">
        <f t="shared" si="4"/>
        <v>1.2208231141052637</v>
      </c>
      <c r="AB38" s="57">
        <f>AA38*$B$44/3600</f>
        <v>3.3911753169590655E-3</v>
      </c>
      <c r="AC38">
        <f>SUM($AB$2:AB38)</f>
        <v>9.4444226678179284</v>
      </c>
      <c r="AD38" s="1">
        <f>$B$21*1000/$B$20</f>
        <v>166.66666666666666</v>
      </c>
      <c r="AE38" s="1">
        <f t="shared" si="5"/>
        <v>94.333346399309249</v>
      </c>
      <c r="AF38">
        <f t="shared" si="6"/>
        <v>5.6666536006907569</v>
      </c>
    </row>
    <row r="39" spans="1:32" x14ac:dyDescent="0.45">
      <c r="B39" s="31" t="s">
        <v>16</v>
      </c>
      <c r="C39" s="31"/>
      <c r="D39" s="41"/>
      <c r="E39" s="55">
        <f>E38+$B$44</f>
        <v>370</v>
      </c>
      <c r="F39" s="55">
        <f t="shared" si="7"/>
        <v>1.08</v>
      </c>
      <c r="G39" s="55">
        <f t="shared" si="22"/>
        <v>0.4</v>
      </c>
      <c r="H39" s="55">
        <f t="shared" si="21"/>
        <v>0.3</v>
      </c>
      <c r="I39" s="56">
        <f t="shared" si="8"/>
        <v>-5.551115123125783E-18</v>
      </c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7"/>
      <c r="X39" s="57"/>
      <c r="Y39" s="57"/>
      <c r="Z39" s="57"/>
      <c r="AA39" s="57"/>
      <c r="AB39" s="57"/>
      <c r="AC39">
        <f>SUM($AB$2:AB39)</f>
        <v>9.4444226678179284</v>
      </c>
      <c r="AD39" s="1">
        <f>$B$21*1000/$B$20</f>
        <v>166.66666666666666</v>
      </c>
      <c r="AE39" s="1">
        <f t="shared" si="5"/>
        <v>94.333346399309249</v>
      </c>
      <c r="AF39">
        <f t="shared" si="6"/>
        <v>5.6666536006907569</v>
      </c>
    </row>
    <row r="40" spans="1:32" x14ac:dyDescent="0.45">
      <c r="B40" s="26" t="s">
        <v>83</v>
      </c>
      <c r="C40" s="26">
        <v>100</v>
      </c>
      <c r="D40" s="41"/>
      <c r="E40" s="55">
        <f>E39+$B$44</f>
        <v>380</v>
      </c>
      <c r="F40" s="55">
        <f t="shared" si="7"/>
        <v>1.08</v>
      </c>
      <c r="G40" s="55">
        <f t="shared" si="22"/>
        <v>0.5</v>
      </c>
      <c r="H40" s="55">
        <f t="shared" si="21"/>
        <v>0.3</v>
      </c>
      <c r="I40" s="56">
        <f t="shared" si="8"/>
        <v>0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7"/>
      <c r="X40" s="57"/>
      <c r="Y40" s="57"/>
      <c r="Z40" s="57"/>
      <c r="AA40" s="57"/>
      <c r="AB40" s="57"/>
      <c r="AC40">
        <f>SUM($AB$2:AB40)</f>
        <v>9.4444226678179284</v>
      </c>
      <c r="AD40" s="1">
        <f>$B$21*1000/$B$20</f>
        <v>166.66666666666666</v>
      </c>
      <c r="AE40" s="1">
        <f t="shared" si="5"/>
        <v>94.333346399309249</v>
      </c>
      <c r="AF40">
        <f t="shared" si="6"/>
        <v>5.6666536006907569</v>
      </c>
    </row>
    <row r="41" spans="1:32" x14ac:dyDescent="0.45">
      <c r="B41" s="26" t="s">
        <v>84</v>
      </c>
      <c r="C41" s="26">
        <v>60</v>
      </c>
      <c r="D41" s="41"/>
      <c r="E41" s="55">
        <f>E40+$B$44</f>
        <v>390</v>
      </c>
      <c r="F41" s="55">
        <f t="shared" si="7"/>
        <v>1.08</v>
      </c>
      <c r="G41" s="55">
        <f t="shared" si="22"/>
        <v>0.6</v>
      </c>
      <c r="H41" s="55">
        <f t="shared" si="21"/>
        <v>0.3</v>
      </c>
      <c r="I41" s="56">
        <f t="shared" si="8"/>
        <v>0</v>
      </c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7"/>
      <c r="X41" s="57"/>
      <c r="Y41" s="57"/>
      <c r="Z41" s="57"/>
      <c r="AA41" s="57"/>
      <c r="AB41" s="57"/>
      <c r="AC41">
        <f>SUM($AB$2:AB41)</f>
        <v>9.4444226678179284</v>
      </c>
      <c r="AD41" s="1">
        <f>$B$21*1000/$B$20</f>
        <v>166.66666666666666</v>
      </c>
      <c r="AE41" s="1">
        <f t="shared" si="5"/>
        <v>94.333346399309249</v>
      </c>
      <c r="AF41">
        <f t="shared" si="6"/>
        <v>5.6666536006907569</v>
      </c>
    </row>
    <row r="42" spans="1:32" x14ac:dyDescent="0.45">
      <c r="B42" s="26" t="s">
        <v>5</v>
      </c>
      <c r="C42" s="28">
        <f>1000*C40/3600/C41</f>
        <v>0.46296296296296297</v>
      </c>
      <c r="D42" s="41"/>
      <c r="E42" s="55">
        <f>E41+$B$44</f>
        <v>400</v>
      </c>
      <c r="F42" s="55">
        <f t="shared" si="7"/>
        <v>1.08</v>
      </c>
      <c r="G42" s="55">
        <f t="shared" si="22"/>
        <v>0.7</v>
      </c>
      <c r="H42" s="55">
        <f t="shared" si="21"/>
        <v>0.3</v>
      </c>
      <c r="I42" s="56">
        <f t="shared" si="8"/>
        <v>0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7"/>
      <c r="X42" s="57"/>
      <c r="Y42" s="57"/>
      <c r="Z42" s="57"/>
      <c r="AA42" s="57"/>
      <c r="AB42" s="57"/>
      <c r="AC42">
        <f>SUM($AB$2:AB42)</f>
        <v>9.4444226678179284</v>
      </c>
      <c r="AD42" s="1">
        <f>$B$21*1000/$B$20</f>
        <v>166.66666666666666</v>
      </c>
      <c r="AE42" s="1">
        <f t="shared" si="5"/>
        <v>94.333346399309249</v>
      </c>
      <c r="AF42">
        <f t="shared" si="6"/>
        <v>5.6666536006907569</v>
      </c>
    </row>
    <row r="43" spans="1:32" ht="14.65" thickBot="1" x14ac:dyDescent="0.5">
      <c r="D43" s="41"/>
      <c r="E43" s="55">
        <f>E42+$B$44</f>
        <v>410</v>
      </c>
      <c r="F43" s="55">
        <f t="shared" si="7"/>
        <v>1.08</v>
      </c>
      <c r="G43" s="55">
        <f t="shared" si="22"/>
        <v>0.79999999999999993</v>
      </c>
      <c r="H43" s="55">
        <f t="shared" si="21"/>
        <v>0.3</v>
      </c>
      <c r="I43" s="56">
        <f t="shared" si="8"/>
        <v>0</v>
      </c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7"/>
      <c r="X43" s="57"/>
      <c r="Y43" s="57"/>
      <c r="Z43" s="57"/>
      <c r="AA43" s="57"/>
      <c r="AB43" s="57"/>
      <c r="AC43">
        <f>SUM($AB$2:AB43)</f>
        <v>9.4444226678179284</v>
      </c>
      <c r="AD43" s="1">
        <f>$B$21*1000/$B$20</f>
        <v>166.66666666666666</v>
      </c>
      <c r="AE43" s="1">
        <f t="shared" si="5"/>
        <v>94.333346399309249</v>
      </c>
      <c r="AF43">
        <f t="shared" si="6"/>
        <v>5.6666536006907569</v>
      </c>
    </row>
    <row r="44" spans="1:32" ht="15" thickTop="1" thickBot="1" x14ac:dyDescent="0.5">
      <c r="A44" s="33" t="s">
        <v>128</v>
      </c>
      <c r="B44" s="34">
        <v>10</v>
      </c>
      <c r="C44" s="33" t="s">
        <v>84</v>
      </c>
      <c r="D44" s="41"/>
      <c r="E44" s="55">
        <f>E43+$B$44</f>
        <v>420</v>
      </c>
      <c r="F44" s="55">
        <f t="shared" si="7"/>
        <v>1.08</v>
      </c>
      <c r="G44" s="55">
        <f t="shared" si="22"/>
        <v>0.89999999999999991</v>
      </c>
      <c r="H44" s="55">
        <f t="shared" si="21"/>
        <v>0.3</v>
      </c>
      <c r="I44" s="56">
        <f t="shared" si="8"/>
        <v>0</v>
      </c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7"/>
      <c r="X44" s="57"/>
      <c r="Y44" s="57"/>
      <c r="Z44" s="57"/>
      <c r="AA44" s="57"/>
      <c r="AB44" s="57"/>
      <c r="AC44">
        <f>SUM($AB$2:AB44)</f>
        <v>9.4444226678179284</v>
      </c>
      <c r="AD44" s="1">
        <f>$B$21*1000/$B$20</f>
        <v>166.66666666666666</v>
      </c>
      <c r="AE44" s="1">
        <f t="shared" si="5"/>
        <v>94.333346399309249</v>
      </c>
      <c r="AF44">
        <f t="shared" si="6"/>
        <v>5.6666536006907569</v>
      </c>
    </row>
    <row r="45" spans="1:32" ht="14.65" thickTop="1" x14ac:dyDescent="0.45">
      <c r="E45" s="55">
        <f>E44+$B$44</f>
        <v>430</v>
      </c>
      <c r="F45" s="55">
        <f t="shared" si="7"/>
        <v>1.08</v>
      </c>
      <c r="G45" s="55">
        <f t="shared" si="22"/>
        <v>0.99999999999999989</v>
      </c>
      <c r="H45" s="55">
        <f t="shared" si="21"/>
        <v>0.3</v>
      </c>
      <c r="I45" s="56">
        <f t="shared" si="8"/>
        <v>0</v>
      </c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7"/>
      <c r="X45" s="57"/>
      <c r="Y45" s="57"/>
      <c r="Z45" s="57"/>
      <c r="AA45" s="57"/>
      <c r="AB45" s="57"/>
      <c r="AD45" s="1"/>
      <c r="AE45" s="1"/>
    </row>
    <row r="46" spans="1:32" x14ac:dyDescent="0.45">
      <c r="E46" s="55">
        <f>E45+$B$44</f>
        <v>440</v>
      </c>
      <c r="F46" s="55">
        <f t="shared" si="7"/>
        <v>1.08</v>
      </c>
      <c r="G46" s="55">
        <f t="shared" si="22"/>
        <v>1.0999999999999999</v>
      </c>
      <c r="H46" s="55">
        <f t="shared" si="21"/>
        <v>0.3</v>
      </c>
      <c r="I46" s="56">
        <f t="shared" si="8"/>
        <v>0</v>
      </c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7"/>
      <c r="X46" s="57"/>
      <c r="Y46" s="57"/>
      <c r="Z46" s="57"/>
      <c r="AA46" s="57"/>
      <c r="AB46" s="57"/>
      <c r="AD46" s="1"/>
      <c r="AE46" s="1"/>
    </row>
    <row r="47" spans="1:32" x14ac:dyDescent="0.45">
      <c r="E47" s="55">
        <f>E46+$B$44</f>
        <v>450</v>
      </c>
      <c r="F47" s="55">
        <f t="shared" si="7"/>
        <v>1.08</v>
      </c>
      <c r="G47" s="55">
        <f t="shared" si="22"/>
        <v>1.2</v>
      </c>
      <c r="H47" s="55">
        <f t="shared" si="21"/>
        <v>0.3</v>
      </c>
      <c r="I47" s="56">
        <f t="shared" si="8"/>
        <v>0</v>
      </c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7"/>
      <c r="X47" s="57"/>
      <c r="Y47" s="57"/>
      <c r="Z47" s="57"/>
      <c r="AA47" s="57"/>
      <c r="AB47" s="57"/>
      <c r="AD47" s="1"/>
      <c r="AE47" s="1"/>
    </row>
    <row r="48" spans="1:32" x14ac:dyDescent="0.45">
      <c r="E48" s="55">
        <f>E47+$B$44</f>
        <v>460</v>
      </c>
      <c r="F48" s="55">
        <f t="shared" si="7"/>
        <v>1.08</v>
      </c>
      <c r="G48" s="55">
        <f t="shared" si="22"/>
        <v>1.3</v>
      </c>
      <c r="H48" s="55">
        <f t="shared" si="21"/>
        <v>0.3</v>
      </c>
      <c r="I48" s="56">
        <f t="shared" si="8"/>
        <v>0</v>
      </c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7"/>
      <c r="X48" s="57"/>
      <c r="Y48" s="57"/>
      <c r="Z48" s="57"/>
      <c r="AA48" s="57"/>
      <c r="AB48" s="57"/>
      <c r="AD48" s="1"/>
      <c r="AE48" s="1"/>
    </row>
    <row r="49" spans="5:32" x14ac:dyDescent="0.45">
      <c r="E49" s="55">
        <f>E48+$B$44</f>
        <v>470</v>
      </c>
      <c r="F49" s="55">
        <f t="shared" si="7"/>
        <v>1.08</v>
      </c>
      <c r="G49" s="55">
        <f t="shared" si="22"/>
        <v>1.4000000000000001</v>
      </c>
      <c r="H49" s="55">
        <f t="shared" si="21"/>
        <v>0.3</v>
      </c>
      <c r="I49" s="56">
        <f t="shared" si="8"/>
        <v>0</v>
      </c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7"/>
      <c r="X49" s="57"/>
      <c r="Y49" s="57"/>
      <c r="Z49" s="57"/>
      <c r="AA49" s="57"/>
      <c r="AB49" s="57"/>
      <c r="AD49" s="1"/>
      <c r="AE49" s="1"/>
    </row>
    <row r="50" spans="5:32" x14ac:dyDescent="0.45">
      <c r="E50" s="55">
        <f>E49+$B$44</f>
        <v>480</v>
      </c>
      <c r="F50" s="55">
        <f t="shared" si="7"/>
        <v>1.08</v>
      </c>
      <c r="G50" s="55">
        <f t="shared" si="22"/>
        <v>1.5000000000000002</v>
      </c>
      <c r="H50" s="55">
        <f t="shared" si="21"/>
        <v>0.3</v>
      </c>
      <c r="I50" s="56">
        <f t="shared" si="8"/>
        <v>0</v>
      </c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7"/>
      <c r="X50" s="57"/>
      <c r="Y50" s="57"/>
      <c r="Z50" s="57"/>
      <c r="AA50" s="57"/>
      <c r="AB50" s="57"/>
      <c r="AD50" s="1"/>
      <c r="AE50" s="1"/>
    </row>
    <row r="51" spans="5:32" x14ac:dyDescent="0.45">
      <c r="E51" s="20">
        <f>E50+$B$44</f>
        <v>490</v>
      </c>
      <c r="F51" s="55">
        <f t="shared" si="7"/>
        <v>1.08</v>
      </c>
      <c r="G51" s="55">
        <f t="shared" si="22"/>
        <v>1.6000000000000003</v>
      </c>
      <c r="H51" s="55">
        <f>IF(G51&gt;$B$13,$B$13,G51)</f>
        <v>0.3</v>
      </c>
      <c r="I51" s="56">
        <f t="shared" si="8"/>
        <v>0</v>
      </c>
      <c r="J51" s="23">
        <f>$J$2/H51</f>
        <v>385637.64000000007</v>
      </c>
      <c r="K51" s="23" t="e">
        <f>Table2[[#This Row],[Value]]</f>
        <v>#VALUE!</v>
      </c>
      <c r="L51" s="23" t="e">
        <f>ATAN2(100, K51)</f>
        <v>#VALUE!</v>
      </c>
      <c r="M51" s="23" t="e">
        <f>$B$2*$B$3*SIN(L51)</f>
        <v>#VALUE!</v>
      </c>
      <c r="N51" s="23" t="e">
        <f>$B$2*$B$3*$B$7*COS(L51)</f>
        <v>#VALUE!</v>
      </c>
      <c r="O51" s="23">
        <f>0.5*$B$5*$B$6*$B$4*H51^2</f>
        <v>0.13630679999999998</v>
      </c>
      <c r="P51" s="23">
        <f>$B$2*I51</f>
        <v>0</v>
      </c>
      <c r="Q51" s="23" t="e">
        <f>SUM(M51,N51,O51,P51)</f>
        <v>#VALUE!</v>
      </c>
      <c r="R51" s="23" t="e">
        <f t="shared" si="0"/>
        <v>#VALUE!</v>
      </c>
      <c r="S51" s="23">
        <f>H51*60/2/PI()/$B$9</f>
        <v>6.6622999433816652</v>
      </c>
      <c r="T51" s="23">
        <f>$B$18*$B$19</f>
        <v>16.5</v>
      </c>
      <c r="U51" s="23" t="e">
        <f>R51/T51/$B$17/$B$10</f>
        <v>#VALUE!</v>
      </c>
      <c r="V51" s="23">
        <f>S51*T51</f>
        <v>109.92794906579748</v>
      </c>
      <c r="W51" s="36" t="e">
        <f t="shared" si="2"/>
        <v>#VALUE!</v>
      </c>
      <c r="X51" s="36" t="e">
        <f>W51*$B$17</f>
        <v>#VALUE!</v>
      </c>
      <c r="Y51" s="36">
        <v>600</v>
      </c>
      <c r="Z51" s="36" t="e">
        <f t="shared" si="3"/>
        <v>#VALUE!</v>
      </c>
      <c r="AA51" s="38" t="e">
        <f t="shared" si="4"/>
        <v>#VALUE!</v>
      </c>
      <c r="AB51" s="38" t="e">
        <f>AA51*$B$44/3600</f>
        <v>#VALUE!</v>
      </c>
      <c r="AC51" t="e">
        <f>SUM($AB$2:AB51)</f>
        <v>#VALUE!</v>
      </c>
      <c r="AD51" s="1">
        <f t="shared" ref="AD51:AD55" si="23">100*1000/600</f>
        <v>166.66666666666666</v>
      </c>
      <c r="AE51" s="1" t="e">
        <f t="shared" si="5"/>
        <v>#VALUE!</v>
      </c>
      <c r="AF51" t="e">
        <f t="shared" si="6"/>
        <v>#VALUE!</v>
      </c>
    </row>
    <row r="52" spans="5:32" x14ac:dyDescent="0.45">
      <c r="E52" s="20">
        <f>E51+$B$44</f>
        <v>500</v>
      </c>
      <c r="F52" s="55">
        <f t="shared" si="7"/>
        <v>1.08</v>
      </c>
      <c r="G52" s="55">
        <f t="shared" si="22"/>
        <v>1.7000000000000004</v>
      </c>
      <c r="H52" s="55">
        <f t="shared" si="21"/>
        <v>0.3</v>
      </c>
      <c r="I52" s="56">
        <f t="shared" si="8"/>
        <v>0</v>
      </c>
      <c r="J52" s="22">
        <f>$J$2/H52</f>
        <v>385637.64000000007</v>
      </c>
      <c r="K52" s="32">
        <v>5</v>
      </c>
      <c r="L52" s="22">
        <f>ATAN2(100, K52)</f>
        <v>4.9958395721942765E-2</v>
      </c>
      <c r="M52" s="22">
        <f>$B$2*$B$3*SIN(L52)</f>
        <v>14443.368559099963</v>
      </c>
      <c r="N52" s="22">
        <f>$B$2*$B$3*$B$7*COS(L52)</f>
        <v>2022.0715982739946</v>
      </c>
      <c r="O52" s="22">
        <f>0.5*$B$5*$B$6*$B$4*H52^2</f>
        <v>0.13630679999999998</v>
      </c>
      <c r="P52" s="22">
        <f>$B$2*I52</f>
        <v>0</v>
      </c>
      <c r="Q52" s="22">
        <f>SUM(M52,N52,O52,P52)</f>
        <v>16465.576464173955</v>
      </c>
      <c r="R52" s="22">
        <f t="shared" si="0"/>
        <v>7080.1978795948007</v>
      </c>
      <c r="S52" s="22">
        <f>H52*60/2/PI()/$B$9</f>
        <v>6.6622999433816652</v>
      </c>
      <c r="T52" s="22">
        <f>$B$18*$B$19</f>
        <v>16.5</v>
      </c>
      <c r="U52" s="22">
        <f>R52/T52/$B$17/$B$10</f>
        <v>112.92181626148009</v>
      </c>
      <c r="V52" s="22">
        <f t="shared" si="1"/>
        <v>109.92794906579748</v>
      </c>
      <c r="W52" s="37">
        <f t="shared" si="2"/>
        <v>1.2999139313821544</v>
      </c>
      <c r="X52" s="37">
        <f>W52*$B$17</f>
        <v>5.1996557255286175</v>
      </c>
      <c r="Y52" s="37">
        <v>600</v>
      </c>
      <c r="Z52" s="37">
        <f t="shared" si="3"/>
        <v>8.6660928758810307</v>
      </c>
      <c r="AA52" s="38">
        <f t="shared" si="4"/>
        <v>12.436722952367125</v>
      </c>
      <c r="AB52" s="38">
        <f>AA52*$B$44/3600</f>
        <v>3.4546452645464236E-2</v>
      </c>
      <c r="AC52" t="e">
        <f>SUM($AB$2:AB52)</f>
        <v>#VALUE!</v>
      </c>
      <c r="AD52" s="1">
        <f t="shared" si="23"/>
        <v>166.66666666666666</v>
      </c>
      <c r="AE52" s="1" t="e">
        <f t="shared" si="5"/>
        <v>#VALUE!</v>
      </c>
      <c r="AF52" t="e">
        <f t="shared" si="6"/>
        <v>#VALUE!</v>
      </c>
    </row>
    <row r="53" spans="5:32" x14ac:dyDescent="0.45">
      <c r="E53" s="20">
        <f>E52+$B$44</f>
        <v>510</v>
      </c>
      <c r="F53" s="55">
        <f t="shared" si="7"/>
        <v>1.08</v>
      </c>
      <c r="G53" s="55">
        <f t="shared" si="22"/>
        <v>1.8000000000000005</v>
      </c>
      <c r="H53" s="55">
        <f t="shared" si="21"/>
        <v>0.3</v>
      </c>
      <c r="I53" s="56">
        <f t="shared" si="8"/>
        <v>0</v>
      </c>
      <c r="J53" s="22">
        <f>$J$2/H53</f>
        <v>385637.64000000007</v>
      </c>
      <c r="K53" s="32">
        <v>10</v>
      </c>
      <c r="L53" s="22">
        <f>ATAN2(100, K53)</f>
        <v>9.9668652491162038E-2</v>
      </c>
      <c r="M53" s="22">
        <f>$B$2*$B$3*SIN(L53)</f>
        <v>28779.284530860856</v>
      </c>
      <c r="N53" s="22">
        <f>$B$2*$B$3*$B$7*COS(L53)</f>
        <v>2014.5499171602596</v>
      </c>
      <c r="O53" s="22">
        <f>0.5*$B$5*$B$6*$B$4*H53^2</f>
        <v>0.13630679999999998</v>
      </c>
      <c r="P53" s="22">
        <f>$B$2*I53</f>
        <v>0</v>
      </c>
      <c r="Q53" s="22">
        <f>SUM(M53,N53,O53,P53)</f>
        <v>30793.970754821115</v>
      </c>
      <c r="R53" s="22">
        <f t="shared" si="0"/>
        <v>13241.407424573079</v>
      </c>
      <c r="S53" s="22">
        <f>H53*60/2/PI()/$B$9</f>
        <v>6.6622999433816652</v>
      </c>
      <c r="T53" s="22">
        <f>$B$18*$B$19</f>
        <v>16.5</v>
      </c>
      <c r="U53" s="22">
        <f>R53/T53/$B$17/$B$10</f>
        <v>211.1867212850571</v>
      </c>
      <c r="V53" s="22">
        <f t="shared" si="1"/>
        <v>109.92794906579748</v>
      </c>
      <c r="W53" s="37">
        <f t="shared" si="2"/>
        <v>2.431102954327983</v>
      </c>
      <c r="X53" s="37">
        <f>W53*$B$17</f>
        <v>9.7244118173119318</v>
      </c>
      <c r="Y53" s="37">
        <v>600</v>
      </c>
      <c r="Z53" s="37">
        <f t="shared" si="3"/>
        <v>16.20735302885322</v>
      </c>
      <c r="AA53" s="38">
        <f t="shared" si="4"/>
        <v>23.55308184065656</v>
      </c>
      <c r="AB53" s="38">
        <f>AA53*$B$44/3600</f>
        <v>6.5425227335157113E-2</v>
      </c>
      <c r="AC53" t="e">
        <f>SUM($AB$2:AB53)</f>
        <v>#VALUE!</v>
      </c>
      <c r="AD53" s="1">
        <f t="shared" si="23"/>
        <v>166.66666666666666</v>
      </c>
      <c r="AE53" s="1" t="e">
        <f t="shared" si="5"/>
        <v>#VALUE!</v>
      </c>
      <c r="AF53" t="e">
        <f t="shared" si="6"/>
        <v>#VALUE!</v>
      </c>
    </row>
    <row r="54" spans="5:32" x14ac:dyDescent="0.45">
      <c r="E54" s="20">
        <f>E53+$B$44</f>
        <v>520</v>
      </c>
      <c r="F54" s="55">
        <f t="shared" si="7"/>
        <v>1.08</v>
      </c>
      <c r="G54" s="55">
        <f t="shared" si="22"/>
        <v>1.9000000000000006</v>
      </c>
      <c r="H54" s="55">
        <f t="shared" si="21"/>
        <v>0.3</v>
      </c>
      <c r="I54" s="56">
        <f t="shared" si="8"/>
        <v>0</v>
      </c>
      <c r="J54" s="22">
        <f>$J$2/H54</f>
        <v>385637.64000000007</v>
      </c>
      <c r="K54" s="32">
        <v>20</v>
      </c>
      <c r="L54" s="22">
        <f>ATAN2(100, K54)</f>
        <v>0.19739555984988078</v>
      </c>
      <c r="M54" s="22">
        <f>$B$2*$B$3*SIN(L54)</f>
        <v>56722.322640457787</v>
      </c>
      <c r="N54" s="22">
        <f>$B$2*$B$3*$B$7*COS(L54)</f>
        <v>1985.2812924160221</v>
      </c>
      <c r="O54" s="22">
        <f>0.5*$B$5*$B$6*$B$4*H54^2</f>
        <v>0.13630679999999998</v>
      </c>
      <c r="P54" s="22">
        <f>$B$2*I54</f>
        <v>0</v>
      </c>
      <c r="Q54" s="22">
        <f>SUM(M54,N54,O54,P54)</f>
        <v>58707.740239673811</v>
      </c>
      <c r="R54" s="22">
        <f t="shared" si="0"/>
        <v>25244.328303059738</v>
      </c>
      <c r="S54" s="22">
        <f>H54*60/2/PI()/$B$9</f>
        <v>6.6622999433816652</v>
      </c>
      <c r="T54" s="22">
        <f>$B$18*$B$19</f>
        <v>16.5</v>
      </c>
      <c r="U54" s="22">
        <f>R54/T54/$B$17/$B$10</f>
        <v>402.6208660775078</v>
      </c>
      <c r="V54" s="22">
        <f t="shared" si="1"/>
        <v>109.92794906579748</v>
      </c>
      <c r="W54" s="37">
        <f t="shared" si="2"/>
        <v>4.6348215978689851</v>
      </c>
      <c r="X54" s="37">
        <f>W54*$B$17</f>
        <v>18.53928639147594</v>
      </c>
      <c r="Y54" s="37">
        <v>600</v>
      </c>
      <c r="Z54" s="37">
        <f t="shared" si="3"/>
        <v>30.8988106524599</v>
      </c>
      <c r="AA54" s="38">
        <f t="shared" si="4"/>
        <v>17.504072998006688</v>
      </c>
      <c r="AB54" s="38">
        <f>AA54*$B$44/3600</f>
        <v>4.8622424994463023E-2</v>
      </c>
      <c r="AC54" t="e">
        <f>SUM($AB$2:AB54)</f>
        <v>#VALUE!</v>
      </c>
      <c r="AD54" s="1">
        <f t="shared" si="23"/>
        <v>166.66666666666666</v>
      </c>
      <c r="AE54" s="1" t="e">
        <f t="shared" si="5"/>
        <v>#VALUE!</v>
      </c>
      <c r="AF54" t="e">
        <f t="shared" si="6"/>
        <v>#VALUE!</v>
      </c>
    </row>
    <row r="55" spans="5:32" x14ac:dyDescent="0.45">
      <c r="E55" s="20">
        <f>E54+$B$44</f>
        <v>530</v>
      </c>
      <c r="F55" s="55">
        <f t="shared" si="7"/>
        <v>1.08</v>
      </c>
      <c r="G55" s="55">
        <f t="shared" si="22"/>
        <v>2.0000000000000004</v>
      </c>
      <c r="H55" s="55">
        <f t="shared" si="21"/>
        <v>0.3</v>
      </c>
      <c r="I55" s="56">
        <f t="shared" si="8"/>
        <v>0</v>
      </c>
      <c r="J55" s="22">
        <f>$J$2/H55</f>
        <v>385637.64000000007</v>
      </c>
      <c r="K55" s="32">
        <f>B12</f>
        <v>2</v>
      </c>
      <c r="L55" s="22">
        <f>ATAN2(100, K55)</f>
        <v>1.9997333973150535E-2</v>
      </c>
      <c r="M55" s="22">
        <f>$B$2*$B$3*SIN(L55)</f>
        <v>5783.4080340382261</v>
      </c>
      <c r="N55" s="22">
        <f>$B$2*$B$3*$B$7*COS(L55)</f>
        <v>2024.192811913379</v>
      </c>
      <c r="O55" s="22">
        <f>0.5*$B$5*$B$6*$B$4*H55^2</f>
        <v>0.13630679999999998</v>
      </c>
      <c r="P55" s="22">
        <f>$B$2*I55</f>
        <v>0</v>
      </c>
      <c r="Q55" s="22">
        <f>SUM(M55,N55,O55,P55)</f>
        <v>7807.7371527516052</v>
      </c>
      <c r="R55" s="22">
        <f t="shared" si="0"/>
        <v>3357.3269756831901</v>
      </c>
      <c r="S55" s="22">
        <f>H55*60/2/PI()/$B$9</f>
        <v>6.6622999433816652</v>
      </c>
      <c r="T55" s="22">
        <f>$B$18*$B$19</f>
        <v>16.5</v>
      </c>
      <c r="U55" s="22">
        <f>R55/T55/$B$17/$B$10</f>
        <v>53.545884779636211</v>
      </c>
      <c r="V55" s="22">
        <f t="shared" si="1"/>
        <v>109.92794906579748</v>
      </c>
      <c r="W55" s="37">
        <f t="shared" si="2"/>
        <v>0.61640030153302139</v>
      </c>
      <c r="X55" s="37">
        <f>W55*$B$17</f>
        <v>2.4656012061320856</v>
      </c>
      <c r="Y55" s="37">
        <v>600</v>
      </c>
      <c r="Z55" s="37">
        <f t="shared" si="3"/>
        <v>4.1093353435534761</v>
      </c>
      <c r="AA55" s="38">
        <f t="shared" si="4"/>
        <v>4.1093353435534761</v>
      </c>
      <c r="AB55" s="38">
        <f>AA55*$B$44/3600</f>
        <v>1.1414820398759655E-2</v>
      </c>
      <c r="AC55" t="e">
        <f>SUM($AB$2:AB55)</f>
        <v>#VALUE!</v>
      </c>
      <c r="AD55" s="1">
        <f t="shared" si="23"/>
        <v>166.66666666666666</v>
      </c>
      <c r="AE55" s="1" t="e">
        <f t="shared" si="5"/>
        <v>#VALUE!</v>
      </c>
      <c r="AF55" t="e">
        <f t="shared" si="6"/>
        <v>#VALUE!</v>
      </c>
    </row>
    <row r="56" spans="5:32" x14ac:dyDescent="0.45">
      <c r="I56" s="1"/>
      <c r="J56" s="1"/>
      <c r="S56" s="1"/>
    </row>
    <row r="57" spans="5:32" x14ac:dyDescent="0.45">
      <c r="I57" s="1"/>
      <c r="J57" s="1"/>
      <c r="AC57" t="e">
        <f>SUM(X2:X55)*E55/3600</f>
        <v>#VALUE!</v>
      </c>
    </row>
  </sheetData>
  <mergeCells count="2">
    <mergeCell ref="A23:C23"/>
    <mergeCell ref="D1:D44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zoomScale="40" zoomScaleNormal="40" workbookViewId="0">
      <selection activeCell="D57" sqref="D5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C28" sqref="C28:C32"/>
    </sheetView>
  </sheetViews>
  <sheetFormatPr defaultRowHeight="14.25" x14ac:dyDescent="0.45"/>
  <cols>
    <col min="1" max="1" width="18.86328125" customWidth="1"/>
    <col min="2" max="2" width="10.59765625" customWidth="1"/>
    <col min="7" max="7" width="9.59765625" customWidth="1"/>
    <col min="8" max="8" width="12" customWidth="1"/>
    <col min="9" max="9" width="12.59765625" customWidth="1"/>
    <col min="10" max="10" width="11.265625" customWidth="1"/>
    <col min="11" max="11" width="10.3984375" customWidth="1"/>
  </cols>
  <sheetData>
    <row r="1" spans="1:11" ht="57.4" thickBot="1" x14ac:dyDescent="0.5">
      <c r="A1" s="8" t="s">
        <v>74</v>
      </c>
      <c r="B1" s="9" t="s">
        <v>66</v>
      </c>
      <c r="C1" s="9" t="s">
        <v>67</v>
      </c>
      <c r="D1" s="9" t="s">
        <v>68</v>
      </c>
      <c r="E1" s="10" t="s">
        <v>69</v>
      </c>
      <c r="G1" s="11" t="s">
        <v>75</v>
      </c>
      <c r="H1" s="9" t="s">
        <v>66</v>
      </c>
      <c r="I1" s="9" t="s">
        <v>76</v>
      </c>
      <c r="J1" s="9" t="s">
        <v>49</v>
      </c>
      <c r="K1" s="10" t="s">
        <v>69</v>
      </c>
    </row>
    <row r="2" spans="1:11" x14ac:dyDescent="0.45">
      <c r="A2" s="43" t="s">
        <v>58</v>
      </c>
      <c r="B2" s="46">
        <v>15000</v>
      </c>
      <c r="C2" s="46">
        <v>300</v>
      </c>
      <c r="D2" s="46">
        <v>1330</v>
      </c>
      <c r="E2" s="12">
        <v>1.35</v>
      </c>
      <c r="G2" s="43" t="s">
        <v>73</v>
      </c>
      <c r="H2" s="46">
        <v>4000</v>
      </c>
      <c r="I2" s="46">
        <v>125</v>
      </c>
      <c r="J2" s="46">
        <v>250</v>
      </c>
      <c r="K2" s="15">
        <v>35.01</v>
      </c>
    </row>
    <row r="3" spans="1:11" ht="14.65" thickBot="1" x14ac:dyDescent="0.5">
      <c r="A3" s="44"/>
      <c r="B3" s="47"/>
      <c r="C3" s="47"/>
      <c r="D3" s="47"/>
      <c r="E3" s="13">
        <v>2.5299999999999998</v>
      </c>
      <c r="G3" s="45"/>
      <c r="H3" s="48"/>
      <c r="I3" s="48"/>
      <c r="J3" s="48"/>
      <c r="K3" s="16">
        <v>47.74</v>
      </c>
    </row>
    <row r="4" spans="1:11" ht="14.65" thickBot="1" x14ac:dyDescent="0.5">
      <c r="A4" s="44"/>
      <c r="B4" s="47"/>
      <c r="C4" s="47"/>
      <c r="D4" s="47"/>
      <c r="E4" s="13">
        <v>3.5</v>
      </c>
      <c r="G4" s="6" t="s">
        <v>77</v>
      </c>
      <c r="H4" s="7">
        <v>5000</v>
      </c>
      <c r="I4" s="7">
        <v>250</v>
      </c>
      <c r="J4" s="7">
        <v>500</v>
      </c>
      <c r="K4" s="17">
        <v>52.31</v>
      </c>
    </row>
    <row r="5" spans="1:11" ht="14.65" thickBot="1" x14ac:dyDescent="0.5">
      <c r="A5" s="44"/>
      <c r="B5" s="47"/>
      <c r="C5" s="47"/>
      <c r="D5" s="47"/>
      <c r="E5" s="13">
        <v>4</v>
      </c>
      <c r="G5" s="6" t="s">
        <v>78</v>
      </c>
      <c r="H5" s="7">
        <v>5000</v>
      </c>
      <c r="I5" s="7">
        <v>450</v>
      </c>
      <c r="J5" s="7">
        <v>900</v>
      </c>
      <c r="K5" s="17">
        <v>57.11</v>
      </c>
    </row>
    <row r="6" spans="1:11" ht="14.65" thickBot="1" x14ac:dyDescent="0.5">
      <c r="A6" s="45"/>
      <c r="B6" s="48"/>
      <c r="C6" s="48"/>
      <c r="D6" s="48"/>
      <c r="E6" s="14">
        <v>4.43</v>
      </c>
      <c r="G6" s="43" t="s">
        <v>79</v>
      </c>
      <c r="H6" s="46">
        <v>1106</v>
      </c>
      <c r="I6" s="46">
        <v>500</v>
      </c>
      <c r="J6" s="46">
        <v>1000</v>
      </c>
      <c r="K6" s="15">
        <v>21.26</v>
      </c>
    </row>
    <row r="7" spans="1:11" x14ac:dyDescent="0.45">
      <c r="A7" s="49" t="s">
        <v>59</v>
      </c>
      <c r="B7" s="51">
        <v>15000</v>
      </c>
      <c r="C7" s="51">
        <v>300</v>
      </c>
      <c r="D7" s="51">
        <v>4000</v>
      </c>
      <c r="E7" s="12">
        <v>5.2</v>
      </c>
      <c r="G7" s="44"/>
      <c r="H7" s="47"/>
      <c r="I7" s="47"/>
      <c r="J7" s="47"/>
      <c r="K7" s="18">
        <v>30.68</v>
      </c>
    </row>
    <row r="8" spans="1:11" x14ac:dyDescent="0.45">
      <c r="A8" s="53"/>
      <c r="B8" s="54"/>
      <c r="C8" s="54"/>
      <c r="D8" s="54"/>
      <c r="E8" s="13">
        <v>6.04</v>
      </c>
      <c r="G8" s="44"/>
      <c r="H8" s="47"/>
      <c r="I8" s="47"/>
      <c r="J8" s="47"/>
      <c r="K8" s="18">
        <v>45.13</v>
      </c>
    </row>
    <row r="9" spans="1:11" ht="14.65" thickBot="1" x14ac:dyDescent="0.5">
      <c r="A9" s="53"/>
      <c r="B9" s="54"/>
      <c r="C9" s="54"/>
      <c r="D9" s="54"/>
      <c r="E9" s="13">
        <v>7.04</v>
      </c>
      <c r="G9" s="45"/>
      <c r="H9" s="48"/>
      <c r="I9" s="48"/>
      <c r="J9" s="48"/>
      <c r="K9" s="16">
        <v>50.62</v>
      </c>
    </row>
    <row r="10" spans="1:11" x14ac:dyDescent="0.45">
      <c r="A10" s="53"/>
      <c r="B10" s="54"/>
      <c r="C10" s="54"/>
      <c r="D10" s="54"/>
      <c r="E10" s="13">
        <v>8.08</v>
      </c>
      <c r="G10" s="43" t="s">
        <v>80</v>
      </c>
      <c r="H10" s="46">
        <v>5000</v>
      </c>
      <c r="I10" s="46">
        <v>3500</v>
      </c>
      <c r="J10" s="46">
        <v>7000</v>
      </c>
      <c r="K10" s="15">
        <v>18.78</v>
      </c>
    </row>
    <row r="11" spans="1:11" x14ac:dyDescent="0.45">
      <c r="A11" s="53"/>
      <c r="B11" s="54"/>
      <c r="C11" s="54"/>
      <c r="D11" s="54"/>
      <c r="E11" s="13">
        <v>9.1</v>
      </c>
      <c r="G11" s="44"/>
      <c r="H11" s="47"/>
      <c r="I11" s="47"/>
      <c r="J11" s="47"/>
      <c r="K11" s="18">
        <v>24.92</v>
      </c>
    </row>
    <row r="12" spans="1:11" x14ac:dyDescent="0.45">
      <c r="A12" s="53"/>
      <c r="B12" s="54"/>
      <c r="C12" s="54"/>
      <c r="D12" s="54"/>
      <c r="E12" s="13">
        <v>10.11</v>
      </c>
      <c r="G12" s="44"/>
      <c r="H12" s="47"/>
      <c r="I12" s="47"/>
      <c r="J12" s="47"/>
      <c r="K12" s="18">
        <v>25.92</v>
      </c>
    </row>
    <row r="13" spans="1:11" x14ac:dyDescent="0.45">
      <c r="A13" s="53"/>
      <c r="B13" s="54"/>
      <c r="C13" s="54"/>
      <c r="D13" s="54"/>
      <c r="E13" s="13">
        <v>11.05</v>
      </c>
      <c r="G13" s="44"/>
      <c r="H13" s="47"/>
      <c r="I13" s="47"/>
      <c r="J13" s="47"/>
      <c r="K13" s="18">
        <v>47.6</v>
      </c>
    </row>
    <row r="14" spans="1:11" x14ac:dyDescent="0.45">
      <c r="A14" s="53"/>
      <c r="B14" s="54"/>
      <c r="C14" s="54"/>
      <c r="D14" s="54"/>
      <c r="E14" s="13">
        <v>11.9</v>
      </c>
      <c r="G14" s="44"/>
      <c r="H14" s="47"/>
      <c r="I14" s="47"/>
      <c r="J14" s="47"/>
      <c r="K14" s="18">
        <v>57.49</v>
      </c>
    </row>
    <row r="15" spans="1:11" ht="14.65" thickBot="1" x14ac:dyDescent="0.5">
      <c r="A15" s="50"/>
      <c r="B15" s="52"/>
      <c r="C15" s="52"/>
      <c r="D15" s="52"/>
      <c r="E15" s="14">
        <v>13.35</v>
      </c>
      <c r="G15" s="45"/>
      <c r="H15" s="48"/>
      <c r="I15" s="48"/>
      <c r="J15" s="48"/>
      <c r="K15" s="16">
        <v>64.08</v>
      </c>
    </row>
    <row r="16" spans="1:11" x14ac:dyDescent="0.45">
      <c r="A16" s="49" t="s">
        <v>60</v>
      </c>
      <c r="B16" s="51">
        <v>12000</v>
      </c>
      <c r="C16" s="51">
        <v>600</v>
      </c>
      <c r="D16" s="51">
        <v>2100</v>
      </c>
      <c r="E16" s="12">
        <v>1.1000000000000001</v>
      </c>
    </row>
    <row r="17" spans="1:5" x14ac:dyDescent="0.45">
      <c r="A17" s="53"/>
      <c r="B17" s="54"/>
      <c r="C17" s="54"/>
      <c r="D17" s="54"/>
      <c r="E17" s="13">
        <v>1.97</v>
      </c>
    </row>
    <row r="18" spans="1:5" x14ac:dyDescent="0.45">
      <c r="A18" s="53"/>
      <c r="B18" s="54"/>
      <c r="C18" s="54"/>
      <c r="D18" s="54"/>
      <c r="E18" s="13">
        <v>2.88</v>
      </c>
    </row>
    <row r="19" spans="1:5" ht="14.65" thickBot="1" x14ac:dyDescent="0.5">
      <c r="A19" s="50"/>
      <c r="B19" s="52"/>
      <c r="C19" s="52"/>
      <c r="D19" s="52"/>
      <c r="E19" s="14">
        <v>3.5</v>
      </c>
    </row>
    <row r="20" spans="1:5" x14ac:dyDescent="0.45">
      <c r="A20" s="49" t="s">
        <v>61</v>
      </c>
      <c r="B20" s="51">
        <v>12000</v>
      </c>
      <c r="C20" s="51">
        <v>600</v>
      </c>
      <c r="D20" s="51">
        <v>6500</v>
      </c>
      <c r="E20" s="12">
        <v>5.9</v>
      </c>
    </row>
    <row r="21" spans="1:5" x14ac:dyDescent="0.45">
      <c r="A21" s="53"/>
      <c r="B21" s="54"/>
      <c r="C21" s="54"/>
      <c r="D21" s="54"/>
      <c r="E21" s="13">
        <v>7.42</v>
      </c>
    </row>
    <row r="22" spans="1:5" x14ac:dyDescent="0.45">
      <c r="A22" s="53"/>
      <c r="B22" s="54"/>
      <c r="C22" s="54"/>
      <c r="D22" s="54"/>
      <c r="E22" s="13">
        <v>8.5500000000000007</v>
      </c>
    </row>
    <row r="23" spans="1:5" x14ac:dyDescent="0.45">
      <c r="A23" s="53"/>
      <c r="B23" s="54"/>
      <c r="C23" s="54"/>
      <c r="D23" s="54"/>
      <c r="E23" s="13">
        <v>9.4600000000000009</v>
      </c>
    </row>
    <row r="24" spans="1:5" x14ac:dyDescent="0.45">
      <c r="A24" s="53"/>
      <c r="B24" s="54"/>
      <c r="C24" s="54"/>
      <c r="D24" s="54"/>
      <c r="E24" s="13">
        <v>9.94</v>
      </c>
    </row>
    <row r="25" spans="1:5" x14ac:dyDescent="0.45">
      <c r="A25" s="53"/>
      <c r="B25" s="54"/>
      <c r="C25" s="54"/>
      <c r="D25" s="54"/>
      <c r="E25" s="13">
        <v>10.79</v>
      </c>
    </row>
    <row r="26" spans="1:5" x14ac:dyDescent="0.45">
      <c r="A26" s="53"/>
      <c r="B26" s="54"/>
      <c r="C26" s="54"/>
      <c r="D26" s="54"/>
      <c r="E26" s="13">
        <v>12.36</v>
      </c>
    </row>
    <row r="27" spans="1:5" ht="14.65" thickBot="1" x14ac:dyDescent="0.5">
      <c r="A27" s="50"/>
      <c r="B27" s="52"/>
      <c r="C27" s="52"/>
      <c r="D27" s="52"/>
      <c r="E27" s="14">
        <v>13.32</v>
      </c>
    </row>
    <row r="28" spans="1:5" x14ac:dyDescent="0.45">
      <c r="A28" s="49" t="s">
        <v>62</v>
      </c>
      <c r="B28" s="51">
        <v>7500</v>
      </c>
      <c r="C28" s="51">
        <v>1200</v>
      </c>
      <c r="D28" s="51">
        <v>4770</v>
      </c>
      <c r="E28" s="12" t="s">
        <v>70</v>
      </c>
    </row>
    <row r="29" spans="1:5" x14ac:dyDescent="0.45">
      <c r="A29" s="53"/>
      <c r="B29" s="54"/>
      <c r="C29" s="54"/>
      <c r="D29" s="54"/>
      <c r="E29" s="13">
        <v>1</v>
      </c>
    </row>
    <row r="30" spans="1:5" x14ac:dyDescent="0.45">
      <c r="A30" s="53"/>
      <c r="B30" s="54"/>
      <c r="C30" s="54"/>
      <c r="D30" s="54"/>
      <c r="E30" s="13">
        <v>2</v>
      </c>
    </row>
    <row r="31" spans="1:5" x14ac:dyDescent="0.45">
      <c r="A31" s="53"/>
      <c r="B31" s="54"/>
      <c r="C31" s="54"/>
      <c r="D31" s="54"/>
      <c r="E31" s="13">
        <v>2.97</v>
      </c>
    </row>
    <row r="32" spans="1:5" ht="14.65" thickBot="1" x14ac:dyDescent="0.5">
      <c r="A32" s="50"/>
      <c r="B32" s="52"/>
      <c r="C32" s="52"/>
      <c r="D32" s="52"/>
      <c r="E32" s="14">
        <v>3.94</v>
      </c>
    </row>
    <row r="33" spans="1:5" x14ac:dyDescent="0.45">
      <c r="A33" s="49" t="s">
        <v>63</v>
      </c>
      <c r="B33" s="51"/>
      <c r="C33" s="51">
        <v>265</v>
      </c>
      <c r="D33" s="51"/>
      <c r="E33" s="12">
        <v>2.98</v>
      </c>
    </row>
    <row r="34" spans="1:5" x14ac:dyDescent="0.45">
      <c r="A34" s="53"/>
      <c r="B34" s="54"/>
      <c r="C34" s="54"/>
      <c r="D34" s="54"/>
      <c r="E34" s="13">
        <v>3.98</v>
      </c>
    </row>
    <row r="35" spans="1:5" ht="14.65" thickBot="1" x14ac:dyDescent="0.5">
      <c r="A35" s="50"/>
      <c r="B35" s="52"/>
      <c r="C35" s="52"/>
      <c r="D35" s="52"/>
      <c r="E35" s="14">
        <v>6.03</v>
      </c>
    </row>
    <row r="36" spans="1:5" x14ac:dyDescent="0.45">
      <c r="A36" s="49" t="s">
        <v>64</v>
      </c>
      <c r="B36" s="51">
        <v>12500</v>
      </c>
      <c r="C36" s="51" t="s">
        <v>71</v>
      </c>
      <c r="D36" s="51" t="s">
        <v>72</v>
      </c>
      <c r="E36" s="12">
        <v>5.67</v>
      </c>
    </row>
    <row r="37" spans="1:5" ht="14.65" thickBot="1" x14ac:dyDescent="0.5">
      <c r="A37" s="50"/>
      <c r="B37" s="52"/>
      <c r="C37" s="52"/>
      <c r="D37" s="52"/>
      <c r="E37" s="14">
        <v>6</v>
      </c>
    </row>
    <row r="38" spans="1:5" x14ac:dyDescent="0.45">
      <c r="A38" s="49" t="s">
        <v>65</v>
      </c>
      <c r="B38" s="51">
        <v>12500</v>
      </c>
      <c r="C38" s="51" t="s">
        <v>71</v>
      </c>
      <c r="D38" s="51" t="s">
        <v>72</v>
      </c>
      <c r="E38" s="12">
        <v>5.67</v>
      </c>
    </row>
    <row r="39" spans="1:5" ht="14.65" thickBot="1" x14ac:dyDescent="0.5">
      <c r="A39" s="50"/>
      <c r="B39" s="52"/>
      <c r="C39" s="52"/>
      <c r="D39" s="52"/>
      <c r="E39" s="14">
        <v>6</v>
      </c>
    </row>
  </sheetData>
  <mergeCells count="44"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  <mergeCell ref="D20:D27"/>
    <mergeCell ref="A28:A32"/>
    <mergeCell ref="B28:B32"/>
    <mergeCell ref="C28:C32"/>
    <mergeCell ref="D28:D32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37A3-BE8A-452C-BEBB-B3204BB29F6A}">
  <dimension ref="A1:I146"/>
  <sheetViews>
    <sheetView workbookViewId="0">
      <selection activeCell="J15" sqref="J15"/>
    </sheetView>
  </sheetViews>
  <sheetFormatPr defaultRowHeight="14.25" x14ac:dyDescent="0.45"/>
  <sheetData>
    <row r="1" spans="1:8" ht="14.65" thickBot="1" x14ac:dyDescent="0.5"/>
    <row r="2" spans="1:8" ht="15" thickTop="1" thickBot="1" x14ac:dyDescent="0.5">
      <c r="A2" s="42" t="s">
        <v>55</v>
      </c>
      <c r="B2" s="42"/>
      <c r="C2" s="42"/>
      <c r="D2" s="42"/>
      <c r="E2" s="42"/>
      <c r="F2" s="42"/>
      <c r="G2" s="42"/>
      <c r="H2" s="42"/>
    </row>
    <row r="3" spans="1:8" ht="43.15" thickTop="1" x14ac:dyDescent="0.45">
      <c r="A3" s="2" t="s">
        <v>48</v>
      </c>
      <c r="B3" s="2" t="s">
        <v>49</v>
      </c>
      <c r="C3" s="2" t="s">
        <v>50</v>
      </c>
      <c r="D3" s="2" t="s">
        <v>51</v>
      </c>
      <c r="E3" s="2" t="s">
        <v>52</v>
      </c>
      <c r="F3" s="2" t="s">
        <v>53</v>
      </c>
      <c r="G3" s="2" t="s">
        <v>54</v>
      </c>
    </row>
    <row r="4" spans="1:8" x14ac:dyDescent="0.45">
      <c r="A4" s="5">
        <v>0</v>
      </c>
      <c r="B4" s="1">
        <v>35</v>
      </c>
      <c r="C4" s="1">
        <v>0</v>
      </c>
      <c r="D4" s="1">
        <v>12</v>
      </c>
      <c r="E4" s="1">
        <v>0</v>
      </c>
      <c r="F4" s="1">
        <v>208</v>
      </c>
      <c r="G4" s="1">
        <f>D4*$F$4/$B$4</f>
        <v>71.314285714285717</v>
      </c>
    </row>
    <row r="5" spans="1:8" x14ac:dyDescent="0.45">
      <c r="A5" s="5">
        <v>500</v>
      </c>
      <c r="B5" s="1">
        <v>35</v>
      </c>
      <c r="C5" s="1">
        <v>1.8324607329842932</v>
      </c>
      <c r="D5" s="1">
        <v>12</v>
      </c>
      <c r="E5" s="1">
        <v>0.62827225130890052</v>
      </c>
      <c r="F5" s="1">
        <v>208</v>
      </c>
      <c r="G5" s="1">
        <f>D5*$F$4/$B$4</f>
        <v>71.314285714285717</v>
      </c>
    </row>
    <row r="6" spans="1:8" x14ac:dyDescent="0.45">
      <c r="A6" s="5">
        <v>1000</v>
      </c>
      <c r="B6" s="1">
        <v>35</v>
      </c>
      <c r="C6" s="1">
        <v>3.6649214659685865</v>
      </c>
      <c r="D6" s="1">
        <v>12</v>
      </c>
      <c r="E6" s="1">
        <v>1.256544502617801</v>
      </c>
      <c r="F6" s="1">
        <v>208</v>
      </c>
      <c r="G6" s="1">
        <f>D6*$F$4/$B$4</f>
        <v>71.314285714285717</v>
      </c>
    </row>
    <row r="7" spans="1:8" x14ac:dyDescent="0.45">
      <c r="A7" s="5">
        <v>1800</v>
      </c>
      <c r="B7" s="1">
        <v>35</v>
      </c>
      <c r="C7" s="1">
        <v>6.5968586387434556</v>
      </c>
      <c r="D7" s="1">
        <v>12</v>
      </c>
      <c r="E7" s="1">
        <v>2.261780104712042</v>
      </c>
      <c r="F7" s="1">
        <v>208</v>
      </c>
      <c r="G7" s="1">
        <f>D7*$F$4/$B$4</f>
        <v>71.314285714285717</v>
      </c>
    </row>
    <row r="8" spans="1:8" x14ac:dyDescent="0.45">
      <c r="A8" s="5">
        <v>2000</v>
      </c>
      <c r="B8" s="1">
        <v>31.5</v>
      </c>
      <c r="C8" s="1">
        <v>6.5968586387434556</v>
      </c>
      <c r="D8" s="1">
        <v>12</v>
      </c>
      <c r="E8" s="1">
        <v>2.5130890052356021</v>
      </c>
      <c r="F8" s="1">
        <f>B8*$F$4/$B$4</f>
        <v>187.2</v>
      </c>
      <c r="G8" s="1">
        <f>D8*$F$4/$B$4</f>
        <v>71.314285714285717</v>
      </c>
    </row>
    <row r="9" spans="1:8" x14ac:dyDescent="0.45">
      <c r="A9" s="5">
        <v>2500</v>
      </c>
      <c r="B9" s="1">
        <v>25.2</v>
      </c>
      <c r="C9" s="1">
        <v>6.5968586387434556</v>
      </c>
      <c r="D9" s="1">
        <v>12</v>
      </c>
      <c r="E9" s="1">
        <v>3.1413612565445028</v>
      </c>
      <c r="F9" s="1">
        <f>B9*$F$4/$B$4</f>
        <v>149.76</v>
      </c>
      <c r="G9" s="1">
        <f>D9*$F$4/$B$4</f>
        <v>71.314285714285717</v>
      </c>
    </row>
    <row r="10" spans="1:8" x14ac:dyDescent="0.45">
      <c r="A10" s="5">
        <v>3000</v>
      </c>
      <c r="B10" s="1">
        <v>21</v>
      </c>
      <c r="C10" s="1">
        <v>6.5968586387434556</v>
      </c>
      <c r="D10" s="1">
        <v>10.000000000000002</v>
      </c>
      <c r="E10" s="1">
        <v>3.1413612565445028</v>
      </c>
      <c r="F10" s="1">
        <f>B10*$F$4/$B$4</f>
        <v>124.8</v>
      </c>
      <c r="G10" s="1">
        <f>D10*$F$4/$B$4</f>
        <v>59.428571428571445</v>
      </c>
    </row>
    <row r="11" spans="1:8" x14ac:dyDescent="0.45">
      <c r="A11" s="5">
        <v>3500</v>
      </c>
      <c r="B11" s="1">
        <v>18</v>
      </c>
      <c r="C11" s="1">
        <v>6.5968586387434556</v>
      </c>
      <c r="D11" s="1">
        <v>8.571428571428573</v>
      </c>
      <c r="E11" s="1">
        <v>3.1413612565445028</v>
      </c>
      <c r="F11" s="1">
        <f>B11*$F$4/$B$4</f>
        <v>106.97142857142858</v>
      </c>
      <c r="G11" s="1">
        <f>D11*$F$4/$B$4</f>
        <v>50.938775510204088</v>
      </c>
    </row>
    <row r="12" spans="1:8" x14ac:dyDescent="0.45">
      <c r="A12" s="5">
        <v>4000</v>
      </c>
      <c r="B12" s="1">
        <v>15.75</v>
      </c>
      <c r="C12" s="1">
        <v>6.5968586387434556</v>
      </c>
      <c r="D12" s="1">
        <v>7.5000000000000009</v>
      </c>
      <c r="E12" s="1">
        <v>3.1413612565445028</v>
      </c>
      <c r="F12" s="1">
        <f>B12*$F$4/$B$4</f>
        <v>93.6</v>
      </c>
      <c r="G12" s="1">
        <f>D12*$F$4/$B$4</f>
        <v>44.571428571428577</v>
      </c>
    </row>
    <row r="13" spans="1:8" x14ac:dyDescent="0.45">
      <c r="A13" s="5">
        <v>4500</v>
      </c>
      <c r="B13" s="1">
        <v>14</v>
      </c>
      <c r="C13" s="1">
        <v>6.5968586387434556</v>
      </c>
      <c r="D13" s="1">
        <v>6.6666666666666679</v>
      </c>
      <c r="E13" s="1">
        <v>3.1413612565445028</v>
      </c>
      <c r="F13" s="1">
        <f>B13*$F$4/$B$4</f>
        <v>83.2</v>
      </c>
      <c r="G13" s="1">
        <f>D13*$F$4/$B$4</f>
        <v>39.619047619047628</v>
      </c>
    </row>
    <row r="14" spans="1:8" ht="14.65" thickBot="1" x14ac:dyDescent="0.5">
      <c r="A14" s="1"/>
      <c r="B14" s="1"/>
      <c r="C14" s="1"/>
      <c r="D14" s="1"/>
      <c r="E14" s="1"/>
      <c r="F14" s="1"/>
    </row>
    <row r="15" spans="1:8" ht="15" thickTop="1" thickBot="1" x14ac:dyDescent="0.5">
      <c r="A15" s="39" t="s">
        <v>56</v>
      </c>
      <c r="B15" s="39"/>
      <c r="C15" s="39"/>
      <c r="D15" s="39"/>
      <c r="E15" s="39"/>
      <c r="F15" s="39"/>
      <c r="G15" s="39"/>
      <c r="H15" s="39"/>
    </row>
    <row r="16" spans="1:8" ht="43.15" thickTop="1" x14ac:dyDescent="0.45">
      <c r="A16" s="4" t="s">
        <v>48</v>
      </c>
      <c r="B16" s="4" t="s">
        <v>49</v>
      </c>
      <c r="C16" s="4" t="s">
        <v>50</v>
      </c>
      <c r="D16" s="4" t="s">
        <v>51</v>
      </c>
      <c r="E16" s="4" t="s">
        <v>52</v>
      </c>
      <c r="F16" s="2" t="s">
        <v>53</v>
      </c>
      <c r="G16" s="2" t="s">
        <v>54</v>
      </c>
    </row>
    <row r="17" spans="1:8" x14ac:dyDescent="0.45">
      <c r="A17" s="5">
        <v>0</v>
      </c>
      <c r="B17" s="1">
        <v>58</v>
      </c>
      <c r="C17" s="1">
        <v>0</v>
      </c>
      <c r="D17" s="1">
        <v>18</v>
      </c>
      <c r="E17" s="1">
        <v>0</v>
      </c>
      <c r="F17" s="1">
        <v>384</v>
      </c>
      <c r="G17" s="1">
        <f>D17*$F$17/$B$17</f>
        <v>119.17241379310344</v>
      </c>
    </row>
    <row r="18" spans="1:8" x14ac:dyDescent="0.45">
      <c r="A18" s="5">
        <v>500</v>
      </c>
      <c r="B18" s="1">
        <v>58</v>
      </c>
      <c r="C18" s="1">
        <v>3.0366492146596857</v>
      </c>
      <c r="D18" s="1">
        <v>18</v>
      </c>
      <c r="E18" s="1">
        <v>0.94240837696335078</v>
      </c>
      <c r="F18" s="1">
        <f>B18*$F$17/$B$17</f>
        <v>384</v>
      </c>
      <c r="G18" s="1">
        <f>D18*$F$17/$B$17</f>
        <v>119.17241379310344</v>
      </c>
    </row>
    <row r="19" spans="1:8" x14ac:dyDescent="0.45">
      <c r="A19" s="5">
        <v>1000</v>
      </c>
      <c r="B19" s="1">
        <v>58</v>
      </c>
      <c r="C19" s="1">
        <v>6.0732984293193715</v>
      </c>
      <c r="D19" s="1">
        <v>18</v>
      </c>
      <c r="E19" s="1">
        <v>1.8848167539267016</v>
      </c>
      <c r="F19" s="1">
        <f>B19*$F$17/$B$17</f>
        <v>384</v>
      </c>
      <c r="G19" s="1">
        <f>D19*$F$17/$B$17</f>
        <v>119.17241379310344</v>
      </c>
    </row>
    <row r="20" spans="1:8" x14ac:dyDescent="0.45">
      <c r="A20" s="5">
        <v>1500</v>
      </c>
      <c r="B20" s="1">
        <v>58</v>
      </c>
      <c r="C20" s="1">
        <v>9.1099476439790568</v>
      </c>
      <c r="D20" s="1">
        <v>18</v>
      </c>
      <c r="E20" s="1">
        <v>2.8272251308900525</v>
      </c>
      <c r="F20" s="1">
        <f>B20*$F$17/$B$17</f>
        <v>384</v>
      </c>
      <c r="G20" s="1">
        <f>D20*$F$17/$B$17</f>
        <v>119.17241379310344</v>
      </c>
    </row>
    <row r="21" spans="1:8" x14ac:dyDescent="0.45">
      <c r="A21" s="5">
        <v>2000</v>
      </c>
      <c r="B21" s="1">
        <v>58</v>
      </c>
      <c r="C21" s="1">
        <v>12.146596858638743</v>
      </c>
      <c r="D21" s="1">
        <v>18</v>
      </c>
      <c r="E21" s="1">
        <v>3.7696335078534031</v>
      </c>
      <c r="F21" s="1">
        <f>B21*$F$17/$B$17</f>
        <v>384</v>
      </c>
      <c r="G21" s="1">
        <f>D21*$F$17/$B$17</f>
        <v>119.17241379310344</v>
      </c>
    </row>
    <row r="22" spans="1:8" x14ac:dyDescent="0.45">
      <c r="A22" s="5">
        <v>2650</v>
      </c>
      <c r="B22" s="1">
        <v>43.773584905660378</v>
      </c>
      <c r="C22" s="1">
        <v>12.146596858638743</v>
      </c>
      <c r="D22" s="1">
        <v>18</v>
      </c>
      <c r="E22" s="1">
        <v>4.994764397905759</v>
      </c>
      <c r="F22" s="1">
        <f>B22*$F$17/$B$17</f>
        <v>289.81132075471697</v>
      </c>
      <c r="G22" s="1">
        <f>D22*$F$17/$B$17</f>
        <v>119.17241379310344</v>
      </c>
    </row>
    <row r="23" spans="1:8" x14ac:dyDescent="0.45">
      <c r="A23" s="5">
        <v>3000</v>
      </c>
      <c r="B23" s="1">
        <v>38.666666666666664</v>
      </c>
      <c r="C23" s="1">
        <v>12.146596858638743</v>
      </c>
      <c r="D23" s="1">
        <v>15.9</v>
      </c>
      <c r="E23" s="1">
        <v>4.994764397905759</v>
      </c>
      <c r="F23" s="1">
        <f>B23*$F$17/$B$17</f>
        <v>256</v>
      </c>
      <c r="G23" s="1">
        <f>D23*$F$17/$B$17</f>
        <v>105.26896551724138</v>
      </c>
    </row>
    <row r="24" spans="1:8" x14ac:dyDescent="0.45">
      <c r="A24" s="5">
        <v>3500</v>
      </c>
      <c r="B24" s="1">
        <v>33.142857142857146</v>
      </c>
      <c r="C24" s="1">
        <v>12.146596858638743</v>
      </c>
      <c r="D24" s="1">
        <v>13.628571428571428</v>
      </c>
      <c r="E24" s="1">
        <v>4.994764397905759</v>
      </c>
      <c r="F24" s="1">
        <f>B24*$F$17/$B$17</f>
        <v>219.42857142857147</v>
      </c>
      <c r="G24" s="1">
        <f>D24*$F$17/$B$17</f>
        <v>90.23054187192119</v>
      </c>
    </row>
    <row r="25" spans="1:8" x14ac:dyDescent="0.45">
      <c r="A25" s="5">
        <v>4000</v>
      </c>
      <c r="B25" s="1">
        <v>29</v>
      </c>
      <c r="C25" s="1">
        <v>12.146596858638743</v>
      </c>
      <c r="D25" s="1">
        <v>11.925000000000001</v>
      </c>
      <c r="E25" s="1">
        <v>4.994764397905759</v>
      </c>
      <c r="F25" s="1">
        <f>B25*$F$17/$B$17</f>
        <v>192</v>
      </c>
      <c r="G25" s="1">
        <f>D25*$F$17/$B$17</f>
        <v>78.951724137931052</v>
      </c>
    </row>
    <row r="26" spans="1:8" x14ac:dyDescent="0.45">
      <c r="A26" s="5">
        <v>4500</v>
      </c>
      <c r="B26" s="1">
        <v>25.777777777777779</v>
      </c>
      <c r="C26" s="1">
        <v>12.146596858638743</v>
      </c>
      <c r="D26" s="1">
        <v>10.6</v>
      </c>
      <c r="E26" s="1">
        <v>4.994764397905759</v>
      </c>
      <c r="F26" s="1">
        <f>B26*$F$17/$B$17</f>
        <v>170.66666666666669</v>
      </c>
      <c r="G26" s="1">
        <f>D26*$F$17/$B$17</f>
        <v>70.179310344827584</v>
      </c>
    </row>
    <row r="27" spans="1:8" ht="14.65" thickBot="1" x14ac:dyDescent="0.5">
      <c r="A27" s="1"/>
      <c r="B27" s="1"/>
      <c r="C27" s="1"/>
      <c r="D27" s="1"/>
      <c r="E27" s="1"/>
      <c r="F27" s="1"/>
    </row>
    <row r="28" spans="1:8" ht="15" thickTop="1" thickBot="1" x14ac:dyDescent="0.5">
      <c r="A28" s="39" t="s">
        <v>57</v>
      </c>
      <c r="B28" s="39"/>
      <c r="C28" s="39"/>
      <c r="D28" s="39"/>
      <c r="E28" s="39"/>
      <c r="F28" s="39"/>
      <c r="G28" s="39"/>
      <c r="H28" s="39"/>
    </row>
    <row r="29" spans="1:8" ht="43.15" thickTop="1" x14ac:dyDescent="0.45">
      <c r="A29" s="4" t="s">
        <v>48</v>
      </c>
      <c r="B29" s="4" t="s">
        <v>49</v>
      </c>
      <c r="C29" s="4" t="s">
        <v>50</v>
      </c>
      <c r="D29" s="4" t="s">
        <v>51</v>
      </c>
      <c r="E29" s="4" t="s">
        <v>52</v>
      </c>
      <c r="F29" s="2" t="s">
        <v>53</v>
      </c>
      <c r="G29" s="2" t="s">
        <v>54</v>
      </c>
    </row>
    <row r="30" spans="1:8" x14ac:dyDescent="0.45">
      <c r="A30" s="5">
        <v>0</v>
      </c>
      <c r="B30" s="1">
        <v>80</v>
      </c>
      <c r="C30" s="1">
        <v>0</v>
      </c>
      <c r="D30" s="1">
        <v>30</v>
      </c>
      <c r="E30" s="1">
        <v>0</v>
      </c>
      <c r="F30" s="1">
        <f>638</f>
        <v>638</v>
      </c>
      <c r="G30" s="1">
        <f>D30*$F$30/$B$30</f>
        <v>239.25</v>
      </c>
    </row>
    <row r="31" spans="1:8" x14ac:dyDescent="0.45">
      <c r="A31" s="5">
        <v>500</v>
      </c>
      <c r="B31" s="1">
        <v>80</v>
      </c>
      <c r="C31" s="1">
        <v>4.1884816753926701</v>
      </c>
      <c r="D31" s="1">
        <v>30</v>
      </c>
      <c r="E31" s="1">
        <v>1.5706806282722514</v>
      </c>
      <c r="F31" s="1">
        <f>B31*$F$30/$B$30</f>
        <v>638</v>
      </c>
      <c r="G31" s="1">
        <f>D31*$F$30/$B$30</f>
        <v>239.25</v>
      </c>
    </row>
    <row r="32" spans="1:8" x14ac:dyDescent="0.45">
      <c r="A32" s="5">
        <v>1000</v>
      </c>
      <c r="B32" s="1">
        <v>80</v>
      </c>
      <c r="C32" s="1">
        <v>8.3769633507853403</v>
      </c>
      <c r="D32" s="1">
        <v>30</v>
      </c>
      <c r="E32" s="1">
        <v>3.1413612565445028</v>
      </c>
      <c r="F32" s="1">
        <f>B32*$F$30/$B$30</f>
        <v>638</v>
      </c>
      <c r="G32" s="1">
        <f>D32*$F$30/$B$30</f>
        <v>239.25</v>
      </c>
    </row>
    <row r="33" spans="1:9" x14ac:dyDescent="0.45">
      <c r="A33" s="5">
        <v>1500</v>
      </c>
      <c r="B33" s="1">
        <v>80</v>
      </c>
      <c r="C33" s="1">
        <v>12.565445026178011</v>
      </c>
      <c r="D33" s="1">
        <v>30</v>
      </c>
      <c r="E33" s="1">
        <v>4.7120418848167542</v>
      </c>
      <c r="F33" s="1">
        <f>B33*$F$30/$B$30</f>
        <v>638</v>
      </c>
      <c r="G33" s="1">
        <f>D33*$F$30/$B$30</f>
        <v>239.25</v>
      </c>
    </row>
    <row r="34" spans="1:9" x14ac:dyDescent="0.45">
      <c r="A34" s="5">
        <v>2000</v>
      </c>
      <c r="B34" s="1">
        <v>80</v>
      </c>
      <c r="C34" s="1">
        <v>16.753926701570681</v>
      </c>
      <c r="D34" s="1">
        <v>30</v>
      </c>
      <c r="E34" s="1">
        <v>6.2827225130890056</v>
      </c>
      <c r="F34" s="1">
        <f>B34*$F$30/$B$30</f>
        <v>638</v>
      </c>
      <c r="G34" s="1">
        <f>D34*$F$30/$B$30</f>
        <v>239.25</v>
      </c>
    </row>
    <row r="35" spans="1:9" x14ac:dyDescent="0.45">
      <c r="A35" s="5">
        <v>2400</v>
      </c>
      <c r="B35" s="1">
        <v>80</v>
      </c>
      <c r="C35" s="1">
        <v>20.104712041884817</v>
      </c>
      <c r="D35" s="1">
        <v>30</v>
      </c>
      <c r="E35" s="1">
        <v>7.5392670157068062</v>
      </c>
      <c r="F35" s="1">
        <f>B35*$F$30/$B$30</f>
        <v>638</v>
      </c>
      <c r="G35" s="1">
        <f>D35*$F$30/$B$30</f>
        <v>239.25</v>
      </c>
    </row>
    <row r="36" spans="1:9" x14ac:dyDescent="0.45">
      <c r="A36" s="5">
        <v>2600</v>
      </c>
      <c r="B36" s="1">
        <v>73.84615384615384</v>
      </c>
      <c r="C36" s="1">
        <v>20.104712041884817</v>
      </c>
      <c r="D36" s="1">
        <v>30</v>
      </c>
      <c r="E36" s="1">
        <v>8.167539267015707</v>
      </c>
      <c r="F36" s="1">
        <f>B36*$F$30/$B$30</f>
        <v>588.92307692307691</v>
      </c>
      <c r="G36" s="1">
        <f>D36*$F$30/$B$30</f>
        <v>239.25</v>
      </c>
    </row>
    <row r="37" spans="1:9" x14ac:dyDescent="0.45">
      <c r="A37" s="5">
        <v>3170</v>
      </c>
      <c r="B37" s="1">
        <v>60.56782334384858</v>
      </c>
      <c r="C37" s="1">
        <v>20.104712041884817</v>
      </c>
      <c r="D37" s="1">
        <v>30</v>
      </c>
      <c r="E37" s="1">
        <v>9.9581151832460737</v>
      </c>
      <c r="F37" s="1">
        <f>B37*$F$30/$B$30</f>
        <v>483.02839116719241</v>
      </c>
      <c r="G37" s="1">
        <f>D37*$F$30/$B$30</f>
        <v>239.25</v>
      </c>
    </row>
    <row r="38" spans="1:9" x14ac:dyDescent="0.45">
      <c r="A38" s="5">
        <v>4000</v>
      </c>
      <c r="B38" s="1">
        <v>48</v>
      </c>
      <c r="C38" s="1">
        <v>20.104712041884817</v>
      </c>
      <c r="D38" s="1">
        <v>23.774999999999999</v>
      </c>
      <c r="E38" s="1">
        <v>9.9581151832460737</v>
      </c>
      <c r="F38" s="1">
        <f>B38*$F$30/$B$30</f>
        <v>382.8</v>
      </c>
      <c r="G38" s="1">
        <f>D38*$F$30/$B$30</f>
        <v>189.60562499999997</v>
      </c>
    </row>
    <row r="39" spans="1:9" x14ac:dyDescent="0.45">
      <c r="A39" s="5">
        <v>4500</v>
      </c>
      <c r="B39" s="1">
        <v>42.666666666666664</v>
      </c>
      <c r="C39" s="1">
        <v>20.104712041884817</v>
      </c>
      <c r="D39" s="1">
        <v>21.133333333333333</v>
      </c>
      <c r="E39" s="1">
        <v>9.9581151832460737</v>
      </c>
      <c r="F39" s="1">
        <f>B39*$F$30/$B$30</f>
        <v>340.26666666666665</v>
      </c>
      <c r="G39" s="1">
        <f>D39*$F$30/$B$30</f>
        <v>168.53833333333333</v>
      </c>
    </row>
    <row r="40" spans="1:9" x14ac:dyDescent="0.45">
      <c r="A40" s="5">
        <v>5000</v>
      </c>
      <c r="B40" s="1">
        <v>38.4</v>
      </c>
      <c r="C40" s="1">
        <v>20.104712041884817</v>
      </c>
      <c r="D40" s="1">
        <v>19.02</v>
      </c>
      <c r="E40" s="1">
        <v>9.9581151832460737</v>
      </c>
      <c r="F40" s="1">
        <f>B40*$F$30/$B$30</f>
        <v>306.24</v>
      </c>
      <c r="G40" s="1">
        <f>D40*$F$30/$B$30</f>
        <v>151.68450000000001</v>
      </c>
    </row>
    <row r="41" spans="1:9" x14ac:dyDescent="0.45">
      <c r="A41" s="5">
        <v>5500</v>
      </c>
      <c r="B41" s="1">
        <v>34.909090909090907</v>
      </c>
      <c r="C41" s="1">
        <v>20.104712041884817</v>
      </c>
      <c r="D41" s="1">
        <v>17.290909090909089</v>
      </c>
      <c r="E41" s="1">
        <v>9.9581151832460737</v>
      </c>
      <c r="F41" s="1">
        <f>B41*$F$30/$B$30</f>
        <v>278.39999999999998</v>
      </c>
      <c r="G41" s="1">
        <f>D41*$F$30/$B$30</f>
        <v>137.89499999999998</v>
      </c>
    </row>
    <row r="42" spans="1:9" x14ac:dyDescent="0.45">
      <c r="A42" s="5">
        <v>6000</v>
      </c>
      <c r="B42" s="1">
        <v>32</v>
      </c>
      <c r="C42" s="1">
        <v>20.104712041884817</v>
      </c>
      <c r="D42" s="1">
        <v>15.85</v>
      </c>
      <c r="E42" s="1">
        <v>9.9581151832460737</v>
      </c>
      <c r="F42" s="1">
        <f>B42*$F$30/$B$30</f>
        <v>255.2</v>
      </c>
      <c r="G42" s="1">
        <f>D42*$F$30/$B$30</f>
        <v>126.40374999999999</v>
      </c>
    </row>
    <row r="43" spans="1:9" ht="14.65" thickBot="1" x14ac:dyDescent="0.5"/>
    <row r="44" spans="1:9" ht="15" thickTop="1" thickBot="1" x14ac:dyDescent="0.5">
      <c r="A44" s="39" t="s">
        <v>93</v>
      </c>
      <c r="B44" s="39"/>
      <c r="C44" s="39"/>
      <c r="D44" s="39"/>
      <c r="E44" s="39"/>
      <c r="F44" s="39"/>
      <c r="G44" s="39"/>
      <c r="H44" s="39"/>
      <c r="I44" s="39"/>
    </row>
    <row r="45" spans="1:9" ht="28.9" thickTop="1" x14ac:dyDescent="0.45">
      <c r="A45" s="19" t="s">
        <v>48</v>
      </c>
      <c r="B45" s="4" t="s">
        <v>85</v>
      </c>
      <c r="C45" s="4" t="s">
        <v>87</v>
      </c>
      <c r="D45" s="4" t="s">
        <v>86</v>
      </c>
      <c r="E45" s="4" t="s">
        <v>88</v>
      </c>
      <c r="F45" s="4" t="s">
        <v>89</v>
      </c>
      <c r="G45" s="4" t="s">
        <v>90</v>
      </c>
      <c r="H45" s="2" t="s">
        <v>91</v>
      </c>
      <c r="I45" s="2" t="s">
        <v>92</v>
      </c>
    </row>
    <row r="46" spans="1:9" x14ac:dyDescent="0.45">
      <c r="A46" s="1">
        <v>0</v>
      </c>
      <c r="B46" s="1">
        <v>45</v>
      </c>
      <c r="C46" s="1">
        <v>45</v>
      </c>
      <c r="D46" s="1">
        <v>45</v>
      </c>
      <c r="E46" s="1">
        <v>45</v>
      </c>
      <c r="F46" s="1">
        <v>130</v>
      </c>
      <c r="G46">
        <v>130</v>
      </c>
      <c r="H46">
        <v>132</v>
      </c>
      <c r="I46">
        <v>132</v>
      </c>
    </row>
    <row r="47" spans="1:9" x14ac:dyDescent="0.45">
      <c r="A47" s="1">
        <v>1000</v>
      </c>
      <c r="B47" s="1">
        <v>45</v>
      </c>
      <c r="C47" s="1">
        <v>45</v>
      </c>
      <c r="D47" s="1">
        <v>45</v>
      </c>
      <c r="E47" s="1">
        <v>45</v>
      </c>
      <c r="F47" s="1">
        <v>130</v>
      </c>
      <c r="G47">
        <v>130</v>
      </c>
      <c r="H47">
        <v>132</v>
      </c>
      <c r="I47">
        <v>132</v>
      </c>
    </row>
    <row r="48" spans="1:9" x14ac:dyDescent="0.45">
      <c r="A48" s="1">
        <v>2000</v>
      </c>
      <c r="B48" s="1">
        <v>45</v>
      </c>
      <c r="C48" s="1">
        <v>45</v>
      </c>
      <c r="D48" s="1">
        <v>45</v>
      </c>
      <c r="E48" s="1">
        <v>45</v>
      </c>
      <c r="F48" s="1">
        <v>130</v>
      </c>
      <c r="G48">
        <v>130</v>
      </c>
      <c r="H48">
        <v>132</v>
      </c>
      <c r="I48">
        <v>132</v>
      </c>
    </row>
    <row r="49" spans="1:9" x14ac:dyDescent="0.45">
      <c r="A49" s="1">
        <v>3000</v>
      </c>
      <c r="B49" s="1">
        <v>45</v>
      </c>
      <c r="C49" s="1">
        <v>45</v>
      </c>
      <c r="D49" s="1">
        <v>45</v>
      </c>
      <c r="E49" s="1">
        <v>45</v>
      </c>
      <c r="F49" s="1">
        <v>130</v>
      </c>
      <c r="G49">
        <v>130</v>
      </c>
      <c r="H49">
        <v>132</v>
      </c>
      <c r="I49">
        <v>132</v>
      </c>
    </row>
    <row r="50" spans="1:9" x14ac:dyDescent="0.45">
      <c r="A50" s="1">
        <v>4000</v>
      </c>
      <c r="B50" s="1">
        <v>45</v>
      </c>
      <c r="C50" s="1">
        <v>45</v>
      </c>
      <c r="D50" s="1">
        <v>45</v>
      </c>
      <c r="E50" s="1">
        <v>45</v>
      </c>
      <c r="F50" s="1">
        <v>130</v>
      </c>
      <c r="G50">
        <v>130</v>
      </c>
      <c r="H50">
        <v>132</v>
      </c>
      <c r="I50">
        <v>132</v>
      </c>
    </row>
    <row r="51" spans="1:9" x14ac:dyDescent="0.45">
      <c r="A51" s="1">
        <v>5000</v>
      </c>
      <c r="B51" s="1">
        <v>45</v>
      </c>
      <c r="C51" s="1">
        <v>45</v>
      </c>
      <c r="D51" s="1">
        <v>45</v>
      </c>
      <c r="E51" s="1">
        <v>45</v>
      </c>
      <c r="F51" s="1">
        <v>130</v>
      </c>
      <c r="G51">
        <v>130</v>
      </c>
      <c r="H51">
        <v>116.64203082384611</v>
      </c>
      <c r="I51">
        <v>132</v>
      </c>
    </row>
    <row r="52" spans="1:9" x14ac:dyDescent="0.45">
      <c r="A52" s="1">
        <v>6000</v>
      </c>
      <c r="B52" s="1">
        <v>45</v>
      </c>
      <c r="C52" s="1">
        <v>45</v>
      </c>
      <c r="D52" s="1">
        <v>38.255548713240387</v>
      </c>
      <c r="E52" s="1">
        <v>45</v>
      </c>
      <c r="F52" s="1">
        <v>130</v>
      </c>
      <c r="G52">
        <v>130</v>
      </c>
      <c r="H52">
        <v>108.4805680900495</v>
      </c>
      <c r="I52">
        <v>132</v>
      </c>
    </row>
    <row r="53" spans="1:9" x14ac:dyDescent="0.45">
      <c r="A53" s="1">
        <v>7000</v>
      </c>
      <c r="B53" s="1">
        <v>45</v>
      </c>
      <c r="C53" s="1">
        <v>45</v>
      </c>
      <c r="D53" s="1">
        <v>35.454404987744127</v>
      </c>
      <c r="E53" s="1">
        <v>45</v>
      </c>
      <c r="F53" s="1">
        <v>114.72202294971503</v>
      </c>
      <c r="G53">
        <v>130</v>
      </c>
      <c r="H53">
        <v>100.31910535625289</v>
      </c>
      <c r="I53">
        <v>132</v>
      </c>
    </row>
    <row r="54" spans="1:9" x14ac:dyDescent="0.45">
      <c r="A54" s="1">
        <v>8000</v>
      </c>
      <c r="B54" s="1">
        <v>38.319137155633982</v>
      </c>
      <c r="C54" s="1">
        <v>45</v>
      </c>
      <c r="D54" s="1">
        <v>32.653261262247874</v>
      </c>
      <c r="E54" s="1">
        <v>45</v>
      </c>
      <c r="F54" s="1">
        <v>106.62849758056161</v>
      </c>
      <c r="G54">
        <v>130</v>
      </c>
      <c r="H54">
        <v>92.157642622456279</v>
      </c>
      <c r="I54">
        <v>132</v>
      </c>
    </row>
    <row r="55" spans="1:9" x14ac:dyDescent="0.45">
      <c r="A55" s="1">
        <v>8500</v>
      </c>
      <c r="B55" s="1">
        <v>36.925585320254029</v>
      </c>
      <c r="C55" s="1">
        <v>45</v>
      </c>
      <c r="D55" s="1">
        <v>31.252689399499744</v>
      </c>
      <c r="E55" s="1">
        <v>45</v>
      </c>
      <c r="F55" s="1">
        <v>102.58173489598491</v>
      </c>
      <c r="G55">
        <v>130</v>
      </c>
      <c r="H55">
        <v>88.076911255557974</v>
      </c>
      <c r="I55">
        <v>124.38859188537734</v>
      </c>
    </row>
    <row r="56" spans="1:9" x14ac:dyDescent="0.45">
      <c r="A56" s="1">
        <v>9330</v>
      </c>
      <c r="B56" s="1">
        <v>34.612289273523317</v>
      </c>
      <c r="C56" s="1">
        <v>45</v>
      </c>
      <c r="D56" s="1">
        <v>28.927740107337851</v>
      </c>
      <c r="E56" s="1">
        <v>45</v>
      </c>
      <c r="F56" s="1">
        <v>95.864108839587573</v>
      </c>
      <c r="G56">
        <v>130</v>
      </c>
      <c r="H56">
        <v>81.302897186506783</v>
      </c>
      <c r="I56">
        <v>117.44131236645103</v>
      </c>
    </row>
    <row r="57" spans="1:9" x14ac:dyDescent="0.45">
      <c r="A57" s="1">
        <v>11000</v>
      </c>
      <c r="B57" s="1">
        <v>29.957826143354289</v>
      </c>
      <c r="C57" s="1">
        <v>45</v>
      </c>
      <c r="D57" s="1">
        <v>24.249830085759097</v>
      </c>
      <c r="E57" s="1">
        <v>38.168181818181822</v>
      </c>
      <c r="F57" s="1">
        <v>82.34792147310138</v>
      </c>
      <c r="G57">
        <v>124.19735663996107</v>
      </c>
      <c r="H57">
        <v>67.673254421066432</v>
      </c>
      <c r="I57">
        <v>103.46305116571979</v>
      </c>
    </row>
    <row r="58" spans="1:9" x14ac:dyDescent="0.45">
      <c r="A58" s="1">
        <v>12000</v>
      </c>
      <c r="B58" s="1">
        <v>27.170722472594392</v>
      </c>
      <c r="C58" s="1">
        <v>43.406276168332397</v>
      </c>
      <c r="D58" s="1">
        <v>21.44868636026284</v>
      </c>
      <c r="E58" s="1">
        <v>34.987500000000004</v>
      </c>
      <c r="F58" s="1">
        <v>74.254396103947968</v>
      </c>
      <c r="G58">
        <v>115.80717414761034</v>
      </c>
      <c r="H58">
        <v>59.51179168726982</v>
      </c>
      <c r="I58">
        <v>95.092834877856774</v>
      </c>
    </row>
    <row r="59" spans="1:9" x14ac:dyDescent="0.45">
      <c r="A59" s="1">
        <v>13000</v>
      </c>
      <c r="B59" s="1">
        <v>24.383618801834494</v>
      </c>
      <c r="C59" s="1">
        <v>40.471823064246223</v>
      </c>
      <c r="D59" s="1">
        <v>18.64754263476658</v>
      </c>
      <c r="E59" s="1">
        <v>32.29615384615385</v>
      </c>
      <c r="F59" s="1">
        <v>66.160870734794557</v>
      </c>
      <c r="G59">
        <v>107.41699165525962</v>
      </c>
      <c r="H59">
        <v>51.350328953473209</v>
      </c>
      <c r="I59">
        <v>86.722618589993758</v>
      </c>
    </row>
    <row r="60" spans="1:9" x14ac:dyDescent="0.45">
      <c r="A60" s="1">
        <v>14000</v>
      </c>
      <c r="B60" s="1">
        <v>21.596515131074597</v>
      </c>
      <c r="C60" s="1">
        <v>37.537369960160042</v>
      </c>
      <c r="D60" s="1">
        <v>15.84639890927032</v>
      </c>
      <c r="E60" s="1">
        <v>29.989285714285717</v>
      </c>
      <c r="F60" s="1">
        <v>58.06734536564116</v>
      </c>
      <c r="G60">
        <v>99.026809162908904</v>
      </c>
      <c r="H60">
        <v>43.188866219676584</v>
      </c>
      <c r="I60">
        <v>78.352402302130741</v>
      </c>
    </row>
    <row r="61" spans="1:9" x14ac:dyDescent="0.45">
      <c r="A61" s="1">
        <v>15000</v>
      </c>
      <c r="B61" s="1">
        <v>18.809411460314699</v>
      </c>
      <c r="C61" s="1">
        <v>34.602916856073861</v>
      </c>
      <c r="D61" s="1">
        <v>13.045255183774067</v>
      </c>
      <c r="E61" s="1">
        <v>27.990000000000006</v>
      </c>
      <c r="F61" s="1">
        <v>49.973819996487748</v>
      </c>
      <c r="G61" s="1">
        <v>90.636626670558172</v>
      </c>
      <c r="H61">
        <v>35.027403485879972</v>
      </c>
      <c r="I61">
        <v>69.982186014267725</v>
      </c>
    </row>
    <row r="62" spans="1:9" ht="14.65" thickBot="1" x14ac:dyDescent="0.5"/>
    <row r="63" spans="1:9" ht="15" thickTop="1" thickBot="1" x14ac:dyDescent="0.5">
      <c r="A63" s="39" t="s">
        <v>94</v>
      </c>
      <c r="B63" s="39"/>
      <c r="C63" s="39"/>
      <c r="D63" s="39"/>
      <c r="E63" s="39"/>
      <c r="F63" s="39"/>
      <c r="G63" s="39"/>
      <c r="H63" s="39"/>
    </row>
    <row r="64" spans="1:9" ht="28.9" thickTop="1" x14ac:dyDescent="0.45">
      <c r="A64" s="4" t="s">
        <v>48</v>
      </c>
      <c r="B64" s="4" t="s">
        <v>103</v>
      </c>
      <c r="C64" s="4" t="s">
        <v>104</v>
      </c>
      <c r="D64" s="4" t="s">
        <v>105</v>
      </c>
      <c r="E64" s="4" t="s">
        <v>106</v>
      </c>
      <c r="F64" s="4" t="s">
        <v>107</v>
      </c>
      <c r="G64" s="4" t="s">
        <v>108</v>
      </c>
      <c r="H64" s="2" t="s">
        <v>109</v>
      </c>
      <c r="I64" s="4" t="s">
        <v>110</v>
      </c>
    </row>
    <row r="65" spans="1:9" x14ac:dyDescent="0.45">
      <c r="A65" s="1">
        <v>0</v>
      </c>
      <c r="B65" s="1">
        <v>85</v>
      </c>
      <c r="C65" s="1">
        <v>85</v>
      </c>
      <c r="D65" s="1">
        <v>85</v>
      </c>
      <c r="E65" s="1">
        <v>85</v>
      </c>
      <c r="F65" s="1">
        <v>206</v>
      </c>
      <c r="G65">
        <v>206</v>
      </c>
      <c r="H65">
        <v>206</v>
      </c>
      <c r="I65">
        <v>206</v>
      </c>
    </row>
    <row r="66" spans="1:9" x14ac:dyDescent="0.45">
      <c r="A66" s="1">
        <v>500</v>
      </c>
      <c r="B66" s="1">
        <v>85</v>
      </c>
      <c r="C66" s="1">
        <v>85</v>
      </c>
      <c r="D66" s="1">
        <v>85</v>
      </c>
      <c r="E66" s="1">
        <v>85</v>
      </c>
      <c r="F66" s="1">
        <v>206</v>
      </c>
      <c r="G66">
        <v>206</v>
      </c>
      <c r="H66">
        <v>206</v>
      </c>
      <c r="I66">
        <v>206</v>
      </c>
    </row>
    <row r="67" spans="1:9" x14ac:dyDescent="0.45">
      <c r="A67" s="1">
        <v>1000</v>
      </c>
      <c r="B67" s="1">
        <v>85</v>
      </c>
      <c r="C67" s="1">
        <v>85</v>
      </c>
      <c r="D67" s="1">
        <v>85</v>
      </c>
      <c r="E67" s="1">
        <v>85</v>
      </c>
      <c r="F67" s="1">
        <v>206</v>
      </c>
      <c r="G67">
        <v>206</v>
      </c>
      <c r="H67">
        <v>206</v>
      </c>
      <c r="I67">
        <v>206</v>
      </c>
    </row>
    <row r="68" spans="1:9" x14ac:dyDescent="0.45">
      <c r="A68" s="1">
        <v>1500</v>
      </c>
      <c r="B68" s="1">
        <v>85</v>
      </c>
      <c r="C68" s="1">
        <v>85</v>
      </c>
      <c r="D68" s="1">
        <v>85</v>
      </c>
      <c r="E68" s="1">
        <v>85</v>
      </c>
      <c r="F68" s="1">
        <v>206</v>
      </c>
      <c r="G68">
        <v>206</v>
      </c>
      <c r="H68">
        <v>206</v>
      </c>
      <c r="I68">
        <v>206</v>
      </c>
    </row>
    <row r="69" spans="1:9" x14ac:dyDescent="0.45">
      <c r="A69" s="1">
        <v>2000</v>
      </c>
      <c r="B69" s="1">
        <v>85</v>
      </c>
      <c r="C69" s="1">
        <v>85</v>
      </c>
      <c r="D69" s="1">
        <v>85</v>
      </c>
      <c r="E69" s="1">
        <v>85</v>
      </c>
      <c r="F69" s="1">
        <v>206</v>
      </c>
      <c r="G69">
        <v>206</v>
      </c>
      <c r="H69">
        <v>206</v>
      </c>
      <c r="I69">
        <v>206</v>
      </c>
    </row>
    <row r="70" spans="1:9" x14ac:dyDescent="0.45">
      <c r="A70" s="1">
        <v>2500</v>
      </c>
      <c r="B70" s="1">
        <v>85</v>
      </c>
      <c r="C70" s="1">
        <v>85</v>
      </c>
      <c r="D70" s="1">
        <v>85</v>
      </c>
      <c r="E70" s="1">
        <v>85</v>
      </c>
      <c r="F70" s="1">
        <v>206</v>
      </c>
      <c r="G70">
        <v>206</v>
      </c>
      <c r="H70">
        <v>206</v>
      </c>
      <c r="I70">
        <v>206</v>
      </c>
    </row>
    <row r="71" spans="1:9" x14ac:dyDescent="0.45">
      <c r="A71" s="1">
        <v>3000</v>
      </c>
      <c r="B71" s="1">
        <v>85</v>
      </c>
      <c r="C71" s="1">
        <v>85</v>
      </c>
      <c r="D71" s="1">
        <v>85</v>
      </c>
      <c r="E71" s="1">
        <v>85</v>
      </c>
      <c r="F71" s="1">
        <v>206</v>
      </c>
      <c r="G71">
        <v>206</v>
      </c>
      <c r="H71">
        <v>206</v>
      </c>
      <c r="I71">
        <v>206</v>
      </c>
    </row>
    <row r="72" spans="1:9" x14ac:dyDescent="0.45">
      <c r="A72" s="1">
        <v>3500</v>
      </c>
      <c r="B72" s="1">
        <v>79</v>
      </c>
      <c r="C72" s="1">
        <v>85</v>
      </c>
      <c r="D72" s="1">
        <v>62.857601529923031</v>
      </c>
      <c r="E72" s="1">
        <v>85</v>
      </c>
      <c r="F72" s="1">
        <v>206</v>
      </c>
      <c r="G72">
        <v>206</v>
      </c>
      <c r="H72">
        <v>170.62152660528199</v>
      </c>
      <c r="I72">
        <v>206</v>
      </c>
    </row>
    <row r="73" spans="1:9" x14ac:dyDescent="0.45">
      <c r="A73" s="1">
        <v>4000</v>
      </c>
      <c r="B73" s="1">
        <v>70.833953479955724</v>
      </c>
      <c r="C73" s="1">
        <v>85</v>
      </c>
      <c r="D73" s="1">
        <v>59.94860552456074</v>
      </c>
      <c r="E73" s="1">
        <v>85</v>
      </c>
      <c r="F73" s="1">
        <v>206</v>
      </c>
      <c r="G73">
        <v>206</v>
      </c>
      <c r="H73">
        <v>162.73023549777918</v>
      </c>
      <c r="I73">
        <v>206</v>
      </c>
    </row>
    <row r="74" spans="1:9" x14ac:dyDescent="0.45">
      <c r="A74" s="1">
        <v>4500</v>
      </c>
      <c r="B74" s="1">
        <v>67.575653296411659</v>
      </c>
      <c r="C74" s="1">
        <v>85</v>
      </c>
      <c r="D74" s="1">
        <v>57.03960951919845</v>
      </c>
      <c r="E74" s="1">
        <v>85</v>
      </c>
      <c r="F74" s="1">
        <v>174.74052058137607</v>
      </c>
      <c r="G74">
        <v>206</v>
      </c>
      <c r="H74">
        <v>154.83894439027642</v>
      </c>
      <c r="I74">
        <v>206</v>
      </c>
    </row>
    <row r="75" spans="1:9" x14ac:dyDescent="0.45">
      <c r="A75" s="1">
        <v>5000</v>
      </c>
      <c r="B75" s="1">
        <v>64.317353112867593</v>
      </c>
      <c r="C75" s="1">
        <v>85</v>
      </c>
      <c r="D75" s="1">
        <v>54.13061351383616</v>
      </c>
      <c r="E75" s="1">
        <v>85</v>
      </c>
      <c r="F75" s="1">
        <v>166.81192556497638</v>
      </c>
      <c r="G75">
        <v>206</v>
      </c>
      <c r="H75">
        <v>146.94765328277362</v>
      </c>
      <c r="I75">
        <v>206</v>
      </c>
    </row>
    <row r="76" spans="1:9" x14ac:dyDescent="0.45">
      <c r="A76" s="1">
        <v>5500</v>
      </c>
      <c r="B76" s="1">
        <v>61.059052929323521</v>
      </c>
      <c r="C76" s="1">
        <v>85</v>
      </c>
      <c r="D76" s="1">
        <v>51.221617508473869</v>
      </c>
      <c r="E76" s="1">
        <v>85</v>
      </c>
      <c r="F76" s="1">
        <v>158.88333054857668</v>
      </c>
      <c r="G76">
        <v>206</v>
      </c>
      <c r="H76">
        <v>139.05636217527086</v>
      </c>
      <c r="I76">
        <v>190.19739947900223</v>
      </c>
    </row>
    <row r="77" spans="1:9" x14ac:dyDescent="0.45">
      <c r="A77" s="1">
        <v>6000</v>
      </c>
      <c r="B77" s="1">
        <v>57.800752745779455</v>
      </c>
      <c r="C77" s="1">
        <v>85</v>
      </c>
      <c r="D77" s="1">
        <v>48.312621503111579</v>
      </c>
      <c r="E77" s="1">
        <v>85</v>
      </c>
      <c r="F77" s="1">
        <v>150.95473553217698</v>
      </c>
      <c r="G77">
        <v>206</v>
      </c>
      <c r="H77">
        <v>131.16507106776805</v>
      </c>
      <c r="I77">
        <v>182.11841073830482</v>
      </c>
    </row>
    <row r="78" spans="1:9" x14ac:dyDescent="0.45">
      <c r="A78" s="1">
        <v>6500</v>
      </c>
      <c r="B78" s="1">
        <v>54.54245256223539</v>
      </c>
      <c r="C78" s="1">
        <v>85</v>
      </c>
      <c r="D78" s="1">
        <v>45.403625497749289</v>
      </c>
      <c r="E78" s="1">
        <v>85</v>
      </c>
      <c r="F78" s="1">
        <v>143.02614051577731</v>
      </c>
      <c r="G78">
        <v>206</v>
      </c>
      <c r="H78">
        <v>123.27377996026529</v>
      </c>
      <c r="I78">
        <v>174.03942199760743</v>
      </c>
    </row>
    <row r="79" spans="1:9" x14ac:dyDescent="0.45">
      <c r="A79" s="1">
        <v>6740</v>
      </c>
      <c r="B79" s="1">
        <v>52.978468474134239</v>
      </c>
      <c r="C79" s="1">
        <v>85</v>
      </c>
      <c r="D79" s="1">
        <v>44.00730741517539</v>
      </c>
      <c r="E79" s="1">
        <v>85</v>
      </c>
      <c r="F79" s="1">
        <v>139.22041490790548</v>
      </c>
      <c r="G79">
        <v>200.97548345059164</v>
      </c>
      <c r="H79">
        <v>119.48596022866396</v>
      </c>
      <c r="I79">
        <v>170.16150740207269</v>
      </c>
    </row>
    <row r="80" spans="1:9" x14ac:dyDescent="0.45">
      <c r="A80" s="1">
        <v>7500</v>
      </c>
      <c r="B80" s="1">
        <v>48.025852195147259</v>
      </c>
      <c r="C80" s="1">
        <v>76.38666666666667</v>
      </c>
      <c r="D80" s="1">
        <v>39.585633487024708</v>
      </c>
      <c r="E80" s="1">
        <v>80.567461317409908</v>
      </c>
      <c r="F80" s="1">
        <v>127.16895048297793</v>
      </c>
      <c r="G80">
        <v>188.25242231928104</v>
      </c>
      <c r="H80">
        <v>107.49119774525974</v>
      </c>
      <c r="I80">
        <v>157.88144451621264</v>
      </c>
    </row>
    <row r="81" spans="1:9" x14ac:dyDescent="0.45">
      <c r="A81" s="1">
        <v>8000</v>
      </c>
      <c r="B81" s="1">
        <v>44.767552011603186</v>
      </c>
      <c r="C81" s="1">
        <v>71.612499999999997</v>
      </c>
      <c r="D81" s="1">
        <v>36.676637481662411</v>
      </c>
      <c r="E81" s="1">
        <v>77.127111904473779</v>
      </c>
      <c r="F81" s="1">
        <v>119.24035546657824</v>
      </c>
      <c r="G81">
        <v>179.88198736447146</v>
      </c>
      <c r="H81">
        <v>99.599906637756959</v>
      </c>
      <c r="I81">
        <v>149.80245577551526</v>
      </c>
    </row>
    <row r="82" spans="1:9" x14ac:dyDescent="0.45">
      <c r="A82" s="1">
        <v>8500</v>
      </c>
      <c r="B82" s="1">
        <v>41.509251828059121</v>
      </c>
      <c r="C82" s="1">
        <v>67.400000000000006</v>
      </c>
      <c r="D82" s="1">
        <v>33.76764147630012</v>
      </c>
      <c r="E82" s="1">
        <v>73.68676249153765</v>
      </c>
      <c r="F82" s="1">
        <v>111.31176045017855</v>
      </c>
      <c r="G82">
        <v>171.51155240966185</v>
      </c>
      <c r="H82">
        <v>91.708615530254178</v>
      </c>
      <c r="I82">
        <v>141.72346703481784</v>
      </c>
    </row>
    <row r="83" spans="1:9" x14ac:dyDescent="0.45">
      <c r="A83" s="1">
        <v>9000</v>
      </c>
      <c r="B83" s="1">
        <v>38.250951644515055</v>
      </c>
      <c r="C83" s="1">
        <v>63.655555555555559</v>
      </c>
      <c r="D83" s="1">
        <v>30.85864547093783</v>
      </c>
      <c r="E83" s="1">
        <v>70.246413078601506</v>
      </c>
      <c r="F83" s="1">
        <v>103.38316543377886</v>
      </c>
      <c r="G83">
        <v>163.14111745485224</v>
      </c>
      <c r="H83">
        <v>83.817324422751398</v>
      </c>
      <c r="I83">
        <v>133.64447829412046</v>
      </c>
    </row>
    <row r="84" spans="1:9" x14ac:dyDescent="0.45">
      <c r="A84" s="1">
        <v>9500</v>
      </c>
      <c r="B84" s="1">
        <v>34.99265146097099</v>
      </c>
      <c r="C84" s="1">
        <v>60.305263157894736</v>
      </c>
      <c r="D84" s="1">
        <v>27.94964946557554</v>
      </c>
      <c r="E84" s="1">
        <v>66.806063665665391</v>
      </c>
      <c r="F84" s="1">
        <v>95.454570417379159</v>
      </c>
      <c r="G84">
        <v>154.77068250004262</v>
      </c>
      <c r="H84">
        <v>75.926033315248617</v>
      </c>
      <c r="I84">
        <v>125.56548955342305</v>
      </c>
    </row>
    <row r="85" spans="1:9" x14ac:dyDescent="0.45">
      <c r="A85" s="1">
        <v>10000</v>
      </c>
      <c r="B85" s="1">
        <v>31.734351277426924</v>
      </c>
      <c r="C85" s="1">
        <v>57.29</v>
      </c>
      <c r="D85" s="1">
        <v>25.04065346021325</v>
      </c>
      <c r="E85" s="1">
        <v>63.365714252729248</v>
      </c>
      <c r="F85" s="1">
        <v>87.52597540097949</v>
      </c>
      <c r="G85">
        <v>146.40024754523301</v>
      </c>
      <c r="H85">
        <v>68.034742207745836</v>
      </c>
      <c r="I85">
        <v>117.48650081272567</v>
      </c>
    </row>
    <row r="86" spans="1:9" x14ac:dyDescent="0.45">
      <c r="A86" s="1">
        <v>10500</v>
      </c>
      <c r="B86" s="1">
        <v>28.476051093882859</v>
      </c>
      <c r="C86" s="1">
        <v>54.561904761904763</v>
      </c>
      <c r="D86" s="1">
        <v>22.131657454850959</v>
      </c>
      <c r="E86" s="1">
        <v>59.925364839793119</v>
      </c>
      <c r="F86" s="1">
        <v>79.597380384579793</v>
      </c>
      <c r="G86">
        <v>138.02981259042343</v>
      </c>
      <c r="H86">
        <v>60.143451100243055</v>
      </c>
      <c r="I86">
        <v>109.40751207202825</v>
      </c>
    </row>
    <row r="87" spans="1:9" x14ac:dyDescent="0.45">
      <c r="A87" s="1">
        <v>11000</v>
      </c>
      <c r="B87" s="1">
        <v>25.217750910338779</v>
      </c>
      <c r="C87" s="1">
        <v>52.081818181818178</v>
      </c>
      <c r="D87" s="1">
        <v>19.222661449488669</v>
      </c>
      <c r="E87" s="1">
        <v>56.48501542685699</v>
      </c>
      <c r="F87" s="1">
        <v>71.668785368180096</v>
      </c>
      <c r="G87">
        <v>129.65937763561382</v>
      </c>
      <c r="H87">
        <v>52.252159992740275</v>
      </c>
      <c r="I87">
        <v>101.32852333133087</v>
      </c>
    </row>
    <row r="88" spans="1:9" x14ac:dyDescent="0.45">
      <c r="A88" s="1">
        <v>11500</v>
      </c>
      <c r="B88" s="1">
        <v>21.959450726794714</v>
      </c>
      <c r="C88" s="1">
        <v>49.817391304347829</v>
      </c>
      <c r="D88" s="1">
        <v>16.313665444126372</v>
      </c>
      <c r="E88" s="1">
        <v>53.04466601392086</v>
      </c>
      <c r="F88" s="1">
        <v>63.740190351780399</v>
      </c>
      <c r="G88">
        <v>121.28894268080421</v>
      </c>
      <c r="H88">
        <v>44.360868885237494</v>
      </c>
      <c r="I88">
        <v>93.249534590633459</v>
      </c>
    </row>
    <row r="89" spans="1:9" x14ac:dyDescent="0.45">
      <c r="A89" s="1">
        <v>12000</v>
      </c>
      <c r="B89" s="1">
        <v>18.701150543250648</v>
      </c>
      <c r="C89" s="1">
        <v>47.741666666666667</v>
      </c>
      <c r="D89" s="1">
        <v>13.404669438764088</v>
      </c>
      <c r="E89" s="1">
        <v>49.604316600984731</v>
      </c>
      <c r="F89" s="1">
        <v>55.811595335380701</v>
      </c>
      <c r="G89">
        <v>112.9185077259946</v>
      </c>
      <c r="H89">
        <v>36.469577777734713</v>
      </c>
      <c r="I89">
        <v>85.170545849936076</v>
      </c>
    </row>
    <row r="90" spans="1:9" x14ac:dyDescent="0.45">
      <c r="A90" s="1">
        <v>12500</v>
      </c>
      <c r="B90" s="1">
        <v>15.442850359706583</v>
      </c>
      <c r="C90" s="1">
        <v>45.832000000000001</v>
      </c>
      <c r="D90" s="1">
        <v>10.495673433401791</v>
      </c>
      <c r="E90" s="1">
        <v>46.163967188048602</v>
      </c>
      <c r="F90" s="1">
        <v>47.883000318981033</v>
      </c>
      <c r="G90">
        <v>104.54807277118502</v>
      </c>
      <c r="H90">
        <v>28.578286670231932</v>
      </c>
      <c r="I90">
        <v>77.091557109238693</v>
      </c>
    </row>
    <row r="92" spans="1:9" ht="14.65" thickBot="1" x14ac:dyDescent="0.5"/>
    <row r="93" spans="1:9" ht="15" thickTop="1" thickBot="1" x14ac:dyDescent="0.5">
      <c r="A93" s="39" t="s">
        <v>111</v>
      </c>
      <c r="B93" s="39"/>
      <c r="C93" s="39"/>
      <c r="D93" s="39"/>
      <c r="E93" s="39"/>
      <c r="F93" s="39"/>
      <c r="G93" s="39"/>
      <c r="H93" s="39"/>
    </row>
    <row r="94" spans="1:9" ht="28.9" thickTop="1" x14ac:dyDescent="0.45">
      <c r="A94" s="4" t="s">
        <v>48</v>
      </c>
      <c r="B94" s="4" t="s">
        <v>100</v>
      </c>
      <c r="C94" s="4" t="s">
        <v>101</v>
      </c>
      <c r="D94" s="4" t="s">
        <v>102</v>
      </c>
      <c r="E94" s="4" t="s">
        <v>95</v>
      </c>
      <c r="F94" s="4" t="s">
        <v>96</v>
      </c>
      <c r="G94" s="4" t="s">
        <v>97</v>
      </c>
      <c r="H94" s="2" t="s">
        <v>98</v>
      </c>
      <c r="I94" s="2" t="s">
        <v>99</v>
      </c>
    </row>
    <row r="95" spans="1:9" x14ac:dyDescent="0.45">
      <c r="A95" s="1">
        <v>0</v>
      </c>
      <c r="B95" s="1">
        <v>162</v>
      </c>
      <c r="C95" s="1">
        <v>162</v>
      </c>
      <c r="D95" s="1">
        <v>162</v>
      </c>
      <c r="E95" s="1">
        <v>162</v>
      </c>
      <c r="F95" s="1">
        <v>368</v>
      </c>
      <c r="G95" s="1">
        <v>368</v>
      </c>
      <c r="H95" s="1">
        <v>368</v>
      </c>
      <c r="I95" s="1">
        <v>368</v>
      </c>
    </row>
    <row r="96" spans="1:9" x14ac:dyDescent="0.45">
      <c r="A96" s="1">
        <v>500</v>
      </c>
      <c r="B96" s="1">
        <v>162</v>
      </c>
      <c r="C96" s="1">
        <v>162</v>
      </c>
      <c r="D96" s="1">
        <v>162</v>
      </c>
      <c r="E96" s="1">
        <v>162</v>
      </c>
      <c r="F96" s="1">
        <v>368</v>
      </c>
      <c r="G96" s="1">
        <v>368</v>
      </c>
      <c r="H96" s="1">
        <v>368</v>
      </c>
      <c r="I96" s="1">
        <v>368</v>
      </c>
    </row>
    <row r="97" spans="1:9" x14ac:dyDescent="0.45">
      <c r="A97" s="1">
        <v>1000</v>
      </c>
      <c r="B97" s="1">
        <v>162</v>
      </c>
      <c r="C97" s="1">
        <v>162</v>
      </c>
      <c r="D97" s="1">
        <v>162</v>
      </c>
      <c r="E97" s="1">
        <v>162</v>
      </c>
      <c r="F97" s="1">
        <v>368</v>
      </c>
      <c r="G97" s="1">
        <v>368</v>
      </c>
      <c r="H97" s="1">
        <v>368</v>
      </c>
      <c r="I97" s="1">
        <v>368</v>
      </c>
    </row>
    <row r="98" spans="1:9" x14ac:dyDescent="0.45">
      <c r="A98" s="1">
        <v>1500</v>
      </c>
      <c r="B98" s="1">
        <v>162</v>
      </c>
      <c r="C98" s="1">
        <v>162</v>
      </c>
      <c r="D98" s="1">
        <v>162</v>
      </c>
      <c r="E98" s="1">
        <v>162</v>
      </c>
      <c r="F98" s="1">
        <v>368</v>
      </c>
      <c r="G98" s="1">
        <v>368</v>
      </c>
      <c r="H98" s="1">
        <v>368</v>
      </c>
      <c r="I98" s="1">
        <v>368</v>
      </c>
    </row>
    <row r="99" spans="1:9" x14ac:dyDescent="0.45">
      <c r="A99" s="1">
        <v>2000</v>
      </c>
      <c r="B99" s="1">
        <v>162</v>
      </c>
      <c r="C99" s="1">
        <v>162</v>
      </c>
      <c r="D99" s="1">
        <v>162</v>
      </c>
      <c r="E99" s="1">
        <v>162</v>
      </c>
      <c r="F99" s="1">
        <v>368</v>
      </c>
      <c r="G99" s="1">
        <v>368</v>
      </c>
      <c r="H99" s="1">
        <v>368</v>
      </c>
      <c r="I99" s="1">
        <v>368</v>
      </c>
    </row>
    <row r="100" spans="1:9" x14ac:dyDescent="0.45">
      <c r="A100" s="1">
        <v>2500</v>
      </c>
      <c r="B100" s="1">
        <v>162</v>
      </c>
      <c r="C100" s="1">
        <v>162</v>
      </c>
      <c r="D100" s="1">
        <v>139.14231226195326</v>
      </c>
      <c r="E100" s="1">
        <v>162</v>
      </c>
      <c r="F100" s="1">
        <v>368</v>
      </c>
      <c r="G100" s="1">
        <v>368</v>
      </c>
      <c r="H100" s="1">
        <v>302.64119820350203</v>
      </c>
      <c r="I100" s="1">
        <v>368</v>
      </c>
    </row>
    <row r="101" spans="1:9" x14ac:dyDescent="0.45">
      <c r="A101" s="1">
        <v>3088</v>
      </c>
      <c r="B101" s="1">
        <v>145.25944787457217</v>
      </c>
      <c r="C101" s="1">
        <v>162</v>
      </c>
      <c r="D101" s="1">
        <v>129.39308158758379</v>
      </c>
      <c r="E101" s="1">
        <v>162</v>
      </c>
      <c r="F101" s="1">
        <v>314.11146628890765</v>
      </c>
      <c r="G101" s="1">
        <v>368</v>
      </c>
      <c r="H101" s="1">
        <v>280.7441244737322</v>
      </c>
      <c r="I101" s="1">
        <v>368</v>
      </c>
    </row>
    <row r="102" spans="1:9" x14ac:dyDescent="0.45">
      <c r="A102" s="1">
        <v>3300</v>
      </c>
      <c r="B102" s="1">
        <v>141.7277537057596</v>
      </c>
      <c r="C102" s="1">
        <v>162</v>
      </c>
      <c r="D102" s="1">
        <v>125.87805284104243</v>
      </c>
      <c r="E102" s="1">
        <v>162</v>
      </c>
      <c r="F102" s="1">
        <v>306.33655961861166</v>
      </c>
      <c r="G102" s="1">
        <v>368</v>
      </c>
      <c r="H102" s="1">
        <v>272.84926115619618</v>
      </c>
      <c r="I102" s="1">
        <v>368</v>
      </c>
    </row>
    <row r="103" spans="1:9" x14ac:dyDescent="0.45">
      <c r="A103" s="1">
        <v>4000</v>
      </c>
      <c r="B103" s="1">
        <v>130.06649937477476</v>
      </c>
      <c r="C103" s="1">
        <v>162</v>
      </c>
      <c r="D103" s="1">
        <v>114.27182584774546</v>
      </c>
      <c r="E103" s="1">
        <v>162</v>
      </c>
      <c r="F103" s="1">
        <v>280.66469797140786</v>
      </c>
      <c r="G103" s="1">
        <v>368</v>
      </c>
      <c r="H103" s="1">
        <v>246.78131623980354</v>
      </c>
      <c r="I103" s="1">
        <v>368</v>
      </c>
    </row>
    <row r="104" spans="1:9" x14ac:dyDescent="0.45">
      <c r="A104" s="1">
        <v>4500</v>
      </c>
      <c r="B104" s="1">
        <v>121.73703199549988</v>
      </c>
      <c r="C104" s="1">
        <v>162</v>
      </c>
      <c r="D104" s="1">
        <v>105.9816637096762</v>
      </c>
      <c r="E104" s="1">
        <v>150.64705403301733</v>
      </c>
      <c r="F104" s="1">
        <v>262.32765393769091</v>
      </c>
      <c r="G104" s="1">
        <v>368</v>
      </c>
      <c r="H104" s="1">
        <v>228.1613555852374</v>
      </c>
      <c r="I104" s="1">
        <v>327.34627796420045</v>
      </c>
    </row>
    <row r="105" spans="1:9" x14ac:dyDescent="0.45">
      <c r="A105" s="1">
        <v>5000</v>
      </c>
      <c r="B105" s="1">
        <v>113.40756461622499</v>
      </c>
      <c r="C105" s="1">
        <v>162</v>
      </c>
      <c r="D105" s="1">
        <v>97.691501571606935</v>
      </c>
      <c r="E105" s="1">
        <v>141.79200239305555</v>
      </c>
      <c r="F105" s="1">
        <v>243.9906099039739</v>
      </c>
      <c r="G105" s="1">
        <v>368</v>
      </c>
      <c r="H105" s="1">
        <v>209.54139493067123</v>
      </c>
      <c r="I105" s="1">
        <v>307.51477001028894</v>
      </c>
    </row>
    <row r="106" spans="1:9" x14ac:dyDescent="0.45">
      <c r="A106" s="1">
        <v>5215</v>
      </c>
      <c r="B106" s="1">
        <v>109.82589364313679</v>
      </c>
      <c r="C106" s="1">
        <v>162</v>
      </c>
      <c r="D106" s="1">
        <v>94.126731852237157</v>
      </c>
      <c r="E106" s="1">
        <v>137.98433018787199</v>
      </c>
      <c r="F106" s="1">
        <v>236.1056809694756</v>
      </c>
      <c r="G106" s="1">
        <v>352.50533703308446</v>
      </c>
      <c r="H106" s="1">
        <v>201.53481184920778</v>
      </c>
      <c r="I106" s="1">
        <v>298.98722159010697</v>
      </c>
    </row>
    <row r="107" spans="1:9" x14ac:dyDescent="0.45">
      <c r="A107" s="1">
        <v>5540</v>
      </c>
      <c r="B107" s="1">
        <v>104.41173984660811</v>
      </c>
      <c r="C107" s="1">
        <v>157.02234714393529</v>
      </c>
      <c r="D107" s="1">
        <v>88.738126462492133</v>
      </c>
      <c r="E107" s="1">
        <v>132.22854662189684</v>
      </c>
      <c r="F107" s="1">
        <v>224.18660234755956</v>
      </c>
      <c r="G107" s="1">
        <v>339.52828005470553</v>
      </c>
      <c r="H107" s="1">
        <v>189.43183742373978</v>
      </c>
      <c r="I107" s="1">
        <v>286.09674142006452</v>
      </c>
    </row>
    <row r="108" spans="1:9" x14ac:dyDescent="0.45">
      <c r="A108" s="1">
        <v>6500</v>
      </c>
      <c r="B108" s="1">
        <v>88.419162478400324</v>
      </c>
      <c r="C108" s="1">
        <v>139.60952266290417</v>
      </c>
      <c r="D108" s="1">
        <v>72.821015157399145</v>
      </c>
      <c r="E108" s="1">
        <v>115.22684747317025</v>
      </c>
      <c r="F108" s="1">
        <v>188.97947780282294</v>
      </c>
      <c r="G108" s="1">
        <v>301.19605021087864</v>
      </c>
      <c r="H108" s="1">
        <v>153.68151296697275</v>
      </c>
      <c r="I108" s="1">
        <v>248.02024614855441</v>
      </c>
    </row>
    <row r="109" spans="1:9" x14ac:dyDescent="0.45">
      <c r="A109" s="1">
        <v>6740</v>
      </c>
      <c r="B109" s="1">
        <v>84.42101813634838</v>
      </c>
      <c r="C109" s="1">
        <v>135.2563165426464</v>
      </c>
      <c r="D109" s="1">
        <v>68.841737331125898</v>
      </c>
      <c r="E109" s="1">
        <v>110.97642268598861</v>
      </c>
      <c r="F109" s="1">
        <v>180.17769666663881</v>
      </c>
      <c r="G109" s="1">
        <v>291.61299274992189</v>
      </c>
      <c r="H109" s="1">
        <v>144.743931852781</v>
      </c>
      <c r="I109" s="1">
        <v>238.50112233067688</v>
      </c>
    </row>
    <row r="110" spans="1:9" x14ac:dyDescent="0.45">
      <c r="A110" s="1">
        <v>7500</v>
      </c>
      <c r="B110" s="1">
        <v>71.760227719850548</v>
      </c>
      <c r="C110" s="1">
        <v>121.47116382849677</v>
      </c>
      <c r="D110" s="1">
        <v>56.240690881260619</v>
      </c>
      <c r="E110" s="1">
        <v>97.516744193246723</v>
      </c>
      <c r="F110" s="1">
        <v>152.30538973538899</v>
      </c>
      <c r="G110" s="1">
        <v>261.26664412355893</v>
      </c>
      <c r="H110" s="1">
        <v>116.44159165784043</v>
      </c>
      <c r="I110" s="1">
        <v>208.35723024073138</v>
      </c>
    </row>
    <row r="111" spans="1:9" x14ac:dyDescent="0.45">
      <c r="A111" s="1">
        <v>8000</v>
      </c>
      <c r="B111" s="1">
        <v>63.430760340575659</v>
      </c>
      <c r="C111" s="1">
        <v>112.40198441129306</v>
      </c>
      <c r="D111" s="1">
        <v>47.950528743191342</v>
      </c>
      <c r="E111" s="1">
        <v>88.661692553284951</v>
      </c>
      <c r="F111" s="1">
        <v>133.96834570167198</v>
      </c>
      <c r="G111" s="1">
        <v>241.30194107989911</v>
      </c>
      <c r="H111" s="1">
        <v>97.821631003274263</v>
      </c>
      <c r="I111" s="1">
        <v>188.52572228681987</v>
      </c>
    </row>
    <row r="112" spans="1:9" x14ac:dyDescent="0.45">
      <c r="A112" s="1">
        <v>8500</v>
      </c>
      <c r="B112" s="1">
        <v>55.101292961300771</v>
      </c>
      <c r="C112" s="1">
        <v>103.33280499408937</v>
      </c>
      <c r="D112" s="1">
        <v>39.660366605122078</v>
      </c>
      <c r="E112" s="1">
        <v>79.806640913323179</v>
      </c>
      <c r="F112" s="1">
        <v>115.63130166795503</v>
      </c>
      <c r="G112" s="1">
        <v>221.33723803623923</v>
      </c>
      <c r="H112" s="1">
        <v>79.201670348708092</v>
      </c>
      <c r="I112" s="1">
        <v>168.69421433290836</v>
      </c>
    </row>
    <row r="113" spans="1:9" x14ac:dyDescent="0.45">
      <c r="A113" s="1">
        <v>9000</v>
      </c>
      <c r="B113" s="1">
        <v>46.771825582025883</v>
      </c>
      <c r="C113" s="1">
        <v>94.263625576885659</v>
      </c>
      <c r="D113" s="1">
        <v>31.370204467052815</v>
      </c>
      <c r="E113" s="1">
        <v>70.951589273361407</v>
      </c>
      <c r="F113" s="1">
        <v>97.294257634238022</v>
      </c>
      <c r="G113" s="1">
        <v>201.3725349925794</v>
      </c>
      <c r="H113" s="1">
        <v>60.581709694141978</v>
      </c>
      <c r="I113" s="1">
        <v>148.8627063789969</v>
      </c>
    </row>
    <row r="114" spans="1:9" ht="14.65" thickBot="1" x14ac:dyDescent="0.5"/>
    <row r="115" spans="1:9" ht="15" thickTop="1" thickBot="1" x14ac:dyDescent="0.5">
      <c r="A115" s="39" t="s">
        <v>112</v>
      </c>
      <c r="B115" s="39"/>
      <c r="C115" s="39"/>
      <c r="D115" s="39"/>
      <c r="E115" s="39"/>
      <c r="F115" s="39"/>
      <c r="G115" s="39"/>
      <c r="H115" s="39"/>
    </row>
    <row r="116" spans="1:9" ht="28.9" thickTop="1" x14ac:dyDescent="0.45">
      <c r="A116" s="4" t="s">
        <v>48</v>
      </c>
      <c r="B116" s="4" t="s">
        <v>113</v>
      </c>
      <c r="C116" s="4" t="s">
        <v>114</v>
      </c>
      <c r="D116" s="4" t="s">
        <v>115</v>
      </c>
      <c r="E116" s="4" t="s">
        <v>116</v>
      </c>
      <c r="F116" s="4" t="s">
        <v>117</v>
      </c>
      <c r="G116" s="4" t="s">
        <v>118</v>
      </c>
      <c r="H116" s="2" t="s">
        <v>119</v>
      </c>
      <c r="I116" s="2" t="s">
        <v>120</v>
      </c>
    </row>
    <row r="117" spans="1:9" x14ac:dyDescent="0.45">
      <c r="A117">
        <v>0</v>
      </c>
      <c r="B117" s="1">
        <v>215</v>
      </c>
      <c r="C117" s="1">
        <v>215</v>
      </c>
      <c r="D117" s="1">
        <v>215</v>
      </c>
      <c r="E117" s="1">
        <v>215</v>
      </c>
      <c r="F117" s="1">
        <v>581</v>
      </c>
      <c r="G117">
        <v>581</v>
      </c>
      <c r="H117">
        <v>581</v>
      </c>
      <c r="I117">
        <v>581</v>
      </c>
    </row>
    <row r="118" spans="1:9" x14ac:dyDescent="0.45">
      <c r="A118">
        <v>500</v>
      </c>
      <c r="B118" s="1">
        <v>215</v>
      </c>
      <c r="C118" s="1">
        <v>215</v>
      </c>
      <c r="D118" s="1">
        <v>215</v>
      </c>
      <c r="E118" s="1">
        <v>215</v>
      </c>
      <c r="F118" s="1">
        <v>581</v>
      </c>
      <c r="G118">
        <v>581</v>
      </c>
      <c r="H118">
        <v>581</v>
      </c>
      <c r="I118">
        <v>581</v>
      </c>
    </row>
    <row r="119" spans="1:9" x14ac:dyDescent="0.45">
      <c r="A119">
        <v>1000</v>
      </c>
      <c r="B119" s="1">
        <v>215</v>
      </c>
      <c r="C119" s="1">
        <v>215</v>
      </c>
      <c r="D119" s="1">
        <v>215</v>
      </c>
      <c r="E119" s="1">
        <v>215</v>
      </c>
      <c r="F119" s="1">
        <v>581</v>
      </c>
      <c r="G119">
        <v>581</v>
      </c>
      <c r="H119">
        <v>581</v>
      </c>
      <c r="I119">
        <v>581</v>
      </c>
    </row>
    <row r="120" spans="1:9" x14ac:dyDescent="0.45">
      <c r="A120">
        <v>1500</v>
      </c>
      <c r="B120" s="1">
        <v>215</v>
      </c>
      <c r="C120" s="1">
        <v>215</v>
      </c>
      <c r="D120" s="1">
        <v>215</v>
      </c>
      <c r="E120" s="1">
        <v>215</v>
      </c>
      <c r="F120" s="1">
        <v>581</v>
      </c>
      <c r="G120">
        <v>581</v>
      </c>
      <c r="H120">
        <v>581</v>
      </c>
      <c r="I120">
        <v>581</v>
      </c>
    </row>
    <row r="121" spans="1:9" x14ac:dyDescent="0.45">
      <c r="A121">
        <v>2000</v>
      </c>
      <c r="B121" s="1">
        <v>215</v>
      </c>
      <c r="C121" s="1">
        <v>215</v>
      </c>
      <c r="D121" s="1">
        <v>164.84726041945046</v>
      </c>
      <c r="E121" s="1">
        <v>215</v>
      </c>
      <c r="F121" s="1">
        <v>581</v>
      </c>
      <c r="G121">
        <v>581</v>
      </c>
      <c r="H121">
        <v>427.58393230642827</v>
      </c>
      <c r="I121">
        <v>581</v>
      </c>
    </row>
    <row r="122" spans="1:9" x14ac:dyDescent="0.45">
      <c r="A122">
        <v>2500</v>
      </c>
      <c r="B122" s="1">
        <v>169.50059609856103</v>
      </c>
      <c r="C122" s="1">
        <v>215</v>
      </c>
      <c r="D122" s="1">
        <v>152.10403302165628</v>
      </c>
      <c r="E122" s="1">
        <v>215</v>
      </c>
      <c r="F122" s="1">
        <v>439.4569727387879</v>
      </c>
      <c r="G122">
        <v>581</v>
      </c>
      <c r="H122">
        <v>394.19626383740268</v>
      </c>
      <c r="I122">
        <v>581</v>
      </c>
    </row>
    <row r="123" spans="1:9" x14ac:dyDescent="0.45">
      <c r="A123">
        <v>3000</v>
      </c>
      <c r="B123" s="1">
        <v>157.01541991327036</v>
      </c>
      <c r="C123" s="1">
        <v>215</v>
      </c>
      <c r="D123" s="1">
        <v>139.36080562386212</v>
      </c>
      <c r="E123" s="1">
        <v>215</v>
      </c>
      <c r="F123" s="1">
        <v>402.95423259649931</v>
      </c>
      <c r="G123">
        <v>581</v>
      </c>
      <c r="H123">
        <v>360.80859536837715</v>
      </c>
      <c r="I123">
        <v>499.09289748962442</v>
      </c>
    </row>
    <row r="124" spans="1:9" x14ac:dyDescent="0.45">
      <c r="A124">
        <v>3590</v>
      </c>
      <c r="B124" s="1">
        <v>142.28291201462741</v>
      </c>
      <c r="C124" s="1">
        <v>215</v>
      </c>
      <c r="D124" s="1">
        <v>124.32379729446498</v>
      </c>
      <c r="E124" s="1">
        <v>192.3883307658559</v>
      </c>
      <c r="F124" s="1">
        <v>359.88099922859868</v>
      </c>
      <c r="G124">
        <v>524.467769117383</v>
      </c>
      <c r="H124">
        <v>321.41114657492699</v>
      </c>
      <c r="I124">
        <v>457.08777596073094</v>
      </c>
    </row>
    <row r="125" spans="1:9" x14ac:dyDescent="0.45">
      <c r="A125">
        <v>4000</v>
      </c>
      <c r="B125" s="1">
        <v>132.04506754268908</v>
      </c>
      <c r="C125" s="1">
        <v>215</v>
      </c>
      <c r="D125" s="1">
        <v>113.87435082827376</v>
      </c>
      <c r="E125" s="1">
        <v>181.09838253948158</v>
      </c>
      <c r="F125" s="1">
        <v>329.94875231192202</v>
      </c>
      <c r="G125">
        <v>492.25545613845401</v>
      </c>
      <c r="H125">
        <v>294.03325843032599</v>
      </c>
      <c r="I125">
        <v>427.89777625421175</v>
      </c>
    </row>
    <row r="126" spans="1:9" x14ac:dyDescent="0.45">
      <c r="A126">
        <v>4265</v>
      </c>
      <c r="B126" s="1">
        <v>125.42792416448503</v>
      </c>
      <c r="C126" s="1">
        <v>215</v>
      </c>
      <c r="D126" s="1">
        <v>107.12044030744285</v>
      </c>
      <c r="E126" s="1">
        <v>173.80122088097136</v>
      </c>
      <c r="F126" s="1">
        <v>310.60230003650906</v>
      </c>
      <c r="G126">
        <v>471.43530262768286</v>
      </c>
      <c r="H126">
        <v>276.33779414174245</v>
      </c>
      <c r="I126">
        <v>409.03106912682739</v>
      </c>
    </row>
    <row r="127" spans="1:9" x14ac:dyDescent="0.45">
      <c r="A127">
        <v>5000</v>
      </c>
      <c r="B127" s="1">
        <v>107.07471517210779</v>
      </c>
      <c r="C127" s="1">
        <v>182.60323453185572</v>
      </c>
      <c r="D127" s="1">
        <v>88.387896032685404</v>
      </c>
      <c r="E127" s="1">
        <v>153.56192345076374</v>
      </c>
      <c r="F127" s="1">
        <v>256.94327202734473</v>
      </c>
      <c r="G127">
        <v>413.68883911667604</v>
      </c>
      <c r="H127">
        <v>227.25792149227482</v>
      </c>
      <c r="I127">
        <v>356.70265501879908</v>
      </c>
    </row>
    <row r="128" spans="1:9" x14ac:dyDescent="0.45">
      <c r="A128">
        <v>5500</v>
      </c>
      <c r="B128" s="1">
        <v>94.589538986817132</v>
      </c>
      <c r="C128" s="1">
        <v>168.68004639919934</v>
      </c>
      <c r="D128" s="1">
        <v>75.644668634891218</v>
      </c>
      <c r="E128" s="1">
        <v>139.79369390640485</v>
      </c>
      <c r="F128" s="1">
        <v>220.44053188505615</v>
      </c>
      <c r="G128">
        <v>374.40553060578702</v>
      </c>
      <c r="H128">
        <v>193.87025302324929</v>
      </c>
      <c r="I128">
        <v>321.10509440109274</v>
      </c>
    </row>
    <row r="129" spans="1:9" x14ac:dyDescent="0.45">
      <c r="A129">
        <v>6000</v>
      </c>
      <c r="B129" s="1">
        <v>82.104362801526491</v>
      </c>
      <c r="C129" s="1">
        <v>154.75685826654296</v>
      </c>
      <c r="D129" s="1">
        <v>62.90144123709706</v>
      </c>
      <c r="E129" s="1">
        <v>126.02546436204594</v>
      </c>
      <c r="F129" s="1">
        <v>183.9377917427675</v>
      </c>
      <c r="G129">
        <v>335.12222209489801</v>
      </c>
      <c r="H129">
        <v>160.48258455422371</v>
      </c>
      <c r="I129">
        <v>285.50753378338641</v>
      </c>
    </row>
    <row r="130" spans="1:9" x14ac:dyDescent="0.45">
      <c r="A130">
        <v>6500</v>
      </c>
      <c r="B130" s="1">
        <v>69.619186616235851</v>
      </c>
      <c r="C130" s="1">
        <v>140.83367013388659</v>
      </c>
      <c r="D130" s="1">
        <v>50.158213839302874</v>
      </c>
      <c r="E130" s="1">
        <v>112.25723481768702</v>
      </c>
      <c r="F130" s="1">
        <v>147.43505160047886</v>
      </c>
      <c r="G130">
        <v>295.83891358400905</v>
      </c>
      <c r="H130">
        <v>127.09491608519812</v>
      </c>
      <c r="I130">
        <v>249.90997316568001</v>
      </c>
    </row>
    <row r="131" spans="1:9" x14ac:dyDescent="0.45">
      <c r="A131">
        <v>7000</v>
      </c>
      <c r="B131" s="1">
        <v>57.134010430945182</v>
      </c>
      <c r="C131" s="1">
        <v>126.91048200123021</v>
      </c>
      <c r="D131" s="1">
        <v>37.414986441508688</v>
      </c>
      <c r="E131" s="1">
        <v>98.489005273328104</v>
      </c>
      <c r="F131" s="1">
        <v>110.93231145819021</v>
      </c>
      <c r="G131">
        <v>256.55560507312009</v>
      </c>
      <c r="H131">
        <v>93.707247616172538</v>
      </c>
      <c r="I131">
        <v>214.31241254797368</v>
      </c>
    </row>
    <row r="132" spans="1:9" x14ac:dyDescent="0.45">
      <c r="A132">
        <v>7350</v>
      </c>
      <c r="B132" s="1">
        <v>48.394387101241733</v>
      </c>
      <c r="C132" s="1">
        <v>117.16425030837075</v>
      </c>
      <c r="D132" s="1">
        <v>28.494727263052766</v>
      </c>
      <c r="E132" s="1">
        <v>88.851244592276856</v>
      </c>
      <c r="F132" s="1">
        <v>85.380393358588208</v>
      </c>
      <c r="G132">
        <v>229.05728911549772</v>
      </c>
      <c r="H132">
        <v>70.335879687854685</v>
      </c>
      <c r="I132">
        <v>189.39412011557931</v>
      </c>
    </row>
    <row r="134" spans="1:9" ht="14.65" thickBot="1" x14ac:dyDescent="0.5"/>
    <row r="135" spans="1:9" ht="15" thickTop="1" thickBot="1" x14ac:dyDescent="0.5">
      <c r="A135" s="39" t="s">
        <v>137</v>
      </c>
      <c r="B135" s="39"/>
      <c r="C135" s="39"/>
      <c r="D135" s="39"/>
      <c r="E135" s="39"/>
      <c r="F135" s="39"/>
      <c r="G135" s="39"/>
      <c r="H135" s="39"/>
    </row>
    <row r="136" spans="1:9" ht="28.9" thickTop="1" x14ac:dyDescent="0.45">
      <c r="A136" s="4" t="s">
        <v>48</v>
      </c>
      <c r="B136" s="4" t="s">
        <v>129</v>
      </c>
      <c r="C136" s="4" t="s">
        <v>130</v>
      </c>
      <c r="D136" s="4" t="s">
        <v>131</v>
      </c>
      <c r="E136" s="4" t="s">
        <v>132</v>
      </c>
      <c r="F136" s="4" t="s">
        <v>133</v>
      </c>
      <c r="G136" s="4" t="s">
        <v>134</v>
      </c>
      <c r="H136" s="2" t="s">
        <v>135</v>
      </c>
      <c r="I136" s="2" t="s">
        <v>136</v>
      </c>
    </row>
    <row r="137" spans="1:9" x14ac:dyDescent="0.45">
      <c r="A137">
        <v>0</v>
      </c>
      <c r="E137">
        <v>445</v>
      </c>
      <c r="I137">
        <v>1114</v>
      </c>
    </row>
    <row r="138" spans="1:9" x14ac:dyDescent="0.45">
      <c r="A138">
        <v>500</v>
      </c>
      <c r="E138">
        <v>445</v>
      </c>
      <c r="I138">
        <v>1114</v>
      </c>
    </row>
    <row r="139" spans="1:9" x14ac:dyDescent="0.45">
      <c r="A139">
        <v>1000</v>
      </c>
      <c r="E139">
        <v>445</v>
      </c>
      <c r="I139">
        <v>1114</v>
      </c>
    </row>
    <row r="140" spans="1:9" x14ac:dyDescent="0.45">
      <c r="A140">
        <v>1560</v>
      </c>
      <c r="E140">
        <v>445</v>
      </c>
      <c r="I140">
        <v>1114</v>
      </c>
    </row>
    <row r="141" spans="1:9" x14ac:dyDescent="0.45">
      <c r="A141">
        <v>1738</v>
      </c>
      <c r="E141">
        <v>445</v>
      </c>
      <c r="I141">
        <v>999.90794016110476</v>
      </c>
    </row>
    <row r="142" spans="1:9" x14ac:dyDescent="0.45">
      <c r="A142">
        <v>2500</v>
      </c>
      <c r="E142">
        <v>309.36399999999998</v>
      </c>
      <c r="I142">
        <v>695.13599999999997</v>
      </c>
    </row>
    <row r="143" spans="1:9" x14ac:dyDescent="0.45">
      <c r="A143">
        <v>3000</v>
      </c>
      <c r="E143">
        <v>257.80333333333334</v>
      </c>
      <c r="I143">
        <v>579.28</v>
      </c>
    </row>
    <row r="144" spans="1:9" x14ac:dyDescent="0.45">
      <c r="A144">
        <v>3590</v>
      </c>
      <c r="E144">
        <v>215.43454038997214</v>
      </c>
      <c r="I144">
        <v>484.07799442896936</v>
      </c>
    </row>
    <row r="145" spans="1:9" x14ac:dyDescent="0.45">
      <c r="A145">
        <v>4000</v>
      </c>
      <c r="E145">
        <v>193.35249999999999</v>
      </c>
      <c r="I145">
        <v>434.46</v>
      </c>
    </row>
    <row r="146" spans="1:9" x14ac:dyDescent="0.45">
      <c r="A146">
        <v>4650</v>
      </c>
      <c r="E146">
        <v>166.32473118279569</v>
      </c>
      <c r="I146">
        <v>373.72903225806454</v>
      </c>
    </row>
  </sheetData>
  <mergeCells count="8">
    <mergeCell ref="A135:H135"/>
    <mergeCell ref="A115:H115"/>
    <mergeCell ref="A93:H93"/>
    <mergeCell ref="A63:H63"/>
    <mergeCell ref="A44:I44"/>
    <mergeCell ref="A2:H2"/>
    <mergeCell ref="A15:H15"/>
    <mergeCell ref="A28:H2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Application</vt:lpstr>
      <vt:lpstr>HV Plots</vt:lpstr>
      <vt:lpstr>Gearbox</vt:lpstr>
      <vt:lpstr>Magelec Motor Data</vt:lpstr>
      <vt:lpstr>LV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2021-03-06T06:07:11Z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