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ropbox\"/>
    </mc:Choice>
  </mc:AlternateContent>
  <bookViews>
    <workbookView xWindow="0" yWindow="0" windowWidth="28800" windowHeight="14385" firstSheet="17" activeTab="17"/>
  </bookViews>
  <sheets>
    <sheet name="Scratchpad" sheetId="1" r:id="rId1"/>
    <sheet name="Bonuses" sheetId="5" r:id="rId2"/>
    <sheet name="Rarity Table" sheetId="19" r:id="rId3"/>
    <sheet name="Late-game Chests" sheetId="20" r:id="rId4"/>
    <sheet name="Final Boss damages" sheetId="21" r:id="rId5"/>
    <sheet name="Timing" sheetId="9" r:id="rId6"/>
    <sheet name="Scratchpad2" sheetId="6" r:id="rId7"/>
    <sheet name="Tame List" sheetId="7" r:id="rId8"/>
    <sheet name="Useful Items" sheetId="10" r:id="rId9"/>
    <sheet name="Sheet2" sheetId="8" r:id="rId10"/>
    <sheet name="Timing Tests" sheetId="17" r:id="rId11"/>
    <sheet name="Debugging" sheetId="3" r:id="rId12"/>
    <sheet name="Early Game Plan" sheetId="11" r:id="rId13"/>
    <sheet name="Sheet3" sheetId="22" r:id="rId14"/>
    <sheet name="Sheet1" sheetId="30" r:id="rId15"/>
    <sheet name="Sheet3 (2)" sheetId="24" r:id="rId16"/>
    <sheet name="Sheet3 (3)" sheetId="27" r:id="rId17"/>
    <sheet name="Sheet3 (4)" sheetId="28" r:id="rId18"/>
    <sheet name="Sheet5" sheetId="29" r:id="rId19"/>
    <sheet name="Movement" sheetId="25" r:id="rId20"/>
    <sheet name="Movement Timing" sheetId="26" r:id="rId21"/>
    <sheet name="Sheet4" sheetId="23" r:id="rId22"/>
    <sheet name="Money" sheetId="12" r:id="rId23"/>
    <sheet name="Late Game Plan" sheetId="18" r:id="rId24"/>
    <sheet name="Crafting Route" sheetId="13" r:id="rId25"/>
    <sheet name="Requests" sheetId="4" r:id="rId26"/>
    <sheet name="Skill Calculator" sheetId="14" r:id="rId27"/>
    <sheet name="Request Planning" sheetId="15" r:id="rId28"/>
    <sheet name="XP planning" sheetId="16" r:id="rId29"/>
    <sheet name="Exp per Level" sheetId="2" r:id="rId30"/>
  </sheets>
  <definedNames>
    <definedName name="_xlnm._FilterDatabase" localSheetId="19" hidden="1">Movement!$D$5:$I$5</definedName>
    <definedName name="_xlnm._FilterDatabase" localSheetId="2" hidden="1">'Rarity Table'!$C$6:$E$6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28" l="1"/>
  <c r="L98" i="28" s="1"/>
  <c r="L99" i="28" l="1"/>
  <c r="L100" i="28" s="1"/>
  <c r="L101" i="28" s="1"/>
  <c r="L102" i="28" s="1"/>
  <c r="L103" i="28" s="1"/>
  <c r="L104" i="28" s="1"/>
  <c r="L105" i="28" s="1"/>
  <c r="L106" i="28" s="1"/>
  <c r="L107" i="28" s="1"/>
  <c r="L108" i="28" s="1"/>
  <c r="L109" i="28" s="1"/>
  <c r="L110" i="28" s="1"/>
  <c r="L111" i="28" s="1"/>
  <c r="L112" i="28" s="1"/>
  <c r="L113" i="28" s="1"/>
  <c r="L114" i="28" s="1"/>
  <c r="L115" i="28" s="1"/>
  <c r="L116" i="28" s="1"/>
  <c r="L117" i="28" s="1"/>
  <c r="L118" i="28" s="1"/>
  <c r="L119" i="28" s="1"/>
  <c r="L120" i="28" s="1"/>
  <c r="L121" i="28" s="1"/>
  <c r="L122" i="28" s="1"/>
  <c r="L123" i="28" s="1"/>
  <c r="L124" i="28" s="1"/>
  <c r="L125" i="28" s="1"/>
  <c r="M50" i="26"/>
  <c r="L47" i="26"/>
  <c r="M47" i="26" s="1"/>
  <c r="K48" i="26"/>
  <c r="K47" i="26"/>
  <c r="K46" i="26"/>
  <c r="K45" i="26"/>
  <c r="K44" i="26"/>
  <c r="K43" i="26"/>
  <c r="K42" i="26"/>
  <c r="K41" i="26"/>
  <c r="K40" i="26"/>
  <c r="K39" i="26"/>
  <c r="K38" i="26"/>
  <c r="L38" i="26" s="1"/>
  <c r="M38" i="26" s="1"/>
  <c r="K37" i="26"/>
  <c r="L37" i="26" s="1"/>
  <c r="M37" i="26" s="1"/>
  <c r="K36" i="26"/>
  <c r="K35" i="26"/>
  <c r="K34" i="26"/>
  <c r="K33" i="26"/>
  <c r="L43" i="26"/>
  <c r="M43" i="26" s="1"/>
  <c r="L42" i="26"/>
  <c r="M42" i="26" s="1"/>
  <c r="L41" i="26"/>
  <c r="M41" i="26" s="1"/>
  <c r="M40" i="26"/>
  <c r="L40" i="26"/>
  <c r="L39" i="26"/>
  <c r="M39" i="26" s="1"/>
  <c r="L36" i="26"/>
  <c r="M36" i="26" s="1"/>
  <c r="L35" i="26"/>
  <c r="M35" i="26" s="1"/>
  <c r="L34" i="26"/>
  <c r="M34" i="26" s="1"/>
  <c r="L33" i="26"/>
  <c r="M33" i="26" s="1"/>
  <c r="M28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H26" i="30" l="1"/>
  <c r="H27" i="30" s="1"/>
  <c r="H28" i="30" s="1"/>
  <c r="H29" i="30" s="1"/>
  <c r="H30" i="30" s="1"/>
  <c r="H31" i="30" s="1"/>
  <c r="H32" i="30" s="1"/>
  <c r="H33" i="30" s="1"/>
  <c r="H34" i="30" s="1"/>
  <c r="H25" i="30"/>
  <c r="H15" i="30"/>
  <c r="H16" i="30" s="1"/>
  <c r="H17" i="30" s="1"/>
  <c r="H18" i="30" s="1"/>
  <c r="H19" i="30" s="1"/>
  <c r="H20" i="30" s="1"/>
  <c r="H21" i="30" s="1"/>
  <c r="H22" i="30" s="1"/>
  <c r="H23" i="30" s="1"/>
  <c r="H24" i="30" s="1"/>
  <c r="H14" i="30"/>
  <c r="G30" i="25" l="1"/>
  <c r="M39" i="29" l="1"/>
  <c r="M45" i="29"/>
  <c r="K45" i="29"/>
  <c r="J45" i="29"/>
  <c r="H116" i="28"/>
  <c r="H115" i="28"/>
  <c r="G99" i="28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98" i="28"/>
  <c r="G97" i="28"/>
  <c r="G96" i="28"/>
  <c r="O29" i="28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28" i="28"/>
  <c r="Q43" i="28"/>
  <c r="Q42" i="28"/>
  <c r="Q26" i="28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25" i="28"/>
  <c r="R34" i="12" l="1"/>
  <c r="R32" i="12"/>
  <c r="R30" i="12"/>
  <c r="R28" i="12"/>
  <c r="S37" i="28"/>
  <c r="S38" i="28" s="1"/>
  <c r="S26" i="28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25" i="28"/>
  <c r="R38" i="12" l="1"/>
  <c r="M27" i="5"/>
  <c r="H28" i="19"/>
  <c r="R66" i="28" l="1"/>
  <c r="P66" i="28"/>
  <c r="P66" i="27" l="1"/>
  <c r="R66" i="27" s="1"/>
  <c r="I29" i="26" l="1"/>
  <c r="I22" i="26"/>
  <c r="T17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I21" i="26"/>
  <c r="I20" i="26"/>
  <c r="I28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28" i="26" l="1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N66" i="24" l="1"/>
  <c r="P66" i="24" s="1"/>
  <c r="N66" i="22"/>
  <c r="P66" i="22" s="1"/>
  <c r="M17" i="23" l="1"/>
  <c r="M16" i="23"/>
  <c r="M15" i="23"/>
  <c r="M14" i="23"/>
  <c r="M13" i="23"/>
  <c r="M12" i="23"/>
  <c r="M11" i="23"/>
  <c r="M10" i="23"/>
  <c r="N50" i="21" l="1"/>
  <c r="N49" i="21"/>
  <c r="J48" i="21"/>
  <c r="H48" i="21"/>
  <c r="E48" i="21"/>
  <c r="I10" i="21"/>
  <c r="I11" i="21"/>
  <c r="I13" i="21"/>
  <c r="X15" i="21"/>
  <c r="I12" i="21"/>
  <c r="I9" i="21"/>
  <c r="S14" i="21"/>
  <c r="O16" i="21"/>
  <c r="O30" i="20"/>
  <c r="O24" i="20"/>
  <c r="N19" i="5" l="1"/>
  <c r="N18" i="5"/>
  <c r="O14" i="5"/>
  <c r="N14" i="5"/>
  <c r="O12" i="5"/>
  <c r="N12" i="5"/>
  <c r="N16" i="5"/>
  <c r="G22" i="12" l="1"/>
  <c r="AG26" i="13"/>
  <c r="AG27" i="13"/>
  <c r="AG28" i="13"/>
  <c r="AL32" i="13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A17" i="13"/>
  <c r="AA16" i="13"/>
  <c r="AA15" i="13"/>
  <c r="AA14" i="13"/>
  <c r="AA13" i="13"/>
  <c r="T16" i="13"/>
  <c r="U14" i="13"/>
  <c r="T14" i="13"/>
  <c r="T13" i="13"/>
  <c r="T12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Y32" i="13"/>
  <c r="Y31" i="13"/>
  <c r="Y30" i="13"/>
  <c r="Y29" i="13"/>
  <c r="Y28" i="13"/>
  <c r="Y27" i="13"/>
  <c r="Y26" i="13"/>
  <c r="Y25" i="13"/>
  <c r="Y24" i="13"/>
  <c r="Y23" i="13"/>
  <c r="Y22" i="13"/>
  <c r="Y21" i="13"/>
  <c r="Y20" i="13"/>
  <c r="Y19" i="13"/>
  <c r="Y18" i="13"/>
  <c r="Y17" i="13"/>
  <c r="Y16" i="13"/>
  <c r="Y15" i="13"/>
  <c r="Y14" i="13"/>
  <c r="Y13" i="13"/>
  <c r="Y12" i="13"/>
  <c r="Y11" i="13"/>
  <c r="Y10" i="13"/>
  <c r="Y9" i="13"/>
  <c r="L45" i="13"/>
  <c r="J43" i="13"/>
  <c r="I43" i="13"/>
  <c r="I44" i="13"/>
  <c r="I45" i="13"/>
  <c r="I46" i="13"/>
  <c r="Q4" i="13"/>
  <c r="U8" i="16"/>
  <c r="Y8" i="16" s="1"/>
  <c r="M9" i="16"/>
  <c r="U9" i="16"/>
  <c r="Y9" i="16"/>
  <c r="M10" i="16"/>
  <c r="U10" i="16"/>
  <c r="Y10" i="16" s="1"/>
  <c r="U11" i="16"/>
  <c r="Y11" i="16"/>
  <c r="J12" i="16"/>
  <c r="U12" i="16"/>
  <c r="Y12" i="16" s="1"/>
  <c r="I13" i="16"/>
  <c r="J13" i="16"/>
  <c r="K13" i="16"/>
  <c r="U13" i="16"/>
  <c r="Y13" i="16"/>
  <c r="K14" i="16"/>
  <c r="L14" i="16"/>
  <c r="M14" i="16"/>
  <c r="U14" i="16"/>
  <c r="Y14" i="16"/>
  <c r="U15" i="16"/>
  <c r="Y15" i="16" s="1"/>
  <c r="D25" i="16"/>
  <c r="F25" i="16"/>
  <c r="D26" i="16"/>
  <c r="D34" i="16" s="1"/>
  <c r="D35" i="16" s="1"/>
  <c r="E26" i="16"/>
  <c r="F26" i="16"/>
  <c r="F34" i="16" s="1"/>
  <c r="F35" i="16" s="1"/>
  <c r="D27" i="16"/>
  <c r="E27" i="16"/>
  <c r="F27" i="16"/>
  <c r="J27" i="16"/>
  <c r="D28" i="16"/>
  <c r="D36" i="16" s="1"/>
  <c r="D37" i="16" s="1"/>
  <c r="F28" i="16"/>
  <c r="D29" i="16"/>
  <c r="E29" i="16"/>
  <c r="F29" i="16"/>
  <c r="D30" i="16"/>
  <c r="E30" i="16"/>
  <c r="F30" i="16"/>
  <c r="D31" i="16"/>
  <c r="E31" i="16"/>
  <c r="F31" i="16"/>
  <c r="J31" i="16"/>
  <c r="L31" i="16" s="1"/>
  <c r="D32" i="16"/>
  <c r="E32" i="16"/>
  <c r="F32" i="16"/>
  <c r="J32" i="16"/>
  <c r="L32" i="16" s="1"/>
  <c r="D33" i="16"/>
  <c r="E33" i="16"/>
  <c r="F33" i="16"/>
  <c r="J33" i="16"/>
  <c r="M33" i="16" s="1"/>
  <c r="L33" i="16"/>
  <c r="N33" i="16"/>
  <c r="F36" i="16"/>
  <c r="F37" i="16" s="1"/>
  <c r="A43" i="16"/>
  <c r="E28" i="16" s="1"/>
  <c r="C49" i="16"/>
  <c r="E49" i="16"/>
  <c r="F49" i="16"/>
  <c r="C50" i="16"/>
  <c r="E50" i="16"/>
  <c r="C51" i="16"/>
  <c r="E51" i="16" s="1"/>
  <c r="F12" i="14"/>
  <c r="G12" i="14"/>
  <c r="H12" i="14"/>
  <c r="I12" i="14"/>
  <c r="J12" i="14"/>
  <c r="E13" i="14"/>
  <c r="F13" i="14"/>
  <c r="G13" i="14"/>
  <c r="H13" i="14"/>
  <c r="I13" i="14"/>
  <c r="J13" i="14"/>
  <c r="E14" i="14"/>
  <c r="E15" i="14" s="1"/>
  <c r="F14" i="14"/>
  <c r="G14" i="14"/>
  <c r="H14" i="14"/>
  <c r="I14" i="14"/>
  <c r="J14" i="14"/>
  <c r="F51" i="16" l="1"/>
  <c r="M31" i="16"/>
  <c r="E25" i="16"/>
  <c r="F15" i="14"/>
  <c r="G15" i="14"/>
  <c r="H15" i="14"/>
  <c r="E16" i="14"/>
  <c r="J15" i="14"/>
  <c r="I15" i="14"/>
  <c r="E34" i="16" l="1"/>
  <c r="E35" i="16" s="1"/>
  <c r="E36" i="16"/>
  <c r="E37" i="16" s="1"/>
  <c r="E17" i="14"/>
  <c r="J16" i="14"/>
  <c r="H16" i="14"/>
  <c r="F16" i="14"/>
  <c r="G16" i="14"/>
  <c r="I16" i="14"/>
  <c r="R12" i="13"/>
  <c r="P12" i="13"/>
  <c r="O12" i="13"/>
  <c r="P11" i="13"/>
  <c r="O10" i="13"/>
  <c r="F17" i="14" l="1"/>
  <c r="G17" i="14"/>
  <c r="H17" i="14"/>
  <c r="I17" i="14"/>
  <c r="J17" i="14"/>
  <c r="E18" i="14"/>
  <c r="P16" i="13"/>
  <c r="P15" i="13"/>
  <c r="O15" i="13"/>
  <c r="O14" i="13"/>
  <c r="O13" i="13"/>
  <c r="D18" i="12"/>
  <c r="D17" i="12"/>
  <c r="D11" i="12"/>
  <c r="D10" i="12"/>
  <c r="J40" i="11"/>
  <c r="J39" i="11"/>
  <c r="J38" i="11"/>
  <c r="J37" i="11"/>
  <c r="J36" i="11"/>
  <c r="E19" i="14" l="1"/>
  <c r="F18" i="14"/>
  <c r="G18" i="14"/>
  <c r="H18" i="14"/>
  <c r="J18" i="14"/>
  <c r="I18" i="14"/>
  <c r="Y116" i="3"/>
  <c r="X116" i="3"/>
  <c r="Y115" i="3"/>
  <c r="X115" i="3"/>
  <c r="S128" i="3"/>
  <c r="Y112" i="3"/>
  <c r="X112" i="3"/>
  <c r="Y114" i="3"/>
  <c r="X114" i="3"/>
  <c r="G124" i="3"/>
  <c r="G123" i="3"/>
  <c r="G122" i="3"/>
  <c r="G126" i="3" s="1"/>
  <c r="F19" i="14" l="1"/>
  <c r="G19" i="14"/>
  <c r="H19" i="14"/>
  <c r="E20" i="14"/>
  <c r="I19" i="14"/>
  <c r="J19" i="14"/>
  <c r="K20" i="10"/>
  <c r="K19" i="10"/>
  <c r="K15" i="9"/>
  <c r="K14" i="9"/>
  <c r="J15" i="9"/>
  <c r="J14" i="9"/>
  <c r="I15" i="9"/>
  <c r="I14" i="9"/>
  <c r="N97" i="3"/>
  <c r="M97" i="3"/>
  <c r="M47" i="6"/>
  <c r="M46" i="6"/>
  <c r="H10" i="2"/>
  <c r="E21" i="14" l="1"/>
  <c r="F20" i="14"/>
  <c r="G20" i="14"/>
  <c r="H20" i="14"/>
  <c r="I20" i="14"/>
  <c r="J20" i="14"/>
  <c r="I73" i="6"/>
  <c r="H29" i="6"/>
  <c r="H28" i="6"/>
  <c r="J27" i="6"/>
  <c r="I27" i="6"/>
  <c r="N9" i="6"/>
  <c r="N8" i="6"/>
  <c r="M9" i="6"/>
  <c r="M8" i="6"/>
  <c r="N17" i="5"/>
  <c r="L11" i="4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25" i="3"/>
  <c r="O25" i="3"/>
  <c r="P26" i="3"/>
  <c r="N26" i="3"/>
  <c r="N25" i="3"/>
  <c r="N24" i="3"/>
  <c r="N23" i="3"/>
  <c r="N22" i="3"/>
  <c r="U64" i="3"/>
  <c r="U62" i="3"/>
  <c r="U61" i="3"/>
  <c r="U58" i="3"/>
  <c r="V57" i="3"/>
  <c r="N21" i="3"/>
  <c r="N20" i="3"/>
  <c r="N19" i="3"/>
  <c r="N18" i="3"/>
  <c r="N17" i="3"/>
  <c r="N16" i="3"/>
  <c r="N15" i="3"/>
  <c r="O16" i="1"/>
  <c r="O14" i="1"/>
  <c r="N16" i="1"/>
  <c r="O83" i="3"/>
  <c r="N83" i="3"/>
  <c r="L80" i="3"/>
  <c r="L81" i="3"/>
  <c r="H8" i="2"/>
  <c r="M74" i="3"/>
  <c r="M72" i="3"/>
  <c r="M71" i="3"/>
  <c r="Q26" i="3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27" i="3"/>
  <c r="Q29" i="3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U3" i="3"/>
  <c r="S42" i="3" s="1"/>
  <c r="Q25" i="1"/>
  <c r="P30" i="1"/>
  <c r="P29" i="1"/>
  <c r="O28" i="1"/>
  <c r="O27" i="1"/>
  <c r="Q24" i="1"/>
  <c r="P24" i="1"/>
  <c r="AB31" i="1"/>
  <c r="U36" i="1"/>
  <c r="U35" i="1"/>
  <c r="U34" i="1"/>
  <c r="U33" i="1"/>
  <c r="V19" i="1"/>
  <c r="V20" i="1"/>
  <c r="U19" i="1"/>
  <c r="V21" i="1"/>
  <c r="V22" i="1"/>
  <c r="V23" i="1"/>
  <c r="V24" i="1"/>
  <c r="V25" i="1"/>
  <c r="H52" i="2"/>
  <c r="H51" i="2"/>
  <c r="E52" i="2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3" i="2"/>
  <c r="K45" i="1"/>
  <c r="H45" i="1"/>
  <c r="K44" i="1"/>
  <c r="H44" i="1"/>
  <c r="K43" i="1"/>
  <c r="H43" i="1"/>
  <c r="K42" i="1"/>
  <c r="H42" i="1"/>
  <c r="K38" i="1"/>
  <c r="K37" i="1"/>
  <c r="K36" i="1"/>
  <c r="K35" i="1"/>
  <c r="K34" i="1"/>
  <c r="F21" i="14" l="1"/>
  <c r="N44" i="14" s="1"/>
  <c r="G21" i="14"/>
  <c r="O44" i="14" s="1"/>
  <c r="H21" i="14"/>
  <c r="P44" i="14" s="1"/>
  <c r="I21" i="14"/>
  <c r="Q44" i="14" s="1"/>
  <c r="J21" i="14"/>
  <c r="R44" i="14" s="1"/>
  <c r="E22" i="14"/>
  <c r="T5" i="3"/>
  <c r="T17" i="3"/>
  <c r="T23" i="3"/>
  <c r="S6" i="3"/>
  <c r="S12" i="3"/>
  <c r="S18" i="3"/>
  <c r="S24" i="3"/>
  <c r="S32" i="3"/>
  <c r="S38" i="3"/>
  <c r="T6" i="3"/>
  <c r="T12" i="3"/>
  <c r="T18" i="3"/>
  <c r="T24" i="3"/>
  <c r="T32" i="3"/>
  <c r="T38" i="3"/>
  <c r="T27" i="3"/>
  <c r="T10" i="3"/>
  <c r="T16" i="3"/>
  <c r="T22" i="3"/>
  <c r="T30" i="3"/>
  <c r="T36" i="3"/>
  <c r="T42" i="3"/>
  <c r="T11" i="3"/>
  <c r="T31" i="3"/>
  <c r="S5" i="3"/>
  <c r="S11" i="3"/>
  <c r="S17" i="3"/>
  <c r="S23" i="3"/>
  <c r="S31" i="3"/>
  <c r="S37" i="3"/>
  <c r="T37" i="3"/>
  <c r="S28" i="3"/>
  <c r="S8" i="3"/>
  <c r="S14" i="3"/>
  <c r="S20" i="3"/>
  <c r="S26" i="3"/>
  <c r="S34" i="3"/>
  <c r="S40" i="3"/>
  <c r="T28" i="3"/>
  <c r="T8" i="3"/>
  <c r="T14" i="3"/>
  <c r="T20" i="3"/>
  <c r="T26" i="3"/>
  <c r="T34" i="3"/>
  <c r="T40" i="3"/>
  <c r="S9" i="3"/>
  <c r="S15" i="3"/>
  <c r="S21" i="3"/>
  <c r="S29" i="3"/>
  <c r="S35" i="3"/>
  <c r="S41" i="3"/>
  <c r="S7" i="3"/>
  <c r="S13" i="3"/>
  <c r="S19" i="3"/>
  <c r="S25" i="3"/>
  <c r="S33" i="3"/>
  <c r="S39" i="3"/>
  <c r="T7" i="3"/>
  <c r="T13" i="3"/>
  <c r="T19" i="3"/>
  <c r="T25" i="3"/>
  <c r="T33" i="3"/>
  <c r="T39" i="3"/>
  <c r="T9" i="3"/>
  <c r="T15" i="3"/>
  <c r="T21" i="3"/>
  <c r="T29" i="3"/>
  <c r="T35" i="3"/>
  <c r="T41" i="3"/>
  <c r="S27" i="3"/>
  <c r="S10" i="3"/>
  <c r="S16" i="3"/>
  <c r="S22" i="3"/>
  <c r="S30" i="3"/>
  <c r="S36" i="3"/>
  <c r="H38" i="1"/>
  <c r="H37" i="1"/>
  <c r="H36" i="1"/>
  <c r="F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F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E23" i="14" l="1"/>
  <c r="J22" i="14"/>
  <c r="H22" i="14"/>
  <c r="I22" i="14"/>
  <c r="G22" i="14"/>
  <c r="F22" i="14"/>
  <c r="F23" i="14" l="1"/>
  <c r="G23" i="14"/>
  <c r="H23" i="14"/>
  <c r="I23" i="14"/>
  <c r="J23" i="14"/>
  <c r="E24" i="14"/>
  <c r="E25" i="14" l="1"/>
  <c r="F24" i="14"/>
  <c r="I24" i="14"/>
  <c r="J24" i="14"/>
  <c r="G24" i="14"/>
  <c r="H24" i="14"/>
  <c r="F25" i="14" l="1"/>
  <c r="G25" i="14"/>
  <c r="H25" i="14"/>
  <c r="J25" i="14"/>
  <c r="I25" i="14"/>
  <c r="E26" i="14"/>
  <c r="E27" i="14" l="1"/>
  <c r="F26" i="14"/>
  <c r="G26" i="14"/>
  <c r="H26" i="14"/>
  <c r="I26" i="14"/>
  <c r="J26" i="14"/>
  <c r="F27" i="14" l="1"/>
  <c r="G27" i="14"/>
  <c r="E28" i="14"/>
  <c r="J27" i="14"/>
  <c r="H27" i="14"/>
  <c r="I27" i="14"/>
  <c r="E29" i="14" l="1"/>
  <c r="I28" i="14"/>
  <c r="J28" i="14"/>
  <c r="F28" i="14"/>
  <c r="H28" i="14"/>
  <c r="G28" i="14"/>
  <c r="F29" i="14" l="1"/>
  <c r="G29" i="14"/>
  <c r="H29" i="14"/>
  <c r="I29" i="14"/>
  <c r="J29" i="14"/>
  <c r="E30" i="14"/>
  <c r="E31" i="14" l="1"/>
  <c r="G30" i="14"/>
  <c r="I30" i="14"/>
  <c r="F30" i="14"/>
  <c r="J30" i="14"/>
  <c r="H30" i="14"/>
  <c r="F31" i="14" l="1"/>
  <c r="N45" i="14" s="1"/>
  <c r="G31" i="14"/>
  <c r="O45" i="14" s="1"/>
  <c r="I31" i="14"/>
  <c r="Q45" i="14" s="1"/>
  <c r="J31" i="14"/>
  <c r="R45" i="14" s="1"/>
  <c r="E32" i="14"/>
  <c r="H31" i="14"/>
  <c r="P45" i="14" s="1"/>
  <c r="E33" i="14" l="1"/>
  <c r="F32" i="14"/>
  <c r="G32" i="14"/>
  <c r="I32" i="14"/>
  <c r="J32" i="14"/>
  <c r="H32" i="14"/>
  <c r="F33" i="14" l="1"/>
  <c r="G33" i="14"/>
  <c r="H33" i="14"/>
  <c r="I33" i="14"/>
  <c r="J33" i="14"/>
  <c r="E34" i="14"/>
  <c r="E35" i="14" l="1"/>
  <c r="F34" i="14"/>
  <c r="G34" i="14"/>
  <c r="H34" i="14"/>
  <c r="I34" i="14"/>
  <c r="J34" i="14"/>
  <c r="F35" i="14" l="1"/>
  <c r="G35" i="14"/>
  <c r="J35" i="14"/>
  <c r="I35" i="14"/>
  <c r="H35" i="14"/>
  <c r="E36" i="14"/>
  <c r="E37" i="14" l="1"/>
  <c r="I36" i="14"/>
  <c r="J36" i="14"/>
  <c r="H36" i="14"/>
  <c r="F36" i="14"/>
  <c r="G36" i="14"/>
  <c r="F37" i="14" l="1"/>
  <c r="G37" i="14"/>
  <c r="H37" i="14"/>
  <c r="I37" i="14"/>
  <c r="J37" i="14"/>
  <c r="E38" i="14"/>
  <c r="E39" i="14" l="1"/>
  <c r="G38" i="14"/>
  <c r="I38" i="14"/>
  <c r="F38" i="14"/>
  <c r="H38" i="14"/>
  <c r="J38" i="14"/>
  <c r="F39" i="14" l="1"/>
  <c r="G39" i="14"/>
  <c r="I39" i="14"/>
  <c r="J39" i="14"/>
  <c r="E40" i="14"/>
  <c r="H39" i="14"/>
  <c r="E41" i="14" l="1"/>
  <c r="F40" i="14"/>
  <c r="G40" i="14"/>
  <c r="I40" i="14"/>
  <c r="J40" i="14"/>
  <c r="H40" i="14"/>
  <c r="F41" i="14" l="1"/>
  <c r="N46" i="14" s="1"/>
  <c r="G41" i="14"/>
  <c r="O46" i="14" s="1"/>
  <c r="I41" i="14"/>
  <c r="Q46" i="14" s="1"/>
  <c r="J41" i="14"/>
  <c r="R46" i="14" s="1"/>
  <c r="E42" i="14"/>
  <c r="H41" i="14"/>
  <c r="P46" i="14" s="1"/>
  <c r="E43" i="14" l="1"/>
  <c r="F42" i="14"/>
  <c r="G42" i="14"/>
  <c r="H42" i="14"/>
  <c r="I42" i="14"/>
  <c r="J42" i="14"/>
  <c r="F43" i="14" l="1"/>
  <c r="G43" i="14"/>
  <c r="H43" i="14"/>
  <c r="J43" i="14"/>
  <c r="E44" i="14"/>
  <c r="I43" i="14"/>
  <c r="I44" i="14" l="1"/>
  <c r="J44" i="14"/>
  <c r="G44" i="14"/>
  <c r="H44" i="14"/>
  <c r="E45" i="14"/>
  <c r="F44" i="14"/>
  <c r="E46" i="14" l="1"/>
  <c r="F45" i="14"/>
  <c r="G45" i="14"/>
  <c r="I45" i="14"/>
  <c r="H45" i="14"/>
  <c r="J45" i="14"/>
  <c r="F46" i="14" l="1"/>
  <c r="G46" i="14"/>
  <c r="H46" i="14"/>
  <c r="J46" i="14"/>
  <c r="I46" i="14"/>
  <c r="E47" i="14"/>
  <c r="E48" i="14" l="1"/>
  <c r="I47" i="14"/>
  <c r="J47" i="14"/>
  <c r="F47" i="14"/>
  <c r="G47" i="14"/>
  <c r="H47" i="14"/>
  <c r="E49" i="14" l="1"/>
  <c r="F48" i="14"/>
  <c r="G48" i="14"/>
  <c r="H48" i="14"/>
  <c r="J48" i="14"/>
  <c r="I48" i="14"/>
  <c r="F49" i="14" l="1"/>
  <c r="G49" i="14"/>
  <c r="H49" i="14"/>
  <c r="J49" i="14"/>
  <c r="E50" i="14"/>
  <c r="I49" i="14"/>
  <c r="J50" i="14" l="1"/>
  <c r="E51" i="14"/>
  <c r="G50" i="14"/>
  <c r="F50" i="14"/>
  <c r="H50" i="14"/>
  <c r="I50" i="14"/>
  <c r="F51" i="14" l="1"/>
  <c r="N47" i="14" s="1"/>
  <c r="H51" i="14"/>
  <c r="P47" i="14" s="1"/>
  <c r="I51" i="14"/>
  <c r="Q47" i="14" s="1"/>
  <c r="J51" i="14"/>
  <c r="R47" i="14" s="1"/>
  <c r="E52" i="14"/>
  <c r="G51" i="14"/>
  <c r="O47" i="14" s="1"/>
  <c r="J52" i="14" l="1"/>
  <c r="E53" i="14"/>
  <c r="H52" i="14"/>
  <c r="F52" i="14"/>
  <c r="G52" i="14"/>
  <c r="I52" i="14"/>
  <c r="F53" i="14" l="1"/>
  <c r="E54" i="14"/>
  <c r="H53" i="14"/>
  <c r="I53" i="14"/>
  <c r="G53" i="14"/>
  <c r="J53" i="14"/>
  <c r="J54" i="14" l="1"/>
  <c r="E55" i="14"/>
  <c r="F54" i="14"/>
  <c r="G54" i="14"/>
  <c r="H54" i="14"/>
  <c r="I54" i="14"/>
  <c r="F55" i="14" l="1"/>
  <c r="H55" i="14"/>
  <c r="J55" i="14"/>
  <c r="G55" i="14"/>
  <c r="I55" i="14"/>
  <c r="E56" i="14"/>
  <c r="J56" i="14" l="1"/>
  <c r="E57" i="14"/>
  <c r="H56" i="14"/>
  <c r="I56" i="14"/>
  <c r="G56" i="14"/>
  <c r="F56" i="14"/>
  <c r="F57" i="14" l="1"/>
  <c r="G57" i="14"/>
  <c r="H57" i="14"/>
  <c r="J57" i="14"/>
  <c r="E58" i="14"/>
  <c r="I57" i="14"/>
  <c r="J58" i="14" l="1"/>
  <c r="E59" i="14"/>
  <c r="F58" i="14"/>
  <c r="G58" i="14"/>
  <c r="H58" i="14"/>
  <c r="I58" i="14"/>
  <c r="F59" i="14" l="1"/>
  <c r="H59" i="14"/>
  <c r="I59" i="14"/>
  <c r="J59" i="14"/>
  <c r="E60" i="14"/>
  <c r="G59" i="14"/>
  <c r="J60" i="14" l="1"/>
  <c r="E61" i="14"/>
  <c r="F60" i="14"/>
  <c r="G60" i="14"/>
  <c r="I60" i="14"/>
  <c r="H60" i="14"/>
  <c r="F61" i="14" l="1"/>
  <c r="N48" i="14" s="1"/>
  <c r="E62" i="14"/>
  <c r="H61" i="14"/>
  <c r="P48" i="14" s="1"/>
  <c r="I61" i="14"/>
  <c r="Q48" i="14" s="1"/>
  <c r="J61" i="14"/>
  <c r="R48" i="14" s="1"/>
  <c r="G61" i="14"/>
  <c r="O48" i="14" s="1"/>
  <c r="J62" i="14" l="1"/>
  <c r="F62" i="14"/>
  <c r="G62" i="14"/>
  <c r="H62" i="14"/>
  <c r="I62" i="14"/>
</calcChain>
</file>

<file path=xl/sharedStrings.xml><?xml version="1.0" encoding="utf-8"?>
<sst xmlns="http://schemas.openxmlformats.org/spreadsheetml/2006/main" count="2150" uniqueCount="1195">
  <si>
    <t>RP</t>
  </si>
  <si>
    <t>Level</t>
  </si>
  <si>
    <t>EXP</t>
  </si>
  <si>
    <t>small fur</t>
  </si>
  <si>
    <t>turnip seeds</t>
  </si>
  <si>
    <t>yarn</t>
  </si>
  <si>
    <t>Mat Rarity</t>
  </si>
  <si>
    <t>chimera claw</t>
  </si>
  <si>
    <t>pretty carapace</t>
  </si>
  <si>
    <t>gunpowder</t>
  </si>
  <si>
    <t>indigo grass</t>
  </si>
  <si>
    <t>Difficulty</t>
  </si>
  <si>
    <t>Crafting EXP Addr:</t>
  </si>
  <si>
    <t>08C77F90</t>
  </si>
  <si>
    <t>purple grass</t>
  </si>
  <si>
    <t>Crafting lvl Addr:</t>
  </si>
  <si>
    <t>08C77F8C</t>
  </si>
  <si>
    <t>Exp Max:</t>
  </si>
  <si>
    <t>081D45B0</t>
  </si>
  <si>
    <t>Exp Needed</t>
  </si>
  <si>
    <t>Inf</t>
  </si>
  <si>
    <t>level</t>
  </si>
  <si>
    <t>recipe level</t>
  </si>
  <si>
    <t>items</t>
  </si>
  <si>
    <t>after recipe level, -2 per level</t>
  </si>
  <si>
    <t>failed quite a bit</t>
  </si>
  <si>
    <t>fails if cost gt max RP</t>
  </si>
  <si>
    <t>Base stats:</t>
  </si>
  <si>
    <t>HP</t>
  </si>
  <si>
    <t>STR</t>
  </si>
  <si>
    <t>VIT</t>
  </si>
  <si>
    <t>INT</t>
  </si>
  <si>
    <t>sleep:</t>
  </si>
  <si>
    <t>1 per level until 10</t>
  </si>
  <si>
    <t>sleep level:</t>
  </si>
  <si>
    <t>08CAE324</t>
  </si>
  <si>
    <t>after that, 1 sleep = 2/3 bar until 30</t>
  </si>
  <si>
    <t>then = 50% until 50</t>
  </si>
  <si>
    <t>then =33% until… 70?</t>
  </si>
  <si>
    <t>sleep gets huge HP boost at 51…</t>
  </si>
  <si>
    <t>Short</t>
  </si>
  <si>
    <t>Long</t>
  </si>
  <si>
    <t>Spear</t>
  </si>
  <si>
    <t>Axe</t>
  </si>
  <si>
    <t>Dual</t>
  </si>
  <si>
    <t>Fist</t>
  </si>
  <si>
    <t>Fire</t>
  </si>
  <si>
    <t>Water</t>
  </si>
  <si>
    <t>Earth</t>
  </si>
  <si>
    <t>Wind</t>
  </si>
  <si>
    <t>Light</t>
  </si>
  <si>
    <t>Dark</t>
  </si>
  <si>
    <t>Love</t>
  </si>
  <si>
    <t>Farm</t>
  </si>
  <si>
    <t>Log</t>
  </si>
  <si>
    <t>Mine</t>
  </si>
  <si>
    <t>Fish</t>
  </si>
  <si>
    <t>Cook</t>
  </si>
  <si>
    <t>Forge</t>
  </si>
  <si>
    <t>Chem</t>
  </si>
  <si>
    <t>Craft</t>
  </si>
  <si>
    <t>Search</t>
  </si>
  <si>
    <t>Walk</t>
  </si>
  <si>
    <t>Sleep</t>
  </si>
  <si>
    <t>Eat</t>
  </si>
  <si>
    <t>Def</t>
  </si>
  <si>
    <t>Poison</t>
  </si>
  <si>
    <t>Seals</t>
  </si>
  <si>
    <t>Para</t>
  </si>
  <si>
    <t>Sleepy</t>
  </si>
  <si>
    <t>Fatigue</t>
  </si>
  <si>
    <t>Cold</t>
  </si>
  <si>
    <t>KO</t>
  </si>
  <si>
    <t>Bath</t>
  </si>
  <si>
    <t>Tame</t>
  </si>
  <si>
    <t>Throw</t>
  </si>
  <si>
    <t>Leader</t>
  </si>
  <si>
    <t>Barter</t>
  </si>
  <si>
    <t>Sleep Base:</t>
  </si>
  <si>
    <t>WHAT TO LEARN:</t>
  </si>
  <si>
    <t>Crafting exp item traits</t>
  </si>
  <si>
    <t>Level boundary experience traits</t>
  </si>
  <si>
    <t>Eating</t>
  </si>
  <si>
    <t>Searching</t>
  </si>
  <si>
    <t>Item hunt</t>
  </si>
  <si>
    <t>Search:</t>
  </si>
  <si>
    <t>25 exp per search?</t>
  </si>
  <si>
    <t>20 pts for first two levels</t>
  </si>
  <si>
    <t>Not useful…</t>
  </si>
  <si>
    <t>Eating:</t>
  </si>
  <si>
    <t>1 food item per level</t>
  </si>
  <si>
    <t>only counts for 1 food a day</t>
  </si>
  <si>
    <t>identical to sleeping</t>
  </si>
  <si>
    <t>days</t>
  </si>
  <si>
    <t>sleep</t>
  </si>
  <si>
    <t>eat</t>
  </si>
  <si>
    <t>character levelups</t>
  </si>
  <si>
    <t>Exp</t>
  </si>
  <si>
    <t>Yarnx9</t>
  </si>
  <si>
    <t>Item rarity does not affect XP from recipes</t>
  </si>
  <si>
    <t>08C77FA4</t>
  </si>
  <si>
    <t>Iron</t>
  </si>
  <si>
    <t>Rarity</t>
  </si>
  <si>
    <t>XP</t>
  </si>
  <si>
    <t>Bronze</t>
  </si>
  <si>
    <t>Earth C</t>
  </si>
  <si>
    <t>Fur(M)</t>
  </si>
  <si>
    <t>Fur(L)</t>
  </si>
  <si>
    <t>Wolf Fang</t>
  </si>
  <si>
    <t>Cheap Propeller</t>
  </si>
  <si>
    <t>Cat ears level 20</t>
  </si>
  <si>
    <t>Silver</t>
  </si>
  <si>
    <t>Gold</t>
  </si>
  <si>
    <t>Platinum</t>
  </si>
  <si>
    <t>Amethyst</t>
  </si>
  <si>
    <t>Aquamarine</t>
  </si>
  <si>
    <t xml:space="preserve">XP = </t>
  </si>
  <si>
    <t>+</t>
  </si>
  <si>
    <t>Diff/2</t>
  </si>
  <si>
    <t>Upgr lvl</t>
  </si>
  <si>
    <t>28</t>
  </si>
  <si>
    <t>x</t>
  </si>
  <si>
    <t>RP cost traits</t>
  </si>
  <si>
    <t>Request</t>
  </si>
  <si>
    <t>Reward</t>
  </si>
  <si>
    <t>Points</t>
  </si>
  <si>
    <t>Bonus</t>
  </si>
  <si>
    <t>Try Fishing!</t>
  </si>
  <si>
    <t>Harvest Toyherb!</t>
  </si>
  <si>
    <t>Fetch 1</t>
  </si>
  <si>
    <t>Battle 1</t>
  </si>
  <si>
    <t>monster barn not available until after Yokmir</t>
  </si>
  <si>
    <t>Crafting Bonuses</t>
  </si>
  <si>
    <t>TLU</t>
  </si>
  <si>
    <t>MDEF</t>
  </si>
  <si>
    <t>TRU</t>
  </si>
  <si>
    <t>Weapon Bonuses</t>
  </si>
  <si>
    <t>ATK</t>
  </si>
  <si>
    <t>MATK</t>
  </si>
  <si>
    <t>Table:</t>
  </si>
  <si>
    <t>50 lum</t>
  </si>
  <si>
    <t>10 stn</t>
  </si>
  <si>
    <t>3000 G</t>
  </si>
  <si>
    <t>Monster barn is free</t>
  </si>
  <si>
    <t>Captured Spr 7</t>
  </si>
  <si>
    <t>All up 14th</t>
  </si>
  <si>
    <t>No brushing</t>
  </si>
  <si>
    <t>Total Used</t>
  </si>
  <si>
    <t>Total XP</t>
  </si>
  <si>
    <t>Level RP</t>
  </si>
  <si>
    <t>-</t>
  </si>
  <si>
    <t>163 RP after levelizing</t>
  </si>
  <si>
    <t>At level 20…</t>
  </si>
  <si>
    <t>Cat ears RP</t>
  </si>
  <si>
    <t>800 G in chest south of water</t>
  </si>
  <si>
    <t>30 lum</t>
  </si>
  <si>
    <t>30 stn</t>
  </si>
  <si>
    <t>1000 G</t>
  </si>
  <si>
    <t>starting from level 42…</t>
  </si>
  <si>
    <t>max RP</t>
  </si>
  <si>
    <t>576: cat ears sweet spot</t>
  </si>
  <si>
    <t>yarn lvl 38</t>
  </si>
  <si>
    <t>rp</t>
  </si>
  <si>
    <t>w/scarf</t>
  </si>
  <si>
    <t>1800 G in Mansion chest</t>
  </si>
  <si>
    <t>2500 G in Mansion chest</t>
  </si>
  <si>
    <t>Beetle</t>
  </si>
  <si>
    <t>Fave</t>
  </si>
  <si>
    <t>Produce</t>
  </si>
  <si>
    <t>Insect Carapace</t>
  </si>
  <si>
    <t>Big Muck</t>
  </si>
  <si>
    <t>Spore</t>
  </si>
  <si>
    <t xml:space="preserve">New thoughts: </t>
  </si>
  <si>
    <t>Chipsqueak</t>
  </si>
  <si>
    <t>Fur</t>
  </si>
  <si>
    <t>Can I get flowers?</t>
  </si>
  <si>
    <t>Get heart pendant from Dolce…</t>
  </si>
  <si>
    <t>Flower Lion</t>
  </si>
  <si>
    <t>Plant Stem</t>
  </si>
  <si>
    <t>Heracles</t>
  </si>
  <si>
    <t>Rigid Horn</t>
  </si>
  <si>
    <t>Hornet</t>
  </si>
  <si>
    <t>Honey</t>
  </si>
  <si>
    <t>Killer Ant</t>
  </si>
  <si>
    <t>Pretty Carapace</t>
  </si>
  <si>
    <t>Leaf Ball</t>
  </si>
  <si>
    <t>Silver Wolf</t>
  </si>
  <si>
    <t>Spider</t>
  </si>
  <si>
    <t>Silk</t>
  </si>
  <si>
    <t>Weagle</t>
  </si>
  <si>
    <t>Feather</t>
  </si>
  <si>
    <t>Wooly</t>
  </si>
  <si>
    <t>Fur(s)</t>
  </si>
  <si>
    <t>Usable Recipes</t>
  </si>
  <si>
    <t>Work Gloves</t>
  </si>
  <si>
    <t>Yarn</t>
  </si>
  <si>
    <t>Badge</t>
  </si>
  <si>
    <t>Round Shield</t>
  </si>
  <si>
    <t>Grow grass?</t>
  </si>
  <si>
    <t>Mucho levels at Karnak…</t>
  </si>
  <si>
    <t>Get through mansion…</t>
  </si>
  <si>
    <t>How much to expand barn?</t>
  </si>
  <si>
    <t>Do your levels transfer to monsters?</t>
  </si>
  <si>
    <t>Possible plan:</t>
  </si>
  <si>
    <t>Just rush through until after water</t>
  </si>
  <si>
    <t>Do some side stuff to build up additional RP, flowers, etc</t>
  </si>
  <si>
    <t>At Karnak, boost up as many levels as is reasonable</t>
  </si>
  <si>
    <t>Also grab lemellar armor, then breeze through mansion</t>
  </si>
  <si>
    <t>After mansion, complete dolce quest, get heart pendant</t>
  </si>
  <si>
    <t>W/ pendant, go ham on crafting</t>
  </si>
  <si>
    <t>Also bonuses to sleep, eat</t>
  </si>
  <si>
    <t>Need woolys early, but maybe not always</t>
  </si>
  <si>
    <t>Anywhere else to store the extra lvl 10 furs?</t>
  </si>
  <si>
    <t>Can dump woolys once enough amassed… then collect either beetle or killer ant</t>
  </si>
  <si>
    <t>pickled turnip</t>
  </si>
  <si>
    <t>easy recipe</t>
  </si>
  <si>
    <t>exp needed</t>
  </si>
  <si>
    <t>cumulative</t>
  </si>
  <si>
    <t>Needed</t>
  </si>
  <si>
    <t>Leftover</t>
  </si>
  <si>
    <t>Time per individual upgrade:</t>
  </si>
  <si>
    <t>Time per upgrade cycle of 9:</t>
  </si>
  <si>
    <t>Time per trip to barn:</t>
  </si>
  <si>
    <t>Time per trip to barn + brush:</t>
  </si>
  <si>
    <t>Build new barn:</t>
  </si>
  <si>
    <t>100 PP</t>
  </si>
  <si>
    <t>Time for trip to barn, only gift:</t>
  </si>
  <si>
    <t>fur 51</t>
  </si>
  <si>
    <t>23rd</t>
  </si>
  <si>
    <t>Yes but needs 60+</t>
  </si>
  <si>
    <t>Water Laser</t>
  </si>
  <si>
    <t>Left half of water temple</t>
  </si>
  <si>
    <t>Mansion area 1</t>
  </si>
  <si>
    <t>Steel Edge</t>
  </si>
  <si>
    <t>1800 G</t>
  </si>
  <si>
    <t>2500 G</t>
  </si>
  <si>
    <t>Mansion area 2</t>
  </si>
  <si>
    <t>Mansion @ 43 is EZPZ</t>
  </si>
  <si>
    <t>XP from heart</t>
  </si>
  <si>
    <t>Heart pendant: +50%</t>
  </si>
  <si>
    <t>Goal: 576 RP</t>
  </si>
  <si>
    <t>2nd Goal:</t>
  </si>
  <si>
    <t>602 RP</t>
  </si>
  <si>
    <t>Insect Horn</t>
  </si>
  <si>
    <t>Ant</t>
  </si>
  <si>
    <t>Insect carapace</t>
  </si>
  <si>
    <t>got on 9th</t>
  </si>
  <si>
    <t>max on 20th</t>
  </si>
  <si>
    <t>no brushing</t>
  </si>
  <si>
    <t>Yokmir caves (need Forte)</t>
  </si>
  <si>
    <t>Dash Slash</t>
  </si>
  <si>
    <t>Yokmir Caves kill bonus</t>
  </si>
  <si>
    <t>800 G</t>
  </si>
  <si>
    <t>South of Water Temple</t>
  </si>
  <si>
    <t>5200 G</t>
  </si>
  <si>
    <t>After Selphia West Bridge</t>
  </si>
  <si>
    <t>Kote</t>
  </si>
  <si>
    <t>3 Silver</t>
  </si>
  <si>
    <t>with Kote</t>
  </si>
  <si>
    <t>(Fist) Autumn Warp</t>
  </si>
  <si>
    <t>Burning Sword</t>
  </si>
  <si>
    <t>Maya Road Cave 1 secret</t>
  </si>
  <si>
    <t>Delta Strike</t>
  </si>
  <si>
    <t>Maya Road cave 2 kill bonus</t>
  </si>
  <si>
    <t>Prism</t>
  </si>
  <si>
    <t>Maya Rd part 3 cave</t>
  </si>
  <si>
    <t>23000 G</t>
  </si>
  <si>
    <t>Maya Road part 3 chest</t>
  </si>
  <si>
    <t>Rail Strike</t>
  </si>
  <si>
    <t>Star Pendant</t>
  </si>
  <si>
    <t>Winter Land</t>
  </si>
  <si>
    <t>Wind Edge</t>
  </si>
  <si>
    <t>Idra Cave B3</t>
  </si>
  <si>
    <t>Double Sonic</t>
  </si>
  <si>
    <t>Grand Impact</t>
  </si>
  <si>
    <t>Floating East</t>
  </si>
  <si>
    <t>number</t>
  </si>
  <si>
    <t>576 rp</t>
  </si>
  <si>
    <t>602 rp</t>
  </si>
  <si>
    <t>total needed:</t>
  </si>
  <si>
    <t>fur (yarn)</t>
  </si>
  <si>
    <t>ears</t>
  </si>
  <si>
    <t>fur needed…</t>
  </si>
  <si>
    <t>days to max</t>
  </si>
  <si>
    <t>max furs</t>
  </si>
  <si>
    <t>test level 50 boundary bonus!</t>
  </si>
  <si>
    <t>min furs</t>
  </si>
  <si>
    <t>max w/3</t>
  </si>
  <si>
    <t>min w/3</t>
  </si>
  <si>
    <t>max w/4</t>
  </si>
  <si>
    <t>Total days:</t>
  </si>
  <si>
    <t>2 Average furs</t>
  </si>
  <si>
    <t>2.5 Average furs</t>
  </si>
  <si>
    <t>min w/4</t>
  </si>
  <si>
    <t>Max w/3:</t>
  </si>
  <si>
    <t>days to max ant</t>
  </si>
  <si>
    <t>Min w/3:</t>
  </si>
  <si>
    <t>max cara</t>
  </si>
  <si>
    <t>min cara</t>
  </si>
  <si>
    <t>idea:</t>
  </si>
  <si>
    <t>take ant</t>
  </si>
  <si>
    <t>don't improve woolys, just ant</t>
  </si>
  <si>
    <t>Initial days</t>
  </si>
  <si>
    <t>initial ant lvl 10s</t>
  </si>
  <si>
    <t>extra days</t>
  </si>
  <si>
    <t>extra lvl 10s</t>
  </si>
  <si>
    <t>max</t>
  </si>
  <si>
    <t>min</t>
  </si>
  <si>
    <t>Min no feed</t>
  </si>
  <si>
    <t>Min 2 ants</t>
  </si>
  <si>
    <t>Max 2 ants</t>
  </si>
  <si>
    <t>max 2</t>
  </si>
  <si>
    <t>min 2</t>
  </si>
  <si>
    <t>First break:</t>
  </si>
  <si>
    <t>Wait until 7</t>
  </si>
  <si>
    <t>Give Colorica</t>
  </si>
  <si>
    <t>Wait until 730</t>
  </si>
  <si>
    <t>Second:</t>
  </si>
  <si>
    <t>Purchase Rice</t>
  </si>
  <si>
    <t>Wait until 730 for opening</t>
  </si>
  <si>
    <t>Third:</t>
  </si>
  <si>
    <t>Amber story at clinic</t>
  </si>
  <si>
    <t>Monster Barn available after talking to Venti</t>
  </si>
  <si>
    <t>post-Amber awakening</t>
  </si>
  <si>
    <t>Figure out:</t>
  </si>
  <si>
    <t>Tasks to combine</t>
  </si>
  <si>
    <t>Tourists per event</t>
  </si>
  <si>
    <t>PP per event</t>
  </si>
  <si>
    <t>triggers</t>
  </si>
  <si>
    <t>Events to combine:</t>
  </si>
  <si>
    <t>Chopping/stones</t>
  </si>
  <si>
    <t>Planting</t>
  </si>
  <si>
    <t>Shopping</t>
  </si>
  <si>
    <t>Post-ambrosia</t>
  </si>
  <si>
    <t>Tourists</t>
  </si>
  <si>
    <t>PP</t>
  </si>
  <si>
    <t>Post-clinic scene</t>
  </si>
  <si>
    <t>Chem Set available after clinic scene</t>
  </si>
  <si>
    <t>Post-chem license</t>
  </si>
  <si>
    <t>After shipping request</t>
  </si>
  <si>
    <t>After Clorica + shipment</t>
  </si>
  <si>
    <t>After Venti howl</t>
  </si>
  <si>
    <t>can buy rice early!</t>
  </si>
  <si>
    <t>After Stone requests</t>
  </si>
  <si>
    <t>Harvest Toyherb:</t>
  </si>
  <si>
    <t>7th is earliest possible</t>
  </si>
  <si>
    <t>After fishing</t>
  </si>
  <si>
    <t>Monster barn available after fishing complete</t>
  </si>
  <si>
    <t>After water ruins start</t>
  </si>
  <si>
    <t>Forge available after Tree gone</t>
  </si>
  <si>
    <t>Chem: 1000, 30/30</t>
  </si>
  <si>
    <t>Craft: 3000, 50/10</t>
  </si>
  <si>
    <t>After craft license</t>
  </si>
  <si>
    <t>After barn, befriend</t>
  </si>
  <si>
    <t>plant food appears after Tree gone…?</t>
  </si>
  <si>
    <t>Post Water Ruins</t>
  </si>
  <si>
    <t>Post mine iron/fertilizer</t>
  </si>
  <si>
    <t>2nd Barn: 100p, 50/30</t>
  </si>
  <si>
    <t>Post Dylas scene</t>
  </si>
  <si>
    <t>Post Dylas wakeup, bag upgrade</t>
  </si>
  <si>
    <t>Post Festival</t>
  </si>
  <si>
    <t>Post Airship</t>
  </si>
  <si>
    <t>3 Gob Easy:</t>
  </si>
  <si>
    <t>start</t>
  </si>
  <si>
    <t>end</t>
  </si>
  <si>
    <t>mansion OK, but slow</t>
  </si>
  <si>
    <t>4 Gob Hard:</t>
  </si>
  <si>
    <t>Heart Pendant on Day 13</t>
  </si>
  <si>
    <t>Yokmir</t>
  </si>
  <si>
    <t>W Ruins South</t>
  </si>
  <si>
    <t>Toast</t>
  </si>
  <si>
    <t>Steamed Bread</t>
  </si>
  <si>
    <t>Bread</t>
  </si>
  <si>
    <t>Chocolate</t>
  </si>
  <si>
    <t>Moondrop</t>
  </si>
  <si>
    <t>Pink Cat</t>
  </si>
  <si>
    <t>Toyherb</t>
  </si>
  <si>
    <t>Sickle</t>
  </si>
  <si>
    <t>Clippers</t>
  </si>
  <si>
    <t>Brush</t>
  </si>
  <si>
    <t>Defeat Dylas Day 7</t>
  </si>
  <si>
    <t>No point in buying toyherbs early</t>
  </si>
  <si>
    <t>No point in building barn early…?</t>
  </si>
  <si>
    <t>Can do Befriend Monsters before Barn if already built</t>
  </si>
  <si>
    <t>ants on day 8</t>
  </si>
  <si>
    <t>18 fodder, about</t>
  </si>
  <si>
    <t>CRAFTING ROUTE</t>
  </si>
  <si>
    <t>starting RP</t>
  </si>
  <si>
    <t>cost</t>
  </si>
  <si>
    <t>amount</t>
  </si>
  <si>
    <t>level after</t>
  </si>
  <si>
    <t>cat ears</t>
  </si>
  <si>
    <t>scarf</t>
  </si>
  <si>
    <t>low 48</t>
  </si>
  <si>
    <t>Need to be level 50…</t>
  </si>
  <si>
    <t>for bonuses to take hold</t>
  </si>
  <si>
    <t>piyo sandals!!!</t>
  </si>
  <si>
    <t>max blind</t>
  </si>
  <si>
    <t>min blind</t>
  </si>
  <si>
    <t>maybe 4 with 688</t>
  </si>
  <si>
    <t>8 with 688</t>
  </si>
  <si>
    <t>just upgrade scarves/ears indefinitely for final few levels….</t>
  </si>
  <si>
    <t>is resist knockout numbers correct?</t>
  </si>
  <si>
    <t>sleep level</t>
  </si>
  <si>
    <t>num sleeps</t>
  </si>
  <si>
    <t>Weapons</t>
  </si>
  <si>
    <t>Magic</t>
  </si>
  <si>
    <t>Bartering</t>
  </si>
  <si>
    <t>Leadership</t>
  </si>
  <si>
    <t>Bathing</t>
  </si>
  <si>
    <t>Defense</t>
  </si>
  <si>
    <t>Crafting</t>
  </si>
  <si>
    <t>Cooking</t>
  </si>
  <si>
    <t>Fishing</t>
  </si>
  <si>
    <t>Mining</t>
  </si>
  <si>
    <t>logging</t>
  </si>
  <si>
    <t>walking</t>
  </si>
  <si>
    <t>farming</t>
  </si>
  <si>
    <t>search</t>
  </si>
  <si>
    <t>throw</t>
  </si>
  <si>
    <t>Active</t>
  </si>
  <si>
    <t>10+</t>
  </si>
  <si>
    <t>Heart Pendant</t>
  </si>
  <si>
    <t>Dolce</t>
  </si>
  <si>
    <t>Amber</t>
  </si>
  <si>
    <t>3 Flowers</t>
  </si>
  <si>
    <t>Stone</t>
  </si>
  <si>
    <t>Bef Item</t>
  </si>
  <si>
    <t>6 Fodder</t>
  </si>
  <si>
    <t>Befriend</t>
  </si>
  <si>
    <t>Barn</t>
  </si>
  <si>
    <t>Ambrosia</t>
  </si>
  <si>
    <t>4 Silver</t>
  </si>
  <si>
    <t>Arm Upgr</t>
  </si>
  <si>
    <t>Mag Skill</t>
  </si>
  <si>
    <t>4 Bronze</t>
  </si>
  <si>
    <t>Wpn Upgr</t>
  </si>
  <si>
    <t>Rush Attack</t>
  </si>
  <si>
    <t>Wpn Skill</t>
  </si>
  <si>
    <t>Skill</t>
  </si>
  <si>
    <t>4 Toyherb</t>
  </si>
  <si>
    <t>Medicine</t>
  </si>
  <si>
    <t>Medi Bread</t>
  </si>
  <si>
    <t>Armor</t>
  </si>
  <si>
    <t>Craft bread</t>
  </si>
  <si>
    <t>Farm bread</t>
  </si>
  <si>
    <t>Farm Tool</t>
  </si>
  <si>
    <t>2 bronze, 2 iron</t>
  </si>
  <si>
    <t>Weapon</t>
  </si>
  <si>
    <t>weapon bread</t>
  </si>
  <si>
    <t>Flour</t>
  </si>
  <si>
    <t>Cooking bread</t>
  </si>
  <si>
    <t>Levelizer</t>
  </si>
  <si>
    <t>Illustrations</t>
  </si>
  <si>
    <t>u</t>
  </si>
  <si>
    <t>Greeting</t>
  </si>
  <si>
    <t>Friendship</t>
  </si>
  <si>
    <t>Coin Exchange</t>
  </si>
  <si>
    <t>Airship</t>
  </si>
  <si>
    <t>amethyst</t>
  </si>
  <si>
    <t>bin, 3 w grass</t>
  </si>
  <si>
    <t>Fertilizer</t>
  </si>
  <si>
    <t>rod, 300 G</t>
  </si>
  <si>
    <t>hammer</t>
  </si>
  <si>
    <t>toyherb</t>
  </si>
  <si>
    <t>Buy Rice</t>
  </si>
  <si>
    <t>sickle</t>
  </si>
  <si>
    <t>Give</t>
  </si>
  <si>
    <t>Shipping</t>
  </si>
  <si>
    <t>axe</t>
  </si>
  <si>
    <t>Lumber</t>
  </si>
  <si>
    <t>storage</t>
  </si>
  <si>
    <t>Furniture</t>
  </si>
  <si>
    <t>4 turnip sd</t>
  </si>
  <si>
    <t>First Task</t>
  </si>
  <si>
    <t>Day</t>
  </si>
  <si>
    <t>Required</t>
  </si>
  <si>
    <t>Requests:</t>
  </si>
  <si>
    <t>Reqs:</t>
  </si>
  <si>
    <t>mid</t>
  </si>
  <si>
    <t>spider</t>
  </si>
  <si>
    <t>PAR atk 5</t>
  </si>
  <si>
    <t>MAT+2</t>
  </si>
  <si>
    <t>ATK+2</t>
  </si>
  <si>
    <t>pretty</t>
  </si>
  <si>
    <t>PAR res 25</t>
  </si>
  <si>
    <t>SEL res 5</t>
  </si>
  <si>
    <t>DEF+3</t>
  </si>
  <si>
    <t>insect</t>
  </si>
  <si>
    <t>PSN res 15</t>
  </si>
  <si>
    <t>DEF+1</t>
  </si>
  <si>
    <t>base</t>
  </si>
  <si>
    <t>rarity</t>
  </si>
  <si>
    <t>upgrade XP:</t>
  </si>
  <si>
    <t>+50%</t>
  </si>
  <si>
    <t>total</t>
  </si>
  <si>
    <t>yarns</t>
  </si>
  <si>
    <t>Killer</t>
  </si>
  <si>
    <t>can I tame a Goblin Don?</t>
  </si>
  <si>
    <t>See about forge upgrade mechanics</t>
  </si>
  <si>
    <t>Can get up to level 5</t>
  </si>
  <si>
    <t>Test magic level ups</t>
  </si>
  <si>
    <t>Explore more of Leon Karnak…?</t>
  </si>
  <si>
    <t>Make last upgrades after level 50?</t>
  </si>
  <si>
    <t>Take 34 days to collect materials</t>
  </si>
  <si>
    <t>Recruit 2 ants</t>
  </si>
  <si>
    <t>Max 3 items</t>
  </si>
  <si>
    <t>PLAN</t>
  </si>
  <si>
    <t>Diff</t>
  </si>
  <si>
    <t>Upper</t>
  </si>
  <si>
    <t>Base</t>
  </si>
  <si>
    <t>Proportion</t>
  </si>
  <si>
    <t>Sleep 10 days:</t>
  </si>
  <si>
    <t>s</t>
  </si>
  <si>
    <t>hoe gives earth</t>
  </si>
  <si>
    <t>picking up gives light</t>
  </si>
  <si>
    <t>planting gives love</t>
  </si>
  <si>
    <t>watering gives water</t>
  </si>
  <si>
    <t>Fall 22</t>
  </si>
  <si>
    <t>to level 51</t>
  </si>
  <si>
    <t>Hard level progression</t>
  </si>
  <si>
    <t>post-ambrosia</t>
  </si>
  <si>
    <t>pre-and-post dylas</t>
  </si>
  <si>
    <t>1 round of 4 at karnak</t>
  </si>
  <si>
    <t>2nd round</t>
  </si>
  <si>
    <t>608 rp</t>
  </si>
  <si>
    <t>may only need lvl 9 for max lvl goods</t>
  </si>
  <si>
    <t>Total cost</t>
  </si>
  <si>
    <t>774 for lvl 39 scarf</t>
  </si>
  <si>
    <t>all furs</t>
  </si>
  <si>
    <t>costs 528 for cat ears at 19</t>
  </si>
  <si>
    <t>rice</t>
  </si>
  <si>
    <t>pink cat</t>
  </si>
  <si>
    <t>moondrop</t>
  </si>
  <si>
    <t>shopping</t>
  </si>
  <si>
    <t>vishnal</t>
  </si>
  <si>
    <t>yokmir</t>
  </si>
  <si>
    <t>near water</t>
  </si>
  <si>
    <t>steamed bread</t>
  </si>
  <si>
    <t>clippers</t>
  </si>
  <si>
    <t>brush</t>
  </si>
  <si>
    <t>chem set</t>
  </si>
  <si>
    <t>Light Barrier is great!</t>
  </si>
  <si>
    <t>in 2nd arc, one day after start talk to venti, 2nd option</t>
  </si>
  <si>
    <t>6th day after talking to everyone is when scene starts…</t>
  </si>
  <si>
    <t>Wind Edge is free in B3 Idra</t>
  </si>
  <si>
    <t>Burning Blade is in secret area south of first pit in Maya</t>
  </si>
  <si>
    <t>Platinum in Floating South behind wind trap in center</t>
  </si>
  <si>
    <t>S</t>
  </si>
  <si>
    <t>E</t>
  </si>
  <si>
    <t>W</t>
  </si>
  <si>
    <t>N2</t>
  </si>
  <si>
    <t>Another Platinum in East</t>
  </si>
  <si>
    <t>tornado/cyclone is the way to go</t>
  </si>
  <si>
    <t>day</t>
  </si>
  <si>
    <t>rp remaining</t>
  </si>
  <si>
    <t>Name</t>
  </si>
  <si>
    <t>Rarity Points</t>
  </si>
  <si>
    <t>Category</t>
  </si>
  <si>
    <t>Fodder</t>
  </si>
  <si>
    <t>Collectible</t>
  </si>
  <si>
    <t>Scrap Metal</t>
  </si>
  <si>
    <t>Minerals</t>
  </si>
  <si>
    <t>Scrap Metal+</t>
  </si>
  <si>
    <t>Orichalcum</t>
  </si>
  <si>
    <t>Dragonic Stone</t>
  </si>
  <si>
    <t>Jewels</t>
  </si>
  <si>
    <t>Emerald</t>
  </si>
  <si>
    <t>Ruby</t>
  </si>
  <si>
    <t>Sapphire</t>
  </si>
  <si>
    <t>Diamond</t>
  </si>
  <si>
    <t>Green Core</t>
  </si>
  <si>
    <t>Red Core</t>
  </si>
  <si>
    <t>Yellow Core</t>
  </si>
  <si>
    <t>Blue Core</t>
  </si>
  <si>
    <t>Crystal Skull</t>
  </si>
  <si>
    <t>Magic Crystal</t>
  </si>
  <si>
    <t>Crystals</t>
  </si>
  <si>
    <t>Dark Crystal</t>
  </si>
  <si>
    <t>Fire Crystal</t>
  </si>
  <si>
    <t>Earth Crystal</t>
  </si>
  <si>
    <t>Love Crystal</t>
  </si>
  <si>
    <t>Wind Crystal</t>
  </si>
  <si>
    <t>Water Crystal</t>
  </si>
  <si>
    <t>Light Crystal</t>
  </si>
  <si>
    <t>Small Crystal</t>
  </si>
  <si>
    <t>Big Crystal</t>
  </si>
  <si>
    <t>Rune Crystal</t>
  </si>
  <si>
    <t>Electro Crystal</t>
  </si>
  <si>
    <t>Sitck</t>
  </si>
  <si>
    <t>Sticks and Stems</t>
  </si>
  <si>
    <t>Bull's Horn</t>
  </si>
  <si>
    <t>Moving Branch</t>
  </si>
  <si>
    <t>Thick Stick</t>
  </si>
  <si>
    <t>Devil Horn</t>
  </si>
  <si>
    <t>Glue</t>
  </si>
  <si>
    <t>Liquids</t>
  </si>
  <si>
    <t>Devil Blood</t>
  </si>
  <si>
    <t>Paralysis Poison</t>
  </si>
  <si>
    <t>Poison King</t>
  </si>
  <si>
    <t>Bird's Feather</t>
  </si>
  <si>
    <t>Feathers</t>
  </si>
  <si>
    <t>Yellow Feather</t>
  </si>
  <si>
    <t>Black Bird's Feather</t>
  </si>
  <si>
    <t>Thunderbird Feather</t>
  </si>
  <si>
    <t>Dragon Fin</t>
  </si>
  <si>
    <t>Turtle Shell</t>
  </si>
  <si>
    <t>Shells and Bones</t>
  </si>
  <si>
    <t>Fish Fossil</t>
  </si>
  <si>
    <t>Dragon Bones</t>
  </si>
  <si>
    <t>Skull</t>
  </si>
  <si>
    <t>Blk. Tortoise Shell</t>
  </si>
  <si>
    <t>Ammonite</t>
  </si>
  <si>
    <t>Round Stone</t>
  </si>
  <si>
    <t>Stones</t>
  </si>
  <si>
    <t>Tiny Golem Stone</t>
  </si>
  <si>
    <t>Golem Stone</t>
  </si>
  <si>
    <t>Golem Tablet</t>
  </si>
  <si>
    <t>Golem Spirit Stone</t>
  </si>
  <si>
    <t>Tablet of Truth</t>
  </si>
  <si>
    <t>Strings</t>
  </si>
  <si>
    <t>Old Bandage</t>
  </si>
  <si>
    <t>Ambrosia's Thorns</t>
  </si>
  <si>
    <t>Spider's Thread</t>
  </si>
  <si>
    <t>Puppetry Strings</t>
  </si>
  <si>
    <t>Vine</t>
  </si>
  <si>
    <t>Scorpion Tail</t>
  </si>
  <si>
    <t>Strong Vine</t>
  </si>
  <si>
    <t>Pretty Thread</t>
  </si>
  <si>
    <t>Chimera Tail</t>
  </si>
  <si>
    <t>Arrowhead</t>
  </si>
  <si>
    <t>Shards</t>
  </si>
  <si>
    <t>Blade Shard</t>
  </si>
  <si>
    <t>Broken Hilt</t>
  </si>
  <si>
    <t>Broken Box</t>
  </si>
  <si>
    <t>Hammer Piece</t>
  </si>
  <si>
    <t>Shoulder Piece</t>
  </si>
  <si>
    <t>Rusty Screw</t>
  </si>
  <si>
    <t>Shiny Screw</t>
  </si>
  <si>
    <t>Glistening Blade</t>
  </si>
  <si>
    <t>Great Hammer Shard</t>
  </si>
  <si>
    <t>Left Rock Shard</t>
  </si>
  <si>
    <t>Right Rock Shard</t>
  </si>
  <si>
    <t>MTGU Plate</t>
  </si>
  <si>
    <t>Pirate's Armor</t>
  </si>
  <si>
    <t>Broken Ice Wall</t>
  </si>
  <si>
    <t>Fur (S)</t>
  </si>
  <si>
    <t>Furs</t>
  </si>
  <si>
    <t>Yellow Down</t>
  </si>
  <si>
    <t>Quality Fur</t>
  </si>
  <si>
    <t>Lightning Mane</t>
  </si>
  <si>
    <t>Quality Puffy Fur</t>
  </si>
  <si>
    <t>Fur (M)</t>
  </si>
  <si>
    <t>Wooly Furball</t>
  </si>
  <si>
    <t>Fur (L)</t>
  </si>
  <si>
    <t>Penguin Down</t>
  </si>
  <si>
    <t>Red Lion Fur</t>
  </si>
  <si>
    <t>Blue Lion Fur</t>
  </si>
  <si>
    <t>Chest Hair</t>
  </si>
  <si>
    <t>Powders and Spores</t>
  </si>
  <si>
    <t>Fairy Dust</t>
  </si>
  <si>
    <t>Gunpowder</t>
  </si>
  <si>
    <t>Poison Powder</t>
  </si>
  <si>
    <t>Holy Spore</t>
  </si>
  <si>
    <t>Root</t>
  </si>
  <si>
    <t>Magic Powder</t>
  </si>
  <si>
    <t>Mysterious Powder</t>
  </si>
  <si>
    <t>Earth Dragon Ash</t>
  </si>
  <si>
    <t>Fire Dragon Ash</t>
  </si>
  <si>
    <t>Fairy Elixir</t>
  </si>
  <si>
    <t>Water Dragon Ash</t>
  </si>
  <si>
    <t>Turnip's Miracle</t>
  </si>
  <si>
    <t>Melody Bottle</t>
  </si>
  <si>
    <t>Cheap Cloth</t>
  </si>
  <si>
    <t>Cloths and Skins</t>
  </si>
  <si>
    <t>Ghost Hood</t>
  </si>
  <si>
    <t>Quality Cloth</t>
  </si>
  <si>
    <t>Quality Worn Cloth</t>
  </si>
  <si>
    <t>Silk Cloth</t>
  </si>
  <si>
    <t>Giant's Glove</t>
  </si>
  <si>
    <t>Blue Giant's Glove</t>
  </si>
  <si>
    <t>Ancient Orc Cloth</t>
  </si>
  <si>
    <t>Insect Jaw</t>
  </si>
  <si>
    <t>Claws and Fangs</t>
  </si>
  <si>
    <t>Panther Claw</t>
  </si>
  <si>
    <t>Palm Claw</t>
  </si>
  <si>
    <t>Giant's Nail</t>
  </si>
  <si>
    <t>Chimera's Claw</t>
  </si>
  <si>
    <t>Ivory Tusk</t>
  </si>
  <si>
    <t>Big Giant's Nail</t>
  </si>
  <si>
    <t>Unbroken Ivory Tusk</t>
  </si>
  <si>
    <t>Scorpion Pincer</t>
  </si>
  <si>
    <t>Cheap Propellor</t>
  </si>
  <si>
    <t>Gold Wolf Fang</t>
  </si>
  <si>
    <t>Quality Propellor</t>
  </si>
  <si>
    <t>Magic Claw</t>
  </si>
  <si>
    <t>Dragon Fang</t>
  </si>
  <si>
    <t>Malm Claw</t>
  </si>
  <si>
    <t>Queen's Jaw</t>
  </si>
  <si>
    <t>Dangerous Scissors</t>
  </si>
  <si>
    <t>Wind Dragon Tooth</t>
  </si>
  <si>
    <t>Wet Scale</t>
  </si>
  <si>
    <t>Scales</t>
  </si>
  <si>
    <t>Dragon Scale</t>
  </si>
  <si>
    <t>Crimson Scale</t>
  </si>
  <si>
    <t>Blue Scale</t>
  </si>
  <si>
    <t>Glitter Scale</t>
  </si>
  <si>
    <t>Love Scale</t>
  </si>
  <si>
    <t>Black Scale</t>
  </si>
  <si>
    <t>Grimoire Scale</t>
  </si>
  <si>
    <t>Firewyrm Scale</t>
  </si>
  <si>
    <t>Earthwyrm Scale</t>
  </si>
  <si>
    <t>Legendary Scale</t>
  </si>
  <si>
    <t>Double Steel</t>
  </si>
  <si>
    <t>10-Fold Steel</t>
  </si>
  <si>
    <t>Glitta Augite</t>
  </si>
  <si>
    <t>Invisible Stone</t>
  </si>
  <si>
    <t>Light Ore</t>
  </si>
  <si>
    <t>Rune Sphere Shard</t>
  </si>
  <si>
    <t>Shade Stone</t>
  </si>
  <si>
    <t>Raccoon Leaf</t>
  </si>
  <si>
    <t>Icy Nose</t>
  </si>
  <si>
    <t>Big Bird's Comb</t>
  </si>
  <si>
    <t>Rafflesia Petal</t>
  </si>
  <si>
    <t>Cursed Doll</t>
  </si>
  <si>
    <t>Warrior's Proof</t>
  </si>
  <si>
    <t>Proof of Rank</t>
  </si>
  <si>
    <t>Throne of the Empire</t>
  </si>
  <si>
    <t>White Stone</t>
  </si>
  <si>
    <t>Boot</t>
  </si>
  <si>
    <t>Trash</t>
  </si>
  <si>
    <t>Can</t>
  </si>
  <si>
    <t>Rare Can</t>
  </si>
  <si>
    <t>Branch</t>
  </si>
  <si>
    <t>Other</t>
  </si>
  <si>
    <t>Rock</t>
  </si>
  <si>
    <t>Material Stone</t>
  </si>
  <si>
    <t>West Selphia</t>
  </si>
  <si>
    <t>F8</t>
  </si>
  <si>
    <t>Location</t>
  </si>
  <si>
    <t>Items</t>
  </si>
  <si>
    <t>F7</t>
  </si>
  <si>
    <t>All 3 silver are Lvl 3</t>
  </si>
  <si>
    <t>I4</t>
  </si>
  <si>
    <t>level 2 parallel laser, 18600</t>
  </si>
  <si>
    <t>Delirium 2</t>
  </si>
  <si>
    <t>I1</t>
  </si>
  <si>
    <t>2 level 10 silver, 2 level 3 gold</t>
  </si>
  <si>
    <t>DEF</t>
  </si>
  <si>
    <t>TRU 6 AVG</t>
  </si>
  <si>
    <t>Finish Sp 21</t>
  </si>
  <si>
    <t>Venti event sp 28</t>
  </si>
  <si>
    <t>Doug scene on Su 3</t>
  </si>
  <si>
    <t>Don't need to talk to Guardians!</t>
  </si>
  <si>
    <t>Karnak</t>
  </si>
  <si>
    <t>F2</t>
  </si>
  <si>
    <t>Salted Taimen Recipe</t>
  </si>
  <si>
    <t>F6</t>
  </si>
  <si>
    <t>Hurricane Level 5, Platinum level 5, Devil Horn x2</t>
  </si>
  <si>
    <t>B2</t>
  </si>
  <si>
    <t>A2</t>
  </si>
  <si>
    <t>level 7 windslash</t>
  </si>
  <si>
    <t>Sunspot short sword</t>
  </si>
  <si>
    <t>Sorcerezo</t>
  </si>
  <si>
    <t>C1</t>
  </si>
  <si>
    <t>Level 3 shine</t>
  </si>
  <si>
    <t>C6</t>
  </si>
  <si>
    <t>Only on Monday</t>
  </si>
  <si>
    <t>D4</t>
  </si>
  <si>
    <t xml:space="preserve">12250 G, </t>
  </si>
  <si>
    <t>D1</t>
  </si>
  <si>
    <t>Double Sonic lvl 3</t>
  </si>
  <si>
    <t>Idra</t>
  </si>
  <si>
    <t>E4</t>
  </si>
  <si>
    <t>Earth Spike lvl 3 (need hammer)</t>
  </si>
  <si>
    <t>Maya B1</t>
  </si>
  <si>
    <t>Start</t>
  </si>
  <si>
    <t>A1</t>
  </si>
  <si>
    <t>B1</t>
  </si>
  <si>
    <t>E1</t>
  </si>
  <si>
    <t>E2</t>
  </si>
  <si>
    <t>Mediseal</t>
  </si>
  <si>
    <t>|</t>
  </si>
  <si>
    <t>D2</t>
  </si>
  <si>
    <t>C0</t>
  </si>
  <si>
    <t>Start 2</t>
  </si>
  <si>
    <t>Maya 1</t>
  </si>
  <si>
    <t>Pineapple Seeds</t>
  </si>
  <si>
    <t>Basement A3</t>
  </si>
  <si>
    <t>Dark Snake</t>
  </si>
  <si>
    <t>Basement B1</t>
  </si>
  <si>
    <t>B10</t>
  </si>
  <si>
    <t>Recovery Potion x3, Fruit Sandwich</t>
  </si>
  <si>
    <t>A7</t>
  </si>
  <si>
    <t>Rail Strike, Gloves lvl 1</t>
  </si>
  <si>
    <t>A4</t>
  </si>
  <si>
    <t>3x Mystery Potion</t>
  </si>
  <si>
    <t>Axel Disaster</t>
  </si>
  <si>
    <t>Maya Basement 1</t>
  </si>
  <si>
    <t>Sechs Territory</t>
  </si>
  <si>
    <t>I2</t>
  </si>
  <si>
    <t>3x Mystery Potion, Leveliser</t>
  </si>
  <si>
    <t>D5</t>
  </si>
  <si>
    <t>Big Crystal lvl 5, 3x lvl 10 Water Crystal</t>
  </si>
  <si>
    <t>C4</t>
  </si>
  <si>
    <t>8000 G</t>
  </si>
  <si>
    <t>Miracle Axe recipe</t>
  </si>
  <si>
    <t>F1</t>
  </si>
  <si>
    <t>Rapid Move</t>
  </si>
  <si>
    <t>Basement C4</t>
  </si>
  <si>
    <t>Mystery Potion x4</t>
  </si>
  <si>
    <t>B7</t>
  </si>
  <si>
    <t>Ice Cream</t>
  </si>
  <si>
    <t>E3</t>
  </si>
  <si>
    <t>Throwing Ring</t>
  </si>
  <si>
    <t>E5</t>
  </si>
  <si>
    <t>Steel Heart</t>
  </si>
  <si>
    <t>Magical Potion x4</t>
  </si>
  <si>
    <t>Basement D2</t>
  </si>
  <si>
    <t>Rune Crystal lvl 3</t>
  </si>
  <si>
    <t>Basement D1</t>
  </si>
  <si>
    <t>Giga Swing</t>
  </si>
  <si>
    <t>Sechs Territory 2</t>
  </si>
  <si>
    <t>Straight Punch</t>
  </si>
  <si>
    <t>Explosion lvl 3, Twin Attack lvl 1</t>
  </si>
  <si>
    <t>FE West</t>
  </si>
  <si>
    <t>F4</t>
  </si>
  <si>
    <t>18000 G</t>
  </si>
  <si>
    <t>G1</t>
  </si>
  <si>
    <t>Platinum lvl 1</t>
  </si>
  <si>
    <t>Magic Ring, 4x Magical Potion</t>
  </si>
  <si>
    <t>Neko Damashi level 5</t>
  </si>
  <si>
    <t>Stay-up Ring</t>
  </si>
  <si>
    <t>G4</t>
  </si>
  <si>
    <t>Delta Laser lvl 5, Cyclone lvl 1</t>
  </si>
  <si>
    <t>FE East</t>
  </si>
  <si>
    <t>Curry Udon</t>
  </si>
  <si>
    <t>D3</t>
  </si>
  <si>
    <t>Double Steel lvl 1</t>
  </si>
  <si>
    <t>F3</t>
  </si>
  <si>
    <t>Small Crystal lvl 1</t>
  </si>
  <si>
    <t>Gold seeds, Miracle Axe recipe</t>
  </si>
  <si>
    <t>Avenger Rock lvl 5, Round Break</t>
  </si>
  <si>
    <t>FE South</t>
  </si>
  <si>
    <t>A3</t>
  </si>
  <si>
    <t>Tornado Swing</t>
  </si>
  <si>
    <t>C3</t>
  </si>
  <si>
    <t>E7</t>
  </si>
  <si>
    <t>Green Core lvl 1</t>
  </si>
  <si>
    <t>Penetrate Sonic lvl 5</t>
  </si>
  <si>
    <t>Invisible Stone lvl 1</t>
  </si>
  <si>
    <t>Damage</t>
  </si>
  <si>
    <t>Time per cast</t>
  </si>
  <si>
    <t>DPS</t>
  </si>
  <si>
    <t>Delta Laser</t>
  </si>
  <si>
    <t>Parallel Laser</t>
  </si>
  <si>
    <t>Hit ratio</t>
  </si>
  <si>
    <t>Earth Spike</t>
  </si>
  <si>
    <t>Hits</t>
  </si>
  <si>
    <t>Spell</t>
  </si>
  <si>
    <t>M ATK</t>
  </si>
  <si>
    <t>Double</t>
  </si>
  <si>
    <t>Delta</t>
  </si>
  <si>
    <t>Laser</t>
  </si>
  <si>
    <t>200-250</t>
  </si>
  <si>
    <t>Parallel</t>
  </si>
  <si>
    <t>350-400</t>
  </si>
  <si>
    <t>Whale Damage:</t>
  </si>
  <si>
    <t>Prism 5</t>
  </si>
  <si>
    <t>Calendar</t>
  </si>
  <si>
    <t>Requests Available</t>
  </si>
  <si>
    <t>Story Tasks</t>
  </si>
  <si>
    <t>Sp 2</t>
  </si>
  <si>
    <t>First Order</t>
  </si>
  <si>
    <t>Tutorials</t>
  </si>
  <si>
    <t>Prep Tasks</t>
  </si>
  <si>
    <t>Sp 3</t>
  </si>
  <si>
    <t>Sp 4</t>
  </si>
  <si>
    <t>Shipping, Giving</t>
  </si>
  <si>
    <t>Fa 12</t>
  </si>
  <si>
    <t>Shopping, Stone</t>
  </si>
  <si>
    <t>Fa 11</t>
  </si>
  <si>
    <t>cookies sell for 1980…</t>
  </si>
  <si>
    <t>Clinic</t>
  </si>
  <si>
    <t>Fa 13</t>
  </si>
  <si>
    <t>Harvest Toyherb, Fishing, Fertilizer</t>
  </si>
  <si>
    <t>Fa 14</t>
  </si>
  <si>
    <t>Talk to Venti</t>
  </si>
  <si>
    <t>Fa 15</t>
  </si>
  <si>
    <t>Howl</t>
  </si>
  <si>
    <t>Fa 16</t>
  </si>
  <si>
    <t>Talk to Venti, Water Ruins open</t>
  </si>
  <si>
    <t>Fa 25</t>
  </si>
  <si>
    <t>Cookies</t>
  </si>
  <si>
    <t>Fa 17</t>
  </si>
  <si>
    <t>Fa 18</t>
  </si>
  <si>
    <t>Fa 19</t>
  </si>
  <si>
    <t>Fa 20</t>
  </si>
  <si>
    <t>Fa 21</t>
  </si>
  <si>
    <t>Fa 22</t>
  </si>
  <si>
    <t>Fa 23</t>
  </si>
  <si>
    <t>Fa 24</t>
  </si>
  <si>
    <t>Money</t>
  </si>
  <si>
    <t>Plant Days</t>
  </si>
  <si>
    <t>Ambrosia, venti talk</t>
  </si>
  <si>
    <t>Barn, Bag, chem license, recruit mons, go to cave</t>
  </si>
  <si>
    <t>Harvest 3</t>
  </si>
  <si>
    <t>Ant Love</t>
  </si>
  <si>
    <t>Harvest 3, Amber</t>
  </si>
  <si>
    <t>Collect more cookies! Possibly also get festival, craft license, forge license, airship license</t>
  </si>
  <si>
    <t>Can potentially do rice shopping on day of festival, to coincide with cookie visit…</t>
  </si>
  <si>
    <t>That means toyherb early would be doable</t>
  </si>
  <si>
    <t>Build monster barn in earlier cycle…</t>
  </si>
  <si>
    <t>Monster Barn available after talking to Venti post-Amber awakening</t>
  </si>
  <si>
    <t>Post-Howl, Bado will offer Craft, but only from inside his house</t>
  </si>
  <si>
    <t>40 Stones</t>
  </si>
  <si>
    <t>60 Lumber</t>
  </si>
  <si>
    <t>80 Lumber</t>
  </si>
  <si>
    <t>Ants</t>
  </si>
  <si>
    <t>Collect fodder from cluck-cluck nest, sell a cookie, pick up toast &amp; steamed?</t>
  </si>
  <si>
    <t>180ish damage at level 11…</t>
  </si>
  <si>
    <t>After thunderbolt, can buy chem set</t>
  </si>
  <si>
    <t>Time-locked Events</t>
  </si>
  <si>
    <t>Time-advance Events</t>
  </si>
  <si>
    <t>Stone (40)</t>
  </si>
  <si>
    <t>Wood (20)</t>
  </si>
  <si>
    <t>Wood (60)</t>
  </si>
  <si>
    <t>Intro</t>
  </si>
  <si>
    <t>Water Ruins</t>
  </si>
  <si>
    <t>Cluck Cluck</t>
  </si>
  <si>
    <t>Buy Craft</t>
  </si>
  <si>
    <t>Buy Seeds</t>
  </si>
  <si>
    <t>Buy Toyherb</t>
  </si>
  <si>
    <t>Amber Clinic</t>
  </si>
  <si>
    <t>Dylas Clinic</t>
  </si>
  <si>
    <t>Buy Chem</t>
  </si>
  <si>
    <t>Cluck Cluck 2</t>
  </si>
  <si>
    <t>Monster Recruit</t>
  </si>
  <si>
    <t>Unlock Chem</t>
  </si>
  <si>
    <t>Unlock Craft</t>
  </si>
  <si>
    <t>Wood(60)</t>
  </si>
  <si>
    <t>Sp 5</t>
  </si>
  <si>
    <t>pick up stick and stone, buy toyherb</t>
  </si>
  <si>
    <t>Mine, Fertilizer</t>
  </si>
  <si>
    <t>Mine Iron, Barn, Befriend</t>
  </si>
  <si>
    <t>Amber Toyherb</t>
  </si>
  <si>
    <t>Dolce Moondrop</t>
  </si>
  <si>
    <t>Item mon, Fertilizer, Mine</t>
  </si>
  <si>
    <t>Mine, Harvest 3</t>
  </si>
  <si>
    <t>Fa 26</t>
  </si>
  <si>
    <t>Finish Dylas</t>
  </si>
  <si>
    <t>Fa 27</t>
  </si>
  <si>
    <t>Fa 28</t>
  </si>
  <si>
    <t>Dylas scene, Venti scene</t>
  </si>
  <si>
    <t>Dylas clinic</t>
  </si>
  <si>
    <t>Cookie</t>
  </si>
  <si>
    <t>Cave</t>
  </si>
  <si>
    <t>Vishnal</t>
  </si>
  <si>
    <t>Forest Chest</t>
  </si>
  <si>
    <t>Collect more cookies?</t>
  </si>
  <si>
    <t>Give toyherb to Amber, unlock craft, airship and craft orders</t>
  </si>
  <si>
    <t>Give toyherb to Amber, unlock craft, airship and craft orders, get more cookies</t>
  </si>
  <si>
    <t>Fa 29</t>
  </si>
  <si>
    <t>Carapaces</t>
  </si>
  <si>
    <t>Fa 30</t>
  </si>
  <si>
    <t>Wi 1</t>
  </si>
  <si>
    <t>Wi 2</t>
  </si>
  <si>
    <t>Wi 3</t>
  </si>
  <si>
    <t>Wi 4</t>
  </si>
  <si>
    <t>Wi 5</t>
  </si>
  <si>
    <t>Wi 6</t>
  </si>
  <si>
    <t>Ghost</t>
  </si>
  <si>
    <t>at beginning</t>
  </si>
  <si>
    <t>unlock chem, collect 10 cookies, time+ with fishing, stone (39), buy seeds?</t>
  </si>
  <si>
    <t>eat bread, buy rice, stone(1)</t>
  </si>
  <si>
    <t>stone</t>
  </si>
  <si>
    <t>lumber</t>
  </si>
  <si>
    <t>cut lumber (20)</t>
  </si>
  <si>
    <t>Lumber (60), buy chem, buy craft?</t>
  </si>
  <si>
    <t>rate days by sleeping time</t>
  </si>
  <si>
    <t>minimize total time spent before sleep</t>
  </si>
  <si>
    <t>Empty Day</t>
  </si>
  <si>
    <t>Dolce -&gt; Venti scene -&gt; Dolce Awake -&gt; chipsqueak</t>
  </si>
  <si>
    <t>Clinic open at 7 for Dolce request</t>
  </si>
  <si>
    <t>Ends outside of castle</t>
  </si>
  <si>
    <t>harvest toyherb</t>
  </si>
  <si>
    <t>locations bad on the 25th… Bado and others may not be where they should be</t>
  </si>
  <si>
    <t>post-karnak</t>
  </si>
  <si>
    <t>post-Mansion</t>
  </si>
  <si>
    <t>Cluck Cluck 2, Karnak, Mansion, buy craft, 62 yarn</t>
  </si>
  <si>
    <t>Finished with cat ears, first scarves</t>
  </si>
  <si>
    <t>Hit craft level 50</t>
  </si>
  <si>
    <t>Wi 7</t>
  </si>
  <si>
    <t>Wi 8</t>
  </si>
  <si>
    <t>All crafting finished</t>
  </si>
  <si>
    <t>buy rice, eat bread</t>
  </si>
  <si>
    <t>unlock chem, collect 10 cookies, plant seeds</t>
  </si>
  <si>
    <t>do fishing</t>
  </si>
  <si>
    <t>Collect more cookies, unlock craft</t>
  </si>
  <si>
    <t>food effects… do they overwrite one another instantly?</t>
  </si>
  <si>
    <t>Running</t>
  </si>
  <si>
    <t>Walking</t>
  </si>
  <si>
    <t>Dashing</t>
  </si>
  <si>
    <t>Wolf</t>
  </si>
  <si>
    <t>Orc</t>
  </si>
  <si>
    <t>Pomme</t>
  </si>
  <si>
    <t>Moo</t>
  </si>
  <si>
    <t>Archer Goblin</t>
  </si>
  <si>
    <t>fish</t>
  </si>
  <si>
    <t>turtle</t>
  </si>
  <si>
    <t>bird</t>
  </si>
  <si>
    <t>mimic</t>
  </si>
  <si>
    <t>duck</t>
  </si>
  <si>
    <t>cat</t>
  </si>
  <si>
    <t>ghost</t>
  </si>
  <si>
    <t>spirit</t>
  </si>
  <si>
    <t>ghost dash</t>
  </si>
  <si>
    <t>panther</t>
  </si>
  <si>
    <t>troll</t>
  </si>
  <si>
    <t>Movement</t>
  </si>
  <si>
    <t>Time</t>
  </si>
  <si>
    <t>Comments</t>
  </si>
  <si>
    <t>Not until Autumn, may be hard to recruit</t>
  </si>
  <si>
    <t>hilarious</t>
  </si>
  <si>
    <t>rollin'</t>
  </si>
  <si>
    <t>mansion</t>
  </si>
  <si>
    <t>where are mounts most useful?</t>
  </si>
  <si>
    <t>do any mounts have quirky attacks?</t>
  </si>
  <si>
    <t>easy to recruit</t>
  </si>
  <si>
    <t>some variety of charging attack may be best for getting around enemies…</t>
  </si>
  <si>
    <t>Favorite</t>
  </si>
  <si>
    <t>unknown</t>
  </si>
  <si>
    <t>big muck</t>
  </si>
  <si>
    <t>spore</t>
  </si>
  <si>
    <t>Produces</t>
  </si>
  <si>
    <t>wolf fang</t>
  </si>
  <si>
    <t>tortoise shell</t>
  </si>
  <si>
    <t>Bird Feather</t>
  </si>
  <si>
    <t>in Sechs Territory, for free, otherwise yokmir</t>
  </si>
  <si>
    <t>Test</t>
  </si>
  <si>
    <t>MAP</t>
  </si>
  <si>
    <t>End</t>
  </si>
  <si>
    <t>Palm</t>
  </si>
  <si>
    <t>Only pick places with more than two non-arena spaces</t>
  </si>
  <si>
    <t>Yokmir Cave</t>
  </si>
  <si>
    <t>A5</t>
  </si>
  <si>
    <t>Delirium F1</t>
  </si>
  <si>
    <t>Delirium F2</t>
  </si>
  <si>
    <t>H1</t>
  </si>
  <si>
    <t>Idra Cave F1</t>
  </si>
  <si>
    <t>B3</t>
  </si>
  <si>
    <t>B6</t>
  </si>
  <si>
    <t>Idra Cave F2</t>
  </si>
  <si>
    <t>A6</t>
  </si>
  <si>
    <t>Idra Cave F3</t>
  </si>
  <si>
    <t>C5</t>
  </si>
  <si>
    <t>Difference</t>
  </si>
  <si>
    <t>1.5s to ride</t>
  </si>
  <si>
    <t>Autumn</t>
  </si>
  <si>
    <t>Del</t>
  </si>
  <si>
    <t>Maya</t>
  </si>
  <si>
    <t>Selphia</t>
  </si>
  <si>
    <t>Sorc Entr</t>
  </si>
  <si>
    <t>2nd pit</t>
  </si>
  <si>
    <t>prism pit</t>
  </si>
  <si>
    <t>A9</t>
  </si>
  <si>
    <t>Min Time</t>
  </si>
  <si>
    <t>Expected</t>
  </si>
  <si>
    <t>pick up stick and stone</t>
  </si>
  <si>
    <t>2 ants, 2 birds?</t>
  </si>
  <si>
    <t>calculate: time to 2x, 3x, 4x ants</t>
  </si>
  <si>
    <t>caculate: time to 1x, 2x birds</t>
  </si>
  <si>
    <t>also resource cost</t>
  </si>
  <si>
    <t>calculate: chances of runies and typhoons in fall</t>
  </si>
  <si>
    <t>Backup stuff with ants etc</t>
  </si>
  <si>
    <t>Collect fodder from cluck-cluck nest, sell a cookie, pick up toast &amp; steamed? Turn in toyherb</t>
  </si>
  <si>
    <t>Cluck Cluck 2, Karnak, Mansion, 62 yarn, Dolce quest, start forest quest</t>
  </si>
  <si>
    <t>More crafting</t>
  </si>
  <si>
    <t>Crafting finished on WI 7</t>
  </si>
  <si>
    <t>Need to wait for Doug at Clinic in CH2, opens at 7</t>
  </si>
  <si>
    <t>STUFF TO INVESTIGATE:</t>
  </si>
  <si>
    <t>Pet levels wrt endgame content</t>
  </si>
  <si>
    <t>Other spells I can put on other buttons for elemental rooms</t>
  </si>
  <si>
    <t>Clean up flower/shopping route a bit</t>
  </si>
  <si>
    <t>See about mid-season waking for flowers, or offsetting activities by a day</t>
  </si>
  <si>
    <t>Stone counts for recruiting ants?</t>
  </si>
  <si>
    <t>Understand Sakuya's appearance rate better… town event?</t>
  </si>
  <si>
    <t>Does Sakuya always have furs after Dylas?</t>
  </si>
  <si>
    <t>Do more cookies actually matter?</t>
  </si>
  <si>
    <t>Karnak orb testing</t>
  </si>
  <si>
    <t>Sleeping level 50 at some point for HP buff?</t>
  </si>
  <si>
    <t>Maya road switches w/ rocks</t>
  </si>
  <si>
    <t>Magic-enhancing goods with late-game mats?</t>
  </si>
  <si>
    <t>Can I use late game materials for any benefit?</t>
  </si>
  <si>
    <t>Buy good staff from Bado?</t>
  </si>
  <si>
    <t>Try combining lamellar into other equips</t>
  </si>
  <si>
    <t>Can I ride killer ants?</t>
  </si>
  <si>
    <t>Does honey have rarity level?</t>
  </si>
  <si>
    <t>Costs 1000 PP, under Other</t>
  </si>
  <si>
    <t>Just have to hope for the right color…</t>
  </si>
  <si>
    <t>Nope</t>
  </si>
  <si>
    <t>Dairy</t>
  </si>
  <si>
    <t>Works! Anywhere else this can be useful? Makes final level safer… may save time vs healing and safety strats</t>
  </si>
  <si>
    <t>buy rice, pick up stick!</t>
  </si>
  <si>
    <t>unlock chem, collect 10 cookies, plant seeds, get stones… only 12ish</t>
  </si>
  <si>
    <t>cookie</t>
  </si>
  <si>
    <t>turnips to make x potion instead of weeds???</t>
  </si>
  <si>
    <t>forge available after water temple open</t>
  </si>
  <si>
    <t>room for up to ~300 furs</t>
  </si>
  <si>
    <t>raven will appear, and has furs, before completing water temple</t>
  </si>
  <si>
    <t>can't buy chem set during dylas clinic scene (2nd one)</t>
  </si>
  <si>
    <t>major RP levels: 624 (4x yarn from 0)</t>
  </si>
  <si>
    <t>@ lvl 18, need 624 RP for cat ears, 432 @ 20</t>
  </si>
  <si>
    <t>576 for 3 cat ears @ lvl 21</t>
  </si>
  <si>
    <t>cat ears lvl 24</t>
  </si>
  <si>
    <t>can craft scarf @ lvl 40...</t>
  </si>
  <si>
    <t>need 602 MP @ 40 to craft scarf!!</t>
  </si>
  <si>
    <t>Fruit Sandwich</t>
  </si>
  <si>
    <t>new route</t>
  </si>
  <si>
    <t>cut lumber (20), pick up sticks and stones from field</t>
  </si>
  <si>
    <t>sleep after??</t>
  </si>
  <si>
    <t>need 30</t>
  </si>
  <si>
    <t>Start amber quest, finish harvesting 3 flowers, buy chem, unlock craft and airship licenses, turn in flower to amber, grab more fodder</t>
  </si>
  <si>
    <t xml:space="preserve">Finish grabbing resources, make chem, craft table, buy zweihander? </t>
  </si>
  <si>
    <t>535 w/ eat 7</t>
  </si>
  <si>
    <t>need 522 by crafting start</t>
  </si>
  <si>
    <t>cookies</t>
  </si>
  <si>
    <t>flowers</t>
  </si>
  <si>
    <t>Misc</t>
  </si>
  <si>
    <t>TOTAL</t>
  </si>
  <si>
    <t>*</t>
  </si>
  <si>
    <t>Empty</t>
  </si>
  <si>
    <t>Space for 3</t>
  </si>
  <si>
    <t>Space for 1</t>
  </si>
  <si>
    <t>Lots of space</t>
  </si>
  <si>
    <t>any</t>
  </si>
  <si>
    <t>* means pickup</t>
  </si>
  <si>
    <t>** pickup after craft</t>
  </si>
  <si>
    <t>first, box</t>
  </si>
  <si>
    <t>box</t>
  </si>
  <si>
    <t>bin</t>
  </si>
  <si>
    <t>None</t>
  </si>
  <si>
    <t>Rocks:</t>
  </si>
  <si>
    <t>Sticks:</t>
  </si>
  <si>
    <t>Trial</t>
  </si>
  <si>
    <t>Rocks</t>
  </si>
  <si>
    <t>Sticks</t>
  </si>
  <si>
    <t>Fail</t>
  </si>
  <si>
    <t>eat bread, remember to turn in quest!</t>
  </si>
  <si>
    <t>Tables</t>
  </si>
  <si>
    <t>choco cookie</t>
  </si>
  <si>
    <t>str</t>
  </si>
  <si>
    <t>vit</t>
  </si>
  <si>
    <t>int</t>
  </si>
  <si>
    <t>5000+</t>
  </si>
  <si>
    <t>Rice Porridge</t>
  </si>
  <si>
    <t>150+</t>
  </si>
  <si>
    <t>onigiri</t>
  </si>
  <si>
    <t>salmon onigiri</t>
  </si>
  <si>
    <t>Bamboo Rice</t>
  </si>
  <si>
    <t>Salmon Sashimi</t>
  </si>
  <si>
    <t>Cheese Bread</t>
  </si>
  <si>
    <t>Grape Liqueur</t>
  </si>
  <si>
    <t>Grilled Shrimp</t>
  </si>
  <si>
    <t>+45</t>
  </si>
  <si>
    <t>2000+</t>
  </si>
  <si>
    <t>Easy</t>
  </si>
  <si>
    <t>Med</t>
  </si>
  <si>
    <t>Town</t>
  </si>
  <si>
    <t>Lava</t>
  </si>
  <si>
    <t>Hill</t>
  </si>
  <si>
    <t>Summer</t>
  </si>
  <si>
    <t>endgame stats:</t>
  </si>
  <si>
    <t>post-fierganger</t>
  </si>
  <si>
    <t>FE Approach</t>
  </si>
  <si>
    <t>Easiest Food"</t>
  </si>
  <si>
    <t>Salmon Onigiri</t>
  </si>
  <si>
    <t>Sleep, Curry Udon after</t>
  </si>
  <si>
    <t>Do I really need prism?</t>
  </si>
  <si>
    <t>3 ants, no brush</t>
  </si>
  <si>
    <t>3 ants, brush</t>
  </si>
  <si>
    <t>Quickstep Boots</t>
  </si>
  <si>
    <t>best 12.65</t>
  </si>
  <si>
    <t>fur (s)</t>
  </si>
  <si>
    <t>18+</t>
  </si>
  <si>
    <t>recruit</t>
  </si>
  <si>
    <t>post-gift like</t>
  </si>
  <si>
    <t>gift+brush</t>
  </si>
  <si>
    <t>Early Game Path</t>
  </si>
  <si>
    <t>Selphia Plains</t>
  </si>
  <si>
    <t>Plains</t>
  </si>
  <si>
    <t>C7</t>
  </si>
  <si>
    <t>Obsidian</t>
  </si>
  <si>
    <t>To Delirium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</si>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</sst>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B0C0E"/>
      <name val="Inherit"/>
    </font>
    <font>
      <sz val="10"/>
      <color rgb="FF0B0C0E"/>
      <name val="Inherit"/>
    </font>
  </fonts>
  <fills count="4">
    <fill>
      <patternFill patternType="none"/>
    </fill>
    <fill>
      <patternFill patternType="gray125"/>
    </fill>
    <fill>
      <patternFill patternType="solid">
        <fgColor rgb="FFB0B9E8"/>
        <bgColor indexed="64"/>
      </patternFill>
    </fill>
    <fill>
      <patternFill patternType="solid">
        <fgColor rgb="FFD7DCF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quotePrefix="1" applyBorder="1"/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1" fillId="0" borderId="9" xfId="0" applyFont="1" applyBorder="1" applyAlignment="1">
      <alignment vertical="center"/>
    </xf>
    <xf numFmtId="0" fontId="1" fillId="0" borderId="10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Border="1"/>
    <xf numFmtId="21" fontId="0" fillId="0" borderId="0" xfId="0" applyNumberFormat="1" applyBorder="1"/>
    <xf numFmtId="0" fontId="4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46"/>
  <sheetViews>
    <sheetView workbookViewId="0">
      <selection activeCell="U31" sqref="U31"/>
    </sheetView>
  </sheetViews>
  <sheetFormatPr defaultRowHeight="15"/>
  <sheetData>
    <row r="2" spans="3:24">
      <c r="D2" t="s">
        <v>12</v>
      </c>
      <c r="F2" s="1" t="s">
        <v>13</v>
      </c>
    </row>
    <row r="3" spans="3:24">
      <c r="D3" t="s">
        <v>15</v>
      </c>
      <c r="F3" s="1" t="s">
        <v>16</v>
      </c>
    </row>
    <row r="4" spans="3:24">
      <c r="D4" t="s">
        <v>17</v>
      </c>
      <c r="F4" s="1" t="s">
        <v>18</v>
      </c>
    </row>
    <row r="6" spans="3:24">
      <c r="D6" t="s">
        <v>11</v>
      </c>
      <c r="E6" t="s">
        <v>6</v>
      </c>
      <c r="G6">
        <v>3</v>
      </c>
      <c r="H6" t="s">
        <v>2</v>
      </c>
      <c r="I6" t="s">
        <v>0</v>
      </c>
      <c r="J6" t="s">
        <v>1</v>
      </c>
    </row>
    <row r="7" spans="3:24">
      <c r="C7" t="s">
        <v>5</v>
      </c>
      <c r="D7">
        <v>4</v>
      </c>
      <c r="E7">
        <v>1</v>
      </c>
      <c r="G7">
        <v>35</v>
      </c>
      <c r="H7">
        <f>G7-G6</f>
        <v>32</v>
      </c>
      <c r="I7">
        <v>10</v>
      </c>
      <c r="J7">
        <v>2</v>
      </c>
    </row>
    <row r="8" spans="3:24">
      <c r="E8">
        <v>1</v>
      </c>
      <c r="G8">
        <v>68</v>
      </c>
      <c r="H8">
        <f t="shared" ref="H8:H19" si="0">G8-G7</f>
        <v>33</v>
      </c>
      <c r="I8">
        <v>10</v>
      </c>
      <c r="J8">
        <v>3</v>
      </c>
    </row>
    <row r="9" spans="3:24">
      <c r="E9">
        <v>1</v>
      </c>
      <c r="G9">
        <v>102</v>
      </c>
      <c r="H9">
        <f t="shared" si="0"/>
        <v>34</v>
      </c>
      <c r="I9">
        <v>12</v>
      </c>
      <c r="J9">
        <v>4</v>
      </c>
    </row>
    <row r="10" spans="3:24">
      <c r="E10">
        <v>1</v>
      </c>
      <c r="G10">
        <v>137</v>
      </c>
      <c r="H10">
        <f t="shared" si="0"/>
        <v>35</v>
      </c>
      <c r="I10">
        <v>14</v>
      </c>
      <c r="J10">
        <v>5</v>
      </c>
    </row>
    <row r="11" spans="3:24">
      <c r="E11">
        <v>1</v>
      </c>
      <c r="G11">
        <v>173</v>
      </c>
      <c r="H11">
        <f t="shared" si="0"/>
        <v>36</v>
      </c>
      <c r="I11">
        <v>16</v>
      </c>
      <c r="J11">
        <v>6</v>
      </c>
      <c r="X11" t="s">
        <v>26</v>
      </c>
    </row>
    <row r="12" spans="3:24">
      <c r="E12">
        <v>1</v>
      </c>
      <c r="G12">
        <v>210</v>
      </c>
      <c r="H12">
        <f t="shared" si="0"/>
        <v>37</v>
      </c>
      <c r="I12">
        <v>18</v>
      </c>
      <c r="J12">
        <v>7</v>
      </c>
    </row>
    <row r="13" spans="3:24">
      <c r="E13">
        <v>1</v>
      </c>
      <c r="G13">
        <v>248</v>
      </c>
      <c r="H13">
        <f t="shared" si="0"/>
        <v>38</v>
      </c>
      <c r="I13">
        <v>20</v>
      </c>
      <c r="J13">
        <v>8</v>
      </c>
      <c r="N13">
        <v>114</v>
      </c>
      <c r="O13">
        <v>114</v>
      </c>
    </row>
    <row r="14" spans="3:24">
      <c r="E14">
        <v>1</v>
      </c>
      <c r="G14">
        <v>287</v>
      </c>
      <c r="H14">
        <f t="shared" si="0"/>
        <v>39</v>
      </c>
      <c r="I14">
        <v>22</v>
      </c>
      <c r="J14">
        <v>9</v>
      </c>
      <c r="N14">
        <v>71</v>
      </c>
      <c r="O14">
        <f>N13-21</f>
        <v>93</v>
      </c>
    </row>
    <row r="15" spans="3:24">
      <c r="E15">
        <v>1</v>
      </c>
      <c r="G15">
        <v>327</v>
      </c>
      <c r="H15">
        <f t="shared" si="0"/>
        <v>40</v>
      </c>
      <c r="I15">
        <v>24</v>
      </c>
      <c r="J15">
        <v>10</v>
      </c>
      <c r="N15">
        <v>71</v>
      </c>
      <c r="O15">
        <v>93</v>
      </c>
    </row>
    <row r="16" spans="3:24">
      <c r="E16">
        <v>1</v>
      </c>
      <c r="G16">
        <v>359</v>
      </c>
      <c r="H16">
        <f t="shared" si="0"/>
        <v>32</v>
      </c>
      <c r="I16">
        <v>10</v>
      </c>
      <c r="J16">
        <v>2</v>
      </c>
      <c r="N16">
        <f>SUM(N13:N15)</f>
        <v>256</v>
      </c>
      <c r="O16">
        <f>SUM(O13:O15)</f>
        <v>300</v>
      </c>
      <c r="R16" t="s">
        <v>21</v>
      </c>
      <c r="S16" t="s">
        <v>22</v>
      </c>
      <c r="T16" t="s">
        <v>23</v>
      </c>
      <c r="U16" t="s">
        <v>2</v>
      </c>
    </row>
    <row r="17" spans="5:28">
      <c r="E17">
        <v>1</v>
      </c>
      <c r="G17">
        <v>392</v>
      </c>
      <c r="H17">
        <f t="shared" si="0"/>
        <v>33</v>
      </c>
      <c r="I17">
        <v>10</v>
      </c>
      <c r="J17">
        <v>3</v>
      </c>
      <c r="R17">
        <v>35</v>
      </c>
      <c r="X17" t="s">
        <v>24</v>
      </c>
    </row>
    <row r="18" spans="5:28">
      <c r="E18">
        <v>1</v>
      </c>
      <c r="G18">
        <v>426</v>
      </c>
      <c r="H18">
        <f t="shared" si="0"/>
        <v>34</v>
      </c>
      <c r="I18">
        <v>12</v>
      </c>
      <c r="J18">
        <v>4</v>
      </c>
      <c r="R18">
        <v>36</v>
      </c>
      <c r="U18">
        <v>372</v>
      </c>
      <c r="X18" t="s">
        <v>25</v>
      </c>
    </row>
    <row r="19" spans="5:28">
      <c r="E19">
        <v>1</v>
      </c>
      <c r="G19">
        <v>461</v>
      </c>
      <c r="H19">
        <f t="shared" si="0"/>
        <v>35</v>
      </c>
      <c r="I19">
        <v>14</v>
      </c>
      <c r="J19">
        <v>5</v>
      </c>
      <c r="R19">
        <v>37</v>
      </c>
      <c r="U19">
        <f>329</f>
        <v>329</v>
      </c>
      <c r="V19">
        <f t="shared" ref="V19:V25" si="1">U18-U19</f>
        <v>43</v>
      </c>
    </row>
    <row r="20" spans="5:28">
      <c r="E20">
        <v>1</v>
      </c>
      <c r="F20">
        <f>G19+36-G20</f>
        <v>480</v>
      </c>
      <c r="G20">
        <v>17</v>
      </c>
      <c r="H20">
        <v>36</v>
      </c>
      <c r="I20">
        <v>16</v>
      </c>
      <c r="J20">
        <v>6</v>
      </c>
      <c r="R20">
        <v>38</v>
      </c>
      <c r="U20">
        <v>286</v>
      </c>
      <c r="V20">
        <f t="shared" si="1"/>
        <v>43</v>
      </c>
    </row>
    <row r="21" spans="5:28">
      <c r="E21">
        <v>1</v>
      </c>
      <c r="G21">
        <v>54</v>
      </c>
      <c r="H21">
        <f>G21-G20</f>
        <v>37</v>
      </c>
      <c r="J21">
        <v>7</v>
      </c>
      <c r="R21">
        <v>39</v>
      </c>
      <c r="U21">
        <v>243</v>
      </c>
      <c r="V21">
        <f t="shared" si="1"/>
        <v>43</v>
      </c>
    </row>
    <row r="22" spans="5:28">
      <c r="E22">
        <v>1</v>
      </c>
      <c r="G22">
        <v>92</v>
      </c>
      <c r="H22">
        <f t="shared" ref="H22:H33" si="2">G22-G21</f>
        <v>38</v>
      </c>
      <c r="J22">
        <v>8</v>
      </c>
      <c r="R22">
        <v>40</v>
      </c>
      <c r="S22">
        <v>43</v>
      </c>
      <c r="T22">
        <v>4</v>
      </c>
      <c r="U22">
        <v>200</v>
      </c>
      <c r="V22">
        <f t="shared" si="1"/>
        <v>43</v>
      </c>
    </row>
    <row r="23" spans="5:28">
      <c r="E23">
        <v>1</v>
      </c>
      <c r="G23">
        <v>131</v>
      </c>
      <c r="H23">
        <f t="shared" si="2"/>
        <v>39</v>
      </c>
      <c r="J23">
        <v>9</v>
      </c>
      <c r="O23">
        <v>342</v>
      </c>
      <c r="R23">
        <v>41</v>
      </c>
      <c r="S23">
        <v>43</v>
      </c>
      <c r="T23">
        <v>4</v>
      </c>
      <c r="U23">
        <v>157</v>
      </c>
      <c r="V23">
        <f t="shared" si="1"/>
        <v>43</v>
      </c>
    </row>
    <row r="24" spans="5:28">
      <c r="E24">
        <v>1</v>
      </c>
      <c r="G24">
        <v>171</v>
      </c>
      <c r="H24">
        <f t="shared" si="2"/>
        <v>40</v>
      </c>
      <c r="J24">
        <v>10</v>
      </c>
      <c r="O24">
        <v>238</v>
      </c>
      <c r="P24">
        <f>O24+390</f>
        <v>628</v>
      </c>
      <c r="Q24">
        <f>P24-O23</f>
        <v>286</v>
      </c>
      <c r="R24">
        <v>42</v>
      </c>
      <c r="S24">
        <v>43</v>
      </c>
      <c r="T24">
        <v>4</v>
      </c>
      <c r="U24">
        <v>114</v>
      </c>
      <c r="V24">
        <f t="shared" si="1"/>
        <v>43</v>
      </c>
    </row>
    <row r="25" spans="5:28">
      <c r="E25">
        <v>1</v>
      </c>
      <c r="G25">
        <v>203</v>
      </c>
      <c r="H25">
        <f t="shared" si="2"/>
        <v>32</v>
      </c>
      <c r="J25">
        <v>2</v>
      </c>
      <c r="Q25">
        <f>Q24/3</f>
        <v>95.333333333333329</v>
      </c>
      <c r="R25">
        <v>43</v>
      </c>
      <c r="S25">
        <v>43</v>
      </c>
      <c r="T25">
        <v>4</v>
      </c>
      <c r="U25">
        <v>71</v>
      </c>
      <c r="V25">
        <f t="shared" si="1"/>
        <v>43</v>
      </c>
    </row>
    <row r="26" spans="5:28">
      <c r="E26">
        <v>1</v>
      </c>
      <c r="G26">
        <v>236</v>
      </c>
      <c r="H26">
        <f t="shared" si="2"/>
        <v>33</v>
      </c>
      <c r="J26">
        <v>3</v>
      </c>
      <c r="R26">
        <v>44</v>
      </c>
      <c r="U26">
        <v>69</v>
      </c>
    </row>
    <row r="27" spans="5:28">
      <c r="E27">
        <v>1</v>
      </c>
      <c r="G27">
        <v>270</v>
      </c>
      <c r="H27">
        <f t="shared" si="2"/>
        <v>34</v>
      </c>
      <c r="J27">
        <v>4</v>
      </c>
      <c r="O27">
        <f>114*3</f>
        <v>342</v>
      </c>
      <c r="R27">
        <v>45</v>
      </c>
      <c r="U27">
        <v>67</v>
      </c>
    </row>
    <row r="28" spans="5:28">
      <c r="E28">
        <v>1</v>
      </c>
      <c r="G28">
        <v>305</v>
      </c>
      <c r="H28">
        <f t="shared" si="2"/>
        <v>35</v>
      </c>
      <c r="J28">
        <v>5</v>
      </c>
      <c r="O28">
        <f>114*2+71</f>
        <v>299</v>
      </c>
      <c r="U28">
        <v>47</v>
      </c>
    </row>
    <row r="29" spans="5:28">
      <c r="E29">
        <v>1</v>
      </c>
      <c r="G29">
        <v>341</v>
      </c>
      <c r="H29">
        <f t="shared" si="2"/>
        <v>36</v>
      </c>
      <c r="J29">
        <v>6</v>
      </c>
      <c r="P29">
        <f>(114+71)/2</f>
        <v>92.5</v>
      </c>
    </row>
    <row r="30" spans="5:28">
      <c r="E30">
        <v>1</v>
      </c>
      <c r="G30">
        <v>378</v>
      </c>
      <c r="H30">
        <f t="shared" si="2"/>
        <v>37</v>
      </c>
      <c r="J30">
        <v>7</v>
      </c>
      <c r="P30">
        <f>P29*3</f>
        <v>277.5</v>
      </c>
      <c r="Y30">
        <v>23</v>
      </c>
      <c r="AA30">
        <v>71</v>
      </c>
    </row>
    <row r="31" spans="5:28">
      <c r="E31">
        <v>1</v>
      </c>
      <c r="G31">
        <v>416</v>
      </c>
      <c r="H31">
        <f t="shared" si="2"/>
        <v>38</v>
      </c>
      <c r="J31">
        <v>8</v>
      </c>
      <c r="R31">
        <v>1</v>
      </c>
      <c r="S31">
        <v>6</v>
      </c>
      <c r="U31">
        <v>68</v>
      </c>
      <c r="Y31">
        <v>24</v>
      </c>
      <c r="Z31">
        <v>24</v>
      </c>
      <c r="AA31">
        <v>47</v>
      </c>
      <c r="AB31">
        <f>AA30-AA31</f>
        <v>24</v>
      </c>
    </row>
    <row r="32" spans="5:28">
      <c r="E32">
        <v>1</v>
      </c>
      <c r="G32">
        <v>455</v>
      </c>
      <c r="H32">
        <f t="shared" si="2"/>
        <v>39</v>
      </c>
      <c r="J32">
        <v>9</v>
      </c>
      <c r="R32">
        <v>2</v>
      </c>
      <c r="S32">
        <v>6</v>
      </c>
      <c r="U32">
        <v>62</v>
      </c>
      <c r="Y32">
        <v>25</v>
      </c>
      <c r="AA32">
        <v>45</v>
      </c>
    </row>
    <row r="33" spans="3:21">
      <c r="E33">
        <v>1</v>
      </c>
      <c r="G33">
        <v>495</v>
      </c>
      <c r="H33">
        <f t="shared" si="2"/>
        <v>40</v>
      </c>
      <c r="J33">
        <v>10</v>
      </c>
      <c r="R33">
        <v>3</v>
      </c>
      <c r="U33">
        <f>U32-6</f>
        <v>56</v>
      </c>
    </row>
    <row r="34" spans="3:21">
      <c r="E34">
        <v>1</v>
      </c>
      <c r="F34">
        <f>G33+32-G34</f>
        <v>510</v>
      </c>
      <c r="G34">
        <v>17</v>
      </c>
      <c r="H34">
        <v>32</v>
      </c>
      <c r="J34">
        <v>2</v>
      </c>
      <c r="K34">
        <f>H34-J34</f>
        <v>30</v>
      </c>
      <c r="R34">
        <v>4</v>
      </c>
      <c r="U34">
        <f>U33-6</f>
        <v>50</v>
      </c>
    </row>
    <row r="35" spans="3:21">
      <c r="E35">
        <v>1</v>
      </c>
      <c r="G35">
        <v>50</v>
      </c>
      <c r="H35">
        <v>33</v>
      </c>
      <c r="J35">
        <v>3</v>
      </c>
      <c r="K35">
        <f>H35-J35</f>
        <v>30</v>
      </c>
      <c r="R35">
        <v>5</v>
      </c>
      <c r="U35">
        <f>U34-6</f>
        <v>44</v>
      </c>
    </row>
    <row r="36" spans="3:21">
      <c r="C36" t="s">
        <v>3</v>
      </c>
      <c r="D36">
        <v>1</v>
      </c>
      <c r="E36">
        <v>0</v>
      </c>
      <c r="G36">
        <v>82</v>
      </c>
      <c r="H36">
        <f>G36-G35</f>
        <v>32</v>
      </c>
      <c r="J36">
        <v>4</v>
      </c>
      <c r="K36">
        <f>H36-J36</f>
        <v>28</v>
      </c>
      <c r="R36">
        <v>6</v>
      </c>
      <c r="U36">
        <f>U35-6</f>
        <v>38</v>
      </c>
    </row>
    <row r="37" spans="3:21">
      <c r="E37">
        <v>0</v>
      </c>
      <c r="G37">
        <v>115</v>
      </c>
      <c r="H37">
        <f>G37-G36</f>
        <v>33</v>
      </c>
      <c r="J37">
        <v>5</v>
      </c>
      <c r="K37">
        <f>H37-J37</f>
        <v>28</v>
      </c>
      <c r="R37">
        <v>7</v>
      </c>
      <c r="U37">
        <v>36</v>
      </c>
    </row>
    <row r="38" spans="3:21">
      <c r="C38" t="s">
        <v>4</v>
      </c>
      <c r="E38">
        <v>0</v>
      </c>
      <c r="G38">
        <v>149</v>
      </c>
      <c r="H38">
        <f>G38-G37</f>
        <v>34</v>
      </c>
      <c r="J38">
        <v>6</v>
      </c>
      <c r="K38">
        <f>H38-J38</f>
        <v>28</v>
      </c>
      <c r="R38">
        <v>12</v>
      </c>
      <c r="U38">
        <v>26</v>
      </c>
    </row>
    <row r="39" spans="3:21">
      <c r="R39">
        <v>24</v>
      </c>
      <c r="U39">
        <v>2</v>
      </c>
    </row>
    <row r="40" spans="3:21">
      <c r="R40">
        <v>25</v>
      </c>
      <c r="U40">
        <v>1</v>
      </c>
    </row>
    <row r="41" spans="3:21">
      <c r="G41">
        <v>3</v>
      </c>
    </row>
    <row r="42" spans="3:21">
      <c r="C42" t="s">
        <v>7</v>
      </c>
      <c r="D42">
        <v>45</v>
      </c>
      <c r="E42">
        <v>7</v>
      </c>
      <c r="G42">
        <v>55</v>
      </c>
      <c r="H42">
        <f>G42-G41</f>
        <v>52</v>
      </c>
      <c r="K42">
        <f>H42-(2*E42)-2</f>
        <v>36</v>
      </c>
    </row>
    <row r="43" spans="3:21">
      <c r="C43" t="s">
        <v>8</v>
      </c>
      <c r="D43">
        <v>35</v>
      </c>
      <c r="E43">
        <v>6</v>
      </c>
      <c r="G43">
        <v>103</v>
      </c>
      <c r="H43">
        <f>G43-G42</f>
        <v>48</v>
      </c>
      <c r="K43">
        <f>H43-E43*2-3</f>
        <v>33</v>
      </c>
    </row>
    <row r="44" spans="3:21">
      <c r="C44" t="s">
        <v>9</v>
      </c>
      <c r="D44">
        <v>27</v>
      </c>
      <c r="E44">
        <v>5</v>
      </c>
      <c r="G44">
        <v>148</v>
      </c>
      <c r="H44">
        <f>G44-G43</f>
        <v>45</v>
      </c>
      <c r="K44">
        <f>H44-E44*2-4</f>
        <v>31</v>
      </c>
    </row>
    <row r="45" spans="3:21">
      <c r="C45" t="s">
        <v>10</v>
      </c>
      <c r="D45">
        <v>29</v>
      </c>
      <c r="E45">
        <v>4</v>
      </c>
      <c r="G45">
        <v>195</v>
      </c>
      <c r="H45">
        <f>G45-G44</f>
        <v>47</v>
      </c>
      <c r="K45">
        <f>H45-E45*2-5</f>
        <v>34</v>
      </c>
    </row>
    <row r="46" spans="3:21">
      <c r="C46" t="s">
        <v>14</v>
      </c>
      <c r="D46">
        <v>5</v>
      </c>
      <c r="E4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workbookViewId="0">
      <selection activeCell="J12" sqref="J12"/>
    </sheetView>
  </sheetViews>
  <sheetFormatPr defaultRowHeight="15"/>
  <sheetData>
    <row r="2" spans="1:8" ht="15.75" thickBot="1"/>
    <row r="3" spans="1:8" ht="15.75" thickBot="1">
      <c r="A3" s="13"/>
      <c r="B3" s="13"/>
      <c r="C3" s="13"/>
      <c r="D3" s="13"/>
      <c r="E3" s="13"/>
      <c r="F3" s="13"/>
      <c r="G3" s="13"/>
      <c r="H3" s="13"/>
    </row>
    <row r="4" spans="1:8" ht="15.75" thickBot="1">
      <c r="A4" s="13"/>
      <c r="B4" s="13"/>
      <c r="C4" s="13"/>
      <c r="D4" s="13"/>
      <c r="E4" s="13"/>
      <c r="F4" s="13"/>
      <c r="G4" s="13"/>
      <c r="H4" s="13"/>
    </row>
    <row r="5" spans="1:8" ht="15.75" thickBot="1">
      <c r="A5" s="13"/>
      <c r="B5" s="13"/>
      <c r="C5" s="13"/>
      <c r="D5" s="13"/>
      <c r="E5" s="13"/>
      <c r="F5" s="13"/>
      <c r="G5" s="13"/>
      <c r="H5" s="13"/>
    </row>
    <row r="6" spans="1:8" ht="15.75" thickBot="1">
      <c r="A6" s="13"/>
      <c r="B6" s="13"/>
      <c r="C6" s="13"/>
      <c r="D6" s="13"/>
      <c r="E6" s="13"/>
      <c r="F6" s="13"/>
      <c r="G6" s="13"/>
      <c r="H6" s="13"/>
    </row>
    <row r="7" spans="1:8" ht="15.75" thickBot="1">
      <c r="A7" s="13"/>
      <c r="B7" s="14">
        <v>1</v>
      </c>
      <c r="C7" s="14">
        <v>2</v>
      </c>
      <c r="D7" s="14">
        <v>4</v>
      </c>
      <c r="E7" s="13"/>
      <c r="F7" s="13"/>
      <c r="G7" s="13"/>
      <c r="H7" s="13"/>
    </row>
    <row r="8" spans="1:8" ht="15.75" thickBot="1">
      <c r="A8" s="13" t="s">
        <v>28</v>
      </c>
      <c r="B8" s="14">
        <v>44</v>
      </c>
      <c r="C8" s="14">
        <v>51</v>
      </c>
      <c r="D8" s="14">
        <v>71</v>
      </c>
      <c r="E8" s="13"/>
      <c r="F8" s="13"/>
      <c r="G8" s="13"/>
      <c r="H8" s="13"/>
    </row>
    <row r="9" spans="1:8" ht="15.75" thickBot="1">
      <c r="A9" s="13" t="s">
        <v>0</v>
      </c>
      <c r="B9" s="14">
        <v>68</v>
      </c>
      <c r="C9" s="14">
        <v>72</v>
      </c>
      <c r="D9" s="14">
        <v>82</v>
      </c>
      <c r="E9" s="13"/>
      <c r="F9" s="13"/>
      <c r="G9" s="13"/>
      <c r="H9" s="13"/>
    </row>
    <row r="10" spans="1:8" ht="15.75" thickBot="1">
      <c r="A10" s="13" t="s">
        <v>29</v>
      </c>
      <c r="B10" s="14">
        <v>7</v>
      </c>
      <c r="C10" s="14">
        <v>9</v>
      </c>
      <c r="D10" s="14">
        <v>16</v>
      </c>
      <c r="E10" s="13"/>
      <c r="F10" s="13"/>
      <c r="G10" s="13"/>
      <c r="H10" s="13"/>
    </row>
    <row r="11" spans="1:8" ht="15.75" thickBot="1">
      <c r="A11" s="13" t="s">
        <v>30</v>
      </c>
      <c r="B11" s="14">
        <v>8</v>
      </c>
      <c r="C11" s="14">
        <v>10</v>
      </c>
      <c r="D11" s="14">
        <v>16</v>
      </c>
      <c r="E11" s="13"/>
      <c r="F11" s="13"/>
      <c r="G11" s="13"/>
      <c r="H11" s="13"/>
    </row>
    <row r="12" spans="1:8" ht="15.75" thickBot="1">
      <c r="A12" s="13" t="s">
        <v>31</v>
      </c>
      <c r="B12" s="14">
        <v>7</v>
      </c>
      <c r="C12" s="14">
        <v>9</v>
      </c>
      <c r="D12" s="14">
        <v>15</v>
      </c>
      <c r="E12" s="13"/>
      <c r="F12" s="13"/>
      <c r="G12" s="13"/>
      <c r="H12" s="13"/>
    </row>
    <row r="13" spans="1:8" ht="15.75" thickBot="1">
      <c r="A13" s="13"/>
      <c r="B13" s="13"/>
      <c r="C13" s="13"/>
      <c r="D13" s="13"/>
      <c r="E13" s="13"/>
      <c r="F13" s="13"/>
      <c r="G13" s="13"/>
      <c r="H13" s="13"/>
    </row>
    <row r="14" spans="1:8" ht="15.75" thickBot="1">
      <c r="A14" s="13"/>
      <c r="B14" s="13"/>
      <c r="C14" s="13"/>
      <c r="D14" s="13"/>
      <c r="E14" s="13"/>
      <c r="F14" s="13"/>
      <c r="G14" s="13"/>
      <c r="H14" s="13"/>
    </row>
    <row r="15" spans="1:8" ht="15.75" thickBot="1">
      <c r="A15" s="13"/>
      <c r="B15" s="13"/>
      <c r="C15" s="13"/>
      <c r="D15" s="13"/>
      <c r="E15" s="13"/>
      <c r="F15" s="13"/>
      <c r="G15" s="13"/>
      <c r="H15" s="13"/>
    </row>
    <row r="16" spans="1:8" ht="15.75" thickBot="1">
      <c r="A16" s="13"/>
      <c r="B16" s="13"/>
      <c r="C16" s="13"/>
      <c r="D16" s="13"/>
      <c r="E16" s="13"/>
      <c r="F16" s="13"/>
      <c r="G16" s="13"/>
      <c r="H16" s="13"/>
    </row>
    <row r="17" spans="1:8" ht="27" thickBot="1">
      <c r="A17" s="13" t="s">
        <v>214</v>
      </c>
      <c r="B17" s="13" t="s">
        <v>215</v>
      </c>
      <c r="C17" s="13"/>
      <c r="D17" s="13"/>
      <c r="E17" s="13"/>
      <c r="F17" s="13"/>
      <c r="G17" s="13"/>
      <c r="H17" s="13"/>
    </row>
    <row r="18" spans="1:8" ht="15.75" thickBot="1">
      <c r="A18" s="13"/>
      <c r="B18" s="13"/>
      <c r="C18" s="13"/>
      <c r="D18" s="13"/>
      <c r="E18" s="13"/>
      <c r="F18" s="13"/>
      <c r="G18" s="13"/>
      <c r="H18" s="13"/>
    </row>
    <row r="19" spans="1:8" ht="15.75" thickBot="1">
      <c r="A19" s="13"/>
      <c r="B19" s="13"/>
      <c r="C19" s="13"/>
      <c r="D19" s="13"/>
      <c r="E19" s="13"/>
      <c r="F19" s="13"/>
      <c r="G19" s="13"/>
      <c r="H19" s="13"/>
    </row>
    <row r="20" spans="1:8" ht="15.75" thickBot="1">
      <c r="A20" s="13"/>
      <c r="B20" s="13"/>
      <c r="C20" s="13"/>
      <c r="D20" s="13"/>
      <c r="E20" s="13"/>
      <c r="F20" s="13"/>
      <c r="G20" s="13"/>
      <c r="H20" s="13"/>
    </row>
    <row r="21" spans="1:8" ht="15.75" thickBot="1">
      <c r="A21" s="13"/>
      <c r="B21" s="13"/>
      <c r="C21" s="13"/>
      <c r="D21" s="13"/>
      <c r="E21" s="13"/>
      <c r="F21" s="13"/>
      <c r="G21" s="13"/>
      <c r="H21" s="13"/>
    </row>
    <row r="22" spans="1:8" ht="27" thickBot="1">
      <c r="A22" s="13"/>
      <c r="B22" s="13"/>
      <c r="C22" s="13"/>
      <c r="D22" s="13" t="s">
        <v>216</v>
      </c>
      <c r="E22" s="13" t="s">
        <v>217</v>
      </c>
      <c r="F22" s="13" t="s">
        <v>218</v>
      </c>
      <c r="G22" s="13" t="s">
        <v>219</v>
      </c>
      <c r="H22" s="13"/>
    </row>
    <row r="23" spans="1:8" ht="15.75" thickBot="1">
      <c r="A23" s="13"/>
      <c r="B23" s="14">
        <v>1</v>
      </c>
      <c r="C23" s="14">
        <v>68</v>
      </c>
      <c r="D23" s="14">
        <v>60</v>
      </c>
      <c r="E23" s="14">
        <v>60</v>
      </c>
      <c r="F23" s="14">
        <v>1</v>
      </c>
      <c r="G23" s="14">
        <v>68</v>
      </c>
      <c r="H23" s="13"/>
    </row>
    <row r="24" spans="1:8" ht="15.75" thickBot="1">
      <c r="A24" s="13"/>
      <c r="B24" s="14">
        <v>2</v>
      </c>
      <c r="C24" s="14">
        <v>62</v>
      </c>
      <c r="D24" s="14">
        <v>60</v>
      </c>
      <c r="E24" s="14">
        <v>120</v>
      </c>
      <c r="F24" s="14">
        <v>1</v>
      </c>
      <c r="G24" s="14">
        <v>130</v>
      </c>
      <c r="H24" s="13"/>
    </row>
    <row r="25" spans="1:8" ht="15.75" thickBot="1">
      <c r="A25" s="13"/>
      <c r="B25" s="14">
        <v>3</v>
      </c>
      <c r="C25" s="14">
        <v>56</v>
      </c>
      <c r="D25" s="14">
        <v>60</v>
      </c>
      <c r="E25" s="14">
        <v>180</v>
      </c>
      <c r="F25" s="14">
        <v>1</v>
      </c>
      <c r="G25" s="14">
        <v>186</v>
      </c>
      <c r="H25" s="13"/>
    </row>
    <row r="26" spans="1:8" ht="15.75" thickBot="1">
      <c r="A26" s="13"/>
      <c r="B26" s="14">
        <v>4</v>
      </c>
      <c r="C26" s="14">
        <v>50</v>
      </c>
      <c r="D26" s="14">
        <v>60</v>
      </c>
      <c r="E26" s="14">
        <v>240</v>
      </c>
      <c r="F26" s="14">
        <v>2</v>
      </c>
      <c r="G26" s="14">
        <v>286</v>
      </c>
      <c r="H26" s="13"/>
    </row>
    <row r="27" spans="1:8" ht="15.75" thickBot="1">
      <c r="A27" s="13"/>
      <c r="B27" s="14">
        <v>5</v>
      </c>
      <c r="C27" s="14">
        <v>44</v>
      </c>
      <c r="D27" s="14">
        <v>60</v>
      </c>
      <c r="E27" s="14">
        <v>300</v>
      </c>
      <c r="F27" s="14">
        <v>1</v>
      </c>
      <c r="G27" s="14">
        <v>330</v>
      </c>
      <c r="H27" s="13"/>
    </row>
    <row r="28" spans="1:8" ht="15.75" thickBot="1">
      <c r="A28" s="13"/>
      <c r="B28" s="14">
        <v>6</v>
      </c>
      <c r="C28" s="14">
        <v>38</v>
      </c>
      <c r="D28" s="14">
        <v>90</v>
      </c>
      <c r="E28" s="14">
        <v>390</v>
      </c>
      <c r="F28" s="14">
        <v>2</v>
      </c>
      <c r="G28" s="14">
        <v>406</v>
      </c>
      <c r="H28" s="13"/>
    </row>
    <row r="29" spans="1:8" ht="15.75" thickBot="1">
      <c r="A29" s="13"/>
      <c r="B29" s="14">
        <v>7</v>
      </c>
      <c r="C29" s="14">
        <v>36</v>
      </c>
      <c r="D29" s="14">
        <v>90</v>
      </c>
      <c r="E29" s="14">
        <v>480</v>
      </c>
      <c r="F29" s="14">
        <v>3</v>
      </c>
      <c r="G29" s="14">
        <v>514</v>
      </c>
      <c r="H29" s="13"/>
    </row>
    <row r="30" spans="1:8" ht="15.75" thickBot="1">
      <c r="A30" s="13"/>
      <c r="B30" s="14">
        <v>8</v>
      </c>
      <c r="C30" s="14">
        <v>34</v>
      </c>
      <c r="D30" s="14">
        <v>90</v>
      </c>
      <c r="E30" s="14">
        <v>570</v>
      </c>
      <c r="F30" s="14">
        <v>2</v>
      </c>
      <c r="G30" s="14">
        <v>582</v>
      </c>
      <c r="H30" s="13"/>
    </row>
    <row r="31" spans="1:8" ht="15.75" thickBot="1">
      <c r="A31" s="13"/>
      <c r="B31" s="14">
        <v>9</v>
      </c>
      <c r="C31" s="14">
        <v>32</v>
      </c>
      <c r="D31" s="14">
        <v>240</v>
      </c>
      <c r="E31" s="14">
        <v>810</v>
      </c>
      <c r="F31" s="14">
        <v>8</v>
      </c>
      <c r="G31" s="14">
        <v>838</v>
      </c>
      <c r="H31" s="13"/>
    </row>
    <row r="32" spans="1:8" ht="15.75" thickBot="1">
      <c r="A32" s="13"/>
      <c r="B32" s="14">
        <v>10</v>
      </c>
      <c r="C32" s="14">
        <v>30</v>
      </c>
      <c r="D32" s="14">
        <v>120</v>
      </c>
      <c r="E32" s="14">
        <v>930</v>
      </c>
      <c r="F32" s="14">
        <v>4</v>
      </c>
      <c r="G32" s="14">
        <v>958</v>
      </c>
      <c r="H32" s="13"/>
    </row>
    <row r="33" spans="1:8" ht="15.75" thickBot="1">
      <c r="A33" s="13"/>
      <c r="B33" s="14">
        <v>11</v>
      </c>
      <c r="C33" s="14">
        <v>28</v>
      </c>
      <c r="D33" s="14">
        <v>120</v>
      </c>
      <c r="E33" s="14">
        <v>1050</v>
      </c>
      <c r="F33" s="14">
        <v>4</v>
      </c>
      <c r="G33" s="14">
        <v>1070</v>
      </c>
      <c r="H33" s="13"/>
    </row>
    <row r="34" spans="1:8" ht="15.75" thickBot="1">
      <c r="A34" s="13"/>
      <c r="B34" s="14">
        <v>12</v>
      </c>
      <c r="C34" s="14">
        <v>26</v>
      </c>
      <c r="D34" s="14">
        <v>150</v>
      </c>
      <c r="E34" s="14">
        <v>1200</v>
      </c>
      <c r="F34" s="14">
        <v>5</v>
      </c>
      <c r="G34" s="14">
        <v>1200</v>
      </c>
      <c r="H34" s="13"/>
    </row>
    <row r="35" spans="1:8" ht="15.75" thickBot="1">
      <c r="A35" s="13"/>
      <c r="B35" s="14">
        <v>13</v>
      </c>
      <c r="C35" s="14">
        <v>24</v>
      </c>
      <c r="D35" s="14">
        <v>180</v>
      </c>
      <c r="E35" s="14">
        <v>1380</v>
      </c>
      <c r="F35" s="14">
        <v>8</v>
      </c>
      <c r="G35" s="14">
        <v>1392</v>
      </c>
      <c r="H35" s="13"/>
    </row>
    <row r="36" spans="1:8" ht="15.75" thickBot="1">
      <c r="A36" s="13"/>
      <c r="B36" s="14">
        <v>14</v>
      </c>
      <c r="C36" s="14">
        <v>22</v>
      </c>
      <c r="D36" s="14">
        <v>210</v>
      </c>
      <c r="E36" s="14">
        <v>1590</v>
      </c>
      <c r="F36" s="14">
        <v>9</v>
      </c>
      <c r="G36" s="14">
        <v>1590</v>
      </c>
      <c r="H36" s="13"/>
    </row>
    <row r="37" spans="1:8" ht="15.75" thickBot="1">
      <c r="A37" s="13"/>
      <c r="B37" s="14">
        <v>15</v>
      </c>
      <c r="C37" s="14">
        <v>20</v>
      </c>
      <c r="D37" s="14">
        <v>210</v>
      </c>
      <c r="E37" s="14">
        <v>1800</v>
      </c>
      <c r="F37" s="14">
        <v>11</v>
      </c>
      <c r="G37" s="14">
        <v>1810</v>
      </c>
      <c r="H37" s="13"/>
    </row>
    <row r="38" spans="1:8" ht="15.75" thickBot="1">
      <c r="A38" s="13"/>
      <c r="B38" s="14">
        <v>16</v>
      </c>
      <c r="C38" s="14">
        <v>18</v>
      </c>
      <c r="D38" s="14">
        <v>240</v>
      </c>
      <c r="E38" s="14">
        <v>2040</v>
      </c>
      <c r="F38" s="14">
        <v>13</v>
      </c>
      <c r="G38" s="14">
        <v>2044</v>
      </c>
      <c r="H38" s="13"/>
    </row>
    <row r="39" spans="1:8" ht="15.75" thickBot="1">
      <c r="A39" s="13"/>
      <c r="B39" s="14">
        <v>17</v>
      </c>
      <c r="C39" s="14">
        <v>16</v>
      </c>
      <c r="D39" s="14">
        <v>240</v>
      </c>
      <c r="E39" s="14">
        <v>2280</v>
      </c>
      <c r="F39" s="14">
        <v>15</v>
      </c>
      <c r="G39" s="14">
        <v>2284</v>
      </c>
      <c r="H39" s="13"/>
    </row>
    <row r="40" spans="1:8" ht="15.75" thickBot="1">
      <c r="A40" s="13"/>
      <c r="B40" s="14">
        <v>18</v>
      </c>
      <c r="C40" s="14">
        <v>14</v>
      </c>
      <c r="D40" s="14">
        <v>270</v>
      </c>
      <c r="E40" s="14">
        <v>2550</v>
      </c>
      <c r="F40" s="14">
        <v>19</v>
      </c>
      <c r="G40" s="14">
        <v>2550</v>
      </c>
      <c r="H40" s="13"/>
    </row>
    <row r="41" spans="1:8" ht="15.75" thickBot="1">
      <c r="A41" s="13"/>
      <c r="B41" s="14">
        <v>19</v>
      </c>
      <c r="C41" s="14">
        <v>12</v>
      </c>
      <c r="D41" s="14">
        <v>390</v>
      </c>
      <c r="E41" s="14">
        <v>2940</v>
      </c>
      <c r="F41" s="14">
        <v>33</v>
      </c>
      <c r="G41" s="14">
        <v>2946</v>
      </c>
      <c r="H41" s="13"/>
    </row>
    <row r="42" spans="1:8" ht="15.75" thickBot="1">
      <c r="A42" s="13"/>
      <c r="B42" s="14">
        <v>20</v>
      </c>
      <c r="C42" s="14">
        <v>10</v>
      </c>
      <c r="D42" s="14">
        <v>300</v>
      </c>
      <c r="E42" s="14">
        <v>3240</v>
      </c>
      <c r="F42" s="14">
        <v>30</v>
      </c>
      <c r="G42" s="14">
        <v>3246</v>
      </c>
      <c r="H42" s="13"/>
    </row>
    <row r="43" spans="1:8" ht="15.75" thickBot="1">
      <c r="A43" s="13"/>
      <c r="B43" s="13"/>
      <c r="C43" s="13"/>
      <c r="D43" s="13"/>
      <c r="E43" s="13"/>
      <c r="F43" s="14">
        <v>172</v>
      </c>
      <c r="G43" s="13"/>
      <c r="H43" s="13"/>
    </row>
    <row r="44" spans="1:8" ht="15.75" thickBot="1">
      <c r="A44" s="13"/>
      <c r="B44" s="13"/>
      <c r="C44" s="13"/>
      <c r="D44" s="13"/>
      <c r="E44" s="13"/>
      <c r="F44" s="13"/>
      <c r="G44" s="13"/>
      <c r="H44" s="13"/>
    </row>
    <row r="45" spans="1:8" ht="15.75" thickBot="1">
      <c r="A45" s="13"/>
      <c r="B45" s="14">
        <v>21</v>
      </c>
      <c r="C45" s="14">
        <v>119</v>
      </c>
      <c r="D45" s="15">
        <v>300</v>
      </c>
      <c r="E45" s="14">
        <v>3540</v>
      </c>
      <c r="F45" s="14">
        <v>3</v>
      </c>
      <c r="G45" s="14">
        <v>3603</v>
      </c>
      <c r="H45" s="13"/>
    </row>
    <row r="46" spans="1:8" ht="15.75" thickBot="1">
      <c r="A46" s="13"/>
      <c r="B46" s="14">
        <v>22</v>
      </c>
      <c r="C46" s="14">
        <v>95</v>
      </c>
      <c r="D46" s="15">
        <v>300</v>
      </c>
      <c r="E46" s="14">
        <v>3840</v>
      </c>
      <c r="F46" s="14">
        <v>3</v>
      </c>
      <c r="G46" s="14">
        <v>3888</v>
      </c>
      <c r="H46" s="13"/>
    </row>
    <row r="47" spans="1:8" ht="15.75" thickBot="1">
      <c r="A47" s="13"/>
      <c r="B47" s="14">
        <v>23</v>
      </c>
      <c r="C47" s="14">
        <v>71</v>
      </c>
      <c r="D47" s="15">
        <v>300</v>
      </c>
      <c r="E47" s="14">
        <v>4140</v>
      </c>
      <c r="F47" s="14">
        <v>4</v>
      </c>
      <c r="G47" s="14">
        <v>4172</v>
      </c>
      <c r="H47" s="13"/>
    </row>
    <row r="48" spans="1:8" ht="15.75" thickBot="1">
      <c r="A48" s="13"/>
      <c r="B48" s="14">
        <v>24</v>
      </c>
      <c r="C48" s="14">
        <v>47</v>
      </c>
      <c r="D48" s="15">
        <v>300</v>
      </c>
      <c r="E48" s="14">
        <v>4440</v>
      </c>
      <c r="F48" s="14">
        <v>6</v>
      </c>
      <c r="G48" s="14">
        <v>4454</v>
      </c>
      <c r="H48" s="13"/>
    </row>
    <row r="49" spans="1:8" ht="15.75" thickBot="1">
      <c r="A49" s="13"/>
      <c r="B49" s="14">
        <v>25</v>
      </c>
      <c r="C49" s="14">
        <v>45</v>
      </c>
      <c r="D49" s="15">
        <v>300</v>
      </c>
      <c r="E49" s="14">
        <v>4740</v>
      </c>
      <c r="F49" s="14">
        <v>7</v>
      </c>
      <c r="G49" s="14">
        <v>4769</v>
      </c>
      <c r="H49" s="13"/>
    </row>
    <row r="50" spans="1:8" ht="15.75" thickBot="1">
      <c r="A50" s="13"/>
      <c r="B50" s="14">
        <v>26</v>
      </c>
      <c r="C50" s="14">
        <v>43</v>
      </c>
      <c r="D50" s="15">
        <v>300</v>
      </c>
      <c r="E50" s="14">
        <v>5040</v>
      </c>
      <c r="F50" s="14">
        <v>7</v>
      </c>
      <c r="G50" s="14">
        <v>5070</v>
      </c>
      <c r="H50" s="13"/>
    </row>
    <row r="51" spans="1:8" ht="15.75" thickBot="1">
      <c r="A51" s="13"/>
      <c r="B51" s="14">
        <v>27</v>
      </c>
      <c r="C51" s="14">
        <v>41</v>
      </c>
      <c r="D51" s="15">
        <v>300</v>
      </c>
      <c r="E51" s="14">
        <v>5340</v>
      </c>
      <c r="F51" s="14">
        <v>7</v>
      </c>
      <c r="G51" s="14">
        <v>5357</v>
      </c>
      <c r="H51" s="13"/>
    </row>
    <row r="52" spans="1:8" ht="15.75" thickBot="1">
      <c r="A52" s="13"/>
      <c r="B52" s="14">
        <v>28</v>
      </c>
      <c r="C52" s="14">
        <v>39</v>
      </c>
      <c r="D52" s="15">
        <v>300</v>
      </c>
      <c r="E52" s="14">
        <v>5640</v>
      </c>
      <c r="F52" s="14">
        <v>8</v>
      </c>
      <c r="G52" s="14">
        <v>5669</v>
      </c>
      <c r="H52" s="13"/>
    </row>
    <row r="53" spans="1:8" ht="15.75" thickBot="1">
      <c r="A53" s="13"/>
      <c r="B53" s="14">
        <v>29</v>
      </c>
      <c r="C53" s="14">
        <v>37</v>
      </c>
      <c r="D53" s="15">
        <v>540</v>
      </c>
      <c r="E53" s="14">
        <v>6180</v>
      </c>
      <c r="F53" s="14">
        <v>14</v>
      </c>
      <c r="G53" s="14">
        <v>6187</v>
      </c>
      <c r="H53" s="13"/>
    </row>
    <row r="54" spans="1:8" ht="15.75" thickBot="1">
      <c r="A54" s="13"/>
      <c r="B54" s="14">
        <v>30</v>
      </c>
      <c r="C54" s="14">
        <v>35</v>
      </c>
      <c r="D54" s="15">
        <v>300</v>
      </c>
      <c r="E54" s="14">
        <v>6480</v>
      </c>
      <c r="F54" s="14">
        <v>9</v>
      </c>
      <c r="G54" s="14">
        <v>6502</v>
      </c>
      <c r="H54" s="13"/>
    </row>
    <row r="55" spans="1:8" ht="15.75" thickBot="1">
      <c r="A55" s="13"/>
      <c r="B55" s="14">
        <v>31</v>
      </c>
      <c r="C55" s="14">
        <v>33</v>
      </c>
      <c r="D55" s="15">
        <v>300</v>
      </c>
      <c r="E55" s="14">
        <v>6780</v>
      </c>
      <c r="F55" s="14">
        <v>9</v>
      </c>
      <c r="G55" s="14">
        <v>6799</v>
      </c>
      <c r="H55" s="13"/>
    </row>
    <row r="56" spans="1:8" ht="15.75" thickBot="1">
      <c r="A56" s="13"/>
      <c r="B56" s="14">
        <v>32</v>
      </c>
      <c r="C56" s="14">
        <v>31</v>
      </c>
      <c r="D56" s="15">
        <v>300</v>
      </c>
      <c r="E56" s="14">
        <v>7080</v>
      </c>
      <c r="F56" s="14">
        <v>10</v>
      </c>
      <c r="G56" s="14">
        <v>7109</v>
      </c>
      <c r="H56" s="13"/>
    </row>
    <row r="57" spans="1:8" ht="15.75" thickBot="1">
      <c r="A57" s="13"/>
      <c r="B57" s="14">
        <v>33</v>
      </c>
      <c r="C57" s="14">
        <v>29</v>
      </c>
      <c r="D57" s="15">
        <v>300</v>
      </c>
      <c r="E57" s="14">
        <v>7380</v>
      </c>
      <c r="F57" s="14">
        <v>10</v>
      </c>
      <c r="G57" s="14">
        <v>7399</v>
      </c>
      <c r="H57" s="13"/>
    </row>
    <row r="58" spans="1:8" ht="15.75" thickBot="1">
      <c r="A58" s="13"/>
      <c r="B58" s="14">
        <v>34</v>
      </c>
      <c r="C58" s="14">
        <v>27</v>
      </c>
      <c r="D58" s="15">
        <v>300</v>
      </c>
      <c r="E58" s="14">
        <v>7680</v>
      </c>
      <c r="F58" s="14">
        <v>11</v>
      </c>
      <c r="G58" s="14">
        <v>7696</v>
      </c>
      <c r="H58" s="13"/>
    </row>
    <row r="59" spans="1:8" ht="15.75" thickBot="1">
      <c r="A59" s="13"/>
      <c r="B59" s="14">
        <v>35</v>
      </c>
      <c r="C59" s="14">
        <v>25</v>
      </c>
      <c r="D59" s="15">
        <v>300</v>
      </c>
      <c r="E59" s="14">
        <v>7980</v>
      </c>
      <c r="F59" s="14">
        <v>12</v>
      </c>
      <c r="G59" s="14">
        <v>7996</v>
      </c>
      <c r="H59" s="13"/>
    </row>
    <row r="60" spans="1:8" ht="15.75" thickBot="1">
      <c r="A60" s="13"/>
      <c r="B60" s="14">
        <v>36</v>
      </c>
      <c r="C60" s="14">
        <v>23</v>
      </c>
      <c r="D60" s="15">
        <v>300</v>
      </c>
      <c r="E60" s="14">
        <v>8280</v>
      </c>
      <c r="F60" s="14">
        <v>13</v>
      </c>
      <c r="G60" s="14">
        <v>8295</v>
      </c>
      <c r="H60" s="13"/>
    </row>
    <row r="61" spans="1:8" ht="15.75" thickBot="1">
      <c r="A61" s="13"/>
      <c r="B61" s="14">
        <v>37</v>
      </c>
      <c r="C61" s="14">
        <v>21</v>
      </c>
      <c r="D61" s="15">
        <v>300</v>
      </c>
      <c r="E61" s="14">
        <v>8580</v>
      </c>
      <c r="F61" s="14">
        <v>14</v>
      </c>
      <c r="G61" s="14">
        <v>8589</v>
      </c>
      <c r="H61" s="13"/>
    </row>
    <row r="62" spans="1:8" ht="15.75" thickBot="1">
      <c r="A62" s="13"/>
      <c r="B62" s="14">
        <v>38</v>
      </c>
      <c r="C62" s="14">
        <v>19</v>
      </c>
      <c r="D62" s="15">
        <v>300</v>
      </c>
      <c r="E62" s="14">
        <v>8880</v>
      </c>
      <c r="F62" s="14">
        <v>16</v>
      </c>
      <c r="G62" s="14">
        <v>8893</v>
      </c>
      <c r="H62" s="13"/>
    </row>
    <row r="63" spans="1:8" ht="15.75" thickBot="1">
      <c r="A63" s="13"/>
      <c r="B63" s="14">
        <v>39</v>
      </c>
      <c r="C63" s="14">
        <v>17</v>
      </c>
      <c r="D63" s="15">
        <v>600</v>
      </c>
      <c r="E63" s="14">
        <v>9480</v>
      </c>
      <c r="F63" s="14">
        <v>35</v>
      </c>
      <c r="G63" s="14">
        <v>9488</v>
      </c>
      <c r="H63" s="13"/>
    </row>
    <row r="64" spans="1:8" ht="15.75" thickBot="1">
      <c r="A64" s="13"/>
      <c r="B64" s="13"/>
      <c r="C64" s="13"/>
      <c r="D64" s="13"/>
      <c r="E64" s="13"/>
      <c r="F64" s="14">
        <v>198</v>
      </c>
      <c r="G64" s="13"/>
      <c r="H64" s="13"/>
    </row>
    <row r="65" spans="1:8" ht="15.75" thickBot="1">
      <c r="A65" s="13"/>
      <c r="B65" s="13"/>
      <c r="C65" s="13"/>
      <c r="D65" s="13"/>
      <c r="E65" s="13"/>
      <c r="F65" s="13"/>
      <c r="G65" s="13"/>
      <c r="H65" s="13"/>
    </row>
    <row r="66" spans="1:8" ht="15.75" thickBot="1">
      <c r="A66" s="13"/>
      <c r="B66" s="13"/>
      <c r="C66" s="13"/>
      <c r="D66" s="13"/>
      <c r="E66" s="13"/>
      <c r="F66" s="13"/>
      <c r="G66" s="13"/>
      <c r="H66" s="13"/>
    </row>
    <row r="67" spans="1:8" ht="15.75" thickBot="1">
      <c r="A67" s="13"/>
      <c r="B67" s="14">
        <v>40</v>
      </c>
      <c r="C67" s="14">
        <v>200</v>
      </c>
      <c r="D67" s="15">
        <v>330</v>
      </c>
      <c r="E67" s="14">
        <v>9810</v>
      </c>
      <c r="F67" s="14">
        <v>2</v>
      </c>
      <c r="G67" s="14">
        <v>9888</v>
      </c>
      <c r="H67" s="13"/>
    </row>
    <row r="68" spans="1:8" ht="15.75" thickBot="1">
      <c r="A68" s="13"/>
      <c r="B68" s="14">
        <v>41</v>
      </c>
      <c r="C68" s="14">
        <v>157</v>
      </c>
      <c r="D68" s="15">
        <v>360</v>
      </c>
      <c r="E68" s="14">
        <v>10170</v>
      </c>
      <c r="F68" s="14">
        <v>2</v>
      </c>
      <c r="G68" s="14">
        <v>10202</v>
      </c>
      <c r="H68" s="13"/>
    </row>
    <row r="69" spans="1:8" ht="15.75" thickBot="1">
      <c r="A69" s="13"/>
      <c r="B69" s="14">
        <v>42</v>
      </c>
      <c r="C69" s="14">
        <v>114</v>
      </c>
      <c r="D69" s="15">
        <v>390</v>
      </c>
      <c r="E69" s="14">
        <v>10560</v>
      </c>
      <c r="F69" s="14">
        <v>4</v>
      </c>
      <c r="G69" s="14">
        <v>10658</v>
      </c>
      <c r="H69" s="13"/>
    </row>
    <row r="70" spans="1:8" ht="15.75" thickBot="1">
      <c r="A70" s="13"/>
      <c r="B70" s="14">
        <v>43</v>
      </c>
      <c r="C70" s="14">
        <v>71</v>
      </c>
      <c r="D70" s="15">
        <v>390</v>
      </c>
      <c r="E70" s="14">
        <v>10950</v>
      </c>
      <c r="F70" s="14">
        <v>5</v>
      </c>
      <c r="G70" s="14">
        <v>11013</v>
      </c>
      <c r="H70" s="13"/>
    </row>
    <row r="71" spans="1:8" ht="15.75" thickBot="1">
      <c r="A71" s="13"/>
      <c r="B71" s="14">
        <v>44</v>
      </c>
      <c r="C71" s="14">
        <v>69</v>
      </c>
      <c r="D71" s="15">
        <v>390</v>
      </c>
      <c r="E71" s="14">
        <v>11340</v>
      </c>
      <c r="F71" s="14">
        <v>5</v>
      </c>
      <c r="G71" s="14">
        <v>11358</v>
      </c>
      <c r="H71" s="13"/>
    </row>
    <row r="72" spans="1:8" ht="15.75" thickBot="1">
      <c r="A72" s="13"/>
      <c r="B72" s="14">
        <v>45</v>
      </c>
      <c r="C72" s="14">
        <v>67</v>
      </c>
      <c r="D72" s="15">
        <v>420</v>
      </c>
      <c r="E72" s="14">
        <v>11760</v>
      </c>
      <c r="F72" s="14">
        <v>6</v>
      </c>
      <c r="G72" s="14">
        <v>11760</v>
      </c>
      <c r="H72" s="13"/>
    </row>
    <row r="73" spans="1:8" ht="15.75" thickBot="1">
      <c r="A73" s="13"/>
      <c r="B73" s="14">
        <v>46</v>
      </c>
      <c r="C73" s="14">
        <v>65</v>
      </c>
      <c r="D73" s="15">
        <v>420</v>
      </c>
      <c r="E73" s="14">
        <v>12180</v>
      </c>
      <c r="F73" s="14">
        <v>7</v>
      </c>
      <c r="G73" s="14">
        <v>12215</v>
      </c>
      <c r="H73" s="13"/>
    </row>
    <row r="74" spans="1:8" ht="15.75" thickBot="1">
      <c r="A74" s="13"/>
      <c r="B74" s="14">
        <v>47</v>
      </c>
      <c r="C74" s="14">
        <v>63</v>
      </c>
      <c r="D74" s="15">
        <v>450</v>
      </c>
      <c r="E74" s="14">
        <v>12630</v>
      </c>
      <c r="F74" s="14">
        <v>7</v>
      </c>
      <c r="G74" s="14">
        <v>12656</v>
      </c>
      <c r="H74" s="13"/>
    </row>
    <row r="75" spans="1:8" ht="15.75" thickBot="1">
      <c r="A75" s="13"/>
      <c r="B75" s="14">
        <v>48</v>
      </c>
      <c r="C75" s="14">
        <v>61</v>
      </c>
      <c r="D75" s="15">
        <v>450</v>
      </c>
      <c r="E75" s="14">
        <v>13080</v>
      </c>
      <c r="F75" s="14">
        <v>7</v>
      </c>
      <c r="G75" s="14">
        <v>13083</v>
      </c>
      <c r="H75" s="13"/>
    </row>
    <row r="76" spans="1:8" ht="15.75" thickBot="1">
      <c r="A76" s="13"/>
      <c r="B76" s="14">
        <v>49</v>
      </c>
      <c r="C76" s="14">
        <v>59</v>
      </c>
      <c r="D76" s="15">
        <v>600</v>
      </c>
      <c r="E76" s="14">
        <v>13680</v>
      </c>
      <c r="F76" s="14">
        <v>11</v>
      </c>
      <c r="G76" s="14">
        <v>13732</v>
      </c>
      <c r="H76" s="13"/>
    </row>
    <row r="77" spans="1:8" ht="15.75" thickBot="1">
      <c r="A77" s="13"/>
      <c r="B77" s="14">
        <v>50</v>
      </c>
      <c r="C77" s="14">
        <v>57</v>
      </c>
      <c r="D77" s="15">
        <v>480</v>
      </c>
      <c r="E77" s="14">
        <v>14160</v>
      </c>
      <c r="F77" s="14">
        <v>0</v>
      </c>
      <c r="G77" s="14">
        <v>13732</v>
      </c>
      <c r="H77" s="13"/>
    </row>
    <row r="78" spans="1:8" ht="15.75" thickBot="1">
      <c r="A78" s="13"/>
      <c r="B78" s="13"/>
      <c r="C78" s="13"/>
      <c r="D78" s="13"/>
      <c r="E78" s="13"/>
      <c r="F78" s="14">
        <v>56</v>
      </c>
      <c r="G78" s="13"/>
      <c r="H78" s="13"/>
    </row>
    <row r="79" spans="1:8" ht="15.75" thickBot="1">
      <c r="A79" s="13"/>
      <c r="B79" s="13"/>
      <c r="C79" s="13"/>
      <c r="D79" s="13"/>
      <c r="E79" s="13"/>
      <c r="F79" s="14">
        <v>224</v>
      </c>
      <c r="G79" s="13"/>
      <c r="H79" s="13"/>
    </row>
    <row r="80" spans="1:8" ht="15.75" thickBot="1">
      <c r="A80" s="13"/>
      <c r="B80" s="13"/>
      <c r="C80" s="13"/>
      <c r="D80" s="13"/>
      <c r="E80" s="13"/>
      <c r="F80" s="13"/>
      <c r="G80" s="13"/>
      <c r="H80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21"/>
  <sheetViews>
    <sheetView workbookViewId="0">
      <selection activeCell="H19" sqref="H19"/>
    </sheetView>
  </sheetViews>
  <sheetFormatPr defaultRowHeight="15"/>
  <sheetData>
    <row r="6" spans="4:16" ht="15.75" thickBot="1"/>
    <row r="7" spans="4:16"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</row>
    <row r="8" spans="4:16"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4:16">
      <c r="D9" s="5"/>
      <c r="E9" s="6"/>
      <c r="F9" s="6" t="s">
        <v>512</v>
      </c>
      <c r="G9" s="6"/>
      <c r="H9" s="6">
        <v>19</v>
      </c>
      <c r="I9" s="6" t="s">
        <v>513</v>
      </c>
      <c r="J9" s="6"/>
      <c r="K9" s="6"/>
      <c r="L9" s="6" t="s">
        <v>514</v>
      </c>
      <c r="M9" s="6"/>
      <c r="N9" s="6"/>
      <c r="O9" s="6"/>
      <c r="P9" s="7"/>
    </row>
    <row r="10" spans="4:16">
      <c r="D10" s="5"/>
      <c r="E10" s="6"/>
      <c r="F10" s="6"/>
      <c r="G10" s="6"/>
      <c r="H10" s="6"/>
      <c r="I10" s="6"/>
      <c r="J10" s="6"/>
      <c r="K10" s="6"/>
      <c r="L10" s="6" t="s">
        <v>515</v>
      </c>
      <c r="M10" s="6"/>
      <c r="N10" s="6"/>
      <c r="O10" s="6"/>
      <c r="P10" s="7"/>
    </row>
    <row r="11" spans="4:16">
      <c r="D11" s="5"/>
      <c r="E11" s="6"/>
      <c r="F11" s="6"/>
      <c r="G11" s="6"/>
      <c r="H11" s="6"/>
      <c r="I11" s="6"/>
      <c r="J11" s="6"/>
      <c r="K11" s="6"/>
      <c r="L11" s="6" t="s">
        <v>516</v>
      </c>
      <c r="M11" s="6"/>
      <c r="N11" s="6"/>
      <c r="O11" s="6"/>
      <c r="P11" s="7"/>
    </row>
    <row r="12" spans="4:16">
      <c r="D12" s="5"/>
      <c r="E12" s="6"/>
      <c r="F12" s="6"/>
      <c r="G12" s="6"/>
      <c r="H12" s="6"/>
      <c r="I12" s="6"/>
      <c r="J12" s="6"/>
      <c r="K12" s="6"/>
      <c r="L12" s="11" t="s">
        <v>517</v>
      </c>
      <c r="M12" s="6"/>
      <c r="N12" s="6"/>
      <c r="O12" s="6"/>
      <c r="P12" s="7"/>
    </row>
    <row r="13" spans="4:16"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4:16"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4:16"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4:16"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4:16">
      <c r="D17" s="5"/>
      <c r="E17" s="6"/>
      <c r="F17" s="6"/>
      <c r="G17" s="19" t="s">
        <v>518</v>
      </c>
      <c r="H17" s="6"/>
      <c r="I17" s="6"/>
      <c r="J17" s="6"/>
      <c r="K17" s="6"/>
      <c r="L17" s="6"/>
      <c r="M17" s="6"/>
      <c r="N17" s="6"/>
      <c r="O17" s="6"/>
      <c r="P17" s="7"/>
    </row>
    <row r="18" spans="4:16">
      <c r="D18" s="5"/>
      <c r="E18" s="6"/>
      <c r="F18" s="6"/>
      <c r="G18" s="20">
        <v>1.7939814814814815E-3</v>
      </c>
      <c r="H18" s="6" t="s">
        <v>519</v>
      </c>
      <c r="I18" s="6"/>
      <c r="J18" s="6"/>
      <c r="K18" s="6"/>
      <c r="L18" s="6"/>
      <c r="M18" s="6"/>
      <c r="N18" s="6"/>
      <c r="O18" s="6"/>
      <c r="P18" s="7"/>
    </row>
    <row r="19" spans="4:16"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4:16"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4:16" ht="15.75" thickBot="1"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Y130"/>
  <sheetViews>
    <sheetView topLeftCell="A4" workbookViewId="0">
      <selection activeCell="O32" sqref="O32"/>
    </sheetView>
  </sheetViews>
  <sheetFormatPr defaultRowHeight="15"/>
  <cols>
    <col min="9" max="9" width="16.140625" customWidth="1"/>
    <col min="21" max="21" width="10" bestFit="1" customWidth="1"/>
  </cols>
  <sheetData>
    <row r="3" spans="5:25">
      <c r="R3" t="s">
        <v>78</v>
      </c>
      <c r="T3" t="s">
        <v>100</v>
      </c>
      <c r="U3">
        <f>HEX2DEC(T3)</f>
        <v>147292068</v>
      </c>
    </row>
    <row r="5" spans="5:25">
      <c r="Q5">
        <f t="shared" ref="Q5:Q26" si="0">Q6-1</f>
        <v>-23</v>
      </c>
      <c r="R5" t="s">
        <v>40</v>
      </c>
      <c r="S5" t="str">
        <f t="shared" ref="S5:S26" si="1">DEC2HEX($U$3+(8*Q5))</f>
        <v>8C77EEC</v>
      </c>
      <c r="T5" t="str">
        <f t="shared" ref="T5:T26" si="2">DEC2HEX($U$3+(8*Q5)+4)</f>
        <v>8C77EF0</v>
      </c>
    </row>
    <row r="6" spans="5:25">
      <c r="Q6">
        <f t="shared" si="0"/>
        <v>-22</v>
      </c>
      <c r="R6" t="s">
        <v>41</v>
      </c>
      <c r="S6" t="str">
        <f t="shared" si="1"/>
        <v>8C77EF4</v>
      </c>
      <c r="T6" t="str">
        <f t="shared" si="2"/>
        <v>8C77EF8</v>
      </c>
      <c r="Y6" t="s">
        <v>34</v>
      </c>
    </row>
    <row r="7" spans="5:25" ht="15.75" thickBot="1">
      <c r="Q7">
        <f t="shared" si="0"/>
        <v>-21</v>
      </c>
      <c r="R7" t="s">
        <v>42</v>
      </c>
      <c r="S7" t="str">
        <f t="shared" si="1"/>
        <v>8C77EFC</v>
      </c>
      <c r="T7" t="str">
        <f t="shared" si="2"/>
        <v>8C77F00</v>
      </c>
      <c r="Y7" t="s">
        <v>35</v>
      </c>
    </row>
    <row r="8" spans="5:25"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>
        <f t="shared" si="0"/>
        <v>-20</v>
      </c>
      <c r="R8" t="s">
        <v>43</v>
      </c>
      <c r="S8" t="str">
        <f t="shared" si="1"/>
        <v>8C77F04</v>
      </c>
      <c r="T8" t="str">
        <f t="shared" si="2"/>
        <v>8C77F08</v>
      </c>
    </row>
    <row r="9" spans="5:25"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>
        <f t="shared" si="0"/>
        <v>-19</v>
      </c>
      <c r="R9" t="s">
        <v>44</v>
      </c>
      <c r="S9" t="str">
        <f t="shared" si="1"/>
        <v>8C77F0C</v>
      </c>
      <c r="T9" t="str">
        <f t="shared" si="2"/>
        <v>8C77F10</v>
      </c>
    </row>
    <row r="10" spans="5:25">
      <c r="E10" s="5"/>
      <c r="F10" s="6" t="s">
        <v>27</v>
      </c>
      <c r="P10" s="7"/>
      <c r="Q10">
        <f t="shared" si="0"/>
        <v>-18</v>
      </c>
      <c r="R10" t="s">
        <v>45</v>
      </c>
      <c r="S10" t="str">
        <f t="shared" si="1"/>
        <v>8C77F14</v>
      </c>
      <c r="T10" t="str">
        <f t="shared" si="2"/>
        <v>8C77F18</v>
      </c>
    </row>
    <row r="11" spans="5:25">
      <c r="E11" s="5" t="s">
        <v>28</v>
      </c>
      <c r="F11" s="6">
        <v>25</v>
      </c>
      <c r="P11" s="7"/>
      <c r="Q11">
        <f t="shared" si="0"/>
        <v>-17</v>
      </c>
      <c r="R11" t="s">
        <v>46</v>
      </c>
      <c r="S11" t="str">
        <f t="shared" si="1"/>
        <v>8C77F1C</v>
      </c>
      <c r="T11" t="str">
        <f t="shared" si="2"/>
        <v>8C77F20</v>
      </c>
    </row>
    <row r="12" spans="5:25">
      <c r="E12" s="5" t="s">
        <v>0</v>
      </c>
      <c r="F12" s="6">
        <v>55</v>
      </c>
      <c r="P12" s="7"/>
      <c r="Q12">
        <f t="shared" si="0"/>
        <v>-16</v>
      </c>
      <c r="R12" t="s">
        <v>47</v>
      </c>
      <c r="S12" t="str">
        <f t="shared" si="1"/>
        <v>8C77F24</v>
      </c>
      <c r="T12" t="str">
        <f t="shared" si="2"/>
        <v>8C77F28</v>
      </c>
    </row>
    <row r="13" spans="5:25">
      <c r="E13" s="5" t="s">
        <v>29</v>
      </c>
      <c r="F13" s="6">
        <v>5</v>
      </c>
      <c r="P13" s="7"/>
      <c r="Q13">
        <f t="shared" si="0"/>
        <v>-15</v>
      </c>
      <c r="R13" t="s">
        <v>48</v>
      </c>
      <c r="S13" t="str">
        <f t="shared" si="1"/>
        <v>8C77F2C</v>
      </c>
      <c r="T13" t="str">
        <f t="shared" si="2"/>
        <v>8C77F30</v>
      </c>
    </row>
    <row r="14" spans="5:25">
      <c r="E14" s="5" t="s">
        <v>30</v>
      </c>
      <c r="F14" s="11">
        <v>4</v>
      </c>
      <c r="J14" t="s">
        <v>102</v>
      </c>
      <c r="K14" t="s">
        <v>11</v>
      </c>
      <c r="L14" t="s">
        <v>103</v>
      </c>
      <c r="P14" s="7"/>
      <c r="Q14">
        <f t="shared" si="0"/>
        <v>-14</v>
      </c>
      <c r="R14" t="s">
        <v>49</v>
      </c>
      <c r="S14" t="str">
        <f t="shared" si="1"/>
        <v>8C77F34</v>
      </c>
      <c r="T14" t="str">
        <f t="shared" si="2"/>
        <v>8C77F38</v>
      </c>
    </row>
    <row r="15" spans="5:25">
      <c r="E15" s="5" t="s">
        <v>31</v>
      </c>
      <c r="F15" s="11">
        <v>5</v>
      </c>
      <c r="I15" t="s">
        <v>101</v>
      </c>
      <c r="J15">
        <v>1</v>
      </c>
      <c r="K15">
        <v>2</v>
      </c>
      <c r="L15">
        <v>31</v>
      </c>
      <c r="M15">
        <v>2</v>
      </c>
      <c r="N15">
        <f t="shared" ref="N15:N26" si="3">L15-M15</f>
        <v>29</v>
      </c>
      <c r="O15">
        <f t="shared" ref="O15:O24" si="4">N15-28</f>
        <v>1</v>
      </c>
      <c r="P15" s="7">
        <f t="shared" ref="P15:P24" si="5">FLOOR(K15/2,1)</f>
        <v>1</v>
      </c>
      <c r="Q15">
        <f t="shared" si="0"/>
        <v>-13</v>
      </c>
      <c r="R15" t="s">
        <v>50</v>
      </c>
      <c r="S15" t="str">
        <f t="shared" si="1"/>
        <v>8C77F3C</v>
      </c>
      <c r="T15" t="str">
        <f t="shared" si="2"/>
        <v>8C77F40</v>
      </c>
      <c r="X15" t="s">
        <v>39</v>
      </c>
    </row>
    <row r="16" spans="5:25">
      <c r="E16" s="5"/>
      <c r="F16" s="6"/>
      <c r="I16" t="s">
        <v>104</v>
      </c>
      <c r="J16">
        <v>4</v>
      </c>
      <c r="K16">
        <v>15</v>
      </c>
      <c r="L16">
        <v>38</v>
      </c>
      <c r="M16">
        <v>3</v>
      </c>
      <c r="N16">
        <f t="shared" si="3"/>
        <v>35</v>
      </c>
      <c r="O16">
        <f t="shared" si="4"/>
        <v>7</v>
      </c>
      <c r="P16" s="7">
        <f t="shared" si="5"/>
        <v>7</v>
      </c>
      <c r="Q16">
        <f t="shared" si="0"/>
        <v>-12</v>
      </c>
      <c r="R16" t="s">
        <v>51</v>
      </c>
      <c r="S16" t="str">
        <f t="shared" si="1"/>
        <v>8C77F44</v>
      </c>
      <c r="T16" t="str">
        <f t="shared" si="2"/>
        <v>8C77F48</v>
      </c>
    </row>
    <row r="17" spans="5:20">
      <c r="E17" s="5"/>
      <c r="F17" s="6"/>
      <c r="I17" t="s">
        <v>105</v>
      </c>
      <c r="J17">
        <v>8</v>
      </c>
      <c r="K17">
        <v>25</v>
      </c>
      <c r="L17">
        <v>44</v>
      </c>
      <c r="M17">
        <v>4</v>
      </c>
      <c r="N17">
        <f t="shared" si="3"/>
        <v>40</v>
      </c>
      <c r="O17">
        <f t="shared" si="4"/>
        <v>12</v>
      </c>
      <c r="P17" s="7">
        <f t="shared" si="5"/>
        <v>12</v>
      </c>
      <c r="Q17">
        <f t="shared" si="0"/>
        <v>-11</v>
      </c>
      <c r="R17" t="s">
        <v>52</v>
      </c>
      <c r="S17" t="str">
        <f t="shared" si="1"/>
        <v>8C77F4C</v>
      </c>
      <c r="T17" t="str">
        <f t="shared" si="2"/>
        <v>8C77F50</v>
      </c>
    </row>
    <row r="18" spans="5:20">
      <c r="E18" s="5"/>
      <c r="F18" s="6"/>
      <c r="I18" t="s">
        <v>106</v>
      </c>
      <c r="J18">
        <v>7</v>
      </c>
      <c r="K18">
        <v>35</v>
      </c>
      <c r="L18">
        <v>50</v>
      </c>
      <c r="M18">
        <v>5</v>
      </c>
      <c r="N18">
        <f t="shared" si="3"/>
        <v>45</v>
      </c>
      <c r="O18">
        <f t="shared" si="4"/>
        <v>17</v>
      </c>
      <c r="P18" s="7">
        <f t="shared" si="5"/>
        <v>17</v>
      </c>
      <c r="Q18">
        <f t="shared" si="0"/>
        <v>-10</v>
      </c>
      <c r="R18" t="s">
        <v>53</v>
      </c>
      <c r="S18" t="str">
        <f t="shared" si="1"/>
        <v>8C77F54</v>
      </c>
      <c r="T18" t="str">
        <f t="shared" si="2"/>
        <v>8C77F58</v>
      </c>
    </row>
    <row r="19" spans="5:20">
      <c r="E19" s="5"/>
      <c r="F19" s="6"/>
      <c r="I19" t="s">
        <v>107</v>
      </c>
      <c r="J19">
        <v>10</v>
      </c>
      <c r="K19">
        <v>52</v>
      </c>
      <c r="L19">
        <v>60</v>
      </c>
      <c r="M19">
        <v>6</v>
      </c>
      <c r="N19">
        <f t="shared" si="3"/>
        <v>54</v>
      </c>
      <c r="O19">
        <f t="shared" si="4"/>
        <v>26</v>
      </c>
      <c r="P19" s="7">
        <f t="shared" si="5"/>
        <v>26</v>
      </c>
      <c r="Q19">
        <f t="shared" si="0"/>
        <v>-9</v>
      </c>
      <c r="R19" t="s">
        <v>54</v>
      </c>
      <c r="S19" t="str">
        <f t="shared" si="1"/>
        <v>8C77F5C</v>
      </c>
      <c r="T19" t="str">
        <f t="shared" si="2"/>
        <v>8C77F60</v>
      </c>
    </row>
    <row r="20" spans="5:20">
      <c r="E20" s="5"/>
      <c r="F20" s="6"/>
      <c r="I20" t="s">
        <v>108</v>
      </c>
      <c r="J20">
        <v>5</v>
      </c>
      <c r="K20">
        <v>30</v>
      </c>
      <c r="L20">
        <v>50</v>
      </c>
      <c r="M20">
        <v>7</v>
      </c>
      <c r="N20">
        <f t="shared" si="3"/>
        <v>43</v>
      </c>
      <c r="O20">
        <f t="shared" si="4"/>
        <v>15</v>
      </c>
      <c r="P20" s="7">
        <f t="shared" si="5"/>
        <v>15</v>
      </c>
      <c r="Q20">
        <f t="shared" si="0"/>
        <v>-8</v>
      </c>
      <c r="R20" t="s">
        <v>55</v>
      </c>
      <c r="S20" t="str">
        <f t="shared" si="1"/>
        <v>8C77F64</v>
      </c>
      <c r="T20" t="str">
        <f t="shared" si="2"/>
        <v>8C77F68</v>
      </c>
    </row>
    <row r="21" spans="5:20">
      <c r="E21" s="5"/>
      <c r="F21" s="6"/>
      <c r="I21" t="s">
        <v>109</v>
      </c>
      <c r="J21">
        <v>11</v>
      </c>
      <c r="K21">
        <v>62</v>
      </c>
      <c r="L21">
        <v>67</v>
      </c>
      <c r="M21">
        <v>8</v>
      </c>
      <c r="N21">
        <f t="shared" si="3"/>
        <v>59</v>
      </c>
      <c r="O21">
        <f t="shared" si="4"/>
        <v>31</v>
      </c>
      <c r="P21" s="7">
        <f t="shared" si="5"/>
        <v>31</v>
      </c>
      <c r="Q21">
        <f t="shared" si="0"/>
        <v>-7</v>
      </c>
      <c r="R21" t="s">
        <v>56</v>
      </c>
      <c r="S21" t="str">
        <f t="shared" si="1"/>
        <v>8C77F6C</v>
      </c>
      <c r="T21" t="str">
        <f t="shared" si="2"/>
        <v>8C77F70</v>
      </c>
    </row>
    <row r="22" spans="5:20">
      <c r="E22" s="5"/>
      <c r="F22" s="6"/>
      <c r="I22" t="s">
        <v>111</v>
      </c>
      <c r="J22">
        <v>7</v>
      </c>
      <c r="K22">
        <v>32</v>
      </c>
      <c r="L22">
        <v>46</v>
      </c>
      <c r="M22">
        <v>2</v>
      </c>
      <c r="N22">
        <f t="shared" si="3"/>
        <v>44</v>
      </c>
      <c r="O22">
        <f t="shared" si="4"/>
        <v>16</v>
      </c>
      <c r="P22" s="7">
        <f t="shared" si="5"/>
        <v>16</v>
      </c>
      <c r="Q22">
        <f t="shared" si="0"/>
        <v>-6</v>
      </c>
      <c r="R22" t="s">
        <v>57</v>
      </c>
      <c r="S22" t="str">
        <f t="shared" si="1"/>
        <v>8C77F74</v>
      </c>
      <c r="T22" t="str">
        <f t="shared" si="2"/>
        <v>8C77F78</v>
      </c>
    </row>
    <row r="23" spans="5:20">
      <c r="E23" s="5"/>
      <c r="F23" s="6"/>
      <c r="I23" t="s">
        <v>112</v>
      </c>
      <c r="J23">
        <v>9</v>
      </c>
      <c r="K23">
        <v>40</v>
      </c>
      <c r="L23">
        <v>51</v>
      </c>
      <c r="M23">
        <v>3</v>
      </c>
      <c r="N23">
        <f t="shared" si="3"/>
        <v>48</v>
      </c>
      <c r="O23">
        <f t="shared" si="4"/>
        <v>20</v>
      </c>
      <c r="P23" s="7">
        <f t="shared" si="5"/>
        <v>20</v>
      </c>
      <c r="Q23">
        <f t="shared" si="0"/>
        <v>-5</v>
      </c>
      <c r="R23" t="s">
        <v>58</v>
      </c>
      <c r="S23" t="str">
        <f t="shared" si="1"/>
        <v>8C77F7C</v>
      </c>
      <c r="T23" t="str">
        <f t="shared" si="2"/>
        <v>8C77F80</v>
      </c>
    </row>
    <row r="24" spans="5:20">
      <c r="E24" s="5"/>
      <c r="F24" s="6"/>
      <c r="I24" t="s">
        <v>113</v>
      </c>
      <c r="J24">
        <v>12</v>
      </c>
      <c r="K24">
        <v>50</v>
      </c>
      <c r="L24">
        <v>57</v>
      </c>
      <c r="M24">
        <v>4</v>
      </c>
      <c r="N24">
        <f t="shared" si="3"/>
        <v>53</v>
      </c>
      <c r="O24">
        <f t="shared" si="4"/>
        <v>25</v>
      </c>
      <c r="P24" s="7">
        <f t="shared" si="5"/>
        <v>25</v>
      </c>
      <c r="Q24">
        <f t="shared" si="0"/>
        <v>-4</v>
      </c>
      <c r="R24" t="s">
        <v>59</v>
      </c>
      <c r="S24" t="str">
        <f t="shared" si="1"/>
        <v>8C77F84</v>
      </c>
      <c r="T24" t="str">
        <f t="shared" si="2"/>
        <v>8C77F88</v>
      </c>
    </row>
    <row r="25" spans="5:20">
      <c r="E25" s="5"/>
      <c r="F25" s="6"/>
      <c r="I25" t="s">
        <v>114</v>
      </c>
      <c r="J25">
        <v>0</v>
      </c>
      <c r="K25">
        <v>4</v>
      </c>
      <c r="L25">
        <v>35</v>
      </c>
      <c r="M25">
        <v>5</v>
      </c>
      <c r="N25">
        <f t="shared" si="3"/>
        <v>30</v>
      </c>
      <c r="O25">
        <f>N25-28</f>
        <v>2</v>
      </c>
      <c r="P25" s="7">
        <f>FLOOR(K25/2,1)</f>
        <v>2</v>
      </c>
      <c r="Q25">
        <f t="shared" si="0"/>
        <v>-3</v>
      </c>
      <c r="R25" t="s">
        <v>60</v>
      </c>
      <c r="S25" t="str">
        <f t="shared" si="1"/>
        <v>8C77F8C</v>
      </c>
      <c r="T25" t="str">
        <f t="shared" si="2"/>
        <v>8C77F90</v>
      </c>
    </row>
    <row r="26" spans="5:20">
      <c r="E26" s="5"/>
      <c r="F26" s="6"/>
      <c r="I26" t="s">
        <v>115</v>
      </c>
      <c r="J26">
        <v>2</v>
      </c>
      <c r="K26">
        <v>11</v>
      </c>
      <c r="L26">
        <v>39</v>
      </c>
      <c r="M26">
        <v>6</v>
      </c>
      <c r="N26">
        <f t="shared" si="3"/>
        <v>33</v>
      </c>
      <c r="O26">
        <v>5</v>
      </c>
      <c r="P26" s="7">
        <f>FLOOR(K26/2,1)</f>
        <v>5</v>
      </c>
      <c r="Q26">
        <f t="shared" si="0"/>
        <v>-2</v>
      </c>
      <c r="R26" t="s">
        <v>61</v>
      </c>
      <c r="S26" t="str">
        <f t="shared" si="1"/>
        <v>8C77F94</v>
      </c>
      <c r="T26" t="str">
        <f t="shared" si="2"/>
        <v>8C77F98</v>
      </c>
    </row>
    <row r="27" spans="5:20">
      <c r="E27" s="5"/>
      <c r="F27" s="6"/>
      <c r="P27" s="7"/>
      <c r="Q27">
        <f>Q28-1</f>
        <v>-1</v>
      </c>
      <c r="R27" t="s">
        <v>62</v>
      </c>
      <c r="S27" t="str">
        <f>DEC2HEX($U$3+(8*Q27))</f>
        <v>8C77F9C</v>
      </c>
      <c r="T27" t="str">
        <f>DEC2HEX($U$3+(8*Q27)+4)</f>
        <v>8C77FA0</v>
      </c>
    </row>
    <row r="28" spans="5:20">
      <c r="E28" s="5"/>
      <c r="F28" s="6"/>
      <c r="P28" s="7"/>
      <c r="Q28">
        <v>0</v>
      </c>
      <c r="R28" t="s">
        <v>63</v>
      </c>
      <c r="S28" t="str">
        <f>DEC2HEX($U$3)</f>
        <v>8C77FA4</v>
      </c>
      <c r="T28" t="str">
        <f>DEC2HEX(U3+4)</f>
        <v>8C77FA8</v>
      </c>
    </row>
    <row r="29" spans="5:20">
      <c r="E29" s="5"/>
      <c r="F29" s="6"/>
      <c r="I29" t="s">
        <v>116</v>
      </c>
      <c r="J29" t="s">
        <v>118</v>
      </c>
      <c r="K29" t="s">
        <v>117</v>
      </c>
      <c r="L29" t="s">
        <v>119</v>
      </c>
      <c r="M29" t="s">
        <v>117</v>
      </c>
      <c r="N29" s="1" t="s">
        <v>120</v>
      </c>
      <c r="P29" s="7"/>
      <c r="Q29">
        <f t="shared" ref="Q29:Q42" si="6">Q28+1</f>
        <v>1</v>
      </c>
      <c r="R29" t="s">
        <v>64</v>
      </c>
      <c r="S29" t="str">
        <f t="shared" ref="S29:S42" si="7">DEC2HEX($U$3+(8*Q29))</f>
        <v>8C77FAC</v>
      </c>
      <c r="T29" t="str">
        <f t="shared" ref="T29:T42" si="8">DEC2HEX($U$3+(8*Q29)+4)</f>
        <v>8C77FB0</v>
      </c>
    </row>
    <row r="30" spans="5:20">
      <c r="E30" s="5"/>
      <c r="F30" s="6"/>
      <c r="P30" s="7"/>
      <c r="Q30">
        <f t="shared" si="6"/>
        <v>2</v>
      </c>
      <c r="R30" t="s">
        <v>65</v>
      </c>
      <c r="S30" t="str">
        <f t="shared" si="7"/>
        <v>8C77FB4</v>
      </c>
      <c r="T30" t="str">
        <f t="shared" si="8"/>
        <v>8C77FB8</v>
      </c>
    </row>
    <row r="31" spans="5:20">
      <c r="E31" s="5"/>
      <c r="F31" s="6"/>
      <c r="P31" s="7"/>
      <c r="Q31">
        <f t="shared" si="6"/>
        <v>3</v>
      </c>
      <c r="R31" t="s">
        <v>66</v>
      </c>
      <c r="S31" t="str">
        <f t="shared" si="7"/>
        <v>8C77FBC</v>
      </c>
      <c r="T31" t="str">
        <f t="shared" si="8"/>
        <v>8C77FC0</v>
      </c>
    </row>
    <row r="32" spans="5:20">
      <c r="E32" s="5"/>
      <c r="F32" s="6"/>
      <c r="P32" s="7"/>
      <c r="Q32">
        <f t="shared" si="6"/>
        <v>4</v>
      </c>
      <c r="R32" t="s">
        <v>67</v>
      </c>
      <c r="S32" t="str">
        <f t="shared" si="7"/>
        <v>8C77FC4</v>
      </c>
      <c r="T32" t="str">
        <f t="shared" si="8"/>
        <v>8C77FC8</v>
      </c>
    </row>
    <row r="33" spans="5:20">
      <c r="E33" s="5"/>
      <c r="F33" s="6"/>
      <c r="G33" s="6"/>
      <c r="O33" s="6"/>
      <c r="P33" s="7"/>
      <c r="Q33">
        <f t="shared" si="6"/>
        <v>5</v>
      </c>
      <c r="R33" t="s">
        <v>68</v>
      </c>
      <c r="S33" t="str">
        <f t="shared" si="7"/>
        <v>8C77FCC</v>
      </c>
      <c r="T33" t="str">
        <f t="shared" si="8"/>
        <v>8C77FD0</v>
      </c>
    </row>
    <row r="34" spans="5:20" ht="15.75" thickBot="1"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>
        <f t="shared" si="6"/>
        <v>6</v>
      </c>
      <c r="R34" t="s">
        <v>69</v>
      </c>
      <c r="S34" t="str">
        <f t="shared" si="7"/>
        <v>8C77FD4</v>
      </c>
      <c r="T34" t="str">
        <f t="shared" si="8"/>
        <v>8C77FD8</v>
      </c>
    </row>
    <row r="35" spans="5:20">
      <c r="Q35">
        <f t="shared" si="6"/>
        <v>7</v>
      </c>
      <c r="R35" t="s">
        <v>70</v>
      </c>
      <c r="S35" t="str">
        <f t="shared" si="7"/>
        <v>8C77FDC</v>
      </c>
      <c r="T35" t="str">
        <f t="shared" si="8"/>
        <v>8C77FE0</v>
      </c>
    </row>
    <row r="36" spans="5:20">
      <c r="Q36">
        <f t="shared" si="6"/>
        <v>8</v>
      </c>
      <c r="R36" t="s">
        <v>71</v>
      </c>
      <c r="S36" t="str">
        <f t="shared" si="7"/>
        <v>8C77FE4</v>
      </c>
      <c r="T36" t="str">
        <f t="shared" si="8"/>
        <v>8C77FE8</v>
      </c>
    </row>
    <row r="37" spans="5:20">
      <c r="Q37">
        <f t="shared" si="6"/>
        <v>9</v>
      </c>
      <c r="R37" t="s">
        <v>72</v>
      </c>
      <c r="S37" t="str">
        <f t="shared" si="7"/>
        <v>8C77FEC</v>
      </c>
      <c r="T37" t="str">
        <f t="shared" si="8"/>
        <v>8C77FF0</v>
      </c>
    </row>
    <row r="38" spans="5:20">
      <c r="Q38">
        <f t="shared" si="6"/>
        <v>10</v>
      </c>
      <c r="R38" t="s">
        <v>73</v>
      </c>
      <c r="S38" t="str">
        <f t="shared" si="7"/>
        <v>8C77FF4</v>
      </c>
      <c r="T38" t="str">
        <f t="shared" si="8"/>
        <v>8C77FF8</v>
      </c>
    </row>
    <row r="39" spans="5:20">
      <c r="G39" t="s">
        <v>79</v>
      </c>
      <c r="Q39">
        <f t="shared" si="6"/>
        <v>11</v>
      </c>
      <c r="R39" t="s">
        <v>74</v>
      </c>
      <c r="S39" t="str">
        <f t="shared" si="7"/>
        <v>8C77FFC</v>
      </c>
      <c r="T39" t="str">
        <f t="shared" si="8"/>
        <v>8C78000</v>
      </c>
    </row>
    <row r="40" spans="5:20">
      <c r="F40" t="s">
        <v>121</v>
      </c>
      <c r="G40" t="s">
        <v>80</v>
      </c>
      <c r="Q40">
        <f t="shared" si="6"/>
        <v>12</v>
      </c>
      <c r="R40" t="s">
        <v>75</v>
      </c>
      <c r="S40" t="str">
        <f t="shared" si="7"/>
        <v>8C78004</v>
      </c>
      <c r="T40" t="str">
        <f t="shared" si="8"/>
        <v>8C78008</v>
      </c>
    </row>
    <row r="41" spans="5:20">
      <c r="G41" t="s">
        <v>81</v>
      </c>
      <c r="Q41">
        <f t="shared" si="6"/>
        <v>13</v>
      </c>
      <c r="R41" t="s">
        <v>76</v>
      </c>
      <c r="S41" t="str">
        <f t="shared" si="7"/>
        <v>8C7800C</v>
      </c>
      <c r="T41" t="str">
        <f t="shared" si="8"/>
        <v>8C78010</v>
      </c>
    </row>
    <row r="42" spans="5:20">
      <c r="F42" t="s">
        <v>121</v>
      </c>
      <c r="G42" t="s">
        <v>82</v>
      </c>
      <c r="Q42">
        <f t="shared" si="6"/>
        <v>14</v>
      </c>
      <c r="R42" t="s">
        <v>77</v>
      </c>
      <c r="S42" t="str">
        <f t="shared" si="7"/>
        <v>8C78014</v>
      </c>
      <c r="T42" t="str">
        <f t="shared" si="8"/>
        <v>8C78018</v>
      </c>
    </row>
    <row r="43" spans="5:20">
      <c r="F43" t="s">
        <v>121</v>
      </c>
      <c r="G43" t="s">
        <v>83</v>
      </c>
    </row>
    <row r="44" spans="5:20">
      <c r="G44" t="s">
        <v>84</v>
      </c>
    </row>
    <row r="45" spans="5:20">
      <c r="G45" t="s">
        <v>96</v>
      </c>
    </row>
    <row r="46" spans="5:20">
      <c r="G46" t="s">
        <v>122</v>
      </c>
    </row>
    <row r="57" spans="7:25">
      <c r="S57" t="s">
        <v>110</v>
      </c>
      <c r="U57">
        <v>143</v>
      </c>
      <c r="V57">
        <f>U57-23*3</f>
        <v>74</v>
      </c>
    </row>
    <row r="58" spans="7:25">
      <c r="U58">
        <f>U57-23</f>
        <v>120</v>
      </c>
    </row>
    <row r="59" spans="7:25">
      <c r="U59">
        <v>97</v>
      </c>
      <c r="Y59">
        <v>762</v>
      </c>
    </row>
    <row r="61" spans="7:25">
      <c r="G61" s="6"/>
      <c r="H61" s="6"/>
      <c r="I61" s="11"/>
      <c r="J61" s="11" t="s">
        <v>32</v>
      </c>
      <c r="K61" s="6"/>
      <c r="L61" s="6"/>
      <c r="M61" s="6"/>
      <c r="N61" s="6"/>
      <c r="O61" s="6"/>
      <c r="U61">
        <f>143*3</f>
        <v>429</v>
      </c>
    </row>
    <row r="62" spans="7:25">
      <c r="G62" s="6"/>
      <c r="H62" s="6"/>
      <c r="I62" s="6"/>
      <c r="J62" s="6" t="s">
        <v>33</v>
      </c>
      <c r="K62" s="6"/>
      <c r="L62" s="6"/>
      <c r="M62" s="6"/>
      <c r="N62" s="6"/>
      <c r="O62" s="6"/>
      <c r="U62">
        <f>120*2</f>
        <v>240</v>
      </c>
    </row>
    <row r="63" spans="7:25">
      <c r="G63" s="6"/>
      <c r="H63" s="6"/>
      <c r="I63" s="6"/>
      <c r="J63" s="6" t="s">
        <v>36</v>
      </c>
      <c r="K63" s="6"/>
      <c r="L63" s="6"/>
      <c r="M63" s="6"/>
      <c r="N63" s="6"/>
      <c r="O63" s="6"/>
      <c r="U63">
        <v>97</v>
      </c>
    </row>
    <row r="64" spans="7:25">
      <c r="G64" s="6"/>
      <c r="H64" s="6"/>
      <c r="I64" s="6"/>
      <c r="J64" s="11" t="s">
        <v>37</v>
      </c>
      <c r="K64" s="6"/>
      <c r="L64" s="6"/>
      <c r="M64" s="6"/>
      <c r="N64" s="6"/>
      <c r="O64" s="6"/>
      <c r="S64" s="6"/>
      <c r="T64" s="6"/>
      <c r="U64" s="6">
        <f>SUM(U61:U63)</f>
        <v>766</v>
      </c>
      <c r="V64" s="6"/>
      <c r="W64" s="6"/>
      <c r="X64" s="6"/>
      <c r="Y64" s="6"/>
    </row>
    <row r="65" spans="7:15">
      <c r="G65" s="6"/>
      <c r="H65" s="6"/>
      <c r="I65" s="6"/>
      <c r="J65" s="11" t="s">
        <v>38</v>
      </c>
      <c r="K65" s="6"/>
      <c r="L65" s="6"/>
      <c r="M65" s="6"/>
      <c r="N65" s="6"/>
      <c r="O65" s="6"/>
    </row>
    <row r="66" spans="7:15">
      <c r="G66" s="11"/>
      <c r="H66" s="6"/>
      <c r="I66" s="6"/>
      <c r="J66" s="11"/>
      <c r="K66" s="6"/>
      <c r="L66" s="6"/>
      <c r="M66" s="6"/>
      <c r="N66" s="6"/>
      <c r="O66" s="6"/>
    </row>
    <row r="67" spans="7:15">
      <c r="G67" s="6"/>
      <c r="H67" s="6"/>
      <c r="I67" s="6"/>
      <c r="J67" s="6"/>
      <c r="K67" s="6"/>
      <c r="L67" s="6"/>
      <c r="M67" s="6"/>
      <c r="N67" s="6"/>
      <c r="O67" s="6"/>
    </row>
    <row r="68" spans="7:15">
      <c r="G68" s="6"/>
      <c r="H68" s="6"/>
      <c r="I68" s="6"/>
      <c r="J68" s="6"/>
      <c r="K68" s="6"/>
      <c r="L68" s="6"/>
      <c r="M68" s="6"/>
      <c r="N68" s="6"/>
      <c r="O68" s="6"/>
    </row>
    <row r="69" spans="7:15">
      <c r="G69" s="6" t="s">
        <v>85</v>
      </c>
      <c r="H69" s="6" t="s">
        <v>86</v>
      </c>
      <c r="I69" s="6"/>
      <c r="J69" s="6"/>
      <c r="K69" s="6"/>
      <c r="L69" s="6">
        <v>80</v>
      </c>
      <c r="M69" s="6" t="s">
        <v>93</v>
      </c>
      <c r="N69" s="6"/>
      <c r="O69" s="6"/>
    </row>
    <row r="70" spans="7:15">
      <c r="G70" s="6"/>
      <c r="H70" s="6" t="s">
        <v>87</v>
      </c>
      <c r="I70" s="6"/>
      <c r="J70" s="6"/>
      <c r="K70" s="6"/>
      <c r="L70" s="6"/>
      <c r="M70" s="6">
        <v>55</v>
      </c>
      <c r="N70" s="6"/>
      <c r="O70" s="6"/>
    </row>
    <row r="71" spans="7:15">
      <c r="G71" s="6"/>
      <c r="H71" s="6" t="s">
        <v>88</v>
      </c>
      <c r="I71" s="6"/>
      <c r="J71" s="6"/>
      <c r="K71" s="6"/>
      <c r="L71" s="6" t="s">
        <v>94</v>
      </c>
      <c r="M71" s="6">
        <f>51*2</f>
        <v>102</v>
      </c>
      <c r="N71" s="6"/>
      <c r="O71" s="6"/>
    </row>
    <row r="72" spans="7:15">
      <c r="G72" s="6"/>
      <c r="H72" s="6"/>
      <c r="I72" s="6"/>
      <c r="J72" s="6"/>
      <c r="K72" s="6"/>
      <c r="L72" s="6" t="s">
        <v>95</v>
      </c>
      <c r="M72" s="6">
        <f>51*5</f>
        <v>255</v>
      </c>
      <c r="N72" s="6"/>
      <c r="O72" s="6"/>
    </row>
    <row r="73" spans="7:15">
      <c r="G73" s="6" t="s">
        <v>89</v>
      </c>
      <c r="H73" s="11" t="s">
        <v>90</v>
      </c>
      <c r="I73" s="6"/>
      <c r="J73" s="6"/>
      <c r="K73" s="6"/>
      <c r="L73" s="6"/>
      <c r="M73" s="6"/>
      <c r="N73" s="6"/>
      <c r="O73" s="6"/>
    </row>
    <row r="74" spans="7:15">
      <c r="G74" s="6"/>
      <c r="H74" s="11" t="s">
        <v>91</v>
      </c>
      <c r="I74" s="6"/>
      <c r="J74" s="6"/>
      <c r="K74" s="6"/>
      <c r="L74" s="6"/>
      <c r="M74" s="6">
        <f>SUM(M70:M73)</f>
        <v>412</v>
      </c>
      <c r="N74" s="6">
        <v>68</v>
      </c>
      <c r="O74" s="6">
        <v>68</v>
      </c>
    </row>
    <row r="75" spans="7:15">
      <c r="G75" s="6"/>
      <c r="H75" s="11" t="s">
        <v>92</v>
      </c>
      <c r="I75" s="6"/>
      <c r="J75" s="6"/>
      <c r="K75" s="6"/>
      <c r="L75" s="6"/>
      <c r="M75" s="6"/>
      <c r="N75" s="6">
        <v>62</v>
      </c>
      <c r="O75" s="6">
        <v>63</v>
      </c>
    </row>
    <row r="76" spans="7:15">
      <c r="G76" s="6"/>
      <c r="H76" s="6"/>
      <c r="I76" s="6"/>
      <c r="J76" s="6"/>
      <c r="K76" s="6"/>
      <c r="L76" s="6"/>
      <c r="M76" s="6"/>
      <c r="N76" s="6">
        <v>56</v>
      </c>
      <c r="O76" s="6">
        <v>59</v>
      </c>
    </row>
    <row r="77" spans="7:15">
      <c r="G77" s="6"/>
      <c r="H77" s="6"/>
      <c r="I77" s="6"/>
      <c r="J77" s="6"/>
      <c r="K77" s="6"/>
      <c r="L77" s="6"/>
      <c r="M77" s="6"/>
      <c r="N77" s="11">
        <v>50</v>
      </c>
      <c r="O77" s="6">
        <v>53</v>
      </c>
    </row>
    <row r="78" spans="7:15">
      <c r="G78" s="6" t="s">
        <v>99</v>
      </c>
      <c r="H78" s="6"/>
      <c r="I78" s="6"/>
      <c r="J78" s="6"/>
      <c r="K78" s="6"/>
      <c r="L78" s="6"/>
      <c r="M78" s="6"/>
      <c r="N78" s="11">
        <v>44</v>
      </c>
      <c r="O78" s="6">
        <v>47</v>
      </c>
    </row>
    <row r="79" spans="7:15">
      <c r="G79" s="6"/>
      <c r="H79" s="6"/>
      <c r="I79" s="6"/>
      <c r="J79" s="6"/>
      <c r="K79" s="6"/>
      <c r="L79" s="6"/>
      <c r="M79" s="6"/>
      <c r="N79" s="11">
        <v>38</v>
      </c>
      <c r="O79" s="6">
        <v>41</v>
      </c>
    </row>
    <row r="80" spans="7:15">
      <c r="G80" s="6"/>
      <c r="H80" s="6"/>
      <c r="I80" s="6"/>
      <c r="J80" s="6"/>
      <c r="K80" s="6"/>
      <c r="L80" s="6">
        <f>9*68</f>
        <v>612</v>
      </c>
      <c r="M80" s="6"/>
      <c r="N80" s="11">
        <v>36</v>
      </c>
      <c r="O80" s="6">
        <v>39</v>
      </c>
    </row>
    <row r="81" spans="7:15">
      <c r="G81" s="6"/>
      <c r="H81" s="6"/>
      <c r="I81" s="6"/>
      <c r="J81" s="6"/>
      <c r="K81" s="6" t="s">
        <v>98</v>
      </c>
      <c r="L81" s="6">
        <f>390+52</f>
        <v>442</v>
      </c>
      <c r="M81" s="6" t="s">
        <v>97</v>
      </c>
      <c r="N81" s="11">
        <v>34</v>
      </c>
      <c r="O81" s="6">
        <v>37</v>
      </c>
    </row>
    <row r="82" spans="7:15">
      <c r="G82" s="6"/>
      <c r="H82" s="6"/>
      <c r="I82" s="6"/>
      <c r="J82" s="6"/>
      <c r="K82" s="6"/>
      <c r="L82" s="6"/>
      <c r="M82" s="6"/>
      <c r="N82" s="11">
        <v>32</v>
      </c>
      <c r="O82" s="6">
        <v>35</v>
      </c>
    </row>
    <row r="83" spans="7:15">
      <c r="G83" s="6"/>
      <c r="H83" s="6" t="s">
        <v>240</v>
      </c>
      <c r="I83" s="6"/>
      <c r="J83" s="6"/>
      <c r="K83" s="6"/>
      <c r="L83" s="6"/>
      <c r="M83" s="6"/>
      <c r="N83" s="11">
        <f>SUM(N74:N82)</f>
        <v>420</v>
      </c>
      <c r="O83" s="11">
        <f>SUM(O74:O82)</f>
        <v>442</v>
      </c>
    </row>
    <row r="84" spans="7:15">
      <c r="H84" t="s">
        <v>241</v>
      </c>
      <c r="I84" t="s">
        <v>242</v>
      </c>
    </row>
    <row r="85" spans="7:15">
      <c r="H85" t="s">
        <v>239</v>
      </c>
    </row>
    <row r="86" spans="7:15">
      <c r="K86">
        <v>40</v>
      </c>
      <c r="L86">
        <v>1</v>
      </c>
    </row>
    <row r="87" spans="7:15">
      <c r="K87">
        <v>41</v>
      </c>
      <c r="L87">
        <v>2</v>
      </c>
    </row>
    <row r="88" spans="7:15">
      <c r="K88">
        <v>42</v>
      </c>
      <c r="L88">
        <v>3</v>
      </c>
    </row>
    <row r="89" spans="7:15">
      <c r="K89">
        <v>43</v>
      </c>
      <c r="L89">
        <v>7</v>
      </c>
    </row>
    <row r="90" spans="7:15">
      <c r="K90">
        <v>45</v>
      </c>
      <c r="M90">
        <v>13</v>
      </c>
    </row>
    <row r="91" spans="7:15">
      <c r="M91">
        <v>7</v>
      </c>
    </row>
    <row r="92" spans="7:15">
      <c r="M92">
        <v>7</v>
      </c>
    </row>
    <row r="93" spans="7:15">
      <c r="M93">
        <v>7</v>
      </c>
    </row>
    <row r="94" spans="7:15">
      <c r="M94">
        <v>3</v>
      </c>
    </row>
    <row r="97" spans="10:25">
      <c r="M97">
        <f>SUM(M90:M95)</f>
        <v>37</v>
      </c>
      <c r="N97">
        <f>M97*4</f>
        <v>148</v>
      </c>
      <c r="O97" t="s">
        <v>5</v>
      </c>
    </row>
    <row r="104" spans="10:25" ht="15.75" thickBot="1">
      <c r="J104" t="s">
        <v>21</v>
      </c>
      <c r="K104" t="s">
        <v>276</v>
      </c>
    </row>
    <row r="105" spans="10:25" ht="27" thickBot="1">
      <c r="J105">
        <v>0</v>
      </c>
      <c r="K105">
        <v>1</v>
      </c>
      <c r="R105" s="13"/>
      <c r="S105" s="14">
        <v>37</v>
      </c>
      <c r="T105" s="13" t="s">
        <v>283</v>
      </c>
      <c r="U105" s="13"/>
      <c r="V105" s="13"/>
      <c r="W105" s="13"/>
      <c r="X105" s="13"/>
      <c r="Y105" s="13"/>
    </row>
    <row r="106" spans="10:25" ht="15.75" thickBot="1">
      <c r="J106">
        <v>1</v>
      </c>
      <c r="K106">
        <v>8</v>
      </c>
      <c r="M106" t="s">
        <v>277</v>
      </c>
      <c r="R106" s="13"/>
      <c r="S106" s="14">
        <v>58</v>
      </c>
      <c r="T106" s="13" t="s">
        <v>284</v>
      </c>
      <c r="U106" s="13"/>
      <c r="V106" s="16" t="s">
        <v>285</v>
      </c>
      <c r="W106" s="13"/>
      <c r="X106" s="13"/>
      <c r="Y106" s="13"/>
    </row>
    <row r="107" spans="10:25" ht="15.75" thickBot="1">
      <c r="J107">
        <v>9</v>
      </c>
      <c r="K107">
        <v>37</v>
      </c>
      <c r="R107" s="13"/>
      <c r="S107" s="14">
        <v>29</v>
      </c>
      <c r="T107" s="13" t="s">
        <v>286</v>
      </c>
      <c r="U107" s="13"/>
      <c r="V107" s="13"/>
      <c r="W107" s="13"/>
      <c r="X107" s="13"/>
      <c r="Y107" s="13"/>
    </row>
    <row r="108" spans="10:25" ht="15.75" thickBot="1">
      <c r="J108">
        <v>16</v>
      </c>
      <c r="K108">
        <v>30</v>
      </c>
      <c r="R108" s="13"/>
      <c r="S108" s="14">
        <v>20</v>
      </c>
      <c r="T108" s="13" t="s">
        <v>287</v>
      </c>
      <c r="U108" s="13"/>
      <c r="V108" s="13"/>
      <c r="W108" s="13"/>
      <c r="X108" s="13"/>
      <c r="Y108" s="13"/>
    </row>
    <row r="109" spans="10:25" ht="15.75" thickBot="1">
      <c r="J109">
        <v>19</v>
      </c>
      <c r="K109">
        <v>1</v>
      </c>
      <c r="R109" s="13"/>
      <c r="S109" s="14">
        <v>10</v>
      </c>
      <c r="T109" s="13" t="s">
        <v>288</v>
      </c>
      <c r="U109" s="13"/>
      <c r="V109" s="13"/>
      <c r="W109" s="13"/>
      <c r="X109" s="13"/>
      <c r="Y109" s="13"/>
    </row>
    <row r="110" spans="10:25" ht="39.75" thickBot="1">
      <c r="J110">
        <v>19</v>
      </c>
      <c r="K110">
        <v>2</v>
      </c>
      <c r="R110" s="13"/>
      <c r="S110" s="14">
        <v>15</v>
      </c>
      <c r="T110" s="13" t="s">
        <v>289</v>
      </c>
      <c r="U110" s="13"/>
      <c r="V110" s="13"/>
      <c r="W110" s="13" t="s">
        <v>290</v>
      </c>
      <c r="X110" s="13" t="s">
        <v>291</v>
      </c>
      <c r="Y110" s="13" t="s">
        <v>292</v>
      </c>
    </row>
    <row r="111" spans="10:25" ht="15.75" thickBot="1">
      <c r="J111">
        <v>21</v>
      </c>
      <c r="K111">
        <v>3</v>
      </c>
      <c r="R111" s="13"/>
      <c r="S111" s="14">
        <v>8</v>
      </c>
      <c r="T111" s="13" t="s">
        <v>293</v>
      </c>
      <c r="U111" s="13"/>
      <c r="V111" s="13" t="s">
        <v>294</v>
      </c>
      <c r="W111" s="14">
        <v>46</v>
      </c>
      <c r="X111" s="14">
        <v>276</v>
      </c>
      <c r="Y111" s="14">
        <v>345</v>
      </c>
    </row>
    <row r="112" spans="10:25" ht="27" thickBot="1">
      <c r="J112">
        <v>22</v>
      </c>
      <c r="K112">
        <v>4</v>
      </c>
      <c r="R112" s="13"/>
      <c r="S112" s="13"/>
      <c r="T112" s="13"/>
      <c r="U112" s="13"/>
      <c r="V112" s="13" t="s">
        <v>310</v>
      </c>
      <c r="W112" s="13">
        <v>39</v>
      </c>
      <c r="X112" s="13">
        <f>W112*2*2</f>
        <v>156</v>
      </c>
      <c r="Y112" s="13">
        <f>W112*2*2.5</f>
        <v>195</v>
      </c>
    </row>
    <row r="113" spans="7:25" ht="27" thickBot="1">
      <c r="J113">
        <v>24</v>
      </c>
      <c r="K113">
        <v>12</v>
      </c>
      <c r="R113" s="13"/>
      <c r="S113" s="14">
        <v>11</v>
      </c>
      <c r="T113" s="13" t="s">
        <v>295</v>
      </c>
      <c r="U113" s="13"/>
      <c r="V113" s="13" t="s">
        <v>296</v>
      </c>
      <c r="W113" s="14">
        <v>38</v>
      </c>
      <c r="X113" s="14">
        <v>228</v>
      </c>
      <c r="Y113" s="14">
        <v>285</v>
      </c>
    </row>
    <row r="114" spans="7:25" ht="27" thickBot="1">
      <c r="J114">
        <v>27</v>
      </c>
      <c r="K114">
        <v>12</v>
      </c>
      <c r="R114" s="13"/>
      <c r="S114" s="14">
        <v>2</v>
      </c>
      <c r="T114" s="13" t="s">
        <v>297</v>
      </c>
      <c r="U114" s="13"/>
      <c r="V114" s="13" t="s">
        <v>308</v>
      </c>
      <c r="W114" s="13">
        <v>39</v>
      </c>
      <c r="X114" s="13">
        <f>W114*3*3</f>
        <v>351</v>
      </c>
      <c r="Y114" s="13">
        <f>W114*3*3.5</f>
        <v>409.5</v>
      </c>
    </row>
    <row r="115" spans="7:25" ht="27" thickBot="1">
      <c r="J115">
        <v>30</v>
      </c>
      <c r="K115">
        <v>12</v>
      </c>
      <c r="R115" s="13"/>
      <c r="S115" s="14">
        <v>1</v>
      </c>
      <c r="T115" s="13" t="s">
        <v>298</v>
      </c>
      <c r="U115" s="13"/>
      <c r="V115" s="13" t="s">
        <v>309</v>
      </c>
      <c r="W115" s="13">
        <v>26</v>
      </c>
      <c r="X115" s="13">
        <f>W115*3*2</f>
        <v>156</v>
      </c>
      <c r="Y115" s="13">
        <f>W115*3*2.5</f>
        <v>195</v>
      </c>
    </row>
    <row r="116" spans="7:25" ht="15.75" thickBot="1">
      <c r="J116">
        <v>32</v>
      </c>
      <c r="K116">
        <v>12</v>
      </c>
      <c r="R116" s="13"/>
      <c r="S116" s="13"/>
      <c r="T116" s="13"/>
      <c r="U116" s="13"/>
      <c r="V116" s="13"/>
      <c r="W116" s="13">
        <v>40</v>
      </c>
      <c r="X116" s="13">
        <f>W116*3*2</f>
        <v>240</v>
      </c>
      <c r="Y116" s="13">
        <f>W116*3*2.5</f>
        <v>300</v>
      </c>
    </row>
    <row r="117" spans="7:25" ht="15.75" thickBot="1">
      <c r="J117">
        <v>34</v>
      </c>
      <c r="K117">
        <v>12</v>
      </c>
      <c r="R117" s="13"/>
      <c r="S117" s="13"/>
      <c r="T117" s="13"/>
      <c r="U117" s="13"/>
      <c r="V117" s="13"/>
      <c r="W117" s="13"/>
      <c r="X117" s="13"/>
      <c r="Y117" s="13"/>
    </row>
    <row r="118" spans="7:25" ht="15.75" thickBot="1">
      <c r="J118">
        <v>35</v>
      </c>
      <c r="K118">
        <v>12</v>
      </c>
      <c r="R118" s="13"/>
      <c r="S118" s="13"/>
      <c r="T118" s="13"/>
      <c r="U118" s="13"/>
      <c r="V118" s="13"/>
      <c r="W118" s="13"/>
      <c r="X118" s="13"/>
      <c r="Y118" s="13"/>
    </row>
    <row r="119" spans="7:25" ht="15.75" thickBot="1">
      <c r="J119">
        <v>37</v>
      </c>
      <c r="K119">
        <v>12</v>
      </c>
      <c r="R119" s="13"/>
      <c r="S119" s="13"/>
      <c r="T119" s="14">
        <v>36</v>
      </c>
      <c r="U119" s="13" t="s">
        <v>299</v>
      </c>
      <c r="V119" s="13"/>
      <c r="W119" s="13"/>
      <c r="X119" s="13"/>
      <c r="Y119" s="13"/>
    </row>
    <row r="120" spans="7:25" ht="15.75" thickBot="1">
      <c r="J120">
        <v>38</v>
      </c>
      <c r="K120">
        <v>12</v>
      </c>
      <c r="R120" s="13"/>
      <c r="S120" s="13"/>
      <c r="T120" s="14">
        <v>6</v>
      </c>
      <c r="U120" s="13" t="s">
        <v>300</v>
      </c>
      <c r="V120" s="13"/>
      <c r="W120" s="13"/>
      <c r="X120" s="13"/>
      <c r="Y120" s="13"/>
    </row>
    <row r="121" spans="7:25" ht="15.75" thickBot="1">
      <c r="G121" t="s">
        <v>279</v>
      </c>
      <c r="J121">
        <v>39</v>
      </c>
      <c r="K121">
        <v>12</v>
      </c>
      <c r="R121" s="13"/>
      <c r="S121" s="13"/>
      <c r="T121" s="13"/>
      <c r="U121" s="16" t="s">
        <v>301</v>
      </c>
      <c r="V121" s="13"/>
      <c r="W121" s="13"/>
      <c r="X121" s="13"/>
      <c r="Y121" s="13"/>
    </row>
    <row r="122" spans="7:25" ht="15.75" thickBot="1">
      <c r="G122">
        <f>SUM(K123:K130)*4</f>
        <v>108</v>
      </c>
      <c r="H122" t="s">
        <v>5</v>
      </c>
      <c r="J122">
        <v>39</v>
      </c>
      <c r="K122">
        <v>12</v>
      </c>
      <c r="R122" s="13"/>
      <c r="S122" s="13"/>
      <c r="T122" s="13"/>
      <c r="U122" s="13"/>
      <c r="V122" s="13"/>
      <c r="W122" s="13"/>
      <c r="X122" s="13"/>
      <c r="Y122" s="13"/>
    </row>
    <row r="123" spans="7:25" ht="15.75" thickBot="1">
      <c r="G123">
        <f>SUM(K105:K108)</f>
        <v>76</v>
      </c>
      <c r="H123" t="s">
        <v>280</v>
      </c>
      <c r="J123">
        <v>40</v>
      </c>
      <c r="K123">
        <v>1</v>
      </c>
      <c r="M123" t="s">
        <v>278</v>
      </c>
      <c r="R123" s="13"/>
      <c r="S123" s="13"/>
      <c r="T123" s="13"/>
      <c r="U123" s="13"/>
      <c r="V123" s="13"/>
      <c r="W123" s="13"/>
      <c r="X123" s="13"/>
      <c r="Y123" s="13"/>
    </row>
    <row r="124" spans="7:25" ht="27" thickBot="1">
      <c r="G124">
        <f>SUM(K109:K122)</f>
        <v>130</v>
      </c>
      <c r="H124" t="s">
        <v>281</v>
      </c>
      <c r="J124">
        <v>41</v>
      </c>
      <c r="K124">
        <v>2</v>
      </c>
      <c r="R124" s="13"/>
      <c r="S124" s="13" t="s">
        <v>302</v>
      </c>
      <c r="T124" s="13" t="s">
        <v>303</v>
      </c>
      <c r="U124" s="13" t="s">
        <v>304</v>
      </c>
      <c r="V124" s="13" t="s">
        <v>305</v>
      </c>
      <c r="W124" s="13"/>
      <c r="X124" s="13"/>
      <c r="Y124" s="13"/>
    </row>
    <row r="125" spans="7:25" ht="15.75" thickBot="1">
      <c r="J125">
        <v>42</v>
      </c>
      <c r="K125">
        <v>3</v>
      </c>
      <c r="R125" s="13" t="s">
        <v>306</v>
      </c>
      <c r="S125" s="14">
        <v>37</v>
      </c>
      <c r="T125" s="14">
        <v>26</v>
      </c>
      <c r="U125" s="14">
        <v>9</v>
      </c>
      <c r="V125" s="14">
        <v>36</v>
      </c>
      <c r="W125" s="14">
        <v>62</v>
      </c>
      <c r="X125" s="13"/>
      <c r="Y125" s="13"/>
    </row>
    <row r="126" spans="7:25" ht="15.75" thickBot="1">
      <c r="G126">
        <f>SUM(G124,G122)</f>
        <v>238</v>
      </c>
      <c r="H126" t="s">
        <v>282</v>
      </c>
      <c r="J126">
        <v>43</v>
      </c>
      <c r="K126">
        <v>7</v>
      </c>
      <c r="M126">
        <v>602</v>
      </c>
      <c r="R126" s="13" t="s">
        <v>307</v>
      </c>
      <c r="S126" s="14">
        <v>37</v>
      </c>
      <c r="T126" s="14">
        <v>26</v>
      </c>
      <c r="U126" s="14">
        <v>1</v>
      </c>
      <c r="V126" s="14">
        <v>4</v>
      </c>
      <c r="W126" s="14">
        <v>30</v>
      </c>
      <c r="X126" s="13"/>
      <c r="Y126" s="13"/>
    </row>
    <row r="127" spans="7:25" ht="15.75" thickBot="1">
      <c r="J127">
        <v>45</v>
      </c>
      <c r="K127">
        <v>7</v>
      </c>
      <c r="R127" s="13" t="s">
        <v>311</v>
      </c>
      <c r="S127" s="13">
        <v>37</v>
      </c>
      <c r="T127" s="13">
        <v>52</v>
      </c>
      <c r="U127" s="13">
        <v>2</v>
      </c>
      <c r="V127" s="13">
        <v>8</v>
      </c>
      <c r="W127" s="13">
        <v>60</v>
      </c>
      <c r="X127" s="13"/>
      <c r="Y127" s="13"/>
    </row>
    <row r="128" spans="7:25">
      <c r="J128">
        <v>47</v>
      </c>
      <c r="K128">
        <v>7</v>
      </c>
      <c r="R128" s="17" t="s">
        <v>312</v>
      </c>
      <c r="S128">
        <f>11+15</f>
        <v>26</v>
      </c>
      <c r="T128" s="17">
        <v>30</v>
      </c>
      <c r="U128" s="17">
        <v>0</v>
      </c>
      <c r="V128" s="17">
        <v>0</v>
      </c>
      <c r="W128" s="17">
        <v>30</v>
      </c>
    </row>
    <row r="129" spans="9:12">
      <c r="I129">
        <v>48.75</v>
      </c>
      <c r="J129">
        <v>48</v>
      </c>
      <c r="L129">
        <v>7</v>
      </c>
    </row>
    <row r="130" spans="9:12">
      <c r="J130">
        <v>49</v>
      </c>
      <c r="L130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48"/>
  <sheetViews>
    <sheetView topLeftCell="A22" workbookViewId="0">
      <selection activeCell="G35" sqref="G35:J40"/>
    </sheetView>
  </sheetViews>
  <sheetFormatPr defaultRowHeight="15"/>
  <sheetData>
    <row r="6" spans="4:16" ht="15.75" thickBot="1"/>
    <row r="7" spans="4:16"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</row>
    <row r="8" spans="4:16">
      <c r="D8" s="5"/>
      <c r="E8" s="6" t="s">
        <v>313</v>
      </c>
      <c r="F8" s="6"/>
      <c r="G8" s="6" t="s">
        <v>315</v>
      </c>
      <c r="H8" s="6"/>
      <c r="I8" s="6" t="s">
        <v>316</v>
      </c>
      <c r="J8" s="6"/>
      <c r="K8" s="6"/>
      <c r="L8" s="6"/>
      <c r="M8" s="6" t="s">
        <v>337</v>
      </c>
      <c r="N8" s="6"/>
      <c r="O8" s="6"/>
      <c r="P8" s="7"/>
    </row>
    <row r="9" spans="4:16">
      <c r="D9" s="5"/>
      <c r="E9" s="6"/>
      <c r="F9" s="6"/>
      <c r="J9" s="6"/>
      <c r="K9" s="6"/>
      <c r="L9" s="6"/>
      <c r="M9" s="6"/>
      <c r="N9" s="6"/>
      <c r="O9" s="6"/>
      <c r="P9" s="7"/>
    </row>
    <row r="10" spans="4:16">
      <c r="D10" s="5"/>
      <c r="E10" s="6" t="s">
        <v>317</v>
      </c>
      <c r="F10" s="6"/>
      <c r="G10" s="6" t="s">
        <v>318</v>
      </c>
      <c r="H10" s="6"/>
      <c r="I10" s="6" t="s">
        <v>319</v>
      </c>
      <c r="J10" s="6"/>
      <c r="K10" s="6"/>
      <c r="L10" s="6"/>
      <c r="M10" s="6"/>
      <c r="N10" s="6"/>
      <c r="O10" s="6"/>
      <c r="P10" s="7"/>
    </row>
    <row r="11" spans="4:16">
      <c r="D11" s="5"/>
      <c r="E11" s="6"/>
      <c r="F11" s="6"/>
      <c r="G11" s="6"/>
      <c r="H11" s="6"/>
      <c r="I11" s="6"/>
      <c r="J11" s="6"/>
      <c r="K11" s="6"/>
      <c r="L11" s="6"/>
      <c r="M11" s="6" t="s">
        <v>322</v>
      </c>
      <c r="N11" s="6"/>
      <c r="O11" s="6"/>
      <c r="P11" s="7"/>
    </row>
    <row r="12" spans="4:16">
      <c r="D12" s="5"/>
      <c r="E12" s="6" t="s">
        <v>320</v>
      </c>
      <c r="F12" s="6"/>
      <c r="G12" s="6" t="s">
        <v>321</v>
      </c>
      <c r="H12" s="6"/>
      <c r="I12" s="6" t="s">
        <v>314</v>
      </c>
      <c r="J12" s="6"/>
      <c r="K12" s="6"/>
      <c r="L12" s="6"/>
      <c r="M12" s="6" t="s">
        <v>323</v>
      </c>
      <c r="N12" s="6"/>
      <c r="O12" s="6"/>
      <c r="P12" s="7"/>
    </row>
    <row r="13" spans="4:16"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4:16">
      <c r="D14" s="5"/>
      <c r="E14" s="6" t="s">
        <v>324</v>
      </c>
      <c r="F14" s="6"/>
      <c r="G14" s="6"/>
      <c r="H14" s="6" t="s">
        <v>329</v>
      </c>
      <c r="I14" s="6"/>
      <c r="J14" s="6"/>
      <c r="K14" s="6"/>
      <c r="L14" s="6" t="s">
        <v>334</v>
      </c>
      <c r="M14" s="6" t="s">
        <v>335</v>
      </c>
      <c r="N14" s="6"/>
      <c r="O14" s="6"/>
      <c r="P14" s="7"/>
    </row>
    <row r="15" spans="4:16">
      <c r="D15" s="5"/>
      <c r="E15" s="11" t="s">
        <v>325</v>
      </c>
      <c r="F15" s="6"/>
      <c r="G15" s="6"/>
      <c r="H15" s="6" t="s">
        <v>330</v>
      </c>
      <c r="I15" s="6"/>
      <c r="J15" s="6"/>
      <c r="K15" s="6"/>
      <c r="L15" s="6">
        <v>50</v>
      </c>
      <c r="M15">
        <v>347</v>
      </c>
      <c r="N15" s="6" t="s">
        <v>333</v>
      </c>
      <c r="O15" s="6"/>
      <c r="P15" s="7"/>
    </row>
    <row r="16" spans="4:16">
      <c r="D16" s="5"/>
      <c r="E16" s="11" t="s">
        <v>326</v>
      </c>
      <c r="F16" s="6"/>
      <c r="G16" s="6"/>
      <c r="H16" s="6" t="s">
        <v>331</v>
      </c>
      <c r="I16" s="6"/>
      <c r="J16" s="6"/>
      <c r="K16" s="6"/>
      <c r="L16" s="6">
        <v>50</v>
      </c>
      <c r="M16" s="6">
        <v>449</v>
      </c>
      <c r="N16" s="6" t="s">
        <v>336</v>
      </c>
      <c r="O16" s="6"/>
      <c r="P16" s="7"/>
    </row>
    <row r="17" spans="4:16">
      <c r="D17" s="5"/>
      <c r="E17" s="11" t="s">
        <v>327</v>
      </c>
      <c r="F17" s="6"/>
      <c r="G17" s="6"/>
      <c r="H17" s="11" t="s">
        <v>332</v>
      </c>
      <c r="I17" s="6"/>
      <c r="J17" s="6"/>
      <c r="K17" s="6"/>
      <c r="L17" s="6">
        <v>52</v>
      </c>
      <c r="M17" s="6">
        <v>354</v>
      </c>
      <c r="N17" s="6" t="s">
        <v>338</v>
      </c>
      <c r="O17" s="6"/>
      <c r="P17" s="7"/>
    </row>
    <row r="18" spans="4:16">
      <c r="D18" s="5"/>
      <c r="E18" s="11" t="s">
        <v>328</v>
      </c>
      <c r="F18" s="6"/>
      <c r="G18" s="6"/>
      <c r="H18" s="6"/>
      <c r="I18" s="6"/>
      <c r="J18" s="6"/>
      <c r="K18" s="6"/>
      <c r="L18" s="11">
        <v>52</v>
      </c>
      <c r="M18" s="11">
        <v>568</v>
      </c>
      <c r="N18" s="11" t="s">
        <v>339</v>
      </c>
      <c r="O18" s="6"/>
      <c r="P18" s="7"/>
    </row>
    <row r="19" spans="4:16">
      <c r="D19" s="5"/>
      <c r="E19" s="6"/>
      <c r="F19" s="6"/>
      <c r="G19" s="6"/>
      <c r="H19" s="6"/>
      <c r="I19" s="6" t="s">
        <v>342</v>
      </c>
      <c r="J19" s="6"/>
      <c r="K19" s="6"/>
      <c r="L19" s="11">
        <v>52</v>
      </c>
      <c r="M19" s="11">
        <v>723</v>
      </c>
      <c r="N19" s="11" t="s">
        <v>340</v>
      </c>
      <c r="O19" s="6"/>
      <c r="P19" s="7"/>
    </row>
    <row r="20" spans="4:16">
      <c r="D20" s="5"/>
      <c r="E20" s="11" t="s">
        <v>344</v>
      </c>
      <c r="F20" s="6"/>
      <c r="G20" s="6" t="s">
        <v>345</v>
      </c>
      <c r="H20" s="6"/>
      <c r="I20" s="6"/>
      <c r="J20" s="6"/>
      <c r="K20" s="6"/>
      <c r="L20" s="11">
        <v>53</v>
      </c>
      <c r="M20" s="11">
        <v>725</v>
      </c>
      <c r="N20" s="11" t="s">
        <v>341</v>
      </c>
      <c r="O20" s="6"/>
      <c r="P20" s="7"/>
    </row>
    <row r="21" spans="4:16" ht="15.75" thickBot="1">
      <c r="D21" s="8"/>
      <c r="E21" s="9" t="s">
        <v>347</v>
      </c>
      <c r="F21" s="9"/>
      <c r="G21" s="9"/>
      <c r="H21" s="9"/>
      <c r="I21" s="9"/>
      <c r="J21" s="9"/>
      <c r="K21" s="9"/>
      <c r="L21" s="9">
        <v>53</v>
      </c>
      <c r="M21" s="9">
        <v>941</v>
      </c>
      <c r="N21" s="9" t="s">
        <v>343</v>
      </c>
      <c r="O21" s="9"/>
      <c r="P21" s="10"/>
    </row>
    <row r="22" spans="4:16">
      <c r="E22" s="11" t="s">
        <v>349</v>
      </c>
      <c r="L22" s="11">
        <v>53</v>
      </c>
      <c r="M22" s="11">
        <v>1049</v>
      </c>
      <c r="N22" s="11" t="s">
        <v>346</v>
      </c>
    </row>
    <row r="23" spans="4:16">
      <c r="E23" s="11" t="s">
        <v>350</v>
      </c>
      <c r="L23" s="11">
        <v>54</v>
      </c>
      <c r="M23" s="11">
        <v>1099</v>
      </c>
      <c r="N23" s="11" t="s">
        <v>348</v>
      </c>
    </row>
    <row r="24" spans="4:16">
      <c r="E24" s="11" t="s">
        <v>351</v>
      </c>
      <c r="H24" t="s">
        <v>354</v>
      </c>
      <c r="L24" s="11">
        <v>56</v>
      </c>
      <c r="M24" s="11">
        <v>901</v>
      </c>
      <c r="N24" s="11" t="s">
        <v>352</v>
      </c>
    </row>
    <row r="25" spans="4:16">
      <c r="E25" s="11" t="s">
        <v>357</v>
      </c>
      <c r="L25" s="11">
        <v>58</v>
      </c>
      <c r="M25" s="11">
        <v>1034</v>
      </c>
      <c r="N25" s="11" t="s">
        <v>353</v>
      </c>
    </row>
    <row r="26" spans="4:16">
      <c r="L26" s="11">
        <v>78</v>
      </c>
      <c r="M26" s="11">
        <v>1391</v>
      </c>
      <c r="N26" s="11" t="s">
        <v>355</v>
      </c>
    </row>
    <row r="27" spans="4:16">
      <c r="L27" s="11">
        <v>79</v>
      </c>
      <c r="M27" s="11">
        <v>1688</v>
      </c>
      <c r="N27" s="11" t="s">
        <v>358</v>
      </c>
    </row>
    <row r="28" spans="4:16">
      <c r="L28" s="11">
        <v>79</v>
      </c>
      <c r="M28" s="11">
        <v>1909</v>
      </c>
      <c r="N28" s="11" t="s">
        <v>356</v>
      </c>
    </row>
    <row r="29" spans="4:16">
      <c r="L29" s="11">
        <v>80</v>
      </c>
      <c r="M29" s="11">
        <v>1460</v>
      </c>
      <c r="N29" s="11" t="s">
        <v>359</v>
      </c>
    </row>
    <row r="30" spans="4:16">
      <c r="L30" s="11">
        <v>110</v>
      </c>
      <c r="M30" s="11">
        <v>460</v>
      </c>
      <c r="N30" s="11" t="s">
        <v>360</v>
      </c>
    </row>
    <row r="31" spans="4:16">
      <c r="L31" s="11">
        <v>120</v>
      </c>
      <c r="M31" s="11">
        <v>192</v>
      </c>
      <c r="N31" s="11" t="s">
        <v>361</v>
      </c>
    </row>
    <row r="34" spans="5:11">
      <c r="G34" t="s">
        <v>363</v>
      </c>
      <c r="H34" t="s">
        <v>364</v>
      </c>
      <c r="I34" t="s">
        <v>162</v>
      </c>
    </row>
    <row r="35" spans="5:11">
      <c r="E35" t="s">
        <v>362</v>
      </c>
      <c r="G35">
        <v>8</v>
      </c>
      <c r="H35">
        <v>24</v>
      </c>
      <c r="I35">
        <v>393</v>
      </c>
    </row>
    <row r="36" spans="5:11">
      <c r="G36">
        <v>24</v>
      </c>
      <c r="H36">
        <v>32</v>
      </c>
      <c r="I36">
        <v>467</v>
      </c>
      <c r="J36">
        <f>(I36-I35)/(H36-G36)</f>
        <v>9.25</v>
      </c>
      <c r="K36" t="s">
        <v>365</v>
      </c>
    </row>
    <row r="37" spans="5:11">
      <c r="G37">
        <v>32</v>
      </c>
      <c r="H37">
        <v>38</v>
      </c>
      <c r="I37">
        <v>507</v>
      </c>
      <c r="J37">
        <f>(I37-I36)/(H37-G37)</f>
        <v>6.666666666666667</v>
      </c>
    </row>
    <row r="38" spans="5:11">
      <c r="G38">
        <v>38</v>
      </c>
      <c r="H38">
        <v>43</v>
      </c>
      <c r="I38">
        <v>535</v>
      </c>
      <c r="J38">
        <f>(I38-I37)/(H38-G38)</f>
        <v>5.6</v>
      </c>
    </row>
    <row r="39" spans="5:11">
      <c r="G39">
        <v>43</v>
      </c>
      <c r="H39">
        <v>47</v>
      </c>
      <c r="I39">
        <v>548</v>
      </c>
      <c r="J39">
        <f>(I39-I38)/(H39-G39)</f>
        <v>3.25</v>
      </c>
    </row>
    <row r="40" spans="5:11">
      <c r="G40">
        <v>47</v>
      </c>
      <c r="H40">
        <v>51</v>
      </c>
      <c r="I40">
        <v>561</v>
      </c>
      <c r="J40">
        <f>(I40-I39)/(H40-G40)</f>
        <v>3.25</v>
      </c>
    </row>
    <row r="43" spans="5:11">
      <c r="E43" t="s">
        <v>366</v>
      </c>
      <c r="G43">
        <v>8</v>
      </c>
      <c r="H43">
        <v>29</v>
      </c>
      <c r="I43">
        <v>444</v>
      </c>
    </row>
    <row r="44" spans="5:11">
      <c r="G44">
        <v>29</v>
      </c>
      <c r="H44">
        <v>39</v>
      </c>
      <c r="I44">
        <v>513</v>
      </c>
    </row>
    <row r="45" spans="5:11">
      <c r="G45">
        <v>39</v>
      </c>
      <c r="H45">
        <v>46</v>
      </c>
      <c r="I45">
        <v>544</v>
      </c>
    </row>
    <row r="48" spans="5:11">
      <c r="F48" t="s">
        <v>367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82"/>
  <sheetViews>
    <sheetView workbookViewId="0">
      <selection activeCell="H21" sqref="H21"/>
    </sheetView>
  </sheetViews>
  <sheetFormatPr defaultRowHeight="15"/>
  <cols>
    <col min="6" max="6" width="31.7109375" customWidth="1"/>
    <col min="7" max="7" width="19.42578125" customWidth="1"/>
    <col min="8" max="8" width="54.85546875" customWidth="1"/>
  </cols>
  <sheetData>
    <row r="5" spans="2:17">
      <c r="O5" t="s">
        <v>972</v>
      </c>
    </row>
    <row r="7" spans="2:17">
      <c r="B7" t="s">
        <v>976</v>
      </c>
      <c r="C7" t="s">
        <v>975</v>
      </c>
      <c r="D7" s="18" t="s">
        <v>475</v>
      </c>
      <c r="E7" s="18" t="s">
        <v>869</v>
      </c>
      <c r="F7" s="18" t="s">
        <v>870</v>
      </c>
      <c r="G7" s="18" t="s">
        <v>871</v>
      </c>
      <c r="H7" s="18" t="s">
        <v>875</v>
      </c>
      <c r="I7" s="18" t="s">
        <v>893</v>
      </c>
      <c r="J7" s="18" t="s">
        <v>902</v>
      </c>
      <c r="K7" s="18" t="s">
        <v>335</v>
      </c>
      <c r="L7" s="18" t="s">
        <v>903</v>
      </c>
      <c r="M7" s="18" t="s">
        <v>559</v>
      </c>
      <c r="N7" s="18" t="s">
        <v>907</v>
      </c>
      <c r="O7" s="18" t="s">
        <v>28</v>
      </c>
      <c r="P7" s="18" t="s">
        <v>0</v>
      </c>
      <c r="Q7" s="18" t="s">
        <v>963</v>
      </c>
    </row>
    <row r="8" spans="2:17">
      <c r="D8">
        <v>1</v>
      </c>
      <c r="E8" t="s">
        <v>872</v>
      </c>
      <c r="F8" t="s">
        <v>873</v>
      </c>
      <c r="G8" t="s">
        <v>874</v>
      </c>
      <c r="H8" t="s">
        <v>942</v>
      </c>
      <c r="L8">
        <v>0</v>
      </c>
    </row>
    <row r="9" spans="2:17">
      <c r="D9">
        <v>2</v>
      </c>
      <c r="E9" t="s">
        <v>876</v>
      </c>
      <c r="F9" t="s">
        <v>472</v>
      </c>
      <c r="L9">
        <v>1</v>
      </c>
    </row>
    <row r="10" spans="2:17">
      <c r="B10">
        <v>20</v>
      </c>
      <c r="D10">
        <v>3</v>
      </c>
      <c r="E10" t="s">
        <v>877</v>
      </c>
      <c r="F10" t="s">
        <v>470</v>
      </c>
      <c r="H10" t="s">
        <v>977</v>
      </c>
      <c r="L10">
        <v>2</v>
      </c>
    </row>
    <row r="11" spans="2:17">
      <c r="D11">
        <v>4</v>
      </c>
      <c r="E11" t="s">
        <v>941</v>
      </c>
      <c r="F11" t="s">
        <v>878</v>
      </c>
      <c r="H11" t="s">
        <v>985</v>
      </c>
      <c r="L11">
        <v>3</v>
      </c>
      <c r="O11">
        <v>39</v>
      </c>
      <c r="P11">
        <v>64</v>
      </c>
    </row>
    <row r="12" spans="2:17">
      <c r="C12">
        <v>1</v>
      </c>
      <c r="D12">
        <v>5</v>
      </c>
      <c r="E12" t="s">
        <v>881</v>
      </c>
      <c r="F12" t="s">
        <v>880</v>
      </c>
      <c r="G12" t="s">
        <v>904</v>
      </c>
      <c r="H12" t="s">
        <v>974</v>
      </c>
      <c r="O12">
        <v>163</v>
      </c>
      <c r="P12">
        <v>146</v>
      </c>
    </row>
    <row r="13" spans="2:17">
      <c r="C13">
        <v>40</v>
      </c>
      <c r="D13">
        <v>6</v>
      </c>
      <c r="E13" t="s">
        <v>879</v>
      </c>
      <c r="F13" t="s">
        <v>885</v>
      </c>
      <c r="G13" t="s">
        <v>883</v>
      </c>
      <c r="H13" t="s">
        <v>973</v>
      </c>
      <c r="I13">
        <v>9</v>
      </c>
      <c r="L13">
        <v>0</v>
      </c>
      <c r="O13">
        <v>217</v>
      </c>
      <c r="P13">
        <v>200</v>
      </c>
    </row>
    <row r="14" spans="2:17">
      <c r="D14">
        <v>7</v>
      </c>
      <c r="E14" t="s">
        <v>884</v>
      </c>
      <c r="F14" t="s">
        <v>943</v>
      </c>
      <c r="I14">
        <v>8</v>
      </c>
      <c r="L14">
        <v>1</v>
      </c>
      <c r="O14">
        <v>219</v>
      </c>
      <c r="P14">
        <v>205</v>
      </c>
    </row>
    <row r="15" spans="2:17">
      <c r="D15">
        <v>8</v>
      </c>
      <c r="E15" t="s">
        <v>886</v>
      </c>
      <c r="F15" t="s">
        <v>944</v>
      </c>
      <c r="G15" t="s">
        <v>887</v>
      </c>
      <c r="H15" t="s">
        <v>905</v>
      </c>
      <c r="I15">
        <v>7</v>
      </c>
      <c r="L15">
        <v>2</v>
      </c>
      <c r="M15">
        <v>6</v>
      </c>
      <c r="N15">
        <v>0</v>
      </c>
      <c r="O15">
        <v>224</v>
      </c>
      <c r="P15">
        <v>212</v>
      </c>
    </row>
    <row r="16" spans="2:17">
      <c r="D16">
        <v>9</v>
      </c>
      <c r="E16" t="s">
        <v>888</v>
      </c>
      <c r="F16" t="s">
        <v>947</v>
      </c>
      <c r="G16" t="s">
        <v>889</v>
      </c>
      <c r="I16">
        <v>6</v>
      </c>
      <c r="L16">
        <v>3</v>
      </c>
      <c r="M16">
        <v>5</v>
      </c>
      <c r="N16">
        <v>1</v>
      </c>
      <c r="O16">
        <v>239</v>
      </c>
      <c r="P16">
        <v>228</v>
      </c>
    </row>
    <row r="17" spans="2:17">
      <c r="D17">
        <v>10</v>
      </c>
      <c r="E17" t="s">
        <v>890</v>
      </c>
      <c r="F17" t="s">
        <v>948</v>
      </c>
      <c r="G17" t="s">
        <v>891</v>
      </c>
      <c r="H17" t="s">
        <v>919</v>
      </c>
      <c r="I17">
        <v>5</v>
      </c>
      <c r="L17">
        <v>4</v>
      </c>
      <c r="M17">
        <v>13</v>
      </c>
      <c r="N17">
        <v>2</v>
      </c>
    </row>
    <row r="18" spans="2:17">
      <c r="E18" t="s">
        <v>894</v>
      </c>
      <c r="F18" t="s">
        <v>906</v>
      </c>
      <c r="I18">
        <v>3</v>
      </c>
      <c r="L18">
        <v>5</v>
      </c>
      <c r="M18">
        <v>12</v>
      </c>
      <c r="N18">
        <v>3</v>
      </c>
      <c r="O18">
        <v>247</v>
      </c>
      <c r="P18">
        <v>244</v>
      </c>
    </row>
    <row r="19" spans="2:17">
      <c r="E19" t="s">
        <v>895</v>
      </c>
      <c r="F19" t="s">
        <v>906</v>
      </c>
      <c r="I19">
        <v>2</v>
      </c>
      <c r="L19">
        <v>6</v>
      </c>
      <c r="M19">
        <v>11</v>
      </c>
      <c r="N19">
        <v>4</v>
      </c>
      <c r="O19">
        <v>251</v>
      </c>
      <c r="P19">
        <v>254</v>
      </c>
    </row>
    <row r="20" spans="2:17">
      <c r="E20" t="s">
        <v>896</v>
      </c>
      <c r="F20" t="s">
        <v>908</v>
      </c>
      <c r="I20">
        <v>1</v>
      </c>
      <c r="M20">
        <v>10</v>
      </c>
      <c r="N20">
        <v>5</v>
      </c>
      <c r="O20">
        <v>256</v>
      </c>
      <c r="P20">
        <v>261</v>
      </c>
    </row>
    <row r="21" spans="2:17">
      <c r="E21" t="s">
        <v>897</v>
      </c>
      <c r="F21" t="s">
        <v>424</v>
      </c>
      <c r="I21">
        <v>1</v>
      </c>
      <c r="M21">
        <v>9</v>
      </c>
      <c r="N21">
        <v>6</v>
      </c>
      <c r="O21">
        <v>258</v>
      </c>
      <c r="P21">
        <v>266</v>
      </c>
    </row>
    <row r="22" spans="2:17">
      <c r="E22" t="s">
        <v>898</v>
      </c>
      <c r="F22" t="s">
        <v>424</v>
      </c>
      <c r="I22">
        <v>1</v>
      </c>
      <c r="M22">
        <v>8</v>
      </c>
      <c r="N22">
        <v>6</v>
      </c>
      <c r="O22">
        <v>261</v>
      </c>
      <c r="P22">
        <v>268</v>
      </c>
    </row>
    <row r="23" spans="2:17">
      <c r="E23" t="s">
        <v>899</v>
      </c>
      <c r="F23" t="s">
        <v>424</v>
      </c>
      <c r="M23">
        <v>7</v>
      </c>
      <c r="N23">
        <v>7</v>
      </c>
    </row>
    <row r="24" spans="2:17">
      <c r="E24" t="s">
        <v>900</v>
      </c>
      <c r="F24" t="s">
        <v>424</v>
      </c>
      <c r="M24">
        <v>6</v>
      </c>
      <c r="N24">
        <v>8</v>
      </c>
      <c r="O24">
        <v>268</v>
      </c>
      <c r="P24">
        <v>281</v>
      </c>
    </row>
    <row r="25" spans="2:17">
      <c r="E25" t="s">
        <v>901</v>
      </c>
      <c r="F25" t="s">
        <v>424</v>
      </c>
      <c r="M25">
        <v>5</v>
      </c>
      <c r="N25">
        <v>8</v>
      </c>
    </row>
    <row r="26" spans="2:17">
      <c r="E26" t="s">
        <v>892</v>
      </c>
      <c r="F26" t="s">
        <v>424</v>
      </c>
      <c r="G26" t="s">
        <v>950</v>
      </c>
      <c r="H26" t="s">
        <v>959</v>
      </c>
      <c r="M26">
        <v>4</v>
      </c>
      <c r="N26">
        <v>9</v>
      </c>
      <c r="Q26">
        <v>2</v>
      </c>
    </row>
    <row r="27" spans="2:17">
      <c r="E27" t="s">
        <v>949</v>
      </c>
      <c r="F27" t="s">
        <v>424</v>
      </c>
      <c r="G27" t="s">
        <v>953</v>
      </c>
      <c r="H27" t="s">
        <v>961</v>
      </c>
      <c r="M27">
        <v>3</v>
      </c>
      <c r="N27">
        <v>9</v>
      </c>
      <c r="O27">
        <v>463</v>
      </c>
      <c r="P27">
        <v>325</v>
      </c>
      <c r="Q27">
        <v>6</v>
      </c>
    </row>
    <row r="28" spans="2:17">
      <c r="B28">
        <v>80</v>
      </c>
      <c r="E28" t="s">
        <v>951</v>
      </c>
      <c r="G28" t="s">
        <v>954</v>
      </c>
      <c r="H28" t="s">
        <v>978</v>
      </c>
      <c r="M28">
        <v>2</v>
      </c>
      <c r="N28">
        <v>10</v>
      </c>
      <c r="O28">
        <v>467</v>
      </c>
      <c r="P28">
        <v>332</v>
      </c>
      <c r="Q28">
        <v>10</v>
      </c>
    </row>
    <row r="29" spans="2:17">
      <c r="E29" t="s">
        <v>952</v>
      </c>
      <c r="M29">
        <v>1</v>
      </c>
      <c r="Q29">
        <v>14</v>
      </c>
    </row>
    <row r="30" spans="2:17">
      <c r="E30" t="s">
        <v>962</v>
      </c>
      <c r="F30" t="s">
        <v>423</v>
      </c>
      <c r="G30" t="s">
        <v>971</v>
      </c>
      <c r="H30" t="s">
        <v>989</v>
      </c>
      <c r="O30">
        <v>475</v>
      </c>
      <c r="P30">
        <v>340</v>
      </c>
      <c r="Q30">
        <v>18</v>
      </c>
    </row>
    <row r="31" spans="2:17">
      <c r="E31" t="s">
        <v>964</v>
      </c>
      <c r="Q31">
        <v>22</v>
      </c>
    </row>
    <row r="32" spans="2:17">
      <c r="E32" t="s">
        <v>965</v>
      </c>
      <c r="Q32">
        <v>26</v>
      </c>
    </row>
    <row r="33" spans="5:17">
      <c r="E33" t="s">
        <v>966</v>
      </c>
      <c r="Q33">
        <v>30</v>
      </c>
    </row>
    <row r="34" spans="5:17">
      <c r="E34" t="s">
        <v>967</v>
      </c>
      <c r="Q34">
        <v>34</v>
      </c>
    </row>
    <row r="35" spans="5:17">
      <c r="E35" t="s">
        <v>968</v>
      </c>
      <c r="H35" t="s">
        <v>990</v>
      </c>
      <c r="Q35">
        <v>38</v>
      </c>
    </row>
    <row r="36" spans="5:17">
      <c r="E36" t="s">
        <v>969</v>
      </c>
      <c r="Q36">
        <v>42</v>
      </c>
    </row>
    <row r="37" spans="5:17">
      <c r="E37" t="s">
        <v>970</v>
      </c>
      <c r="H37" t="s">
        <v>991</v>
      </c>
      <c r="Q37">
        <v>46</v>
      </c>
    </row>
    <row r="38" spans="5:17">
      <c r="E38" t="s">
        <v>992</v>
      </c>
    </row>
    <row r="39" spans="5:17">
      <c r="E39" t="s">
        <v>993</v>
      </c>
      <c r="H39" t="s">
        <v>994</v>
      </c>
    </row>
    <row r="42" spans="5:17">
      <c r="H42" t="s">
        <v>910</v>
      </c>
    </row>
    <row r="43" spans="5:17">
      <c r="H43" t="s">
        <v>911</v>
      </c>
    </row>
    <row r="44" spans="5:17">
      <c r="H44" t="s">
        <v>912</v>
      </c>
    </row>
    <row r="45" spans="5:17">
      <c r="E45" t="s">
        <v>915</v>
      </c>
      <c r="H45" t="s">
        <v>913</v>
      </c>
    </row>
    <row r="46" spans="5:17">
      <c r="E46" t="s">
        <v>916</v>
      </c>
      <c r="H46" t="s">
        <v>914</v>
      </c>
    </row>
    <row r="47" spans="5:17">
      <c r="E47" t="s">
        <v>917</v>
      </c>
      <c r="P47" t="s">
        <v>987</v>
      </c>
    </row>
    <row r="48" spans="5:17">
      <c r="N48" t="s">
        <v>902</v>
      </c>
      <c r="P48" t="s">
        <v>28</v>
      </c>
      <c r="Q48" t="s">
        <v>0</v>
      </c>
    </row>
    <row r="49" spans="6:18">
      <c r="M49" t="s">
        <v>955</v>
      </c>
      <c r="N49">
        <v>1980</v>
      </c>
      <c r="P49">
        <v>1135</v>
      </c>
      <c r="Q49">
        <v>618</v>
      </c>
    </row>
    <row r="50" spans="6:18">
      <c r="M50" t="s">
        <v>956</v>
      </c>
      <c r="N50">
        <v>3630</v>
      </c>
      <c r="P50">
        <v>1175</v>
      </c>
      <c r="Q50">
        <v>627</v>
      </c>
      <c r="R50" t="s">
        <v>988</v>
      </c>
    </row>
    <row r="51" spans="6:18">
      <c r="F51" t="s">
        <v>921</v>
      </c>
      <c r="M51" t="s">
        <v>379</v>
      </c>
      <c r="N51">
        <v>640</v>
      </c>
    </row>
    <row r="52" spans="6:18">
      <c r="M52" t="s">
        <v>378</v>
      </c>
      <c r="N52">
        <v>520</v>
      </c>
    </row>
    <row r="53" spans="6:18">
      <c r="G53" t="s">
        <v>882</v>
      </c>
      <c r="H53" t="s">
        <v>909</v>
      </c>
      <c r="M53" t="s">
        <v>957</v>
      </c>
      <c r="N53">
        <v>300</v>
      </c>
    </row>
    <row r="54" spans="6:18">
      <c r="M54" t="s">
        <v>332</v>
      </c>
      <c r="N54">
        <v>250</v>
      </c>
    </row>
    <row r="55" spans="6:18">
      <c r="M55" t="s">
        <v>374</v>
      </c>
      <c r="N55">
        <v>-250</v>
      </c>
    </row>
    <row r="56" spans="6:18">
      <c r="M56" t="s">
        <v>375</v>
      </c>
      <c r="N56">
        <v>-180</v>
      </c>
    </row>
    <row r="57" spans="6:18">
      <c r="M57" t="s">
        <v>376</v>
      </c>
      <c r="N57">
        <v>-60</v>
      </c>
    </row>
    <row r="58" spans="6:18">
      <c r="H58" t="s">
        <v>979</v>
      </c>
      <c r="M58" t="s">
        <v>958</v>
      </c>
    </row>
    <row r="59" spans="6:18">
      <c r="H59" t="s">
        <v>980</v>
      </c>
      <c r="M59" t="s">
        <v>955</v>
      </c>
      <c r="N59">
        <v>1980</v>
      </c>
    </row>
    <row r="60" spans="6:18">
      <c r="M60" t="s">
        <v>59</v>
      </c>
      <c r="N60">
        <v>-1000</v>
      </c>
    </row>
    <row r="66" spans="6:16">
      <c r="N66">
        <f>SUM(N49:N64)</f>
        <v>7810</v>
      </c>
      <c r="P66">
        <f>N66/30</f>
        <v>260.33333333333331</v>
      </c>
    </row>
    <row r="70" spans="6:16">
      <c r="H70" t="s">
        <v>986</v>
      </c>
    </row>
    <row r="75" spans="6:16">
      <c r="F75" t="s">
        <v>934</v>
      </c>
    </row>
    <row r="76" spans="6:16">
      <c r="F76" t="s">
        <v>981</v>
      </c>
    </row>
    <row r="77" spans="6:16">
      <c r="F77" t="s">
        <v>971</v>
      </c>
    </row>
    <row r="81" spans="6:8">
      <c r="F81" t="s">
        <v>982</v>
      </c>
      <c r="H81" t="s">
        <v>984</v>
      </c>
    </row>
    <row r="82" spans="6:8">
      <c r="F82" t="s">
        <v>983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K37"/>
  <sheetViews>
    <sheetView workbookViewId="0">
      <selection activeCell="K20" sqref="K20"/>
    </sheetView>
  </sheetViews>
  <sheetFormatPr defaultRowHeight="15"/>
  <sheetData>
    <row r="10" spans="7:11">
      <c r="H10" t="s">
        <v>554</v>
      </c>
      <c r="I10" t="s">
        <v>1186</v>
      </c>
      <c r="J10" t="s">
        <v>1187</v>
      </c>
    </row>
    <row r="11" spans="7:11">
      <c r="G11" t="s">
        <v>1185</v>
      </c>
      <c r="H11">
        <v>0</v>
      </c>
      <c r="I11">
        <v>0.8</v>
      </c>
      <c r="J11">
        <v>1</v>
      </c>
      <c r="K11">
        <v>2.1</v>
      </c>
    </row>
    <row r="12" spans="7:11">
      <c r="H12">
        <v>1</v>
      </c>
      <c r="I12">
        <v>1.5</v>
      </c>
      <c r="J12">
        <v>1.75</v>
      </c>
      <c r="K12">
        <v>3.5</v>
      </c>
    </row>
    <row r="13" spans="7:11">
      <c r="H13">
        <v>2</v>
      </c>
      <c r="I13">
        <v>2.1</v>
      </c>
      <c r="J13">
        <v>2.5</v>
      </c>
      <c r="K13">
        <v>4.5999999999999996</v>
      </c>
    </row>
    <row r="14" spans="7:11">
      <c r="H14">
        <f>H13+1</f>
        <v>3</v>
      </c>
      <c r="I14">
        <v>2.75</v>
      </c>
      <c r="J14">
        <v>3.1</v>
      </c>
      <c r="K14">
        <v>5.5</v>
      </c>
    </row>
    <row r="15" spans="7:11">
      <c r="H15">
        <f t="shared" ref="H15:H34" si="0">H14+1</f>
        <v>4</v>
      </c>
      <c r="I15">
        <v>3.1</v>
      </c>
      <c r="J15">
        <v>3.6</v>
      </c>
      <c r="K15">
        <v>6.25</v>
      </c>
    </row>
    <row r="16" spans="7:11">
      <c r="H16">
        <f t="shared" si="0"/>
        <v>5</v>
      </c>
      <c r="I16">
        <v>3.5</v>
      </c>
      <c r="J16">
        <v>4.0999999999999996</v>
      </c>
      <c r="K16">
        <v>7.05</v>
      </c>
    </row>
    <row r="17" spans="8:11">
      <c r="H17">
        <f t="shared" si="0"/>
        <v>6</v>
      </c>
      <c r="I17">
        <v>3.95</v>
      </c>
      <c r="J17">
        <v>4.5</v>
      </c>
      <c r="K17">
        <v>7.8</v>
      </c>
    </row>
    <row r="18" spans="8:11">
      <c r="H18">
        <f t="shared" si="0"/>
        <v>7</v>
      </c>
      <c r="I18">
        <v>4.2</v>
      </c>
      <c r="J18">
        <v>4.95</v>
      </c>
      <c r="K18">
        <v>8.4</v>
      </c>
    </row>
    <row r="19" spans="8:11">
      <c r="H19">
        <f t="shared" si="0"/>
        <v>8</v>
      </c>
      <c r="I19">
        <v>4.5999999999999996</v>
      </c>
      <c r="J19">
        <v>5.2</v>
      </c>
      <c r="K19">
        <v>9.02</v>
      </c>
    </row>
    <row r="20" spans="8:11">
      <c r="H20">
        <f t="shared" si="0"/>
        <v>9</v>
      </c>
      <c r="I20">
        <v>4.95</v>
      </c>
      <c r="J20">
        <v>5.65</v>
      </c>
    </row>
    <row r="21" spans="8:11">
      <c r="H21">
        <f t="shared" si="0"/>
        <v>10</v>
      </c>
      <c r="I21">
        <v>5.15</v>
      </c>
      <c r="J21">
        <v>6</v>
      </c>
    </row>
    <row r="22" spans="8:11">
      <c r="H22">
        <f t="shared" si="0"/>
        <v>11</v>
      </c>
      <c r="I22">
        <v>5.5</v>
      </c>
      <c r="J22">
        <v>6.2</v>
      </c>
    </row>
    <row r="23" spans="8:11">
      <c r="H23">
        <f t="shared" si="0"/>
        <v>12</v>
      </c>
      <c r="I23">
        <v>5.85</v>
      </c>
      <c r="J23">
        <v>6.7</v>
      </c>
    </row>
    <row r="24" spans="8:11">
      <c r="H24">
        <f t="shared" si="0"/>
        <v>13</v>
      </c>
      <c r="I24">
        <v>6.05</v>
      </c>
      <c r="J24">
        <v>6.95</v>
      </c>
    </row>
    <row r="25" spans="8:11">
      <c r="H25">
        <f t="shared" si="0"/>
        <v>14</v>
      </c>
      <c r="I25">
        <v>6.25</v>
      </c>
      <c r="J25">
        <v>7.15</v>
      </c>
    </row>
    <row r="26" spans="8:11">
      <c r="H26">
        <f t="shared" si="0"/>
        <v>15</v>
      </c>
      <c r="I26">
        <v>6.6</v>
      </c>
      <c r="J26">
        <v>7.5</v>
      </c>
    </row>
    <row r="27" spans="8:11">
      <c r="H27">
        <f t="shared" si="0"/>
        <v>16</v>
      </c>
      <c r="I27">
        <v>6.9</v>
      </c>
      <c r="J27">
        <v>7.85</v>
      </c>
    </row>
    <row r="28" spans="8:11">
      <c r="H28">
        <f t="shared" si="0"/>
        <v>17</v>
      </c>
      <c r="I28">
        <v>7.05</v>
      </c>
      <c r="J28">
        <v>8.0500000000000007</v>
      </c>
    </row>
    <row r="29" spans="8:11">
      <c r="H29">
        <f t="shared" si="0"/>
        <v>18</v>
      </c>
      <c r="I29">
        <v>7.2</v>
      </c>
      <c r="J29">
        <v>8.25</v>
      </c>
    </row>
    <row r="30" spans="8:11">
      <c r="H30">
        <f t="shared" si="0"/>
        <v>19</v>
      </c>
      <c r="I30">
        <v>7.5</v>
      </c>
      <c r="J30">
        <v>8.65</v>
      </c>
    </row>
    <row r="31" spans="8:11">
      <c r="H31">
        <f t="shared" si="0"/>
        <v>20</v>
      </c>
      <c r="I31">
        <v>7.8</v>
      </c>
      <c r="J31">
        <v>8.9499999999999993</v>
      </c>
    </row>
    <row r="32" spans="8:11">
      <c r="H32">
        <f t="shared" si="0"/>
        <v>21</v>
      </c>
      <c r="I32">
        <v>7.97</v>
      </c>
      <c r="J32">
        <v>9.1</v>
      </c>
    </row>
    <row r="33" spans="8:9">
      <c r="H33">
        <f t="shared" si="0"/>
        <v>22</v>
      </c>
      <c r="I33">
        <v>8.15</v>
      </c>
    </row>
    <row r="34" spans="8:9">
      <c r="H34">
        <f t="shared" si="0"/>
        <v>23</v>
      </c>
      <c r="I34">
        <v>8.4</v>
      </c>
    </row>
    <row r="35" spans="8:9">
      <c r="H35">
        <v>24</v>
      </c>
      <c r="I35">
        <v>8.65</v>
      </c>
    </row>
    <row r="36" spans="8:9">
      <c r="H36">
        <v>25</v>
      </c>
      <c r="I36">
        <v>8.85</v>
      </c>
    </row>
    <row r="37" spans="8:9">
      <c r="H37">
        <v>26</v>
      </c>
      <c r="I37">
        <v>9.02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82"/>
  <sheetViews>
    <sheetView workbookViewId="0">
      <selection activeCell="H10" sqref="H10"/>
    </sheetView>
  </sheetViews>
  <sheetFormatPr defaultRowHeight="15"/>
  <cols>
    <col min="6" max="6" width="31.7109375" customWidth="1"/>
    <col min="7" max="7" width="19.42578125" customWidth="1"/>
    <col min="8" max="8" width="54.85546875" customWidth="1"/>
  </cols>
  <sheetData>
    <row r="5" spans="2:17">
      <c r="O5" t="s">
        <v>972</v>
      </c>
    </row>
    <row r="7" spans="2:17">
      <c r="B7" t="s">
        <v>976</v>
      </c>
      <c r="C7" t="s">
        <v>975</v>
      </c>
      <c r="D7" s="18" t="s">
        <v>475</v>
      </c>
      <c r="E7" s="18" t="s">
        <v>869</v>
      </c>
      <c r="F7" s="18" t="s">
        <v>870</v>
      </c>
      <c r="G7" s="18" t="s">
        <v>871</v>
      </c>
      <c r="H7" s="18" t="s">
        <v>875</v>
      </c>
      <c r="I7" s="18" t="s">
        <v>893</v>
      </c>
      <c r="J7" s="18" t="s">
        <v>902</v>
      </c>
      <c r="K7" s="18" t="s">
        <v>335</v>
      </c>
      <c r="L7" s="18" t="s">
        <v>903</v>
      </c>
      <c r="M7" s="18" t="s">
        <v>559</v>
      </c>
      <c r="N7" s="18" t="s">
        <v>907</v>
      </c>
      <c r="O7" s="18" t="s">
        <v>28</v>
      </c>
      <c r="P7" s="18" t="s">
        <v>0</v>
      </c>
      <c r="Q7" s="18" t="s">
        <v>963</v>
      </c>
    </row>
    <row r="8" spans="2:17">
      <c r="D8">
        <v>1</v>
      </c>
      <c r="E8" t="s">
        <v>872</v>
      </c>
      <c r="F8" t="s">
        <v>873</v>
      </c>
      <c r="G8" t="s">
        <v>874</v>
      </c>
      <c r="H8" t="s">
        <v>942</v>
      </c>
    </row>
    <row r="9" spans="2:17">
      <c r="D9">
        <v>2</v>
      </c>
      <c r="E9" t="s">
        <v>876</v>
      </c>
      <c r="F9" t="s">
        <v>472</v>
      </c>
    </row>
    <row r="10" spans="2:17">
      <c r="B10">
        <v>20</v>
      </c>
      <c r="D10">
        <v>3</v>
      </c>
      <c r="E10" t="s">
        <v>877</v>
      </c>
      <c r="F10" t="s">
        <v>470</v>
      </c>
      <c r="H10" t="s">
        <v>977</v>
      </c>
    </row>
    <row r="11" spans="2:17">
      <c r="D11">
        <v>4</v>
      </c>
      <c r="E11" t="s">
        <v>881</v>
      </c>
      <c r="F11" t="s">
        <v>878</v>
      </c>
      <c r="G11" t="s">
        <v>904</v>
      </c>
      <c r="H11" t="s">
        <v>995</v>
      </c>
      <c r="O11">
        <v>39</v>
      </c>
      <c r="P11">
        <v>64</v>
      </c>
    </row>
    <row r="12" spans="2:17">
      <c r="C12">
        <v>1</v>
      </c>
      <c r="D12">
        <v>5</v>
      </c>
      <c r="E12" t="s">
        <v>879</v>
      </c>
      <c r="F12" t="s">
        <v>880</v>
      </c>
      <c r="G12" t="s">
        <v>883</v>
      </c>
      <c r="H12" t="s">
        <v>996</v>
      </c>
      <c r="L12">
        <v>0</v>
      </c>
      <c r="O12">
        <v>163</v>
      </c>
      <c r="P12">
        <v>146</v>
      </c>
    </row>
    <row r="13" spans="2:17">
      <c r="C13">
        <v>40</v>
      </c>
      <c r="D13">
        <v>6</v>
      </c>
      <c r="E13" t="s">
        <v>884</v>
      </c>
      <c r="F13" t="s">
        <v>885</v>
      </c>
      <c r="H13" t="s">
        <v>997</v>
      </c>
      <c r="I13">
        <v>9</v>
      </c>
      <c r="L13">
        <v>1</v>
      </c>
      <c r="O13">
        <v>217</v>
      </c>
      <c r="P13">
        <v>200</v>
      </c>
    </row>
    <row r="14" spans="2:17">
      <c r="D14">
        <v>7</v>
      </c>
      <c r="E14" t="s">
        <v>886</v>
      </c>
      <c r="F14" t="s">
        <v>944</v>
      </c>
      <c r="G14" t="s">
        <v>887</v>
      </c>
      <c r="H14" t="s">
        <v>905</v>
      </c>
      <c r="I14">
        <v>8</v>
      </c>
      <c r="L14">
        <v>2</v>
      </c>
      <c r="M14">
        <v>6</v>
      </c>
      <c r="N14">
        <v>0</v>
      </c>
      <c r="O14">
        <v>219</v>
      </c>
      <c r="P14">
        <v>205</v>
      </c>
    </row>
    <row r="15" spans="2:17">
      <c r="D15">
        <v>8</v>
      </c>
      <c r="E15" t="s">
        <v>888</v>
      </c>
      <c r="G15" t="s">
        <v>889</v>
      </c>
      <c r="I15">
        <v>7</v>
      </c>
      <c r="L15">
        <v>3</v>
      </c>
      <c r="M15">
        <v>5</v>
      </c>
      <c r="N15">
        <v>1</v>
      </c>
      <c r="O15">
        <v>224</v>
      </c>
      <c r="P15">
        <v>212</v>
      </c>
    </row>
    <row r="16" spans="2:17">
      <c r="D16">
        <v>9</v>
      </c>
      <c r="E16" t="s">
        <v>890</v>
      </c>
      <c r="F16" t="s">
        <v>947</v>
      </c>
      <c r="G16" t="s">
        <v>891</v>
      </c>
      <c r="H16" t="s">
        <v>919</v>
      </c>
      <c r="I16">
        <v>6</v>
      </c>
      <c r="L16">
        <v>4</v>
      </c>
      <c r="M16">
        <v>13</v>
      </c>
      <c r="N16">
        <v>2</v>
      </c>
      <c r="O16">
        <v>239</v>
      </c>
      <c r="P16">
        <v>228</v>
      </c>
    </row>
    <row r="17" spans="2:17">
      <c r="D17">
        <v>10</v>
      </c>
      <c r="E17" t="s">
        <v>894</v>
      </c>
      <c r="F17" t="s">
        <v>948</v>
      </c>
      <c r="I17">
        <v>5</v>
      </c>
      <c r="L17">
        <v>1</v>
      </c>
      <c r="M17">
        <v>12</v>
      </c>
      <c r="N17">
        <v>3</v>
      </c>
    </row>
    <row r="18" spans="2:17">
      <c r="E18" t="s">
        <v>895</v>
      </c>
      <c r="F18" t="s">
        <v>906</v>
      </c>
      <c r="I18">
        <v>3</v>
      </c>
      <c r="L18">
        <v>2</v>
      </c>
      <c r="M18">
        <v>11</v>
      </c>
      <c r="N18">
        <v>4</v>
      </c>
      <c r="O18">
        <v>247</v>
      </c>
      <c r="P18">
        <v>244</v>
      </c>
    </row>
    <row r="19" spans="2:17">
      <c r="E19" t="s">
        <v>896</v>
      </c>
      <c r="F19" t="s">
        <v>906</v>
      </c>
      <c r="I19">
        <v>2</v>
      </c>
      <c r="L19">
        <v>3</v>
      </c>
      <c r="M19">
        <v>10</v>
      </c>
      <c r="N19">
        <v>5</v>
      </c>
      <c r="O19">
        <v>251</v>
      </c>
      <c r="P19">
        <v>254</v>
      </c>
    </row>
    <row r="20" spans="2:17">
      <c r="E20" t="s">
        <v>897</v>
      </c>
      <c r="F20" t="s">
        <v>908</v>
      </c>
      <c r="I20">
        <v>1</v>
      </c>
      <c r="L20">
        <v>4</v>
      </c>
      <c r="M20">
        <v>9</v>
      </c>
      <c r="N20">
        <v>6</v>
      </c>
      <c r="O20">
        <v>256</v>
      </c>
      <c r="P20">
        <v>261</v>
      </c>
    </row>
    <row r="21" spans="2:17">
      <c r="E21" t="s">
        <v>898</v>
      </c>
      <c r="F21" t="s">
        <v>424</v>
      </c>
      <c r="I21">
        <v>1</v>
      </c>
      <c r="L21">
        <v>5</v>
      </c>
      <c r="M21">
        <v>8</v>
      </c>
      <c r="N21">
        <v>6</v>
      </c>
      <c r="O21">
        <v>258</v>
      </c>
      <c r="P21">
        <v>266</v>
      </c>
    </row>
    <row r="22" spans="2:17">
      <c r="E22" t="s">
        <v>899</v>
      </c>
      <c r="F22" t="s">
        <v>424</v>
      </c>
      <c r="I22">
        <v>1</v>
      </c>
      <c r="L22">
        <v>6</v>
      </c>
      <c r="M22">
        <v>7</v>
      </c>
      <c r="N22">
        <v>7</v>
      </c>
      <c r="O22">
        <v>261</v>
      </c>
      <c r="P22">
        <v>268</v>
      </c>
    </row>
    <row r="23" spans="2:17">
      <c r="E23" t="s">
        <v>900</v>
      </c>
      <c r="F23" t="s">
        <v>424</v>
      </c>
      <c r="M23">
        <v>6</v>
      </c>
      <c r="N23">
        <v>8</v>
      </c>
    </row>
    <row r="24" spans="2:17">
      <c r="E24" t="s">
        <v>901</v>
      </c>
      <c r="F24" t="s">
        <v>424</v>
      </c>
      <c r="G24" t="s">
        <v>950</v>
      </c>
      <c r="H24" t="s">
        <v>998</v>
      </c>
      <c r="M24">
        <v>5</v>
      </c>
      <c r="N24">
        <v>8</v>
      </c>
      <c r="O24">
        <v>268</v>
      </c>
      <c r="P24">
        <v>281</v>
      </c>
    </row>
    <row r="25" spans="2:17">
      <c r="E25" t="s">
        <v>892</v>
      </c>
      <c r="F25" t="s">
        <v>424</v>
      </c>
      <c r="G25" t="s">
        <v>953</v>
      </c>
      <c r="H25" t="s">
        <v>960</v>
      </c>
      <c r="M25">
        <v>4</v>
      </c>
      <c r="N25">
        <v>9</v>
      </c>
      <c r="Q25">
        <v>3</v>
      </c>
    </row>
    <row r="26" spans="2:17">
      <c r="E26" t="s">
        <v>949</v>
      </c>
      <c r="F26" t="s">
        <v>424</v>
      </c>
      <c r="G26" t="s">
        <v>954</v>
      </c>
      <c r="H26" t="s">
        <v>978</v>
      </c>
      <c r="M26">
        <v>3</v>
      </c>
      <c r="N26">
        <v>9</v>
      </c>
      <c r="Q26">
        <v>6</v>
      </c>
    </row>
    <row r="27" spans="2:17">
      <c r="E27" t="s">
        <v>951</v>
      </c>
      <c r="F27" t="s">
        <v>424</v>
      </c>
      <c r="M27">
        <v>2</v>
      </c>
      <c r="N27">
        <v>10</v>
      </c>
      <c r="O27">
        <v>463</v>
      </c>
      <c r="P27">
        <v>325</v>
      </c>
      <c r="Q27">
        <v>9</v>
      </c>
    </row>
    <row r="28" spans="2:17">
      <c r="B28">
        <v>80</v>
      </c>
      <c r="E28" t="s">
        <v>952</v>
      </c>
      <c r="F28" t="s">
        <v>423</v>
      </c>
      <c r="G28" t="s">
        <v>971</v>
      </c>
      <c r="H28" t="s">
        <v>989</v>
      </c>
      <c r="M28">
        <v>1</v>
      </c>
      <c r="O28">
        <v>467</v>
      </c>
      <c r="P28">
        <v>332</v>
      </c>
      <c r="Q28">
        <v>12</v>
      </c>
    </row>
    <row r="29" spans="2:17">
      <c r="E29" t="s">
        <v>962</v>
      </c>
      <c r="Q29">
        <v>15</v>
      </c>
    </row>
    <row r="30" spans="2:17">
      <c r="E30" t="s">
        <v>964</v>
      </c>
      <c r="O30">
        <v>475</v>
      </c>
      <c r="P30">
        <v>340</v>
      </c>
      <c r="Q30">
        <v>18</v>
      </c>
    </row>
    <row r="31" spans="2:17">
      <c r="E31" t="s">
        <v>965</v>
      </c>
      <c r="Q31">
        <v>21</v>
      </c>
    </row>
    <row r="32" spans="2:17">
      <c r="E32" t="s">
        <v>966</v>
      </c>
      <c r="Q32">
        <v>24</v>
      </c>
    </row>
    <row r="33" spans="5:17">
      <c r="E33" t="s">
        <v>967</v>
      </c>
      <c r="Q33">
        <v>27</v>
      </c>
    </row>
    <row r="34" spans="5:17">
      <c r="E34" t="s">
        <v>968</v>
      </c>
      <c r="Q34">
        <v>30</v>
      </c>
    </row>
    <row r="35" spans="5:17">
      <c r="E35" t="s">
        <v>969</v>
      </c>
      <c r="H35" t="s">
        <v>990</v>
      </c>
      <c r="Q35">
        <v>33</v>
      </c>
    </row>
    <row r="36" spans="5:17">
      <c r="E36" t="s">
        <v>970</v>
      </c>
      <c r="Q36">
        <v>36</v>
      </c>
    </row>
    <row r="37" spans="5:17">
      <c r="E37" t="s">
        <v>992</v>
      </c>
      <c r="H37" t="s">
        <v>991</v>
      </c>
      <c r="Q37">
        <v>39</v>
      </c>
    </row>
    <row r="38" spans="5:17">
      <c r="E38" t="s">
        <v>993</v>
      </c>
      <c r="Q38">
        <v>42</v>
      </c>
    </row>
    <row r="39" spans="5:17">
      <c r="H39" t="s">
        <v>994</v>
      </c>
      <c r="Q39">
        <v>45</v>
      </c>
    </row>
    <row r="42" spans="5:17">
      <c r="H42" t="s">
        <v>910</v>
      </c>
    </row>
    <row r="43" spans="5:17">
      <c r="H43" t="s">
        <v>911</v>
      </c>
    </row>
    <row r="44" spans="5:17">
      <c r="H44" t="s">
        <v>912</v>
      </c>
    </row>
    <row r="45" spans="5:17">
      <c r="E45" t="s">
        <v>915</v>
      </c>
      <c r="H45" t="s">
        <v>913</v>
      </c>
    </row>
    <row r="46" spans="5:17">
      <c r="E46" t="s">
        <v>916</v>
      </c>
      <c r="H46" t="s">
        <v>914</v>
      </c>
    </row>
    <row r="47" spans="5:17">
      <c r="E47" t="s">
        <v>917</v>
      </c>
      <c r="P47" t="s">
        <v>987</v>
      </c>
    </row>
    <row r="48" spans="5:17">
      <c r="N48" t="s">
        <v>902</v>
      </c>
      <c r="P48" t="s">
        <v>28</v>
      </c>
      <c r="Q48" t="s">
        <v>0</v>
      </c>
    </row>
    <row r="49" spans="6:18">
      <c r="M49" t="s">
        <v>955</v>
      </c>
      <c r="N49">
        <v>1980</v>
      </c>
      <c r="P49">
        <v>1135</v>
      </c>
      <c r="Q49">
        <v>618</v>
      </c>
    </row>
    <row r="50" spans="6:18">
      <c r="M50" t="s">
        <v>956</v>
      </c>
      <c r="N50">
        <v>3630</v>
      </c>
      <c r="P50">
        <v>1175</v>
      </c>
      <c r="Q50">
        <v>627</v>
      </c>
      <c r="R50" t="s">
        <v>988</v>
      </c>
    </row>
    <row r="51" spans="6:18">
      <c r="F51" t="s">
        <v>921</v>
      </c>
      <c r="M51" t="s">
        <v>379</v>
      </c>
      <c r="N51">
        <v>640</v>
      </c>
    </row>
    <row r="52" spans="6:18">
      <c r="M52" t="s">
        <v>378</v>
      </c>
      <c r="N52">
        <v>520</v>
      </c>
    </row>
    <row r="53" spans="6:18">
      <c r="G53" t="s">
        <v>882</v>
      </c>
      <c r="H53" t="s">
        <v>909</v>
      </c>
      <c r="M53" t="s">
        <v>957</v>
      </c>
      <c r="N53">
        <v>300</v>
      </c>
    </row>
    <row r="54" spans="6:18">
      <c r="M54" t="s">
        <v>332</v>
      </c>
      <c r="N54">
        <v>250</v>
      </c>
    </row>
    <row r="55" spans="6:18">
      <c r="M55" t="s">
        <v>374</v>
      </c>
      <c r="N55">
        <v>-250</v>
      </c>
    </row>
    <row r="56" spans="6:18">
      <c r="M56" t="s">
        <v>375</v>
      </c>
      <c r="N56">
        <v>-180</v>
      </c>
    </row>
    <row r="57" spans="6:18">
      <c r="M57" t="s">
        <v>376</v>
      </c>
      <c r="N57">
        <v>-60</v>
      </c>
    </row>
    <row r="58" spans="6:18">
      <c r="H58" t="s">
        <v>979</v>
      </c>
      <c r="M58" t="s">
        <v>958</v>
      </c>
    </row>
    <row r="59" spans="6:18">
      <c r="H59" t="s">
        <v>980</v>
      </c>
      <c r="M59" t="s">
        <v>955</v>
      </c>
      <c r="N59">
        <v>1980</v>
      </c>
    </row>
    <row r="60" spans="6:18">
      <c r="M60" t="s">
        <v>59</v>
      </c>
      <c r="N60">
        <v>-1000</v>
      </c>
    </row>
    <row r="62" spans="6:18">
      <c r="F62" t="s">
        <v>999</v>
      </c>
    </row>
    <row r="66" spans="6:16">
      <c r="N66">
        <f>SUM(N49:N64)</f>
        <v>7810</v>
      </c>
      <c r="P66">
        <f>N66/30</f>
        <v>260.33333333333331</v>
      </c>
    </row>
    <row r="70" spans="6:16">
      <c r="H70" t="s">
        <v>986</v>
      </c>
    </row>
    <row r="75" spans="6:16">
      <c r="F75" t="s">
        <v>934</v>
      </c>
    </row>
    <row r="76" spans="6:16">
      <c r="F76" t="s">
        <v>981</v>
      </c>
    </row>
    <row r="77" spans="6:16">
      <c r="F77" t="s">
        <v>971</v>
      </c>
    </row>
    <row r="81" spans="6:8">
      <c r="F81" t="s">
        <v>982</v>
      </c>
      <c r="H81" t="s">
        <v>984</v>
      </c>
    </row>
    <row r="82" spans="6:8">
      <c r="F82" t="s">
        <v>983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82"/>
  <sheetViews>
    <sheetView workbookViewId="0">
      <selection activeCell="H29" sqref="H29"/>
    </sheetView>
  </sheetViews>
  <sheetFormatPr defaultRowHeight="15"/>
  <cols>
    <col min="6" max="6" width="31.7109375" customWidth="1"/>
    <col min="7" max="8" width="10.5703125" customWidth="1"/>
    <col min="9" max="9" width="19.42578125" customWidth="1"/>
    <col min="10" max="10" width="54.85546875" customWidth="1"/>
  </cols>
  <sheetData>
    <row r="5" spans="2:19">
      <c r="Q5" t="s">
        <v>972</v>
      </c>
    </row>
    <row r="7" spans="2:19">
      <c r="B7" t="s">
        <v>976</v>
      </c>
      <c r="C7" t="s">
        <v>975</v>
      </c>
      <c r="D7" s="18" t="s">
        <v>475</v>
      </c>
      <c r="E7" s="18" t="s">
        <v>869</v>
      </c>
      <c r="F7" s="18" t="s">
        <v>870</v>
      </c>
      <c r="G7" s="18" t="s">
        <v>1066</v>
      </c>
      <c r="H7" s="18" t="s">
        <v>1067</v>
      </c>
      <c r="I7" s="18" t="s">
        <v>871</v>
      </c>
      <c r="J7" s="18" t="s">
        <v>875</v>
      </c>
      <c r="K7" s="18" t="s">
        <v>893</v>
      </c>
      <c r="L7" s="18" t="s">
        <v>902</v>
      </c>
      <c r="M7" s="18" t="s">
        <v>335</v>
      </c>
      <c r="N7" s="18" t="s">
        <v>903</v>
      </c>
      <c r="O7" s="18" t="s">
        <v>559</v>
      </c>
      <c r="P7" s="18" t="s">
        <v>907</v>
      </c>
      <c r="Q7" s="18" t="s">
        <v>28</v>
      </c>
      <c r="R7" s="18" t="s">
        <v>0</v>
      </c>
      <c r="S7" s="18" t="s">
        <v>963</v>
      </c>
    </row>
    <row r="8" spans="2:19">
      <c r="D8">
        <v>1</v>
      </c>
      <c r="E8" t="s">
        <v>872</v>
      </c>
      <c r="F8" t="s">
        <v>873</v>
      </c>
      <c r="G8" s="23">
        <v>0.33333333333333331</v>
      </c>
      <c r="H8" s="23">
        <v>0.34027777777777773</v>
      </c>
      <c r="I8" t="s">
        <v>874</v>
      </c>
      <c r="J8" t="s">
        <v>1068</v>
      </c>
    </row>
    <row r="9" spans="2:19">
      <c r="D9">
        <v>2</v>
      </c>
      <c r="E9" t="s">
        <v>876</v>
      </c>
      <c r="F9" t="s">
        <v>472</v>
      </c>
      <c r="G9" s="23">
        <v>0.25</v>
      </c>
      <c r="H9" s="23">
        <v>0.25694444444444448</v>
      </c>
    </row>
    <row r="10" spans="2:19">
      <c r="B10">
        <v>20</v>
      </c>
      <c r="D10">
        <v>3</v>
      </c>
      <c r="E10" t="s">
        <v>877</v>
      </c>
      <c r="F10" t="s">
        <v>470</v>
      </c>
      <c r="G10" s="23">
        <v>0.25</v>
      </c>
      <c r="H10" s="23">
        <v>0.25694444444444448</v>
      </c>
      <c r="J10" t="s">
        <v>977</v>
      </c>
    </row>
    <row r="11" spans="2:19">
      <c r="D11">
        <v>4</v>
      </c>
      <c r="E11" t="s">
        <v>881</v>
      </c>
      <c r="F11" t="s">
        <v>878</v>
      </c>
      <c r="G11" s="23">
        <v>0.25</v>
      </c>
      <c r="H11" s="23">
        <v>0.3125</v>
      </c>
      <c r="I11" t="s">
        <v>904</v>
      </c>
      <c r="J11" t="s">
        <v>995</v>
      </c>
      <c r="Q11">
        <v>39</v>
      </c>
      <c r="R11">
        <v>64</v>
      </c>
    </row>
    <row r="12" spans="2:19">
      <c r="C12">
        <v>1</v>
      </c>
      <c r="D12">
        <v>5</v>
      </c>
      <c r="E12" t="s">
        <v>879</v>
      </c>
      <c r="F12" t="s">
        <v>880</v>
      </c>
      <c r="G12" s="23">
        <v>0.29166666666666669</v>
      </c>
      <c r="H12" s="23">
        <v>0.32291666666666669</v>
      </c>
      <c r="I12" t="s">
        <v>883</v>
      </c>
      <c r="J12" t="s">
        <v>996</v>
      </c>
      <c r="N12">
        <v>0</v>
      </c>
      <c r="Q12">
        <v>163</v>
      </c>
      <c r="R12">
        <v>146</v>
      </c>
    </row>
    <row r="13" spans="2:19">
      <c r="C13">
        <v>40</v>
      </c>
      <c r="D13">
        <v>6</v>
      </c>
      <c r="E13" t="s">
        <v>884</v>
      </c>
      <c r="F13" t="s">
        <v>885</v>
      </c>
      <c r="G13" s="23">
        <v>0.25</v>
      </c>
      <c r="H13" s="23">
        <v>0.27083333333333331</v>
      </c>
      <c r="J13" t="s">
        <v>997</v>
      </c>
      <c r="K13">
        <v>9</v>
      </c>
      <c r="N13">
        <v>1</v>
      </c>
      <c r="Q13">
        <v>217</v>
      </c>
      <c r="R13">
        <v>200</v>
      </c>
    </row>
    <row r="14" spans="2:19">
      <c r="D14">
        <v>7</v>
      </c>
      <c r="E14" t="s">
        <v>886</v>
      </c>
      <c r="F14" t="s">
        <v>944</v>
      </c>
      <c r="G14" s="23">
        <v>0.25</v>
      </c>
      <c r="H14" s="23">
        <v>0.33333333333333331</v>
      </c>
      <c r="I14" t="s">
        <v>887</v>
      </c>
      <c r="J14" t="s">
        <v>905</v>
      </c>
      <c r="K14">
        <v>8</v>
      </c>
      <c r="N14">
        <v>2</v>
      </c>
      <c r="O14">
        <v>6</v>
      </c>
      <c r="P14">
        <v>0</v>
      </c>
      <c r="Q14">
        <v>219</v>
      </c>
      <c r="R14">
        <v>205</v>
      </c>
    </row>
    <row r="15" spans="2:19">
      <c r="D15">
        <v>8</v>
      </c>
      <c r="E15" t="s">
        <v>888</v>
      </c>
      <c r="G15" s="23">
        <v>0.25</v>
      </c>
      <c r="H15" s="23">
        <v>0.2638888888888889</v>
      </c>
      <c r="I15" t="s">
        <v>889</v>
      </c>
      <c r="K15">
        <v>7</v>
      </c>
      <c r="N15">
        <v>3</v>
      </c>
      <c r="O15">
        <v>5</v>
      </c>
      <c r="P15">
        <v>1</v>
      </c>
      <c r="Q15">
        <v>224</v>
      </c>
      <c r="R15">
        <v>212</v>
      </c>
    </row>
    <row r="16" spans="2:19">
      <c r="D16">
        <v>9</v>
      </c>
      <c r="E16" t="s">
        <v>890</v>
      </c>
      <c r="F16" t="s">
        <v>947</v>
      </c>
      <c r="G16" s="23">
        <v>0.3125</v>
      </c>
      <c r="H16" s="23">
        <v>0.33333333333333331</v>
      </c>
      <c r="I16" t="s">
        <v>891</v>
      </c>
      <c r="J16" t="s">
        <v>919</v>
      </c>
      <c r="K16">
        <v>6</v>
      </c>
      <c r="N16">
        <v>4</v>
      </c>
      <c r="O16">
        <v>13</v>
      </c>
      <c r="P16">
        <v>2</v>
      </c>
      <c r="Q16">
        <v>239</v>
      </c>
      <c r="R16">
        <v>228</v>
      </c>
    </row>
    <row r="17" spans="2:19">
      <c r="D17">
        <v>10</v>
      </c>
      <c r="E17" t="s">
        <v>894</v>
      </c>
      <c r="F17" t="s">
        <v>948</v>
      </c>
      <c r="G17" s="23">
        <v>0.25</v>
      </c>
      <c r="H17" s="23">
        <v>0.2638888888888889</v>
      </c>
      <c r="K17">
        <v>5</v>
      </c>
      <c r="N17">
        <v>1</v>
      </c>
      <c r="O17">
        <v>12</v>
      </c>
      <c r="P17">
        <v>3</v>
      </c>
    </row>
    <row r="18" spans="2:19">
      <c r="E18" t="s">
        <v>895</v>
      </c>
      <c r="F18" t="s">
        <v>906</v>
      </c>
      <c r="G18" s="23">
        <v>0.25</v>
      </c>
      <c r="H18" s="23">
        <v>0.2638888888888889</v>
      </c>
      <c r="K18">
        <v>3</v>
      </c>
      <c r="N18">
        <v>2</v>
      </c>
      <c r="O18">
        <v>11</v>
      </c>
      <c r="P18">
        <v>4</v>
      </c>
      <c r="Q18">
        <v>247</v>
      </c>
      <c r="R18">
        <v>244</v>
      </c>
    </row>
    <row r="19" spans="2:19">
      <c r="E19" t="s">
        <v>896</v>
      </c>
      <c r="F19" t="s">
        <v>906</v>
      </c>
      <c r="G19" s="23">
        <v>0.25</v>
      </c>
      <c r="H19" s="23">
        <v>0.2638888888888889</v>
      </c>
      <c r="K19">
        <v>2</v>
      </c>
      <c r="N19">
        <v>3</v>
      </c>
      <c r="O19">
        <v>10</v>
      </c>
      <c r="P19">
        <v>5</v>
      </c>
      <c r="Q19">
        <v>251</v>
      </c>
      <c r="R19">
        <v>254</v>
      </c>
    </row>
    <row r="20" spans="2:19">
      <c r="E20" t="s">
        <v>897</v>
      </c>
      <c r="F20" t="s">
        <v>908</v>
      </c>
      <c r="G20" s="23">
        <v>0.25</v>
      </c>
      <c r="H20" s="23">
        <v>0.2638888888888889</v>
      </c>
      <c r="K20">
        <v>1</v>
      </c>
      <c r="N20">
        <v>4</v>
      </c>
      <c r="O20">
        <v>9</v>
      </c>
      <c r="P20">
        <v>6</v>
      </c>
      <c r="Q20">
        <v>256</v>
      </c>
      <c r="R20">
        <v>261</v>
      </c>
    </row>
    <row r="21" spans="2:19">
      <c r="E21" t="s">
        <v>898</v>
      </c>
      <c r="F21" t="s">
        <v>424</v>
      </c>
      <c r="G21" s="23">
        <v>0.25</v>
      </c>
      <c r="H21" s="23">
        <v>0.26041666666666669</v>
      </c>
      <c r="K21">
        <v>1</v>
      </c>
      <c r="N21">
        <v>5</v>
      </c>
      <c r="O21">
        <v>8</v>
      </c>
      <c r="P21">
        <v>6</v>
      </c>
      <c r="Q21">
        <v>258</v>
      </c>
      <c r="R21">
        <v>266</v>
      </c>
    </row>
    <row r="22" spans="2:19">
      <c r="E22" t="s">
        <v>899</v>
      </c>
      <c r="F22" t="s">
        <v>424</v>
      </c>
      <c r="G22" s="23">
        <v>0.25</v>
      </c>
      <c r="H22" s="23">
        <v>0.26041666666666669</v>
      </c>
      <c r="K22">
        <v>1</v>
      </c>
      <c r="N22">
        <v>6</v>
      </c>
      <c r="O22">
        <v>7</v>
      </c>
      <c r="P22">
        <v>7</v>
      </c>
      <c r="Q22">
        <v>261</v>
      </c>
      <c r="R22">
        <v>268</v>
      </c>
    </row>
    <row r="23" spans="2:19">
      <c r="E23" t="s">
        <v>900</v>
      </c>
      <c r="F23" t="s">
        <v>424</v>
      </c>
      <c r="G23" s="23">
        <v>0.25</v>
      </c>
      <c r="H23" s="23">
        <v>0.26041666666666669</v>
      </c>
      <c r="O23">
        <v>6</v>
      </c>
      <c r="P23">
        <v>8</v>
      </c>
    </row>
    <row r="24" spans="2:19">
      <c r="E24" t="s">
        <v>901</v>
      </c>
      <c r="F24" t="s">
        <v>424</v>
      </c>
      <c r="G24" s="23">
        <v>0.25</v>
      </c>
      <c r="H24" s="23">
        <v>0.33333333333333331</v>
      </c>
      <c r="I24" t="s">
        <v>950</v>
      </c>
      <c r="J24" t="s">
        <v>998</v>
      </c>
      <c r="O24">
        <v>5</v>
      </c>
      <c r="P24">
        <v>8</v>
      </c>
      <c r="Q24">
        <v>268</v>
      </c>
      <c r="R24">
        <v>281</v>
      </c>
    </row>
    <row r="25" spans="2:19">
      <c r="E25" t="s">
        <v>892</v>
      </c>
      <c r="F25" t="s">
        <v>424</v>
      </c>
      <c r="G25" s="23">
        <v>0.25</v>
      </c>
      <c r="H25" s="23">
        <v>0.27083333333333331</v>
      </c>
      <c r="I25" t="s">
        <v>953</v>
      </c>
      <c r="J25" t="s">
        <v>960</v>
      </c>
      <c r="O25">
        <v>4</v>
      </c>
      <c r="P25">
        <v>9</v>
      </c>
      <c r="S25">
        <v>3</v>
      </c>
    </row>
    <row r="26" spans="2:19">
      <c r="E26" t="s">
        <v>949</v>
      </c>
      <c r="F26" t="s">
        <v>424</v>
      </c>
      <c r="G26" s="23">
        <v>0.29166666666666669</v>
      </c>
      <c r="H26" s="23">
        <v>0.33333333333333331</v>
      </c>
      <c r="I26" t="s">
        <v>954</v>
      </c>
      <c r="J26" t="s">
        <v>978</v>
      </c>
      <c r="O26">
        <v>3</v>
      </c>
      <c r="P26">
        <v>9</v>
      </c>
      <c r="S26">
        <v>6</v>
      </c>
    </row>
    <row r="27" spans="2:19">
      <c r="E27" t="s">
        <v>951</v>
      </c>
      <c r="F27" t="s">
        <v>424</v>
      </c>
      <c r="G27" s="23">
        <v>0.25</v>
      </c>
      <c r="H27" s="23">
        <v>0.26041666666666669</v>
      </c>
      <c r="O27">
        <v>2</v>
      </c>
      <c r="P27">
        <v>10</v>
      </c>
      <c r="Q27">
        <v>463</v>
      </c>
      <c r="R27">
        <v>325</v>
      </c>
      <c r="S27">
        <v>9</v>
      </c>
    </row>
    <row r="28" spans="2:19">
      <c r="B28">
        <v>80</v>
      </c>
      <c r="E28" t="s">
        <v>952</v>
      </c>
      <c r="F28" t="s">
        <v>423</v>
      </c>
      <c r="G28" s="23">
        <v>0.29166666666666669</v>
      </c>
      <c r="H28" s="23">
        <v>0.35416666666666669</v>
      </c>
      <c r="I28" t="s">
        <v>971</v>
      </c>
      <c r="J28" t="s">
        <v>989</v>
      </c>
      <c r="O28">
        <v>1</v>
      </c>
      <c r="Q28">
        <v>467</v>
      </c>
      <c r="R28">
        <v>332</v>
      </c>
      <c r="S28">
        <v>12</v>
      </c>
    </row>
    <row r="29" spans="2:19">
      <c r="E29" t="s">
        <v>962</v>
      </c>
      <c r="S29">
        <v>15</v>
      </c>
    </row>
    <row r="30" spans="2:19">
      <c r="E30" t="s">
        <v>964</v>
      </c>
      <c r="Q30">
        <v>475</v>
      </c>
      <c r="R30">
        <v>340</v>
      </c>
      <c r="S30">
        <v>18</v>
      </c>
    </row>
    <row r="31" spans="2:19">
      <c r="E31" t="s">
        <v>965</v>
      </c>
      <c r="S31">
        <v>21</v>
      </c>
    </row>
    <row r="32" spans="2:19">
      <c r="E32" t="s">
        <v>966</v>
      </c>
      <c r="S32">
        <v>24</v>
      </c>
    </row>
    <row r="33" spans="5:19">
      <c r="E33" t="s">
        <v>967</v>
      </c>
      <c r="S33">
        <v>27</v>
      </c>
    </row>
    <row r="34" spans="5:19">
      <c r="E34" t="s">
        <v>968</v>
      </c>
      <c r="S34">
        <v>30</v>
      </c>
    </row>
    <row r="35" spans="5:19">
      <c r="E35" t="s">
        <v>969</v>
      </c>
      <c r="J35" t="s">
        <v>990</v>
      </c>
      <c r="S35">
        <v>33</v>
      </c>
    </row>
    <row r="36" spans="5:19">
      <c r="E36" t="s">
        <v>970</v>
      </c>
      <c r="S36">
        <v>36</v>
      </c>
    </row>
    <row r="37" spans="5:19">
      <c r="E37" t="s">
        <v>992</v>
      </c>
      <c r="J37" t="s">
        <v>991</v>
      </c>
      <c r="S37">
        <v>39</v>
      </c>
    </row>
    <row r="38" spans="5:19">
      <c r="E38" t="s">
        <v>993</v>
      </c>
      <c r="S38">
        <v>42</v>
      </c>
    </row>
    <row r="39" spans="5:19">
      <c r="J39" t="s">
        <v>994</v>
      </c>
      <c r="S39">
        <v>45</v>
      </c>
    </row>
    <row r="42" spans="5:19">
      <c r="J42" t="s">
        <v>910</v>
      </c>
    </row>
    <row r="43" spans="5:19">
      <c r="F43" t="s">
        <v>1070</v>
      </c>
      <c r="G43" t="s">
        <v>1072</v>
      </c>
      <c r="J43" t="s">
        <v>911</v>
      </c>
    </row>
    <row r="44" spans="5:19">
      <c r="F44" t="s">
        <v>1071</v>
      </c>
      <c r="G44" t="s">
        <v>1072</v>
      </c>
      <c r="J44" t="s">
        <v>912</v>
      </c>
    </row>
    <row r="45" spans="5:19">
      <c r="E45" t="s">
        <v>915</v>
      </c>
      <c r="F45" t="s">
        <v>1073</v>
      </c>
      <c r="J45" t="s">
        <v>913</v>
      </c>
    </row>
    <row r="46" spans="5:19">
      <c r="E46" t="s">
        <v>916</v>
      </c>
      <c r="J46" t="s">
        <v>914</v>
      </c>
    </row>
    <row r="47" spans="5:19">
      <c r="E47" t="s">
        <v>917</v>
      </c>
      <c r="R47" t="s">
        <v>987</v>
      </c>
    </row>
    <row r="48" spans="5:19">
      <c r="P48" t="s">
        <v>902</v>
      </c>
      <c r="R48" t="s">
        <v>28</v>
      </c>
      <c r="S48" t="s">
        <v>0</v>
      </c>
    </row>
    <row r="49" spans="6:20">
      <c r="O49" t="s">
        <v>955</v>
      </c>
      <c r="P49">
        <v>1980</v>
      </c>
      <c r="R49">
        <v>1135</v>
      </c>
      <c r="S49">
        <v>618</v>
      </c>
    </row>
    <row r="50" spans="6:20">
      <c r="O50" t="s">
        <v>956</v>
      </c>
      <c r="P50">
        <v>3630</v>
      </c>
      <c r="R50">
        <v>1175</v>
      </c>
      <c r="S50">
        <v>627</v>
      </c>
      <c r="T50" t="s">
        <v>988</v>
      </c>
    </row>
    <row r="51" spans="6:20">
      <c r="F51" t="s">
        <v>921</v>
      </c>
      <c r="O51" t="s">
        <v>379</v>
      </c>
      <c r="P51">
        <v>640</v>
      </c>
    </row>
    <row r="52" spans="6:20">
      <c r="O52" t="s">
        <v>378</v>
      </c>
      <c r="P52">
        <v>520</v>
      </c>
    </row>
    <row r="53" spans="6:20">
      <c r="I53" t="s">
        <v>882</v>
      </c>
      <c r="J53" t="s">
        <v>909</v>
      </c>
      <c r="O53" t="s">
        <v>957</v>
      </c>
      <c r="P53">
        <v>300</v>
      </c>
    </row>
    <row r="54" spans="6:20">
      <c r="O54" t="s">
        <v>332</v>
      </c>
      <c r="P54">
        <v>250</v>
      </c>
    </row>
    <row r="55" spans="6:20">
      <c r="O55" t="s">
        <v>374</v>
      </c>
      <c r="P55">
        <v>-250</v>
      </c>
    </row>
    <row r="56" spans="6:20">
      <c r="O56" t="s">
        <v>375</v>
      </c>
      <c r="P56">
        <v>-180</v>
      </c>
    </row>
    <row r="57" spans="6:20">
      <c r="O57" t="s">
        <v>376</v>
      </c>
      <c r="P57">
        <v>-60</v>
      </c>
    </row>
    <row r="58" spans="6:20">
      <c r="J58" t="s">
        <v>979</v>
      </c>
      <c r="O58" t="s">
        <v>958</v>
      </c>
    </row>
    <row r="59" spans="6:20">
      <c r="J59" t="s">
        <v>980</v>
      </c>
      <c r="O59" t="s">
        <v>955</v>
      </c>
      <c r="P59">
        <v>1980</v>
      </c>
    </row>
    <row r="60" spans="6:20">
      <c r="O60" t="s">
        <v>59</v>
      </c>
      <c r="P60">
        <v>-1000</v>
      </c>
    </row>
    <row r="62" spans="6:20">
      <c r="F62" t="s">
        <v>999</v>
      </c>
    </row>
    <row r="66" spans="6:18">
      <c r="P66">
        <f>SUM(P49:P64)</f>
        <v>7810</v>
      </c>
      <c r="R66">
        <f>P66/30</f>
        <v>260.33333333333331</v>
      </c>
    </row>
    <row r="70" spans="6:18">
      <c r="J70" t="s">
        <v>986</v>
      </c>
    </row>
    <row r="75" spans="6:18">
      <c r="F75" t="s">
        <v>934</v>
      </c>
    </row>
    <row r="76" spans="6:18">
      <c r="F76" t="s">
        <v>981</v>
      </c>
    </row>
    <row r="77" spans="6:18">
      <c r="F77" t="s">
        <v>971</v>
      </c>
    </row>
    <row r="81" spans="6:10">
      <c r="F81" t="s">
        <v>982</v>
      </c>
      <c r="J81" t="s">
        <v>984</v>
      </c>
    </row>
    <row r="82" spans="6:10">
      <c r="F82" t="s">
        <v>983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25"/>
  <sheetViews>
    <sheetView tabSelected="1" topLeftCell="C87" workbookViewId="0">
      <selection activeCell="K106" sqref="K106"/>
    </sheetView>
  </sheetViews>
  <sheetFormatPr defaultRowHeight="15"/>
  <cols>
    <col min="6" max="6" width="31.7109375" customWidth="1"/>
    <col min="7" max="8" width="10.5703125" customWidth="1"/>
    <col min="9" max="9" width="19.42578125" customWidth="1"/>
    <col min="10" max="10" width="54.85546875" customWidth="1"/>
  </cols>
  <sheetData>
    <row r="4" spans="1:19">
      <c r="O4" t="s">
        <v>1124</v>
      </c>
    </row>
    <row r="5" spans="1:19">
      <c r="F5" t="s">
        <v>1118</v>
      </c>
      <c r="O5" t="s">
        <v>1125</v>
      </c>
      <c r="Q5" t="s">
        <v>972</v>
      </c>
    </row>
    <row r="7" spans="1:19">
      <c r="B7" t="s">
        <v>976</v>
      </c>
      <c r="C7" t="s">
        <v>975</v>
      </c>
      <c r="D7" s="18" t="s">
        <v>475</v>
      </c>
      <c r="E7" s="18" t="s">
        <v>869</v>
      </c>
      <c r="F7" s="18" t="s">
        <v>870</v>
      </c>
      <c r="G7" s="18" t="s">
        <v>1066</v>
      </c>
      <c r="H7" s="18" t="s">
        <v>1067</v>
      </c>
      <c r="I7" s="18" t="s">
        <v>871</v>
      </c>
      <c r="J7" s="18" t="s">
        <v>875</v>
      </c>
      <c r="K7" s="18" t="s">
        <v>893</v>
      </c>
      <c r="L7" s="18" t="s">
        <v>902</v>
      </c>
      <c r="M7" s="18" t="s">
        <v>335</v>
      </c>
      <c r="N7" s="18" t="s">
        <v>903</v>
      </c>
      <c r="O7" s="18" t="s">
        <v>559</v>
      </c>
      <c r="P7" s="18" t="s">
        <v>907</v>
      </c>
      <c r="Q7" s="18" t="s">
        <v>28</v>
      </c>
      <c r="R7" s="18" t="s">
        <v>0</v>
      </c>
      <c r="S7" s="18" t="s">
        <v>963</v>
      </c>
    </row>
    <row r="8" spans="1:19">
      <c r="D8">
        <v>1</v>
      </c>
      <c r="E8" t="s">
        <v>872</v>
      </c>
      <c r="F8" t="s">
        <v>873</v>
      </c>
      <c r="G8" s="23">
        <v>0.33333333333333331</v>
      </c>
      <c r="H8" s="23">
        <v>0.34722222222222227</v>
      </c>
      <c r="I8" t="s">
        <v>874</v>
      </c>
      <c r="J8" t="s">
        <v>1103</v>
      </c>
      <c r="L8">
        <v>200</v>
      </c>
      <c r="M8">
        <v>0</v>
      </c>
      <c r="Q8">
        <v>26</v>
      </c>
      <c r="R8">
        <v>56</v>
      </c>
    </row>
    <row r="9" spans="1:19">
      <c r="A9" t="s">
        <v>1120</v>
      </c>
      <c r="D9">
        <v>2</v>
      </c>
      <c r="E9" t="s">
        <v>876</v>
      </c>
      <c r="F9" t="s">
        <v>472</v>
      </c>
      <c r="G9" s="23">
        <v>0.25</v>
      </c>
      <c r="H9" s="23">
        <v>0.25694444444444448</v>
      </c>
      <c r="L9">
        <v>0</v>
      </c>
      <c r="M9">
        <v>210</v>
      </c>
    </row>
    <row r="10" spans="1:19">
      <c r="A10" t="s">
        <v>1121</v>
      </c>
      <c r="B10">
        <v>20</v>
      </c>
      <c r="D10">
        <v>3</v>
      </c>
      <c r="E10" t="s">
        <v>877</v>
      </c>
      <c r="F10" t="s">
        <v>470</v>
      </c>
      <c r="G10" s="23">
        <v>0.25</v>
      </c>
      <c r="H10" s="23">
        <v>0.28125</v>
      </c>
      <c r="J10" t="s">
        <v>1119</v>
      </c>
    </row>
    <row r="11" spans="1:19">
      <c r="D11">
        <v>4</v>
      </c>
      <c r="E11" t="s">
        <v>881</v>
      </c>
      <c r="F11" t="s">
        <v>878</v>
      </c>
      <c r="G11" s="23">
        <v>0.25</v>
      </c>
      <c r="H11" s="23">
        <v>0.3125</v>
      </c>
      <c r="I11" t="s">
        <v>904</v>
      </c>
      <c r="J11" t="s">
        <v>1148</v>
      </c>
    </row>
    <row r="12" spans="1:19">
      <c r="C12">
        <v>1</v>
      </c>
      <c r="D12">
        <v>5</v>
      </c>
      <c r="E12" t="s">
        <v>879</v>
      </c>
      <c r="F12" t="s">
        <v>880</v>
      </c>
      <c r="G12" s="23">
        <v>0.29166666666666669</v>
      </c>
      <c r="H12" s="23">
        <v>0.32291666666666669</v>
      </c>
      <c r="I12" t="s">
        <v>883</v>
      </c>
      <c r="J12" t="s">
        <v>1104</v>
      </c>
      <c r="L12">
        <v>268</v>
      </c>
      <c r="N12">
        <v>0</v>
      </c>
    </row>
    <row r="13" spans="1:19">
      <c r="C13">
        <v>40</v>
      </c>
      <c r="D13">
        <v>6</v>
      </c>
      <c r="E13" t="s">
        <v>884</v>
      </c>
      <c r="F13" t="s">
        <v>885</v>
      </c>
      <c r="G13" s="23">
        <v>0.25</v>
      </c>
      <c r="H13" s="23">
        <v>0.27083333333333331</v>
      </c>
      <c r="J13" t="s">
        <v>997</v>
      </c>
      <c r="K13">
        <v>9</v>
      </c>
      <c r="N13">
        <v>1</v>
      </c>
    </row>
    <row r="14" spans="1:19">
      <c r="D14">
        <v>7</v>
      </c>
      <c r="E14" t="s">
        <v>886</v>
      </c>
      <c r="F14" t="s">
        <v>944</v>
      </c>
      <c r="G14" s="23">
        <v>0.25</v>
      </c>
      <c r="H14" s="23">
        <v>0.33333333333333331</v>
      </c>
      <c r="I14" t="s">
        <v>887</v>
      </c>
      <c r="J14" t="s">
        <v>905</v>
      </c>
      <c r="K14">
        <v>8</v>
      </c>
      <c r="L14">
        <v>1362</v>
      </c>
      <c r="N14">
        <v>2</v>
      </c>
      <c r="O14">
        <v>6</v>
      </c>
      <c r="P14">
        <v>0</v>
      </c>
    </row>
    <row r="15" spans="1:19">
      <c r="D15">
        <v>8</v>
      </c>
      <c r="E15" t="s">
        <v>888</v>
      </c>
      <c r="G15" s="23">
        <v>0.25</v>
      </c>
      <c r="H15" s="23">
        <v>0.2638888888888889</v>
      </c>
      <c r="I15" t="s">
        <v>889</v>
      </c>
      <c r="J15" t="s">
        <v>1074</v>
      </c>
      <c r="K15">
        <v>7</v>
      </c>
      <c r="L15">
        <v>4582</v>
      </c>
      <c r="N15">
        <v>3</v>
      </c>
      <c r="O15">
        <v>5</v>
      </c>
      <c r="P15">
        <v>2</v>
      </c>
    </row>
    <row r="16" spans="1:19">
      <c r="D16">
        <v>9</v>
      </c>
      <c r="E16" t="s">
        <v>890</v>
      </c>
      <c r="F16" t="s">
        <v>947</v>
      </c>
      <c r="G16" s="23">
        <v>0.3125</v>
      </c>
      <c r="H16" s="23">
        <v>0.33333333333333331</v>
      </c>
      <c r="I16" t="s">
        <v>891</v>
      </c>
      <c r="J16" t="s">
        <v>1075</v>
      </c>
      <c r="K16">
        <v>6</v>
      </c>
      <c r="L16">
        <v>9380</v>
      </c>
      <c r="N16">
        <v>4</v>
      </c>
      <c r="O16">
        <v>13</v>
      </c>
      <c r="P16">
        <v>3</v>
      </c>
    </row>
    <row r="17" spans="2:22">
      <c r="D17">
        <v>10</v>
      </c>
      <c r="E17" t="s">
        <v>894</v>
      </c>
      <c r="F17" t="s">
        <v>948</v>
      </c>
      <c r="G17" s="23">
        <v>0.25</v>
      </c>
      <c r="H17" s="23">
        <v>0.2638888888888889</v>
      </c>
      <c r="K17">
        <v>5</v>
      </c>
      <c r="N17">
        <v>1</v>
      </c>
      <c r="O17">
        <v>12</v>
      </c>
      <c r="P17">
        <v>4</v>
      </c>
    </row>
    <row r="18" spans="2:22">
      <c r="E18" t="s">
        <v>895</v>
      </c>
      <c r="F18" t="s">
        <v>906</v>
      </c>
      <c r="G18" s="23">
        <v>0.25</v>
      </c>
      <c r="H18" s="23">
        <v>0.2638888888888889</v>
      </c>
      <c r="K18">
        <v>3</v>
      </c>
      <c r="N18">
        <v>2</v>
      </c>
      <c r="O18">
        <v>11</v>
      </c>
      <c r="P18">
        <v>5</v>
      </c>
    </row>
    <row r="19" spans="2:22">
      <c r="E19" t="s">
        <v>896</v>
      </c>
      <c r="F19" t="s">
        <v>906</v>
      </c>
      <c r="G19" s="23">
        <v>0.25</v>
      </c>
      <c r="H19" s="23">
        <v>0.2638888888888889</v>
      </c>
      <c r="K19">
        <v>2</v>
      </c>
      <c r="N19">
        <v>3</v>
      </c>
      <c r="O19">
        <v>10</v>
      </c>
      <c r="P19">
        <v>6</v>
      </c>
    </row>
    <row r="20" spans="2:22">
      <c r="E20" t="s">
        <v>897</v>
      </c>
      <c r="F20" t="s">
        <v>908</v>
      </c>
      <c r="G20" s="23">
        <v>0.25</v>
      </c>
      <c r="H20" s="23">
        <v>0.2638888888888889</v>
      </c>
      <c r="K20">
        <v>1</v>
      </c>
      <c r="N20">
        <v>4</v>
      </c>
      <c r="O20">
        <v>9</v>
      </c>
      <c r="P20">
        <v>6</v>
      </c>
    </row>
    <row r="21" spans="2:22">
      <c r="E21" t="s">
        <v>898</v>
      </c>
      <c r="F21" t="s">
        <v>424</v>
      </c>
      <c r="G21" s="23">
        <v>0.25</v>
      </c>
      <c r="H21" s="23">
        <v>0.26041666666666669</v>
      </c>
      <c r="K21">
        <v>1</v>
      </c>
      <c r="N21">
        <v>5</v>
      </c>
      <c r="O21">
        <v>8</v>
      </c>
      <c r="P21">
        <v>7</v>
      </c>
    </row>
    <row r="22" spans="2:22">
      <c r="E22" t="s">
        <v>899</v>
      </c>
      <c r="F22" t="s">
        <v>424</v>
      </c>
      <c r="G22" s="23">
        <v>0.25</v>
      </c>
      <c r="H22" s="23">
        <v>0.26041666666666669</v>
      </c>
      <c r="K22">
        <v>1</v>
      </c>
      <c r="N22">
        <v>6</v>
      </c>
      <c r="O22">
        <v>7</v>
      </c>
      <c r="P22">
        <v>8</v>
      </c>
      <c r="S22">
        <v>0</v>
      </c>
      <c r="U22" t="s">
        <v>1136</v>
      </c>
    </row>
    <row r="23" spans="2:22">
      <c r="E23" t="s">
        <v>900</v>
      </c>
      <c r="F23" t="s">
        <v>424</v>
      </c>
      <c r="G23" s="23">
        <v>0.25</v>
      </c>
      <c r="H23" s="23">
        <v>0.33333333333333331</v>
      </c>
      <c r="I23" t="s">
        <v>950</v>
      </c>
      <c r="J23" t="s">
        <v>1122</v>
      </c>
      <c r="O23">
        <v>6</v>
      </c>
      <c r="P23">
        <v>8</v>
      </c>
      <c r="U23" t="s">
        <v>1137</v>
      </c>
    </row>
    <row r="24" spans="2:22">
      <c r="E24" t="s">
        <v>901</v>
      </c>
      <c r="F24" t="s">
        <v>424</v>
      </c>
      <c r="G24" s="23">
        <v>0.25</v>
      </c>
      <c r="H24" s="23">
        <v>0.27083333333333331</v>
      </c>
      <c r="I24" t="s">
        <v>953</v>
      </c>
      <c r="O24">
        <v>5</v>
      </c>
      <c r="P24">
        <v>9</v>
      </c>
      <c r="Q24">
        <v>3</v>
      </c>
      <c r="S24">
        <v>4</v>
      </c>
    </row>
    <row r="25" spans="2:22">
      <c r="B25">
        <v>80</v>
      </c>
      <c r="E25" t="s">
        <v>892</v>
      </c>
      <c r="F25" t="s">
        <v>424</v>
      </c>
      <c r="G25" s="23">
        <v>0.25</v>
      </c>
      <c r="H25" s="23">
        <v>0.27083333333333331</v>
      </c>
      <c r="I25" t="s">
        <v>954</v>
      </c>
      <c r="J25" t="s">
        <v>1123</v>
      </c>
      <c r="O25">
        <v>4</v>
      </c>
      <c r="Q25">
        <f>Q24+3</f>
        <v>6</v>
      </c>
      <c r="S25">
        <f>S24+4</f>
        <v>8</v>
      </c>
    </row>
    <row r="26" spans="2:22">
      <c r="E26" t="s">
        <v>949</v>
      </c>
      <c r="F26" t="s">
        <v>424</v>
      </c>
      <c r="G26" s="23">
        <v>0.29166666666666669</v>
      </c>
      <c r="H26" s="23">
        <v>0.33333333333333331</v>
      </c>
      <c r="O26">
        <v>3</v>
      </c>
      <c r="Q26">
        <f t="shared" ref="Q26:Q41" si="0">Q25+3</f>
        <v>9</v>
      </c>
      <c r="S26">
        <f t="shared" ref="S26:S38" si="1">S25+4</f>
        <v>12</v>
      </c>
      <c r="U26" t="s">
        <v>1130</v>
      </c>
    </row>
    <row r="27" spans="2:22">
      <c r="E27" t="s">
        <v>951</v>
      </c>
      <c r="F27" t="s">
        <v>424</v>
      </c>
      <c r="G27" s="23">
        <v>0.25</v>
      </c>
      <c r="H27" s="23">
        <v>0.26041666666666669</v>
      </c>
      <c r="I27" t="s">
        <v>971</v>
      </c>
      <c r="J27" t="s">
        <v>1076</v>
      </c>
      <c r="O27">
        <v>11</v>
      </c>
      <c r="Q27">
        <f t="shared" si="0"/>
        <v>12</v>
      </c>
      <c r="R27">
        <v>535</v>
      </c>
      <c r="S27">
        <f t="shared" si="1"/>
        <v>16</v>
      </c>
    </row>
    <row r="28" spans="2:22">
      <c r="E28" t="s">
        <v>952</v>
      </c>
      <c r="G28" s="23">
        <v>0.29166666666666669</v>
      </c>
      <c r="H28" s="23">
        <v>0.35416666666666669</v>
      </c>
      <c r="J28" t="s">
        <v>1077</v>
      </c>
      <c r="O28">
        <f>O27-1</f>
        <v>10</v>
      </c>
      <c r="Q28">
        <f t="shared" si="0"/>
        <v>15</v>
      </c>
      <c r="S28">
        <f t="shared" si="1"/>
        <v>20</v>
      </c>
      <c r="T28" t="s">
        <v>1131</v>
      </c>
      <c r="U28" t="s">
        <v>1130</v>
      </c>
      <c r="V28" t="s">
        <v>1138</v>
      </c>
    </row>
    <row r="29" spans="2:22">
      <c r="E29" t="s">
        <v>962</v>
      </c>
      <c r="J29" t="s">
        <v>1078</v>
      </c>
      <c r="O29">
        <f t="shared" ref="O29:O43" si="2">O28-1</f>
        <v>9</v>
      </c>
      <c r="Q29">
        <f t="shared" si="0"/>
        <v>18</v>
      </c>
      <c r="S29">
        <f t="shared" si="1"/>
        <v>24</v>
      </c>
      <c r="T29" t="s">
        <v>1132</v>
      </c>
      <c r="V29" t="s">
        <v>1139</v>
      </c>
    </row>
    <row r="30" spans="2:22">
      <c r="E30" t="s">
        <v>964</v>
      </c>
      <c r="O30">
        <f t="shared" si="2"/>
        <v>8</v>
      </c>
      <c r="Q30">
        <f t="shared" si="0"/>
        <v>21</v>
      </c>
      <c r="S30">
        <f t="shared" si="1"/>
        <v>28</v>
      </c>
      <c r="T30" t="s">
        <v>1133</v>
      </c>
      <c r="U30" t="s">
        <v>1130</v>
      </c>
      <c r="V30" t="s">
        <v>1140</v>
      </c>
    </row>
    <row r="31" spans="2:22">
      <c r="E31" t="s">
        <v>965</v>
      </c>
      <c r="O31">
        <f t="shared" si="2"/>
        <v>7</v>
      </c>
      <c r="Q31">
        <f t="shared" si="0"/>
        <v>24</v>
      </c>
      <c r="S31">
        <f t="shared" si="1"/>
        <v>32</v>
      </c>
      <c r="T31" t="s">
        <v>1133</v>
      </c>
      <c r="V31" t="s">
        <v>1140</v>
      </c>
    </row>
    <row r="32" spans="2:22">
      <c r="E32" t="s">
        <v>966</v>
      </c>
      <c r="O32">
        <f t="shared" si="2"/>
        <v>6</v>
      </c>
      <c r="Q32">
        <f t="shared" si="0"/>
        <v>27</v>
      </c>
      <c r="S32">
        <f t="shared" si="1"/>
        <v>36</v>
      </c>
      <c r="T32" t="s">
        <v>1133</v>
      </c>
      <c r="U32" t="s">
        <v>1130</v>
      </c>
      <c r="V32" t="s">
        <v>1140</v>
      </c>
    </row>
    <row r="33" spans="5:22">
      <c r="E33" t="s">
        <v>967</v>
      </c>
      <c r="O33">
        <f t="shared" si="2"/>
        <v>5</v>
      </c>
      <c r="Q33">
        <f t="shared" si="0"/>
        <v>30</v>
      </c>
      <c r="S33">
        <f t="shared" si="1"/>
        <v>40</v>
      </c>
      <c r="T33" t="s">
        <v>1134</v>
      </c>
      <c r="V33" t="s">
        <v>1141</v>
      </c>
    </row>
    <row r="34" spans="5:22">
      <c r="E34" t="s">
        <v>968</v>
      </c>
      <c r="O34">
        <f t="shared" si="2"/>
        <v>4</v>
      </c>
      <c r="Q34">
        <f t="shared" si="0"/>
        <v>33</v>
      </c>
      <c r="S34">
        <f t="shared" si="1"/>
        <v>44</v>
      </c>
      <c r="T34" t="s">
        <v>1134</v>
      </c>
      <c r="U34" t="s">
        <v>1130</v>
      </c>
      <c r="V34" t="s">
        <v>1141</v>
      </c>
    </row>
    <row r="35" spans="5:22">
      <c r="E35" t="s">
        <v>969</v>
      </c>
      <c r="J35" t="s">
        <v>990</v>
      </c>
      <c r="O35">
        <f t="shared" si="2"/>
        <v>3</v>
      </c>
      <c r="Q35">
        <f t="shared" si="0"/>
        <v>36</v>
      </c>
      <c r="S35">
        <f t="shared" si="1"/>
        <v>48</v>
      </c>
      <c r="T35" t="s">
        <v>1135</v>
      </c>
    </row>
    <row r="36" spans="5:22">
      <c r="E36" t="s">
        <v>970</v>
      </c>
      <c r="O36">
        <f t="shared" si="2"/>
        <v>2</v>
      </c>
      <c r="Q36">
        <f t="shared" si="0"/>
        <v>39</v>
      </c>
      <c r="S36">
        <f t="shared" si="1"/>
        <v>52</v>
      </c>
      <c r="T36" t="s">
        <v>1135</v>
      </c>
      <c r="U36" t="s">
        <v>1130</v>
      </c>
    </row>
    <row r="37" spans="5:22">
      <c r="E37" t="s">
        <v>992</v>
      </c>
      <c r="J37" t="s">
        <v>991</v>
      </c>
      <c r="O37">
        <f t="shared" si="2"/>
        <v>1</v>
      </c>
      <c r="Q37">
        <f t="shared" si="0"/>
        <v>42</v>
      </c>
      <c r="S37">
        <f t="shared" si="1"/>
        <v>56</v>
      </c>
      <c r="T37" t="s">
        <v>1135</v>
      </c>
    </row>
    <row r="38" spans="5:22">
      <c r="E38" t="s">
        <v>993</v>
      </c>
      <c r="O38">
        <f t="shared" si="2"/>
        <v>0</v>
      </c>
      <c r="Q38">
        <f t="shared" si="0"/>
        <v>45</v>
      </c>
      <c r="S38">
        <f t="shared" si="1"/>
        <v>60</v>
      </c>
      <c r="T38" t="s">
        <v>1135</v>
      </c>
      <c r="U38" t="s">
        <v>1130</v>
      </c>
    </row>
    <row r="39" spans="5:22">
      <c r="J39" t="s">
        <v>994</v>
      </c>
      <c r="O39">
        <f t="shared" si="2"/>
        <v>-1</v>
      </c>
      <c r="Q39">
        <f t="shared" si="0"/>
        <v>48</v>
      </c>
    </row>
    <row r="40" spans="5:22">
      <c r="J40" t="s">
        <v>1079</v>
      </c>
      <c r="O40">
        <f t="shared" si="2"/>
        <v>-2</v>
      </c>
      <c r="Q40">
        <f t="shared" si="0"/>
        <v>51</v>
      </c>
    </row>
    <row r="41" spans="5:22">
      <c r="O41">
        <f t="shared" si="2"/>
        <v>-3</v>
      </c>
      <c r="Q41">
        <f t="shared" si="0"/>
        <v>54</v>
      </c>
    </row>
    <row r="42" spans="5:22">
      <c r="J42" t="s">
        <v>910</v>
      </c>
      <c r="O42">
        <f t="shared" si="2"/>
        <v>-4</v>
      </c>
      <c r="Q42">
        <f>Q41+3</f>
        <v>57</v>
      </c>
    </row>
    <row r="43" spans="5:22">
      <c r="F43" t="s">
        <v>1070</v>
      </c>
      <c r="G43" t="s">
        <v>1072</v>
      </c>
      <c r="J43" t="s">
        <v>911</v>
      </c>
      <c r="O43">
        <f t="shared" si="2"/>
        <v>-5</v>
      </c>
      <c r="Q43">
        <f>Q42+3</f>
        <v>60</v>
      </c>
    </row>
    <row r="44" spans="5:22">
      <c r="F44" t="s">
        <v>1071</v>
      </c>
      <c r="G44" t="s">
        <v>1072</v>
      </c>
      <c r="J44" t="s">
        <v>912</v>
      </c>
    </row>
    <row r="45" spans="5:22">
      <c r="E45" t="s">
        <v>915</v>
      </c>
      <c r="F45" t="s">
        <v>1073</v>
      </c>
      <c r="J45" t="s">
        <v>913</v>
      </c>
    </row>
    <row r="46" spans="5:22">
      <c r="E46" t="s">
        <v>916</v>
      </c>
      <c r="J46" t="s">
        <v>914</v>
      </c>
    </row>
    <row r="47" spans="5:22">
      <c r="E47" t="s">
        <v>917</v>
      </c>
      <c r="R47" t="s">
        <v>987</v>
      </c>
    </row>
    <row r="48" spans="5:22">
      <c r="P48" t="s">
        <v>902</v>
      </c>
      <c r="R48" t="s">
        <v>28</v>
      </c>
      <c r="S48" t="s">
        <v>0</v>
      </c>
    </row>
    <row r="49" spans="6:20">
      <c r="O49" t="s">
        <v>955</v>
      </c>
      <c r="P49">
        <v>1980</v>
      </c>
      <c r="R49">
        <v>1135</v>
      </c>
      <c r="S49">
        <v>618</v>
      </c>
    </row>
    <row r="50" spans="6:20">
      <c r="O50" t="s">
        <v>956</v>
      </c>
      <c r="P50">
        <v>3630</v>
      </c>
      <c r="R50">
        <v>1175</v>
      </c>
      <c r="S50">
        <v>627</v>
      </c>
      <c r="T50" t="s">
        <v>988</v>
      </c>
    </row>
    <row r="51" spans="6:20">
      <c r="F51" t="s">
        <v>921</v>
      </c>
      <c r="O51" t="s">
        <v>379</v>
      </c>
      <c r="P51">
        <v>640</v>
      </c>
    </row>
    <row r="52" spans="6:20">
      <c r="O52" t="s">
        <v>378</v>
      </c>
      <c r="P52">
        <v>520</v>
      </c>
    </row>
    <row r="53" spans="6:20">
      <c r="I53" t="s">
        <v>882</v>
      </c>
      <c r="J53" t="s">
        <v>909</v>
      </c>
      <c r="O53" t="s">
        <v>957</v>
      </c>
      <c r="P53">
        <v>300</v>
      </c>
    </row>
    <row r="54" spans="6:20">
      <c r="O54" t="s">
        <v>332</v>
      </c>
      <c r="P54">
        <v>250</v>
      </c>
    </row>
    <row r="55" spans="6:20">
      <c r="O55" t="s">
        <v>374</v>
      </c>
      <c r="P55">
        <v>-250</v>
      </c>
    </row>
    <row r="56" spans="6:20">
      <c r="O56" t="s">
        <v>375</v>
      </c>
      <c r="P56">
        <v>-180</v>
      </c>
    </row>
    <row r="57" spans="6:20">
      <c r="O57" t="s">
        <v>376</v>
      </c>
      <c r="P57">
        <v>-60</v>
      </c>
    </row>
    <row r="58" spans="6:20">
      <c r="J58" t="s">
        <v>979</v>
      </c>
      <c r="O58" t="s">
        <v>958</v>
      </c>
    </row>
    <row r="59" spans="6:20">
      <c r="J59" t="s">
        <v>980</v>
      </c>
      <c r="O59" t="s">
        <v>955</v>
      </c>
      <c r="P59">
        <v>1980</v>
      </c>
    </row>
    <row r="60" spans="6:20">
      <c r="O60" t="s">
        <v>59</v>
      </c>
      <c r="P60">
        <v>-1000</v>
      </c>
    </row>
    <row r="62" spans="6:20">
      <c r="F62" t="s">
        <v>999</v>
      </c>
    </row>
    <row r="66" spans="6:18">
      <c r="P66">
        <f>SUM(P49:P64)</f>
        <v>7810</v>
      </c>
      <c r="R66">
        <f>P66/30</f>
        <v>260.33333333333331</v>
      </c>
    </row>
    <row r="70" spans="6:18">
      <c r="J70" t="s">
        <v>986</v>
      </c>
    </row>
    <row r="75" spans="6:18">
      <c r="F75" t="s">
        <v>934</v>
      </c>
    </row>
    <row r="76" spans="6:18">
      <c r="F76" t="s">
        <v>981</v>
      </c>
    </row>
    <row r="77" spans="6:18">
      <c r="F77" t="s">
        <v>971</v>
      </c>
    </row>
    <row r="81" spans="6:14">
      <c r="F81" t="s">
        <v>982</v>
      </c>
      <c r="J81" t="s">
        <v>984</v>
      </c>
    </row>
    <row r="82" spans="6:14">
      <c r="F82" t="s">
        <v>983</v>
      </c>
    </row>
    <row r="84" spans="6:14">
      <c r="N84" t="s">
        <v>1106</v>
      </c>
    </row>
    <row r="86" spans="6:14">
      <c r="N86" t="s">
        <v>1107</v>
      </c>
    </row>
    <row r="88" spans="6:14">
      <c r="N88" t="s">
        <v>1108</v>
      </c>
    </row>
    <row r="89" spans="6:14">
      <c r="K89">
        <v>4</v>
      </c>
    </row>
    <row r="90" spans="6:14">
      <c r="N90" t="s">
        <v>1109</v>
      </c>
    </row>
    <row r="92" spans="6:14">
      <c r="J92">
        <v>11</v>
      </c>
      <c r="N92" t="s">
        <v>1110</v>
      </c>
    </row>
    <row r="93" spans="6:14">
      <c r="J93">
        <v>12</v>
      </c>
      <c r="K93" t="s">
        <v>1194</v>
      </c>
    </row>
    <row r="94" spans="6:14">
      <c r="J94">
        <v>13</v>
      </c>
      <c r="N94" t="s">
        <v>1111</v>
      </c>
    </row>
    <row r="95" spans="6:14">
      <c r="G95">
        <v>1</v>
      </c>
      <c r="H95">
        <v>12</v>
      </c>
      <c r="J95">
        <v>14</v>
      </c>
      <c r="L95">
        <v>6</v>
      </c>
      <c r="N95" t="s">
        <v>1112</v>
      </c>
    </row>
    <row r="96" spans="6:14">
      <c r="G96">
        <f>G95+1</f>
        <v>2</v>
      </c>
      <c r="H96">
        <v>13</v>
      </c>
      <c r="J96">
        <v>15</v>
      </c>
      <c r="L96">
        <v>5</v>
      </c>
      <c r="N96" t="s">
        <v>1113</v>
      </c>
    </row>
    <row r="97" spans="7:14">
      <c r="G97">
        <f t="shared" ref="G97:G109" si="3">G96+1</f>
        <v>3</v>
      </c>
      <c r="H97">
        <v>11</v>
      </c>
      <c r="J97">
        <v>16</v>
      </c>
      <c r="K97">
        <v>4</v>
      </c>
      <c r="L97">
        <f>L96-1+K97</f>
        <v>8</v>
      </c>
      <c r="N97" t="s">
        <v>1114</v>
      </c>
    </row>
    <row r="98" spans="7:14">
      <c r="G98">
        <f t="shared" si="3"/>
        <v>4</v>
      </c>
      <c r="H98">
        <v>13</v>
      </c>
      <c r="J98">
        <v>17</v>
      </c>
      <c r="L98">
        <f t="shared" ref="L98:L125" si="4">L97-1+K98</f>
        <v>7</v>
      </c>
      <c r="N98" t="s">
        <v>1115</v>
      </c>
    </row>
    <row r="99" spans="7:14">
      <c r="G99">
        <f t="shared" si="3"/>
        <v>5</v>
      </c>
      <c r="H99">
        <v>12</v>
      </c>
      <c r="J99">
        <v>18</v>
      </c>
      <c r="L99">
        <f t="shared" si="4"/>
        <v>6</v>
      </c>
      <c r="N99" t="s">
        <v>1116</v>
      </c>
    </row>
    <row r="100" spans="7:14">
      <c r="G100">
        <f t="shared" si="3"/>
        <v>6</v>
      </c>
      <c r="H100">
        <v>12</v>
      </c>
      <c r="J100">
        <v>19</v>
      </c>
      <c r="L100">
        <f t="shared" si="4"/>
        <v>5</v>
      </c>
    </row>
    <row r="101" spans="7:14">
      <c r="G101">
        <f t="shared" si="3"/>
        <v>7</v>
      </c>
      <c r="H101">
        <v>11</v>
      </c>
      <c r="J101">
        <v>20</v>
      </c>
      <c r="L101">
        <f t="shared" si="4"/>
        <v>4</v>
      </c>
    </row>
    <row r="102" spans="7:14">
      <c r="G102">
        <f t="shared" si="3"/>
        <v>8</v>
      </c>
      <c r="H102">
        <v>11</v>
      </c>
      <c r="J102">
        <v>21</v>
      </c>
      <c r="L102">
        <f t="shared" si="4"/>
        <v>3</v>
      </c>
    </row>
    <row r="103" spans="7:14">
      <c r="G103">
        <f t="shared" si="3"/>
        <v>9</v>
      </c>
      <c r="H103">
        <v>11</v>
      </c>
      <c r="J103">
        <v>22</v>
      </c>
      <c r="L103">
        <f t="shared" si="4"/>
        <v>2</v>
      </c>
    </row>
    <row r="104" spans="7:14">
      <c r="G104">
        <f t="shared" si="3"/>
        <v>10</v>
      </c>
      <c r="H104">
        <v>11</v>
      </c>
      <c r="J104">
        <v>23</v>
      </c>
      <c r="L104">
        <f t="shared" si="4"/>
        <v>1</v>
      </c>
    </row>
    <row r="105" spans="7:14">
      <c r="G105">
        <f t="shared" si="3"/>
        <v>11</v>
      </c>
      <c r="H105">
        <v>12</v>
      </c>
      <c r="J105">
        <v>24</v>
      </c>
      <c r="K105">
        <v>16</v>
      </c>
      <c r="L105">
        <f t="shared" si="4"/>
        <v>16</v>
      </c>
    </row>
    <row r="106" spans="7:14">
      <c r="G106">
        <f t="shared" si="3"/>
        <v>12</v>
      </c>
      <c r="H106">
        <v>11</v>
      </c>
      <c r="J106">
        <v>25</v>
      </c>
      <c r="L106">
        <f t="shared" si="4"/>
        <v>15</v>
      </c>
    </row>
    <row r="107" spans="7:14">
      <c r="G107">
        <f t="shared" si="3"/>
        <v>13</v>
      </c>
      <c r="H107">
        <v>10</v>
      </c>
      <c r="J107">
        <v>26</v>
      </c>
      <c r="L107">
        <f t="shared" si="4"/>
        <v>14</v>
      </c>
    </row>
    <row r="108" spans="7:14">
      <c r="G108">
        <f t="shared" si="3"/>
        <v>14</v>
      </c>
      <c r="H108">
        <v>9</v>
      </c>
      <c r="J108">
        <v>27</v>
      </c>
      <c r="L108">
        <f t="shared" si="4"/>
        <v>13</v>
      </c>
    </row>
    <row r="109" spans="7:14">
      <c r="G109">
        <f t="shared" si="3"/>
        <v>15</v>
      </c>
      <c r="H109">
        <v>10</v>
      </c>
      <c r="J109">
        <v>28</v>
      </c>
      <c r="L109">
        <f t="shared" si="4"/>
        <v>12</v>
      </c>
    </row>
    <row r="110" spans="7:14">
      <c r="H110">
        <v>13</v>
      </c>
      <c r="J110">
        <v>29</v>
      </c>
      <c r="L110">
        <f t="shared" si="4"/>
        <v>11</v>
      </c>
    </row>
    <row r="111" spans="7:14">
      <c r="H111">
        <v>11</v>
      </c>
      <c r="J111">
        <v>30</v>
      </c>
      <c r="L111">
        <f t="shared" si="4"/>
        <v>10</v>
      </c>
    </row>
    <row r="112" spans="7:14">
      <c r="H112">
        <v>9</v>
      </c>
      <c r="J112">
        <v>1</v>
      </c>
      <c r="L112">
        <f t="shared" si="4"/>
        <v>9</v>
      </c>
    </row>
    <row r="113" spans="8:12">
      <c r="H113">
        <v>7</v>
      </c>
      <c r="J113">
        <v>2</v>
      </c>
      <c r="L113">
        <f t="shared" si="4"/>
        <v>8</v>
      </c>
    </row>
    <row r="114" spans="8:12">
      <c r="H114">
        <v>10</v>
      </c>
      <c r="J114">
        <v>3</v>
      </c>
      <c r="L114">
        <f t="shared" si="4"/>
        <v>7</v>
      </c>
    </row>
    <row r="115" spans="8:12">
      <c r="H115">
        <f>AVERAGE(H95:H114)</f>
        <v>10.95</v>
      </c>
      <c r="J115">
        <v>4</v>
      </c>
      <c r="L115">
        <f t="shared" si="4"/>
        <v>6</v>
      </c>
    </row>
    <row r="116" spans="8:12">
      <c r="H116">
        <f>_xlfn.STDEV.S(H95:H114)</f>
        <v>1.5035046776746204</v>
      </c>
      <c r="J116">
        <v>5</v>
      </c>
      <c r="L116">
        <f t="shared" si="4"/>
        <v>5</v>
      </c>
    </row>
    <row r="117" spans="8:12">
      <c r="J117">
        <v>6</v>
      </c>
      <c r="L117">
        <f t="shared" si="4"/>
        <v>4</v>
      </c>
    </row>
    <row r="118" spans="8:12">
      <c r="J118">
        <v>7</v>
      </c>
      <c r="L118">
        <f t="shared" si="4"/>
        <v>3</v>
      </c>
    </row>
    <row r="119" spans="8:12">
      <c r="J119">
        <v>8</v>
      </c>
      <c r="L119">
        <f t="shared" si="4"/>
        <v>2</v>
      </c>
    </row>
    <row r="120" spans="8:12">
      <c r="J120">
        <v>9</v>
      </c>
      <c r="L120">
        <f t="shared" si="4"/>
        <v>1</v>
      </c>
    </row>
    <row r="121" spans="8:12">
      <c r="J121">
        <v>10</v>
      </c>
      <c r="L121">
        <f t="shared" si="4"/>
        <v>0</v>
      </c>
    </row>
    <row r="122" spans="8:12">
      <c r="L122">
        <f t="shared" si="4"/>
        <v>-1</v>
      </c>
    </row>
    <row r="123" spans="8:12">
      <c r="L123">
        <f t="shared" si="4"/>
        <v>-2</v>
      </c>
    </row>
    <row r="124" spans="8:12">
      <c r="L124">
        <f t="shared" si="4"/>
        <v>-3</v>
      </c>
    </row>
    <row r="125" spans="8:12">
      <c r="L125">
        <f t="shared" si="4"/>
        <v>-4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45"/>
  <sheetViews>
    <sheetView topLeftCell="A4" workbookViewId="0">
      <selection activeCell="M40" sqref="M40"/>
    </sheetView>
  </sheetViews>
  <sheetFormatPr defaultRowHeight="15"/>
  <cols>
    <col min="5" max="5" width="67.5703125" customWidth="1"/>
    <col min="6" max="6" width="50" customWidth="1"/>
  </cols>
  <sheetData>
    <row r="5" spans="4:6">
      <c r="E5" t="s">
        <v>1080</v>
      </c>
    </row>
    <row r="7" spans="4:6">
      <c r="E7" t="s">
        <v>1081</v>
      </c>
    </row>
    <row r="8" spans="4:6">
      <c r="E8" t="s">
        <v>1082</v>
      </c>
      <c r="F8" t="s">
        <v>1098</v>
      </c>
    </row>
    <row r="9" spans="4:6">
      <c r="E9" t="s">
        <v>1083</v>
      </c>
    </row>
    <row r="10" spans="4:6">
      <c r="D10" t="s">
        <v>121</v>
      </c>
      <c r="E10" t="s">
        <v>1084</v>
      </c>
    </row>
    <row r="11" spans="4:6">
      <c r="E11" t="s">
        <v>1085</v>
      </c>
    </row>
    <row r="12" spans="4:6">
      <c r="E12" t="s">
        <v>1086</v>
      </c>
    </row>
    <row r="13" spans="4:6">
      <c r="E13" t="s">
        <v>1087</v>
      </c>
    </row>
    <row r="14" spans="4:6">
      <c r="E14" t="s">
        <v>1088</v>
      </c>
    </row>
    <row r="15" spans="4:6">
      <c r="D15" t="s">
        <v>121</v>
      </c>
      <c r="E15" t="s">
        <v>1089</v>
      </c>
      <c r="F15" t="s">
        <v>1099</v>
      </c>
    </row>
    <row r="16" spans="4:6">
      <c r="D16" t="s">
        <v>121</v>
      </c>
      <c r="E16" t="s">
        <v>1090</v>
      </c>
    </row>
    <row r="17" spans="4:11">
      <c r="D17" t="s">
        <v>121</v>
      </c>
      <c r="E17" t="s">
        <v>1091</v>
      </c>
    </row>
    <row r="18" spans="4:11">
      <c r="D18" t="s">
        <v>121</v>
      </c>
      <c r="E18" t="s">
        <v>1092</v>
      </c>
    </row>
    <row r="19" spans="4:11">
      <c r="D19" t="s">
        <v>121</v>
      </c>
      <c r="E19" t="s">
        <v>1093</v>
      </c>
    </row>
    <row r="20" spans="4:11">
      <c r="D20" t="s">
        <v>121</v>
      </c>
      <c r="E20" t="s">
        <v>1094</v>
      </c>
    </row>
    <row r="21" spans="4:11">
      <c r="E21" t="s">
        <v>1095</v>
      </c>
      <c r="F21" t="s">
        <v>1102</v>
      </c>
    </row>
    <row r="22" spans="4:11">
      <c r="D22" t="s">
        <v>121</v>
      </c>
      <c r="E22" t="s">
        <v>1096</v>
      </c>
      <c r="F22" t="s">
        <v>1100</v>
      </c>
    </row>
    <row r="23" spans="4:11">
      <c r="D23" t="s">
        <v>121</v>
      </c>
      <c r="E23" t="s">
        <v>1097</v>
      </c>
      <c r="F23" t="s">
        <v>1101</v>
      </c>
    </row>
    <row r="31" spans="4:11">
      <c r="J31" t="s">
        <v>1179</v>
      </c>
      <c r="K31" t="s">
        <v>1180</v>
      </c>
    </row>
    <row r="32" spans="4:11">
      <c r="I32">
        <v>1</v>
      </c>
      <c r="J32">
        <v>37</v>
      </c>
      <c r="K32">
        <v>45</v>
      </c>
    </row>
    <row r="33" spans="9:13">
      <c r="I33">
        <v>2</v>
      </c>
      <c r="J33">
        <v>15</v>
      </c>
      <c r="K33">
        <v>2</v>
      </c>
    </row>
    <row r="34" spans="9:13">
      <c r="I34">
        <v>3</v>
      </c>
      <c r="J34">
        <v>42</v>
      </c>
      <c r="K34">
        <v>28</v>
      </c>
    </row>
    <row r="35" spans="9:13">
      <c r="I35">
        <v>4</v>
      </c>
      <c r="J35">
        <v>47</v>
      </c>
      <c r="K35">
        <v>37</v>
      </c>
    </row>
    <row r="36" spans="9:13">
      <c r="I36">
        <v>5</v>
      </c>
      <c r="J36">
        <v>41</v>
      </c>
      <c r="K36">
        <v>28</v>
      </c>
    </row>
    <row r="37" spans="9:13">
      <c r="I37">
        <v>6</v>
      </c>
      <c r="J37">
        <v>41</v>
      </c>
      <c r="K37">
        <v>44</v>
      </c>
    </row>
    <row r="38" spans="9:13">
      <c r="I38">
        <v>7</v>
      </c>
      <c r="J38">
        <v>0</v>
      </c>
      <c r="K38">
        <v>41</v>
      </c>
    </row>
    <row r="39" spans="9:13">
      <c r="I39">
        <v>8</v>
      </c>
      <c r="J39">
        <v>36</v>
      </c>
      <c r="K39">
        <v>27</v>
      </c>
      <c r="M39">
        <f>3/22</f>
        <v>0.13636363636363635</v>
      </c>
    </row>
    <row r="40" spans="9:13">
      <c r="I40">
        <v>9</v>
      </c>
      <c r="J40">
        <v>45</v>
      </c>
      <c r="K40">
        <v>28</v>
      </c>
    </row>
    <row r="41" spans="9:13">
      <c r="I41">
        <v>10</v>
      </c>
      <c r="J41">
        <v>23</v>
      </c>
      <c r="K41">
        <v>31</v>
      </c>
    </row>
    <row r="42" spans="9:13">
      <c r="I42">
        <v>11</v>
      </c>
      <c r="J42">
        <v>46</v>
      </c>
      <c r="K42">
        <v>21</v>
      </c>
    </row>
    <row r="45" spans="9:13">
      <c r="J45">
        <f>AVERAGE(J32:J42)</f>
        <v>33.909090909090907</v>
      </c>
      <c r="K45">
        <f>AVERAGE(K32:K42)</f>
        <v>30.181818181818183</v>
      </c>
      <c r="M45">
        <f>AVERAGE(J32:K42)</f>
        <v>32.045454545454547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27"/>
  <sheetViews>
    <sheetView workbookViewId="0">
      <selection activeCell="K18" sqref="K18"/>
    </sheetView>
  </sheetViews>
  <sheetFormatPr defaultRowHeight="15"/>
  <sheetData>
    <row r="5" spans="3:15">
      <c r="E5" t="s">
        <v>132</v>
      </c>
      <c r="K5" t="s">
        <v>136</v>
      </c>
    </row>
    <row r="6" spans="3:15">
      <c r="C6" t="s">
        <v>133</v>
      </c>
      <c r="D6" t="s">
        <v>65</v>
      </c>
      <c r="E6" t="s">
        <v>134</v>
      </c>
      <c r="J6" t="s">
        <v>133</v>
      </c>
      <c r="K6" t="s">
        <v>137</v>
      </c>
      <c r="L6" t="s">
        <v>138</v>
      </c>
    </row>
    <row r="7" spans="3:15">
      <c r="C7">
        <v>30</v>
      </c>
      <c r="D7">
        <v>6</v>
      </c>
      <c r="E7">
        <v>5</v>
      </c>
      <c r="J7">
        <v>30</v>
      </c>
      <c r="K7">
        <v>10</v>
      </c>
      <c r="L7">
        <v>5</v>
      </c>
    </row>
    <row r="8" spans="3:15">
      <c r="C8">
        <v>60</v>
      </c>
      <c r="D8">
        <v>15</v>
      </c>
      <c r="E8">
        <v>12</v>
      </c>
      <c r="J8">
        <v>60</v>
      </c>
      <c r="K8">
        <v>25</v>
      </c>
      <c r="L8">
        <v>10</v>
      </c>
    </row>
    <row r="9" spans="3:15">
      <c r="C9">
        <v>90</v>
      </c>
      <c r="D9">
        <v>36</v>
      </c>
      <c r="E9">
        <v>28</v>
      </c>
      <c r="J9">
        <v>90</v>
      </c>
      <c r="K9">
        <v>70</v>
      </c>
      <c r="L9">
        <v>40</v>
      </c>
      <c r="N9" t="s">
        <v>749</v>
      </c>
    </row>
    <row r="10" spans="3:15">
      <c r="C10">
        <v>120</v>
      </c>
      <c r="D10">
        <v>180</v>
      </c>
      <c r="E10">
        <v>170</v>
      </c>
      <c r="J10">
        <v>120</v>
      </c>
      <c r="K10">
        <v>200</v>
      </c>
      <c r="L10">
        <v>180</v>
      </c>
    </row>
    <row r="11" spans="3:15">
      <c r="C11">
        <v>150</v>
      </c>
      <c r="D11">
        <v>350</v>
      </c>
      <c r="E11">
        <v>350</v>
      </c>
      <c r="J11">
        <v>150</v>
      </c>
      <c r="K11">
        <v>700</v>
      </c>
      <c r="L11">
        <v>650</v>
      </c>
      <c r="N11" t="s">
        <v>137</v>
      </c>
      <c r="O11" t="s">
        <v>138</v>
      </c>
    </row>
    <row r="12" spans="3:15">
      <c r="N12">
        <f>K16+K11</f>
        <v>780</v>
      </c>
      <c r="O12">
        <f>L16+L11</f>
        <v>685</v>
      </c>
    </row>
    <row r="13" spans="3:15">
      <c r="C13" t="s">
        <v>135</v>
      </c>
      <c r="J13" t="s">
        <v>135</v>
      </c>
      <c r="N13" t="s">
        <v>748</v>
      </c>
      <c r="O13" t="s">
        <v>134</v>
      </c>
    </row>
    <row r="14" spans="3:15">
      <c r="C14">
        <v>25</v>
      </c>
      <c r="D14">
        <v>3</v>
      </c>
      <c r="E14">
        <v>3</v>
      </c>
      <c r="J14">
        <v>25</v>
      </c>
      <c r="K14">
        <v>10</v>
      </c>
      <c r="L14">
        <v>5</v>
      </c>
      <c r="N14">
        <f>D16+D11</f>
        <v>370</v>
      </c>
      <c r="O14">
        <f>E16+E11</f>
        <v>370</v>
      </c>
    </row>
    <row r="15" spans="3:15">
      <c r="C15">
        <v>50</v>
      </c>
      <c r="D15">
        <v>10</v>
      </c>
      <c r="E15">
        <v>10</v>
      </c>
      <c r="J15">
        <v>50</v>
      </c>
      <c r="K15">
        <v>30</v>
      </c>
      <c r="L15">
        <v>15</v>
      </c>
    </row>
    <row r="16" spans="3:15">
      <c r="C16">
        <v>75</v>
      </c>
      <c r="D16">
        <v>20</v>
      </c>
      <c r="E16">
        <v>20</v>
      </c>
      <c r="J16">
        <v>75</v>
      </c>
      <c r="K16">
        <v>80</v>
      </c>
      <c r="L16">
        <v>35</v>
      </c>
      <c r="N16">
        <f>6*15</f>
        <v>90</v>
      </c>
    </row>
    <row r="17" spans="3:14">
      <c r="C17">
        <v>100</v>
      </c>
      <c r="D17">
        <v>50</v>
      </c>
      <c r="E17">
        <v>50</v>
      </c>
      <c r="J17">
        <v>100</v>
      </c>
      <c r="K17">
        <v>150</v>
      </c>
      <c r="L17">
        <v>100</v>
      </c>
      <c r="N17">
        <f>7*15</f>
        <v>105</v>
      </c>
    </row>
    <row r="18" spans="3:14">
      <c r="C18">
        <v>125</v>
      </c>
      <c r="D18">
        <v>90</v>
      </c>
      <c r="E18">
        <v>90</v>
      </c>
      <c r="J18">
        <v>125</v>
      </c>
      <c r="K18">
        <v>300</v>
      </c>
      <c r="L18">
        <v>159</v>
      </c>
      <c r="N18">
        <f>8*15</f>
        <v>120</v>
      </c>
    </row>
    <row r="19" spans="3:14">
      <c r="C19">
        <v>150</v>
      </c>
      <c r="D19">
        <v>150</v>
      </c>
      <c r="E19">
        <v>150</v>
      </c>
      <c r="J19">
        <v>150</v>
      </c>
      <c r="K19">
        <v>500</v>
      </c>
      <c r="L19">
        <v>400</v>
      </c>
      <c r="N19">
        <f>9*15</f>
        <v>135</v>
      </c>
    </row>
    <row r="20" spans="3:14">
      <c r="C20">
        <v>175</v>
      </c>
      <c r="D20">
        <v>400</v>
      </c>
      <c r="E20">
        <v>400</v>
      </c>
      <c r="J20">
        <v>175</v>
      </c>
      <c r="K20">
        <v>1000</v>
      </c>
      <c r="L20">
        <v>950</v>
      </c>
    </row>
    <row r="21" spans="3:14">
      <c r="C21">
        <v>200</v>
      </c>
      <c r="D21">
        <v>800</v>
      </c>
      <c r="E21">
        <v>780</v>
      </c>
      <c r="J21">
        <v>200</v>
      </c>
      <c r="K21">
        <v>2000</v>
      </c>
      <c r="L21">
        <v>1800</v>
      </c>
    </row>
    <row r="27" spans="3:14">
      <c r="M27">
        <f>9*15</f>
        <v>135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X36"/>
  <sheetViews>
    <sheetView topLeftCell="B1" workbookViewId="0">
      <selection activeCell="G15" sqref="G15"/>
    </sheetView>
  </sheetViews>
  <sheetFormatPr defaultRowHeight="15"/>
  <cols>
    <col min="4" max="4" width="13.140625" customWidth="1"/>
    <col min="5" max="6" width="0" hidden="1" customWidth="1"/>
    <col min="9" max="9" width="44.5703125" customWidth="1"/>
  </cols>
  <sheetData>
    <row r="5" spans="4:13">
      <c r="D5" t="s">
        <v>1019</v>
      </c>
      <c r="G5" t="s">
        <v>511</v>
      </c>
      <c r="H5" t="s">
        <v>1020</v>
      </c>
      <c r="I5" t="s">
        <v>1021</v>
      </c>
      <c r="J5" t="s">
        <v>1030</v>
      </c>
      <c r="K5" t="s">
        <v>1034</v>
      </c>
      <c r="L5" t="s">
        <v>1039</v>
      </c>
    </row>
    <row r="6" spans="4:13">
      <c r="D6" t="s">
        <v>1013</v>
      </c>
      <c r="E6">
        <v>10.99</v>
      </c>
      <c r="F6">
        <v>11.12</v>
      </c>
      <c r="G6">
        <f>H$25/H6</f>
        <v>1.3102668475802803</v>
      </c>
      <c r="H6">
        <f t="shared" ref="H6:H29" si="0">AVERAGE(E6:F6)</f>
        <v>11.055</v>
      </c>
      <c r="I6" t="s">
        <v>1022</v>
      </c>
      <c r="J6" t="s">
        <v>174</v>
      </c>
      <c r="L6" t="s">
        <v>121</v>
      </c>
      <c r="M6" t="s">
        <v>1026</v>
      </c>
    </row>
    <row r="7" spans="4:13">
      <c r="D7" t="s">
        <v>1016</v>
      </c>
      <c r="E7">
        <v>11.31</v>
      </c>
      <c r="G7">
        <f t="shared" ref="G7:G30" si="1">H$25/H7</f>
        <v>1.2807250221043323</v>
      </c>
      <c r="H7">
        <f t="shared" si="0"/>
        <v>11.31</v>
      </c>
      <c r="J7" t="s">
        <v>675</v>
      </c>
      <c r="L7" t="s">
        <v>121</v>
      </c>
      <c r="M7" t="s">
        <v>1027</v>
      </c>
    </row>
    <row r="8" spans="4:13">
      <c r="D8" t="s">
        <v>1003</v>
      </c>
      <c r="E8">
        <v>11.4</v>
      </c>
      <c r="F8">
        <v>11.39</v>
      </c>
      <c r="G8">
        <f t="shared" si="1"/>
        <v>1.2711715664765249</v>
      </c>
      <c r="H8">
        <f t="shared" si="0"/>
        <v>11.395</v>
      </c>
      <c r="I8" t="s">
        <v>1038</v>
      </c>
      <c r="J8" t="s">
        <v>108</v>
      </c>
      <c r="K8" t="s">
        <v>1035</v>
      </c>
      <c r="L8" t="s">
        <v>121</v>
      </c>
      <c r="M8" t="s">
        <v>1029</v>
      </c>
    </row>
    <row r="9" spans="4:13">
      <c r="D9" t="s">
        <v>1009</v>
      </c>
      <c r="E9">
        <v>11.8</v>
      </c>
      <c r="F9">
        <v>11.71</v>
      </c>
      <c r="G9">
        <f t="shared" si="1"/>
        <v>1.2322415993194384</v>
      </c>
      <c r="H9">
        <f t="shared" si="0"/>
        <v>11.755000000000001</v>
      </c>
      <c r="J9" t="s">
        <v>1036</v>
      </c>
    </row>
    <row r="10" spans="4:13">
      <c r="D10" t="s">
        <v>1015</v>
      </c>
      <c r="E10">
        <v>11.77</v>
      </c>
      <c r="G10">
        <f t="shared" si="1"/>
        <v>1.2306711979609175</v>
      </c>
      <c r="H10">
        <f t="shared" si="0"/>
        <v>11.77</v>
      </c>
      <c r="I10" t="s">
        <v>1025</v>
      </c>
      <c r="J10" t="s">
        <v>578</v>
      </c>
    </row>
    <row r="11" spans="4:13">
      <c r="D11" t="s">
        <v>1010</v>
      </c>
      <c r="E11">
        <v>11.97</v>
      </c>
      <c r="G11">
        <f t="shared" si="1"/>
        <v>1.2101086048454468</v>
      </c>
      <c r="H11">
        <f t="shared" si="0"/>
        <v>11.97</v>
      </c>
      <c r="J11" t="s">
        <v>600</v>
      </c>
      <c r="K11" t="s">
        <v>1037</v>
      </c>
      <c r="L11" t="s">
        <v>121</v>
      </c>
    </row>
    <row r="12" spans="4:13">
      <c r="D12" t="s">
        <v>1008</v>
      </c>
      <c r="E12">
        <v>12.11</v>
      </c>
      <c r="G12">
        <f t="shared" si="1"/>
        <v>1.1961189099917424</v>
      </c>
      <c r="H12">
        <f t="shared" si="0"/>
        <v>12.11</v>
      </c>
      <c r="J12" t="s">
        <v>608</v>
      </c>
    </row>
    <row r="13" spans="4:13">
      <c r="D13" t="s">
        <v>1011</v>
      </c>
      <c r="E13">
        <v>12.12</v>
      </c>
      <c r="G13">
        <f t="shared" si="1"/>
        <v>1.1951320132013201</v>
      </c>
      <c r="H13">
        <f t="shared" si="0"/>
        <v>12.12</v>
      </c>
      <c r="I13" t="s">
        <v>1023</v>
      </c>
      <c r="J13" t="s">
        <v>1031</v>
      </c>
      <c r="L13" t="s">
        <v>121</v>
      </c>
    </row>
    <row r="14" spans="4:13">
      <c r="D14" t="s">
        <v>1017</v>
      </c>
      <c r="E14">
        <v>12.23</v>
      </c>
      <c r="G14">
        <f t="shared" si="1"/>
        <v>1.1843826655764513</v>
      </c>
      <c r="H14">
        <f t="shared" si="0"/>
        <v>12.23</v>
      </c>
      <c r="J14" t="s">
        <v>174</v>
      </c>
    </row>
    <row r="15" spans="4:13">
      <c r="D15" t="s">
        <v>1032</v>
      </c>
      <c r="E15">
        <v>12.56</v>
      </c>
      <c r="F15">
        <v>12.68</v>
      </c>
      <c r="G15">
        <f t="shared" si="1"/>
        <v>1.147781299524564</v>
      </c>
      <c r="H15">
        <f t="shared" si="0"/>
        <v>12.620000000000001</v>
      </c>
      <c r="J15" t="s">
        <v>1033</v>
      </c>
      <c r="K15" t="s">
        <v>1033</v>
      </c>
      <c r="L15" t="s">
        <v>121</v>
      </c>
    </row>
    <row r="16" spans="4:13">
      <c r="D16" t="s">
        <v>1014</v>
      </c>
      <c r="E16">
        <v>13.02</v>
      </c>
      <c r="G16">
        <f t="shared" si="1"/>
        <v>1.1125192012288787</v>
      </c>
      <c r="H16">
        <f t="shared" si="0"/>
        <v>13.02</v>
      </c>
    </row>
    <row r="17" spans="4:24">
      <c r="D17" t="s">
        <v>1004</v>
      </c>
      <c r="E17">
        <v>13.04</v>
      </c>
      <c r="G17">
        <f t="shared" si="1"/>
        <v>1.1108128834355828</v>
      </c>
      <c r="H17">
        <f t="shared" si="0"/>
        <v>13.04</v>
      </c>
    </row>
    <row r="18" spans="4:24">
      <c r="D18" t="s">
        <v>191</v>
      </c>
      <c r="E18">
        <v>13.01</v>
      </c>
      <c r="F18">
        <v>13.08</v>
      </c>
      <c r="G18">
        <f t="shared" si="1"/>
        <v>1.1103871215024914</v>
      </c>
      <c r="H18">
        <f t="shared" si="0"/>
        <v>13.045</v>
      </c>
      <c r="I18" t="s">
        <v>1028</v>
      </c>
    </row>
    <row r="19" spans="4:24">
      <c r="D19" t="s">
        <v>1012</v>
      </c>
      <c r="E19">
        <v>13.16</v>
      </c>
      <c r="G19">
        <f t="shared" si="1"/>
        <v>1.1006838905775076</v>
      </c>
      <c r="H19">
        <f t="shared" si="0"/>
        <v>13.16</v>
      </c>
    </row>
    <row r="20" spans="4:24">
      <c r="D20" t="s">
        <v>1007</v>
      </c>
      <c r="E20">
        <v>13.22</v>
      </c>
      <c r="G20">
        <f t="shared" si="1"/>
        <v>1.0956883509833584</v>
      </c>
      <c r="H20">
        <f t="shared" si="0"/>
        <v>13.22</v>
      </c>
    </row>
    <row r="21" spans="4:24">
      <c r="D21" t="s">
        <v>1006</v>
      </c>
      <c r="E21">
        <v>13.37</v>
      </c>
      <c r="G21">
        <f t="shared" si="1"/>
        <v>1.0833956619296934</v>
      </c>
      <c r="H21">
        <f t="shared" si="0"/>
        <v>13.37</v>
      </c>
    </row>
    <row r="22" spans="4:24">
      <c r="D22" t="s">
        <v>797</v>
      </c>
      <c r="E22">
        <v>14.1</v>
      </c>
      <c r="F22">
        <v>13.87</v>
      </c>
      <c r="G22">
        <f t="shared" si="1"/>
        <v>1.0357525920629245</v>
      </c>
      <c r="H22">
        <f t="shared" si="0"/>
        <v>13.984999999999999</v>
      </c>
      <c r="K22" t="s">
        <v>1069</v>
      </c>
    </row>
    <row r="23" spans="4:24">
      <c r="D23" t="s">
        <v>1018</v>
      </c>
      <c r="E23">
        <v>14.12</v>
      </c>
      <c r="G23">
        <f t="shared" si="1"/>
        <v>1.0258498583569404</v>
      </c>
      <c r="H23">
        <f t="shared" si="0"/>
        <v>14.12</v>
      </c>
    </row>
    <row r="24" spans="4:24">
      <c r="D24" t="s">
        <v>166</v>
      </c>
      <c r="E24">
        <v>13.97</v>
      </c>
      <c r="F24">
        <v>14.34</v>
      </c>
      <c r="G24">
        <f t="shared" si="1"/>
        <v>1.0233133168491697</v>
      </c>
      <c r="H24">
        <f t="shared" si="0"/>
        <v>14.155000000000001</v>
      </c>
    </row>
    <row r="25" spans="4:24">
      <c r="D25" t="s">
        <v>1002</v>
      </c>
      <c r="E25">
        <v>14.48</v>
      </c>
      <c r="F25">
        <v>14.49</v>
      </c>
      <c r="G25">
        <f t="shared" si="1"/>
        <v>1</v>
      </c>
      <c r="H25">
        <f t="shared" si="0"/>
        <v>14.484999999999999</v>
      </c>
    </row>
    <row r="26" spans="4:24">
      <c r="D26" t="s">
        <v>1005</v>
      </c>
      <c r="E26">
        <v>15.6</v>
      </c>
      <c r="G26">
        <f t="shared" si="1"/>
        <v>0.92852564102564106</v>
      </c>
      <c r="H26">
        <f t="shared" si="0"/>
        <v>15.6</v>
      </c>
      <c r="I26" t="s">
        <v>1024</v>
      </c>
    </row>
    <row r="27" spans="4:24">
      <c r="D27" t="s">
        <v>1000</v>
      </c>
      <c r="E27">
        <v>15.47</v>
      </c>
      <c r="F27">
        <v>15.83</v>
      </c>
      <c r="G27">
        <f t="shared" si="1"/>
        <v>0.92555910543130981</v>
      </c>
      <c r="H27">
        <f t="shared" si="0"/>
        <v>15.65</v>
      </c>
      <c r="U27" t="s">
        <v>1183</v>
      </c>
    </row>
    <row r="28" spans="4:24">
      <c r="D28" t="s">
        <v>250</v>
      </c>
      <c r="E28">
        <v>15.58</v>
      </c>
      <c r="F28">
        <v>15.82</v>
      </c>
      <c r="G28">
        <f t="shared" si="1"/>
        <v>0.92261146496815283</v>
      </c>
      <c r="H28">
        <f t="shared" si="0"/>
        <v>15.7</v>
      </c>
      <c r="U28">
        <v>6</v>
      </c>
      <c r="X28">
        <v>7</v>
      </c>
    </row>
    <row r="29" spans="4:24">
      <c r="D29" t="s">
        <v>1001</v>
      </c>
      <c r="E29">
        <v>25.29</v>
      </c>
      <c r="G29">
        <f t="shared" si="1"/>
        <v>0.57275603005140374</v>
      </c>
      <c r="H29">
        <f t="shared" si="0"/>
        <v>25.29</v>
      </c>
      <c r="U29">
        <v>7</v>
      </c>
      <c r="X29">
        <v>11</v>
      </c>
    </row>
    <row r="30" spans="4:24">
      <c r="D30" t="s">
        <v>1181</v>
      </c>
      <c r="G30">
        <f t="shared" si="1"/>
        <v>1.0769516728624535</v>
      </c>
      <c r="H30">
        <v>13.45</v>
      </c>
      <c r="I30" t="s">
        <v>1182</v>
      </c>
      <c r="U30">
        <v>8</v>
      </c>
      <c r="X30">
        <v>2</v>
      </c>
    </row>
    <row r="31" spans="4:24">
      <c r="U31">
        <v>2</v>
      </c>
      <c r="X31">
        <v>3</v>
      </c>
    </row>
    <row r="32" spans="4:24">
      <c r="U32">
        <v>27</v>
      </c>
      <c r="X32">
        <v>6</v>
      </c>
    </row>
    <row r="33" spans="21:24">
      <c r="U33">
        <v>16</v>
      </c>
      <c r="X33">
        <v>10</v>
      </c>
    </row>
    <row r="34" spans="21:24">
      <c r="U34">
        <v>34</v>
      </c>
      <c r="X34" t="s">
        <v>1184</v>
      </c>
    </row>
    <row r="35" spans="21:24">
      <c r="X35">
        <v>7</v>
      </c>
    </row>
    <row r="36" spans="21:24">
      <c r="X36" t="s">
        <v>1184</v>
      </c>
    </row>
  </sheetData>
  <autoFilter ref="D5:I5">
    <sortState ref="D6:I29">
      <sortCondition ref="H5"/>
    </sortState>
  </autoFilter>
  <conditionalFormatting sqref="G6:G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50"/>
  <sheetViews>
    <sheetView topLeftCell="A14" workbookViewId="0">
      <selection activeCell="C25" sqref="C25"/>
    </sheetView>
  </sheetViews>
  <sheetFormatPr defaultRowHeight="15"/>
  <cols>
    <col min="3" max="3" width="13.5703125" customWidth="1"/>
  </cols>
  <sheetData>
    <row r="3" spans="3:21">
      <c r="C3" t="s">
        <v>1043</v>
      </c>
      <c r="J3" t="s">
        <v>1057</v>
      </c>
    </row>
    <row r="5" spans="3:21">
      <c r="J5">
        <v>1.5</v>
      </c>
      <c r="K5">
        <v>1.147781299524564</v>
      </c>
      <c r="T5">
        <v>5</v>
      </c>
    </row>
    <row r="6" spans="3:21">
      <c r="C6" t="s">
        <v>1040</v>
      </c>
      <c r="D6" t="s">
        <v>776</v>
      </c>
      <c r="E6" t="s">
        <v>1041</v>
      </c>
      <c r="F6" t="s">
        <v>1002</v>
      </c>
      <c r="G6" t="s">
        <v>1042</v>
      </c>
      <c r="H6" t="s">
        <v>1056</v>
      </c>
      <c r="T6">
        <v>5</v>
      </c>
    </row>
    <row r="7" spans="3:21">
      <c r="C7" t="s">
        <v>1044</v>
      </c>
      <c r="D7" t="s">
        <v>839</v>
      </c>
      <c r="E7" t="s">
        <v>844</v>
      </c>
      <c r="F7">
        <v>16.309999999999999</v>
      </c>
      <c r="G7">
        <v>11.61</v>
      </c>
      <c r="H7">
        <f>F7-G7</f>
        <v>4.6999999999999993</v>
      </c>
      <c r="I7">
        <f>H7-J$5</f>
        <v>3.1999999999999993</v>
      </c>
      <c r="J7">
        <f>F7/G7</f>
        <v>1.404823428079242</v>
      </c>
      <c r="K7">
        <f>F7/$K$5</f>
        <v>14.210024162927168</v>
      </c>
      <c r="L7">
        <f>F7-K7</f>
        <v>2.0999758370728312</v>
      </c>
      <c r="M7">
        <f>MAX(L7-$J$5,0)</f>
        <v>0.5999758370728312</v>
      </c>
      <c r="T7">
        <v>2</v>
      </c>
    </row>
    <row r="8" spans="3:21">
      <c r="C8" t="s">
        <v>1046</v>
      </c>
      <c r="D8" t="s">
        <v>1045</v>
      </c>
      <c r="E8" t="s">
        <v>777</v>
      </c>
      <c r="F8">
        <v>15.6</v>
      </c>
      <c r="G8">
        <v>11.69</v>
      </c>
      <c r="H8">
        <f t="shared" ref="H8:H25" si="0">F8-G8</f>
        <v>3.91</v>
      </c>
      <c r="I8">
        <f t="shared" ref="I8:I22" si="1">H8-J$5</f>
        <v>2.41</v>
      </c>
      <c r="J8">
        <f t="shared" ref="J8:J22" si="2">F8/G8</f>
        <v>1.3344739093242088</v>
      </c>
      <c r="K8">
        <f t="shared" ref="K8:K22" si="3">F8/$K$5</f>
        <v>13.591439420089751</v>
      </c>
      <c r="L8">
        <f t="shared" ref="L8:L22" si="4">F8-K8</f>
        <v>2.0085605799102488</v>
      </c>
      <c r="M8">
        <f t="shared" ref="M8:M22" si="5">MAX(L8-$J$5,0)</f>
        <v>0.50856057991024883</v>
      </c>
      <c r="T8">
        <v>7</v>
      </c>
    </row>
    <row r="9" spans="3:21">
      <c r="D9" t="s">
        <v>777</v>
      </c>
      <c r="E9" t="s">
        <v>778</v>
      </c>
      <c r="F9">
        <v>9.8800000000000008</v>
      </c>
      <c r="G9">
        <v>7.31</v>
      </c>
      <c r="H9">
        <f t="shared" si="0"/>
        <v>2.5700000000000012</v>
      </c>
      <c r="I9">
        <f t="shared" si="1"/>
        <v>1.0700000000000012</v>
      </c>
      <c r="J9">
        <f t="shared" si="2"/>
        <v>1.3515731874145009</v>
      </c>
      <c r="K9">
        <f t="shared" si="3"/>
        <v>8.6079116327235088</v>
      </c>
      <c r="L9">
        <f t="shared" si="4"/>
        <v>1.272088367276492</v>
      </c>
      <c r="M9">
        <f t="shared" si="5"/>
        <v>0</v>
      </c>
      <c r="T9">
        <v>4</v>
      </c>
    </row>
    <row r="10" spans="3:21">
      <c r="C10" t="s">
        <v>1047</v>
      </c>
      <c r="D10" t="s">
        <v>1048</v>
      </c>
      <c r="E10" t="s">
        <v>780</v>
      </c>
      <c r="F10">
        <v>11.36</v>
      </c>
      <c r="G10">
        <v>8.77</v>
      </c>
      <c r="H10">
        <f t="shared" si="0"/>
        <v>2.59</v>
      </c>
      <c r="I10">
        <f t="shared" si="1"/>
        <v>1.0899999999999999</v>
      </c>
      <c r="J10">
        <f t="shared" si="2"/>
        <v>1.2953249714937287</v>
      </c>
      <c r="K10">
        <f t="shared" si="3"/>
        <v>9.8973558853986887</v>
      </c>
      <c r="L10">
        <f t="shared" si="4"/>
        <v>1.4626441146013107</v>
      </c>
      <c r="M10">
        <f t="shared" si="5"/>
        <v>0</v>
      </c>
      <c r="T10">
        <v>2</v>
      </c>
    </row>
    <row r="11" spans="3:21">
      <c r="C11" t="s">
        <v>1049</v>
      </c>
      <c r="D11" t="s">
        <v>1050</v>
      </c>
      <c r="E11" t="s">
        <v>778</v>
      </c>
      <c r="F11">
        <v>6.58</v>
      </c>
      <c r="G11">
        <v>5.18</v>
      </c>
      <c r="H11">
        <f t="shared" si="0"/>
        <v>1.4000000000000004</v>
      </c>
      <c r="I11">
        <f t="shared" si="1"/>
        <v>-9.9999999999999645E-2</v>
      </c>
      <c r="J11">
        <f t="shared" si="2"/>
        <v>1.2702702702702704</v>
      </c>
      <c r="K11">
        <f t="shared" si="3"/>
        <v>5.7327994477045232</v>
      </c>
      <c r="L11">
        <f t="shared" si="4"/>
        <v>0.84720055229547686</v>
      </c>
      <c r="M11">
        <f t="shared" si="5"/>
        <v>0</v>
      </c>
      <c r="O11">
        <v>700</v>
      </c>
      <c r="T11">
        <v>6</v>
      </c>
    </row>
    <row r="12" spans="3:21">
      <c r="D12" t="s">
        <v>778</v>
      </c>
      <c r="E12" t="s">
        <v>1051</v>
      </c>
      <c r="F12">
        <v>17</v>
      </c>
      <c r="G12">
        <v>12.88</v>
      </c>
      <c r="H12">
        <f t="shared" si="0"/>
        <v>4.1199999999999992</v>
      </c>
      <c r="I12">
        <f t="shared" si="1"/>
        <v>2.6199999999999992</v>
      </c>
      <c r="J12">
        <f t="shared" si="2"/>
        <v>1.3198757763975155</v>
      </c>
      <c r="K12">
        <f t="shared" si="3"/>
        <v>14.811183983431139</v>
      </c>
      <c r="L12">
        <f t="shared" si="4"/>
        <v>2.188816016568861</v>
      </c>
      <c r="M12">
        <f t="shared" si="5"/>
        <v>0.68881601656886104</v>
      </c>
      <c r="T12">
        <v>5</v>
      </c>
    </row>
    <row r="13" spans="3:21">
      <c r="C13" t="s">
        <v>1052</v>
      </c>
      <c r="D13" t="s">
        <v>1053</v>
      </c>
      <c r="E13" t="s">
        <v>759</v>
      </c>
      <c r="F13">
        <v>21.84</v>
      </c>
      <c r="G13">
        <v>17.91</v>
      </c>
      <c r="H13">
        <f t="shared" si="0"/>
        <v>3.9299999999999997</v>
      </c>
      <c r="I13">
        <f t="shared" si="1"/>
        <v>2.4299999999999997</v>
      </c>
      <c r="J13">
        <f t="shared" si="2"/>
        <v>1.2194304857621441</v>
      </c>
      <c r="K13">
        <f t="shared" si="3"/>
        <v>19.02801518812565</v>
      </c>
      <c r="L13">
        <f t="shared" si="4"/>
        <v>2.8119848118743498</v>
      </c>
      <c r="M13">
        <f t="shared" si="5"/>
        <v>1.3119848118743498</v>
      </c>
      <c r="T13">
        <v>2</v>
      </c>
      <c r="U13">
        <v>9.4499999999999993</v>
      </c>
    </row>
    <row r="14" spans="3:21">
      <c r="D14" t="s">
        <v>778</v>
      </c>
      <c r="E14" t="s">
        <v>780</v>
      </c>
      <c r="F14">
        <v>17.559999999999999</v>
      </c>
      <c r="G14">
        <v>15</v>
      </c>
      <c r="H14">
        <f t="shared" si="0"/>
        <v>2.5599999999999987</v>
      </c>
      <c r="I14">
        <f t="shared" si="1"/>
        <v>1.0599999999999987</v>
      </c>
      <c r="J14">
        <f t="shared" si="2"/>
        <v>1.1706666666666665</v>
      </c>
      <c r="K14">
        <f t="shared" si="3"/>
        <v>15.299081808767692</v>
      </c>
      <c r="L14">
        <f t="shared" si="4"/>
        <v>2.2609181912323066</v>
      </c>
      <c r="M14">
        <f t="shared" si="5"/>
        <v>0.76091819123230664</v>
      </c>
      <c r="P14">
        <v>700</v>
      </c>
      <c r="T14">
        <v>5</v>
      </c>
      <c r="U14">
        <v>20</v>
      </c>
    </row>
    <row r="15" spans="3:21">
      <c r="C15" t="s">
        <v>1054</v>
      </c>
      <c r="D15" t="s">
        <v>755</v>
      </c>
      <c r="E15" t="s">
        <v>783</v>
      </c>
      <c r="F15">
        <v>9.2799999999999994</v>
      </c>
      <c r="G15">
        <v>7.13</v>
      </c>
      <c r="H15">
        <f t="shared" si="0"/>
        <v>2.1499999999999995</v>
      </c>
      <c r="I15">
        <f t="shared" si="1"/>
        <v>0.64999999999999947</v>
      </c>
      <c r="J15">
        <f t="shared" si="2"/>
        <v>1.3015427769985974</v>
      </c>
      <c r="K15">
        <f t="shared" si="3"/>
        <v>8.0851639627200562</v>
      </c>
      <c r="L15">
        <f t="shared" si="4"/>
        <v>1.1948360372799431</v>
      </c>
      <c r="M15">
        <f t="shared" si="5"/>
        <v>0</v>
      </c>
      <c r="T15">
        <v>9</v>
      </c>
      <c r="U15">
        <v>25.27</v>
      </c>
    </row>
    <row r="16" spans="3:21">
      <c r="D16" t="s">
        <v>815</v>
      </c>
      <c r="E16" t="s">
        <v>1055</v>
      </c>
      <c r="F16">
        <v>9.84</v>
      </c>
      <c r="G16">
        <v>7.85</v>
      </c>
      <c r="H16">
        <f t="shared" si="0"/>
        <v>1.9900000000000002</v>
      </c>
      <c r="I16">
        <f t="shared" si="1"/>
        <v>0.49000000000000021</v>
      </c>
      <c r="J16">
        <f t="shared" si="2"/>
        <v>1.2535031847133757</v>
      </c>
      <c r="K16">
        <f t="shared" si="3"/>
        <v>8.5730617880566111</v>
      </c>
      <c r="L16">
        <f t="shared" si="4"/>
        <v>1.2669382119433887</v>
      </c>
      <c r="M16">
        <f t="shared" si="5"/>
        <v>0</v>
      </c>
    </row>
    <row r="17" spans="3:20">
      <c r="C17" t="s">
        <v>1058</v>
      </c>
      <c r="D17" t="s">
        <v>1059</v>
      </c>
      <c r="E17" t="s">
        <v>1060</v>
      </c>
      <c r="F17">
        <v>22.32</v>
      </c>
      <c r="G17">
        <v>16.87</v>
      </c>
      <c r="H17">
        <f t="shared" si="0"/>
        <v>5.4499999999999993</v>
      </c>
      <c r="I17">
        <f t="shared" si="1"/>
        <v>3.9499999999999993</v>
      </c>
      <c r="J17">
        <f t="shared" si="2"/>
        <v>1.3230586840545346</v>
      </c>
      <c r="K17">
        <f t="shared" si="3"/>
        <v>19.446213324128411</v>
      </c>
      <c r="L17">
        <f t="shared" si="4"/>
        <v>2.8737866758715889</v>
      </c>
      <c r="M17">
        <f t="shared" si="5"/>
        <v>1.3737866758715889</v>
      </c>
      <c r="T17">
        <f>AVERAGE(T5:T15)</f>
        <v>4.7272727272727275</v>
      </c>
    </row>
    <row r="18" spans="3:20">
      <c r="C18" t="s">
        <v>1061</v>
      </c>
      <c r="D18" t="s">
        <v>47</v>
      </c>
      <c r="E18" t="s">
        <v>1062</v>
      </c>
      <c r="F18">
        <v>11.68</v>
      </c>
      <c r="G18">
        <v>9.81</v>
      </c>
      <c r="H18">
        <f t="shared" si="0"/>
        <v>1.8699999999999992</v>
      </c>
      <c r="I18">
        <f t="shared" si="1"/>
        <v>0.36999999999999922</v>
      </c>
      <c r="J18">
        <f t="shared" si="2"/>
        <v>1.1906218144750254</v>
      </c>
      <c r="K18">
        <f t="shared" si="3"/>
        <v>10.176154642733865</v>
      </c>
      <c r="L18">
        <f t="shared" si="4"/>
        <v>1.503845357266135</v>
      </c>
      <c r="M18">
        <f t="shared" si="5"/>
        <v>3.8453572661349966E-3</v>
      </c>
    </row>
    <row r="19" spans="3:20">
      <c r="D19" t="s">
        <v>1062</v>
      </c>
      <c r="E19" t="s">
        <v>772</v>
      </c>
      <c r="F19">
        <v>16.52</v>
      </c>
      <c r="G19">
        <v>12.3</v>
      </c>
      <c r="H19">
        <f t="shared" si="0"/>
        <v>4.2199999999999989</v>
      </c>
      <c r="I19">
        <f t="shared" si="1"/>
        <v>2.7199999999999989</v>
      </c>
      <c r="J19">
        <f t="shared" si="2"/>
        <v>1.3430894308943089</v>
      </c>
      <c r="K19">
        <f t="shared" si="3"/>
        <v>14.392985847428376</v>
      </c>
      <c r="L19">
        <f t="shared" si="4"/>
        <v>2.1270141525716237</v>
      </c>
      <c r="M19">
        <f t="shared" si="5"/>
        <v>0.62701415257162374</v>
      </c>
    </row>
    <row r="20" spans="3:20">
      <c r="C20" t="s">
        <v>1060</v>
      </c>
      <c r="D20" t="s">
        <v>778</v>
      </c>
      <c r="E20" t="s">
        <v>1063</v>
      </c>
      <c r="F20">
        <v>12.25</v>
      </c>
      <c r="G20">
        <v>10</v>
      </c>
      <c r="H20">
        <f t="shared" si="0"/>
        <v>2.25</v>
      </c>
      <c r="I20">
        <f t="shared" si="1"/>
        <v>0.75</v>
      </c>
      <c r="J20">
        <f t="shared" si="2"/>
        <v>1.2250000000000001</v>
      </c>
      <c r="K20">
        <f t="shared" si="3"/>
        <v>10.672764929237143</v>
      </c>
      <c r="L20">
        <f t="shared" si="4"/>
        <v>1.5772350707628569</v>
      </c>
      <c r="M20">
        <f t="shared" si="5"/>
        <v>7.723507076285685E-2</v>
      </c>
    </row>
    <row r="21" spans="3:20">
      <c r="D21" t="s">
        <v>1063</v>
      </c>
      <c r="E21" t="s">
        <v>1064</v>
      </c>
      <c r="F21">
        <v>22.44</v>
      </c>
      <c r="G21">
        <v>16.54</v>
      </c>
      <c r="H21">
        <f t="shared" si="0"/>
        <v>5.9000000000000021</v>
      </c>
      <c r="I21">
        <f t="shared" si="1"/>
        <v>4.4000000000000021</v>
      </c>
      <c r="J21">
        <f t="shared" si="2"/>
        <v>1.3567110036275696</v>
      </c>
      <c r="K21">
        <f t="shared" si="3"/>
        <v>19.550762858129104</v>
      </c>
      <c r="L21">
        <f t="shared" si="4"/>
        <v>2.8892371418708969</v>
      </c>
      <c r="M21">
        <f t="shared" si="5"/>
        <v>1.3892371418708969</v>
      </c>
    </row>
    <row r="22" spans="3:20">
      <c r="D22" t="s">
        <v>264</v>
      </c>
      <c r="E22" t="s">
        <v>1065</v>
      </c>
      <c r="F22">
        <v>20.36</v>
      </c>
      <c r="G22">
        <v>15.35</v>
      </c>
      <c r="H22">
        <f t="shared" si="0"/>
        <v>5.01</v>
      </c>
      <c r="I22">
        <f t="shared" si="1"/>
        <v>3.51</v>
      </c>
      <c r="J22">
        <f t="shared" si="2"/>
        <v>1.3263843648208469</v>
      </c>
      <c r="K22">
        <f t="shared" si="3"/>
        <v>17.738570935450468</v>
      </c>
      <c r="L22">
        <f t="shared" si="4"/>
        <v>2.6214290645495311</v>
      </c>
      <c r="M22">
        <f t="shared" si="5"/>
        <v>1.1214290645495311</v>
      </c>
      <c r="N22">
        <v>700</v>
      </c>
    </row>
    <row r="23" spans="3:20">
      <c r="D23" t="s">
        <v>1065</v>
      </c>
      <c r="E23" t="s">
        <v>1053</v>
      </c>
      <c r="H23">
        <f t="shared" si="0"/>
        <v>0</v>
      </c>
      <c r="P23">
        <v>7</v>
      </c>
    </row>
    <row r="24" spans="3:20">
      <c r="E24">
        <v>700</v>
      </c>
      <c r="H24">
        <f t="shared" si="0"/>
        <v>0</v>
      </c>
    </row>
    <row r="25" spans="3:20">
      <c r="H25">
        <f t="shared" si="0"/>
        <v>0</v>
      </c>
    </row>
    <row r="28" spans="3:20">
      <c r="F28">
        <v>700</v>
      </c>
      <c r="H28">
        <f>SUM(H7:H27)</f>
        <v>54.619999999999983</v>
      </c>
      <c r="I28">
        <f>SUM(I7:I27)</f>
        <v>30.619999999999997</v>
      </c>
      <c r="M28">
        <f>SUM(M7:M22)</f>
        <v>8.4628028995512299</v>
      </c>
    </row>
    <row r="29" spans="3:20">
      <c r="I29">
        <f>I28-15-15</f>
        <v>0.61999999999999744</v>
      </c>
    </row>
    <row r="32" spans="3:20">
      <c r="C32" t="s">
        <v>1188</v>
      </c>
      <c r="D32" t="s">
        <v>776</v>
      </c>
      <c r="E32" t="s">
        <v>1041</v>
      </c>
      <c r="F32" t="s">
        <v>1002</v>
      </c>
      <c r="G32" t="s">
        <v>1042</v>
      </c>
      <c r="H32" t="s">
        <v>1056</v>
      </c>
    </row>
    <row r="33" spans="3:13">
      <c r="C33" t="s">
        <v>1189</v>
      </c>
      <c r="D33" t="s">
        <v>760</v>
      </c>
      <c r="E33" t="s">
        <v>768</v>
      </c>
      <c r="F33">
        <v>9.6</v>
      </c>
      <c r="K33">
        <f>F33/$K$5</f>
        <v>8.3639627200552304</v>
      </c>
      <c r="L33">
        <f>F33-K33</f>
        <v>1.2360372799447692</v>
      </c>
      <c r="M33">
        <f>MAX(L33-$J$5,0)</f>
        <v>0</v>
      </c>
    </row>
    <row r="34" spans="3:13">
      <c r="D34" t="s">
        <v>802</v>
      </c>
      <c r="E34" t="s">
        <v>804</v>
      </c>
      <c r="F34">
        <v>12.2</v>
      </c>
      <c r="K34">
        <f t="shared" ref="K34:K48" si="6">F34/$K$5</f>
        <v>10.629202623403522</v>
      </c>
      <c r="L34">
        <f t="shared" ref="L34:L43" si="7">F34-K34</f>
        <v>1.5707973765964773</v>
      </c>
      <c r="M34">
        <f t="shared" ref="M34:M47" si="8">MAX(L34-$J$5,0)</f>
        <v>7.0797376596477335E-2</v>
      </c>
    </row>
    <row r="35" spans="3:13">
      <c r="C35" t="s">
        <v>928</v>
      </c>
      <c r="D35" t="s">
        <v>802</v>
      </c>
      <c r="E35" t="s">
        <v>1055</v>
      </c>
      <c r="F35">
        <v>18.829999999999998</v>
      </c>
      <c r="K35">
        <f t="shared" si="6"/>
        <v>16.405564376941665</v>
      </c>
      <c r="L35">
        <f t="shared" si="7"/>
        <v>2.4244356230583328</v>
      </c>
      <c r="M35">
        <f t="shared" si="8"/>
        <v>0.92443562305833282</v>
      </c>
    </row>
    <row r="36" spans="3:13">
      <c r="D36" t="s">
        <v>804</v>
      </c>
      <c r="E36" t="s">
        <v>778</v>
      </c>
      <c r="F36">
        <v>14</v>
      </c>
      <c r="K36">
        <f t="shared" si="6"/>
        <v>12.197445633413878</v>
      </c>
      <c r="L36">
        <f t="shared" si="7"/>
        <v>1.8025543665861221</v>
      </c>
      <c r="M36">
        <f t="shared" si="8"/>
        <v>0.30255436658612211</v>
      </c>
    </row>
    <row r="37" spans="3:13">
      <c r="D37" t="s">
        <v>778</v>
      </c>
      <c r="E37" t="s">
        <v>804</v>
      </c>
      <c r="F37">
        <v>7.16</v>
      </c>
      <c r="K37">
        <f t="shared" si="6"/>
        <v>6.2381221953745269</v>
      </c>
      <c r="L37">
        <f t="shared" si="7"/>
        <v>0.9218778046254732</v>
      </c>
      <c r="M37">
        <f t="shared" si="8"/>
        <v>0</v>
      </c>
    </row>
    <row r="38" spans="3:13">
      <c r="C38" t="s">
        <v>1190</v>
      </c>
      <c r="D38" t="s">
        <v>807</v>
      </c>
      <c r="E38" t="s">
        <v>764</v>
      </c>
      <c r="F38">
        <v>10.01</v>
      </c>
      <c r="K38">
        <f t="shared" si="6"/>
        <v>8.7211736278909235</v>
      </c>
      <c r="L38">
        <f t="shared" si="7"/>
        <v>1.2888263721090762</v>
      </c>
      <c r="M38">
        <f t="shared" si="8"/>
        <v>0</v>
      </c>
    </row>
    <row r="39" spans="3:13">
      <c r="C39" t="s">
        <v>1058</v>
      </c>
      <c r="D39" t="s">
        <v>1191</v>
      </c>
      <c r="E39" t="s">
        <v>1055</v>
      </c>
      <c r="F39">
        <v>8.3800000000000008</v>
      </c>
      <c r="K39">
        <f t="shared" si="6"/>
        <v>7.3010424577148791</v>
      </c>
      <c r="L39">
        <f t="shared" si="7"/>
        <v>1.0789575422851216</v>
      </c>
      <c r="M39">
        <f t="shared" si="8"/>
        <v>0</v>
      </c>
    </row>
    <row r="40" spans="3:13">
      <c r="D40" t="s">
        <v>1055</v>
      </c>
      <c r="E40" t="s">
        <v>778</v>
      </c>
      <c r="F40">
        <v>16.46</v>
      </c>
      <c r="K40">
        <f t="shared" si="6"/>
        <v>14.340711080428033</v>
      </c>
      <c r="L40">
        <f t="shared" si="7"/>
        <v>2.119288919571968</v>
      </c>
      <c r="M40">
        <f t="shared" si="8"/>
        <v>0.61928891957196797</v>
      </c>
    </row>
    <row r="41" spans="3:13">
      <c r="C41" t="s">
        <v>754</v>
      </c>
      <c r="D41" t="s">
        <v>1048</v>
      </c>
      <c r="E41" t="s">
        <v>738</v>
      </c>
      <c r="F41">
        <v>8.75</v>
      </c>
      <c r="K41">
        <f t="shared" si="6"/>
        <v>7.6234035208836737</v>
      </c>
      <c r="L41">
        <f t="shared" si="7"/>
        <v>1.1265964791163263</v>
      </c>
      <c r="M41">
        <f t="shared" si="8"/>
        <v>0</v>
      </c>
    </row>
    <row r="42" spans="3:13">
      <c r="C42" t="s">
        <v>1192</v>
      </c>
      <c r="D42" t="s">
        <v>793</v>
      </c>
      <c r="E42" t="s">
        <v>778</v>
      </c>
      <c r="F42">
        <v>15.51</v>
      </c>
      <c r="K42">
        <f t="shared" si="6"/>
        <v>13.513027269589232</v>
      </c>
      <c r="L42">
        <f t="shared" si="7"/>
        <v>1.9969727304107678</v>
      </c>
      <c r="M42">
        <f t="shared" si="8"/>
        <v>0.49697273041076784</v>
      </c>
    </row>
    <row r="43" spans="3:13">
      <c r="D43" t="s">
        <v>778</v>
      </c>
      <c r="E43" t="s">
        <v>1051</v>
      </c>
      <c r="F43">
        <v>22</v>
      </c>
      <c r="K43">
        <f t="shared" si="6"/>
        <v>19.167414566793237</v>
      </c>
      <c r="L43">
        <f t="shared" si="7"/>
        <v>2.8325854332067628</v>
      </c>
      <c r="M43">
        <f t="shared" si="8"/>
        <v>1.3325854332067628</v>
      </c>
    </row>
    <row r="44" spans="3:13">
      <c r="C44" t="s">
        <v>368</v>
      </c>
      <c r="K44">
        <f t="shared" si="6"/>
        <v>0</v>
      </c>
    </row>
    <row r="45" spans="3:13">
      <c r="K45">
        <f t="shared" si="6"/>
        <v>0</v>
      </c>
    </row>
    <row r="46" spans="3:13">
      <c r="K46">
        <f t="shared" si="6"/>
        <v>0</v>
      </c>
    </row>
    <row r="47" spans="3:13">
      <c r="C47" t="s">
        <v>1058</v>
      </c>
      <c r="D47" t="s">
        <v>1193</v>
      </c>
      <c r="F47">
        <v>26.5</v>
      </c>
      <c r="K47">
        <f t="shared" si="6"/>
        <v>23.088022091819127</v>
      </c>
      <c r="L47">
        <f t="shared" ref="L47" si="9">F47-K47</f>
        <v>3.411977908180873</v>
      </c>
      <c r="M47">
        <f t="shared" si="8"/>
        <v>1.911977908180873</v>
      </c>
    </row>
    <row r="48" spans="3:13">
      <c r="K48">
        <f t="shared" si="6"/>
        <v>0</v>
      </c>
    </row>
    <row r="50" spans="13:13">
      <c r="M50">
        <f>SUM(M33:M47)</f>
        <v>5.6586123576113039</v>
      </c>
    </row>
  </sheetData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U40"/>
  <sheetViews>
    <sheetView topLeftCell="A13" workbookViewId="0">
      <selection activeCell="H17" sqref="H17"/>
    </sheetView>
  </sheetViews>
  <sheetFormatPr defaultRowHeight="15"/>
  <cols>
    <col min="18" max="18" width="15.42578125" customWidth="1"/>
  </cols>
  <sheetData>
    <row r="8" spans="8:13">
      <c r="I8" t="s">
        <v>918</v>
      </c>
    </row>
    <row r="9" spans="8:13">
      <c r="H9">
        <v>3</v>
      </c>
      <c r="I9">
        <v>45</v>
      </c>
      <c r="J9">
        <v>47</v>
      </c>
      <c r="K9">
        <v>45</v>
      </c>
      <c r="L9">
        <v>46</v>
      </c>
    </row>
    <row r="10" spans="8:13">
      <c r="H10">
        <v>4</v>
      </c>
      <c r="I10">
        <v>56</v>
      </c>
      <c r="J10">
        <v>58</v>
      </c>
      <c r="K10">
        <v>56</v>
      </c>
      <c r="L10">
        <v>57</v>
      </c>
      <c r="M10">
        <f t="shared" ref="M10:M17" si="0">L10-L9</f>
        <v>11</v>
      </c>
    </row>
    <row r="11" spans="8:13">
      <c r="H11">
        <v>5</v>
      </c>
      <c r="I11">
        <v>72</v>
      </c>
      <c r="J11">
        <v>74</v>
      </c>
      <c r="K11">
        <v>72</v>
      </c>
      <c r="L11">
        <v>73</v>
      </c>
      <c r="M11">
        <f t="shared" si="0"/>
        <v>16</v>
      </c>
    </row>
    <row r="12" spans="8:13">
      <c r="H12">
        <v>6</v>
      </c>
      <c r="I12">
        <v>92</v>
      </c>
      <c r="J12">
        <v>94</v>
      </c>
      <c r="K12">
        <v>92</v>
      </c>
      <c r="L12">
        <v>93</v>
      </c>
      <c r="M12">
        <f t="shared" si="0"/>
        <v>20</v>
      </c>
    </row>
    <row r="13" spans="8:13">
      <c r="H13">
        <v>7</v>
      </c>
      <c r="I13">
        <v>116</v>
      </c>
      <c r="J13">
        <v>118</v>
      </c>
      <c r="K13">
        <v>116</v>
      </c>
      <c r="L13">
        <v>117</v>
      </c>
      <c r="M13">
        <f t="shared" si="0"/>
        <v>24</v>
      </c>
    </row>
    <row r="14" spans="8:13">
      <c r="H14">
        <v>8</v>
      </c>
      <c r="I14">
        <v>140</v>
      </c>
      <c r="J14">
        <v>142</v>
      </c>
      <c r="K14">
        <v>140</v>
      </c>
      <c r="L14">
        <v>141</v>
      </c>
      <c r="M14">
        <f t="shared" si="0"/>
        <v>24</v>
      </c>
    </row>
    <row r="15" spans="8:13">
      <c r="H15">
        <v>9</v>
      </c>
      <c r="I15">
        <v>164</v>
      </c>
      <c r="J15">
        <v>166</v>
      </c>
      <c r="K15">
        <v>164</v>
      </c>
      <c r="L15">
        <v>165</v>
      </c>
      <c r="M15">
        <f t="shared" si="0"/>
        <v>24</v>
      </c>
    </row>
    <row r="16" spans="8:13">
      <c r="H16">
        <v>10</v>
      </c>
      <c r="I16">
        <v>188</v>
      </c>
      <c r="J16">
        <v>190</v>
      </c>
      <c r="K16">
        <v>188</v>
      </c>
      <c r="L16">
        <v>189</v>
      </c>
      <c r="M16">
        <f t="shared" si="0"/>
        <v>24</v>
      </c>
    </row>
    <row r="17" spans="8:19">
      <c r="H17">
        <v>11</v>
      </c>
      <c r="I17">
        <v>204</v>
      </c>
      <c r="J17">
        <v>206</v>
      </c>
      <c r="K17">
        <v>204</v>
      </c>
      <c r="L17">
        <v>205</v>
      </c>
      <c r="M17">
        <f t="shared" si="0"/>
        <v>16</v>
      </c>
      <c r="P17">
        <v>89</v>
      </c>
      <c r="Q17">
        <v>89</v>
      </c>
      <c r="R17">
        <v>89</v>
      </c>
      <c r="S17">
        <v>89</v>
      </c>
    </row>
    <row r="18" spans="8:19">
      <c r="H18">
        <v>12</v>
      </c>
    </row>
    <row r="22" spans="8:19">
      <c r="N22" t="s">
        <v>920</v>
      </c>
    </row>
    <row r="29" spans="8:19">
      <c r="I29" s="18" t="s">
        <v>922</v>
      </c>
      <c r="M29" s="18" t="s">
        <v>923</v>
      </c>
      <c r="R29" t="s">
        <v>927</v>
      </c>
      <c r="S29" t="s">
        <v>465</v>
      </c>
    </row>
    <row r="30" spans="8:19">
      <c r="I30" t="s">
        <v>930</v>
      </c>
      <c r="M30" t="s">
        <v>924</v>
      </c>
      <c r="R30" t="s">
        <v>925</v>
      </c>
    </row>
    <row r="31" spans="8:19">
      <c r="I31" t="s">
        <v>931</v>
      </c>
      <c r="M31" t="s">
        <v>925</v>
      </c>
      <c r="R31" t="s">
        <v>431</v>
      </c>
    </row>
    <row r="32" spans="8:19">
      <c r="I32" t="s">
        <v>465</v>
      </c>
      <c r="M32" t="s">
        <v>926</v>
      </c>
      <c r="Q32" t="s">
        <v>924</v>
      </c>
      <c r="R32" t="s">
        <v>938</v>
      </c>
      <c r="S32" t="s">
        <v>933</v>
      </c>
    </row>
    <row r="33" spans="9:21">
      <c r="I33" t="s">
        <v>932</v>
      </c>
      <c r="M33" t="s">
        <v>927</v>
      </c>
      <c r="R33" t="s">
        <v>937</v>
      </c>
    </row>
    <row r="34" spans="9:21">
      <c r="I34" t="s">
        <v>933</v>
      </c>
      <c r="M34" t="s">
        <v>431</v>
      </c>
      <c r="Q34" t="s">
        <v>929</v>
      </c>
      <c r="R34" t="s">
        <v>928</v>
      </c>
      <c r="S34" t="s">
        <v>931</v>
      </c>
      <c r="T34" t="s">
        <v>939</v>
      </c>
    </row>
    <row r="35" spans="9:21">
      <c r="I35" t="s">
        <v>934</v>
      </c>
      <c r="M35" t="s">
        <v>928</v>
      </c>
      <c r="R35" t="s">
        <v>940</v>
      </c>
      <c r="S35" t="s">
        <v>934</v>
      </c>
      <c r="T35" t="s">
        <v>935</v>
      </c>
      <c r="U35" t="s">
        <v>930</v>
      </c>
    </row>
    <row r="36" spans="9:21">
      <c r="I36" t="s">
        <v>935</v>
      </c>
      <c r="M36" t="s">
        <v>929</v>
      </c>
    </row>
    <row r="37" spans="9:21">
      <c r="I37" t="s">
        <v>938</v>
      </c>
      <c r="M37" t="s">
        <v>936</v>
      </c>
    </row>
    <row r="38" spans="9:21">
      <c r="I38" t="s">
        <v>939</v>
      </c>
      <c r="M38" t="s">
        <v>937</v>
      </c>
    </row>
    <row r="39" spans="9:21">
      <c r="I39" t="s">
        <v>945</v>
      </c>
      <c r="M39" t="s">
        <v>413</v>
      </c>
    </row>
    <row r="40" spans="9:21">
      <c r="I40" t="s">
        <v>946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A38"/>
  <sheetViews>
    <sheetView workbookViewId="0">
      <selection activeCell="Q28" sqref="Q28"/>
    </sheetView>
  </sheetViews>
  <sheetFormatPr defaultRowHeight="15"/>
  <sheetData>
    <row r="6" spans="4:27">
      <c r="E6">
        <v>3630</v>
      </c>
      <c r="F6" t="s">
        <v>368</v>
      </c>
    </row>
    <row r="7" spans="4:27">
      <c r="E7">
        <v>800</v>
      </c>
      <c r="F7" t="s">
        <v>369</v>
      </c>
      <c r="I7" t="s">
        <v>384</v>
      </c>
    </row>
    <row r="8" spans="4:27">
      <c r="E8">
        <v>170</v>
      </c>
      <c r="F8" t="s">
        <v>370</v>
      </c>
      <c r="I8" t="s">
        <v>385</v>
      </c>
      <c r="X8" t="s">
        <v>1144</v>
      </c>
      <c r="Y8" t="s">
        <v>1145</v>
      </c>
      <c r="Z8" t="s">
        <v>1146</v>
      </c>
      <c r="AA8" t="s">
        <v>1147</v>
      </c>
    </row>
    <row r="9" spans="4:27">
      <c r="E9">
        <v>1240</v>
      </c>
      <c r="F9" t="s">
        <v>371</v>
      </c>
      <c r="I9" t="s">
        <v>380</v>
      </c>
      <c r="U9" t="s">
        <v>1142</v>
      </c>
      <c r="X9">
        <v>1</v>
      </c>
      <c r="Y9">
        <v>0</v>
      </c>
      <c r="Z9">
        <v>0</v>
      </c>
      <c r="AA9" t="s">
        <v>1130</v>
      </c>
    </row>
    <row r="10" spans="4:27">
      <c r="D10">
        <f>SUM(E6:E10)</f>
        <v>5985</v>
      </c>
      <c r="E10">
        <v>145</v>
      </c>
      <c r="F10" t="s">
        <v>372</v>
      </c>
      <c r="I10" t="s">
        <v>381</v>
      </c>
      <c r="U10">
        <v>30</v>
      </c>
      <c r="X10">
        <v>2</v>
      </c>
      <c r="Y10">
        <v>16</v>
      </c>
      <c r="Z10">
        <v>13</v>
      </c>
    </row>
    <row r="11" spans="4:27">
      <c r="D11">
        <f>D10+E11:E12</f>
        <v>6135</v>
      </c>
      <c r="E11">
        <v>150</v>
      </c>
      <c r="F11" t="s">
        <v>373</v>
      </c>
      <c r="I11" t="s">
        <v>382</v>
      </c>
      <c r="X11">
        <v>3</v>
      </c>
      <c r="Y11">
        <v>1</v>
      </c>
      <c r="Z11">
        <v>13</v>
      </c>
    </row>
    <row r="12" spans="4:27">
      <c r="E12">
        <v>50</v>
      </c>
      <c r="F12" t="s">
        <v>114</v>
      </c>
      <c r="I12" t="s">
        <v>383</v>
      </c>
      <c r="U12" t="s">
        <v>1143</v>
      </c>
      <c r="X12">
        <v>4</v>
      </c>
      <c r="Y12">
        <v>0</v>
      </c>
      <c r="Z12">
        <v>0</v>
      </c>
      <c r="AA12" t="s">
        <v>1130</v>
      </c>
    </row>
    <row r="13" spans="4:27">
      <c r="E13">
        <v>115</v>
      </c>
      <c r="F13" t="s">
        <v>374</v>
      </c>
      <c r="U13">
        <v>13</v>
      </c>
      <c r="X13">
        <v>5</v>
      </c>
      <c r="Y13">
        <v>20</v>
      </c>
      <c r="Z13">
        <v>0</v>
      </c>
    </row>
    <row r="14" spans="4:27">
      <c r="E14">
        <v>110</v>
      </c>
      <c r="F14" t="s">
        <v>375</v>
      </c>
      <c r="I14">
        <v>200</v>
      </c>
      <c r="J14" t="s">
        <v>363</v>
      </c>
      <c r="X14">
        <v>6</v>
      </c>
      <c r="Y14">
        <v>0</v>
      </c>
      <c r="Z14">
        <v>0</v>
      </c>
    </row>
    <row r="15" spans="4:27">
      <c r="E15">
        <v>65</v>
      </c>
      <c r="F15" t="s">
        <v>376</v>
      </c>
      <c r="I15">
        <v>-200</v>
      </c>
      <c r="J15" t="s">
        <v>531</v>
      </c>
      <c r="X15">
        <v>7</v>
      </c>
      <c r="Y15">
        <v>0</v>
      </c>
      <c r="Z15">
        <v>0</v>
      </c>
      <c r="AA15" t="s">
        <v>1130</v>
      </c>
    </row>
    <row r="16" spans="4:27">
      <c r="E16">
        <v>38</v>
      </c>
      <c r="F16" t="s">
        <v>377</v>
      </c>
      <c r="I16">
        <v>-180</v>
      </c>
      <c r="J16" t="s">
        <v>532</v>
      </c>
      <c r="X16">
        <v>8</v>
      </c>
      <c r="Y16">
        <v>0</v>
      </c>
      <c r="Z16">
        <v>0</v>
      </c>
      <c r="AA16" t="s">
        <v>1130</v>
      </c>
    </row>
    <row r="17" spans="4:27">
      <c r="D17">
        <f>D11+E16:E17</f>
        <v>6655</v>
      </c>
      <c r="E17">
        <v>520</v>
      </c>
      <c r="F17" t="s">
        <v>378</v>
      </c>
      <c r="I17">
        <v>-250</v>
      </c>
      <c r="J17" t="s">
        <v>533</v>
      </c>
      <c r="X17">
        <v>9</v>
      </c>
      <c r="Y17">
        <v>0</v>
      </c>
      <c r="Z17">
        <v>0</v>
      </c>
      <c r="AA17" t="s">
        <v>1130</v>
      </c>
    </row>
    <row r="18" spans="4:27">
      <c r="D18">
        <f>D17+E18</f>
        <v>7295</v>
      </c>
      <c r="E18">
        <v>640</v>
      </c>
      <c r="F18" t="s">
        <v>379</v>
      </c>
      <c r="I18">
        <v>250</v>
      </c>
      <c r="J18" t="s">
        <v>534</v>
      </c>
      <c r="X18">
        <v>10</v>
      </c>
      <c r="Y18">
        <v>0</v>
      </c>
      <c r="Z18">
        <v>0</v>
      </c>
      <c r="AA18" t="s">
        <v>1130</v>
      </c>
    </row>
    <row r="19" spans="4:27">
      <c r="E19">
        <v>1960</v>
      </c>
      <c r="F19" t="s">
        <v>1105</v>
      </c>
      <c r="I19">
        <v>300</v>
      </c>
      <c r="J19" t="s">
        <v>535</v>
      </c>
    </row>
    <row r="20" spans="4:27">
      <c r="I20">
        <v>3630</v>
      </c>
      <c r="J20" t="s">
        <v>536</v>
      </c>
    </row>
    <row r="21" spans="4:27">
      <c r="I21">
        <v>800</v>
      </c>
      <c r="J21" t="s">
        <v>537</v>
      </c>
    </row>
    <row r="22" spans="4:27">
      <c r="G22">
        <f>SUM(I14:I41)</f>
        <v>5950</v>
      </c>
      <c r="I22">
        <v>1240</v>
      </c>
      <c r="J22" t="s">
        <v>538</v>
      </c>
    </row>
    <row r="23" spans="4:27">
      <c r="I23">
        <v>520</v>
      </c>
      <c r="J23" t="s">
        <v>539</v>
      </c>
    </row>
    <row r="24" spans="4:27">
      <c r="I24">
        <v>640</v>
      </c>
      <c r="J24" t="s">
        <v>540</v>
      </c>
    </row>
    <row r="25" spans="4:27">
      <c r="I25">
        <v>-1000</v>
      </c>
      <c r="J25" t="s">
        <v>541</v>
      </c>
    </row>
    <row r="27" spans="4:27">
      <c r="Q27" t="s">
        <v>1126</v>
      </c>
    </row>
    <row r="28" spans="4:27">
      <c r="Q28">
        <v>6</v>
      </c>
      <c r="R28">
        <f>1960*Q28</f>
        <v>11760</v>
      </c>
    </row>
    <row r="29" spans="4:27">
      <c r="Q29" t="s">
        <v>1127</v>
      </c>
    </row>
    <row r="30" spans="4:27">
      <c r="Q30">
        <v>1</v>
      </c>
      <c r="R30">
        <f>(180+250)*Q30</f>
        <v>430</v>
      </c>
    </row>
    <row r="31" spans="4:27">
      <c r="Q31" t="s">
        <v>1128</v>
      </c>
    </row>
    <row r="32" spans="4:27">
      <c r="R32">
        <f>300+3630</f>
        <v>3930</v>
      </c>
    </row>
    <row r="33" spans="17:18">
      <c r="Q33" t="s">
        <v>647</v>
      </c>
    </row>
    <row r="34" spans="17:18">
      <c r="Q34">
        <v>288</v>
      </c>
      <c r="R34">
        <f>Q34*30</f>
        <v>8640</v>
      </c>
    </row>
    <row r="35" spans="17:18">
      <c r="Q35" t="s">
        <v>1149</v>
      </c>
    </row>
    <row r="36" spans="17:18">
      <c r="R36">
        <v>4000</v>
      </c>
    </row>
    <row r="38" spans="17:18">
      <c r="Q38" t="s">
        <v>1129</v>
      </c>
      <c r="R38">
        <f>R28+R32-R30-R34-R36</f>
        <v>2620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21"/>
  <sheetViews>
    <sheetView workbookViewId="0">
      <selection activeCell="F15" sqref="F15"/>
    </sheetView>
  </sheetViews>
  <sheetFormatPr defaultRowHeight="15"/>
  <sheetData>
    <row r="6" spans="4:16" ht="15.75" thickBot="1"/>
    <row r="7" spans="4:16"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</row>
    <row r="8" spans="4:16">
      <c r="D8" s="5"/>
      <c r="E8" s="6"/>
      <c r="F8" s="6" t="s">
        <v>542</v>
      </c>
      <c r="G8" s="6"/>
      <c r="H8" s="6"/>
      <c r="I8" s="6"/>
      <c r="J8" s="6"/>
      <c r="K8" s="6"/>
      <c r="L8" s="6"/>
      <c r="M8" s="6"/>
      <c r="N8" s="6"/>
      <c r="O8" s="6"/>
      <c r="P8" s="7"/>
    </row>
    <row r="9" spans="4:16">
      <c r="D9" s="5"/>
      <c r="E9" s="6"/>
      <c r="F9" s="6" t="s">
        <v>543</v>
      </c>
      <c r="G9" s="6"/>
      <c r="H9" s="6"/>
      <c r="I9" s="6"/>
      <c r="J9" s="6"/>
      <c r="K9" s="6"/>
      <c r="L9" s="6"/>
      <c r="M9" s="6"/>
      <c r="N9" s="6"/>
      <c r="O9" s="6"/>
      <c r="P9" s="7"/>
    </row>
    <row r="10" spans="4:16">
      <c r="D10" s="5"/>
      <c r="E10" s="6"/>
      <c r="F10" s="6" t="s">
        <v>544</v>
      </c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4:16"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4:16">
      <c r="D12" s="5"/>
      <c r="E12" s="6"/>
      <c r="F12" s="11" t="s">
        <v>545</v>
      </c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4:16">
      <c r="D13" s="5"/>
      <c r="E13" s="6"/>
      <c r="F13" s="11" t="s">
        <v>546</v>
      </c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4:16">
      <c r="D14" s="5"/>
      <c r="E14" s="6"/>
      <c r="F14" s="11" t="s">
        <v>547</v>
      </c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4:16">
      <c r="D15" s="5"/>
      <c r="E15" s="6"/>
      <c r="F15" s="11" t="s">
        <v>552</v>
      </c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4:16"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4:16">
      <c r="D17" s="5"/>
      <c r="E17" s="6"/>
      <c r="F17" s="11" t="s">
        <v>548</v>
      </c>
      <c r="G17" s="6" t="s">
        <v>549</v>
      </c>
      <c r="H17" s="6" t="s">
        <v>550</v>
      </c>
      <c r="I17" s="11" t="s">
        <v>550</v>
      </c>
      <c r="J17" s="11" t="s">
        <v>548</v>
      </c>
      <c r="K17" s="11" t="s">
        <v>551</v>
      </c>
      <c r="L17" s="6"/>
      <c r="M17" s="6"/>
      <c r="N17" s="6"/>
      <c r="O17" s="6"/>
      <c r="P17" s="7"/>
    </row>
    <row r="18" spans="4:16"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4:16">
      <c r="D19" s="5"/>
      <c r="E19" s="6"/>
      <c r="F19" s="11" t="s">
        <v>553</v>
      </c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4:16"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4:16" ht="15.75" thickBot="1"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N49"/>
  <sheetViews>
    <sheetView topLeftCell="A34" workbookViewId="0">
      <selection activeCell="Q45" sqref="Q45"/>
    </sheetView>
  </sheetViews>
  <sheetFormatPr defaultRowHeight="15"/>
  <sheetData>
    <row r="3" spans="4:40">
      <c r="AC3" t="s">
        <v>530</v>
      </c>
    </row>
    <row r="4" spans="4:40">
      <c r="Q4">
        <f>156/2</f>
        <v>78</v>
      </c>
    </row>
    <row r="6" spans="4:40" ht="15.75" thickBot="1"/>
    <row r="7" spans="4:40">
      <c r="D7" s="2"/>
      <c r="E7" s="3"/>
      <c r="F7" s="3"/>
      <c r="G7" s="3"/>
      <c r="H7" s="3" t="s">
        <v>386</v>
      </c>
      <c r="I7" s="3"/>
      <c r="J7" s="3"/>
      <c r="K7" s="3"/>
      <c r="L7" s="3"/>
      <c r="M7" s="3"/>
      <c r="N7" s="3"/>
      <c r="O7" s="3"/>
      <c r="P7" s="4"/>
      <c r="T7" s="2"/>
      <c r="U7" s="3"/>
      <c r="V7" s="3"/>
      <c r="W7" s="3" t="s">
        <v>529</v>
      </c>
      <c r="X7" s="3"/>
      <c r="Y7" s="3"/>
      <c r="Z7" s="3"/>
      <c r="AA7" s="3"/>
      <c r="AB7" s="3"/>
      <c r="AC7" s="3" t="s">
        <v>286</v>
      </c>
      <c r="AD7" s="3"/>
      <c r="AE7" s="3"/>
      <c r="AF7" s="4"/>
      <c r="AI7" s="3"/>
      <c r="AJ7" s="3" t="s">
        <v>286</v>
      </c>
      <c r="AK7" s="3"/>
      <c r="AL7" s="3"/>
    </row>
    <row r="8" spans="4:40">
      <c r="D8" s="5"/>
      <c r="E8" s="6" t="s">
        <v>387</v>
      </c>
      <c r="F8" s="6">
        <v>615</v>
      </c>
      <c r="G8" s="6"/>
      <c r="H8" s="6"/>
      <c r="I8" s="6" t="s">
        <v>398</v>
      </c>
      <c r="J8" s="6"/>
      <c r="K8" s="6" t="s">
        <v>397</v>
      </c>
      <c r="L8" s="6"/>
      <c r="M8" s="6"/>
      <c r="N8" s="6"/>
      <c r="O8" s="6"/>
      <c r="P8" s="7"/>
      <c r="T8" s="5"/>
      <c r="U8" s="6"/>
      <c r="V8" s="6" t="s">
        <v>21</v>
      </c>
      <c r="W8" s="6" t="s">
        <v>389</v>
      </c>
      <c r="X8" s="6" t="s">
        <v>162</v>
      </c>
      <c r="Y8" s="11" t="s">
        <v>527</v>
      </c>
      <c r="Z8" s="6"/>
      <c r="AA8" s="6"/>
      <c r="AB8" s="6" t="s">
        <v>21</v>
      </c>
      <c r="AC8" s="6" t="s">
        <v>389</v>
      </c>
      <c r="AD8" s="6" t="s">
        <v>162</v>
      </c>
      <c r="AE8" s="11" t="s">
        <v>527</v>
      </c>
      <c r="AF8" s="7"/>
      <c r="AI8" s="6" t="s">
        <v>21</v>
      </c>
      <c r="AJ8" s="6" t="s">
        <v>389</v>
      </c>
      <c r="AK8" s="6" t="s">
        <v>162</v>
      </c>
      <c r="AL8" s="11" t="s">
        <v>527</v>
      </c>
      <c r="AM8" s="11" t="s">
        <v>555</v>
      </c>
      <c r="AN8" t="s">
        <v>554</v>
      </c>
    </row>
    <row r="9" spans="4:40">
      <c r="D9" s="5"/>
      <c r="E9" s="6"/>
      <c r="F9" s="6"/>
      <c r="G9" s="6" t="s">
        <v>21</v>
      </c>
      <c r="H9" s="6" t="s">
        <v>388</v>
      </c>
      <c r="I9" s="6" t="s">
        <v>389</v>
      </c>
      <c r="J9" s="11" t="s">
        <v>390</v>
      </c>
      <c r="K9" s="6" t="s">
        <v>389</v>
      </c>
      <c r="L9" s="11" t="s">
        <v>390</v>
      </c>
      <c r="M9" s="6"/>
      <c r="N9" s="6"/>
      <c r="O9" s="6"/>
      <c r="P9" s="7"/>
      <c r="T9" s="5"/>
      <c r="U9" s="6"/>
      <c r="V9" s="6">
        <v>0</v>
      </c>
      <c r="W9" s="6">
        <v>1</v>
      </c>
      <c r="X9" s="6">
        <v>156</v>
      </c>
      <c r="Y9" s="6">
        <f t="shared" ref="Y9:Y32" si="0">X9*W9</f>
        <v>156</v>
      </c>
      <c r="Z9" s="6"/>
      <c r="AA9" s="6"/>
      <c r="AB9" s="6">
        <v>0</v>
      </c>
      <c r="AC9" s="6">
        <v>1</v>
      </c>
      <c r="AD9" s="6">
        <v>156</v>
      </c>
      <c r="AE9" s="6">
        <f t="shared" ref="AE9:AE32" si="1">AD9*AC9</f>
        <v>156</v>
      </c>
      <c r="AF9" s="7"/>
      <c r="AI9" s="6">
        <v>0</v>
      </c>
      <c r="AJ9" s="6">
        <v>1</v>
      </c>
      <c r="AK9" s="6">
        <v>156</v>
      </c>
      <c r="AL9" s="6">
        <f t="shared" ref="AL9:AL32" si="2">AK9*AJ9</f>
        <v>156</v>
      </c>
      <c r="AM9" s="11">
        <v>1</v>
      </c>
      <c r="AN9">
        <v>1</v>
      </c>
    </row>
    <row r="10" spans="4:40">
      <c r="D10" s="5"/>
      <c r="E10" s="6"/>
      <c r="F10" s="6" t="s">
        <v>5</v>
      </c>
      <c r="G10" s="6">
        <v>0</v>
      </c>
      <c r="H10" s="6">
        <v>156</v>
      </c>
      <c r="I10" s="6">
        <v>1</v>
      </c>
      <c r="J10" s="11">
        <v>1</v>
      </c>
      <c r="K10" s="6">
        <v>3</v>
      </c>
      <c r="L10" s="6">
        <v>4</v>
      </c>
      <c r="M10" s="6"/>
      <c r="N10" s="6"/>
      <c r="O10" s="6">
        <f>SUM(I10:I14)</f>
        <v>127</v>
      </c>
      <c r="P10" s="7"/>
      <c r="T10" s="5"/>
      <c r="U10" s="6"/>
      <c r="V10" s="6">
        <v>1</v>
      </c>
      <c r="W10" s="6">
        <v>9</v>
      </c>
      <c r="X10" s="6">
        <v>72</v>
      </c>
      <c r="Y10" s="6">
        <f t="shared" si="0"/>
        <v>648</v>
      </c>
      <c r="Z10" s="6"/>
      <c r="AA10" s="6"/>
      <c r="AB10" s="6">
        <v>1</v>
      </c>
      <c r="AC10" s="6">
        <v>8</v>
      </c>
      <c r="AD10" s="6">
        <v>72</v>
      </c>
      <c r="AE10" s="6">
        <f t="shared" si="1"/>
        <v>576</v>
      </c>
      <c r="AF10" s="7"/>
      <c r="AI10" s="6">
        <v>1</v>
      </c>
      <c r="AJ10" s="6">
        <v>8</v>
      </c>
      <c r="AK10" s="6">
        <v>72</v>
      </c>
      <c r="AL10" s="6">
        <f t="shared" si="2"/>
        <v>576</v>
      </c>
      <c r="AM10" s="11">
        <v>2</v>
      </c>
      <c r="AN10">
        <v>1</v>
      </c>
    </row>
    <row r="11" spans="4:40">
      <c r="D11" s="5"/>
      <c r="E11" s="6"/>
      <c r="F11" s="6"/>
      <c r="G11" s="6">
        <v>4</v>
      </c>
      <c r="H11" s="6">
        <v>36</v>
      </c>
      <c r="I11" s="6">
        <v>8</v>
      </c>
      <c r="J11" s="11">
        <v>9</v>
      </c>
      <c r="K11" s="6">
        <v>17</v>
      </c>
      <c r="L11" s="11">
        <v>12</v>
      </c>
      <c r="M11" s="6"/>
      <c r="N11" s="6"/>
      <c r="O11" s="6">
        <v>32</v>
      </c>
      <c r="P11" s="7">
        <f>O11*4</f>
        <v>128</v>
      </c>
      <c r="T11" s="5"/>
      <c r="U11" s="6"/>
      <c r="V11" s="6">
        <v>9</v>
      </c>
      <c r="W11" s="6">
        <v>44</v>
      </c>
      <c r="X11" s="6">
        <v>12</v>
      </c>
      <c r="Y11" s="6">
        <f t="shared" si="0"/>
        <v>528</v>
      </c>
      <c r="Z11" s="6"/>
      <c r="AA11" s="6"/>
      <c r="AB11" s="6">
        <v>9</v>
      </c>
      <c r="AC11" s="6">
        <v>44</v>
      </c>
      <c r="AD11" s="6">
        <v>12</v>
      </c>
      <c r="AE11" s="6">
        <f t="shared" si="1"/>
        <v>528</v>
      </c>
      <c r="AF11" s="7"/>
      <c r="AI11" s="6">
        <v>9</v>
      </c>
      <c r="AJ11" s="6">
        <v>44</v>
      </c>
      <c r="AK11" s="6">
        <v>12</v>
      </c>
      <c r="AL11" s="6">
        <f t="shared" si="2"/>
        <v>528</v>
      </c>
      <c r="AM11" s="11">
        <v>3</v>
      </c>
      <c r="AN11" s="11">
        <v>1</v>
      </c>
    </row>
    <row r="12" spans="4:40">
      <c r="D12" s="5"/>
      <c r="E12" s="6"/>
      <c r="F12" s="6"/>
      <c r="G12" s="6">
        <v>12</v>
      </c>
      <c r="H12" s="6">
        <v>12</v>
      </c>
      <c r="I12" s="6">
        <v>38</v>
      </c>
      <c r="J12" s="11">
        <v>16</v>
      </c>
      <c r="K12" s="6">
        <v>36</v>
      </c>
      <c r="L12" s="11">
        <v>17</v>
      </c>
      <c r="M12" s="6"/>
      <c r="N12" s="6"/>
      <c r="O12" s="6">
        <f>SUM(I15:I26)</f>
        <v>128</v>
      </c>
      <c r="P12" s="7">
        <f>SUM(P11,O12)</f>
        <v>256</v>
      </c>
      <c r="R12">
        <f>P12*30</f>
        <v>7680</v>
      </c>
      <c r="T12" s="5">
        <f>SUM(W9:W13)</f>
        <v>138</v>
      </c>
      <c r="U12" s="6"/>
      <c r="V12" s="11">
        <v>17</v>
      </c>
      <c r="W12" s="11">
        <v>39</v>
      </c>
      <c r="X12" s="11">
        <v>12</v>
      </c>
      <c r="Y12" s="6">
        <f t="shared" si="0"/>
        <v>468</v>
      </c>
      <c r="Z12" s="6"/>
      <c r="AA12" s="6"/>
      <c r="AB12" s="11">
        <v>17</v>
      </c>
      <c r="AC12" s="11">
        <v>39</v>
      </c>
      <c r="AD12" s="11">
        <v>12</v>
      </c>
      <c r="AE12" s="6">
        <f t="shared" si="1"/>
        <v>468</v>
      </c>
      <c r="AF12" s="7"/>
      <c r="AI12" s="11">
        <v>17</v>
      </c>
      <c r="AJ12" s="11">
        <v>39</v>
      </c>
      <c r="AK12" s="11">
        <v>12</v>
      </c>
      <c r="AL12" s="6">
        <f t="shared" si="2"/>
        <v>468</v>
      </c>
      <c r="AM12" s="11">
        <v>4</v>
      </c>
      <c r="AN12" s="11">
        <v>1</v>
      </c>
    </row>
    <row r="13" spans="4:40">
      <c r="D13" s="5"/>
      <c r="E13" s="6"/>
      <c r="F13" s="6"/>
      <c r="G13" s="11">
        <v>17</v>
      </c>
      <c r="H13" s="11">
        <v>12</v>
      </c>
      <c r="I13" s="11">
        <v>40</v>
      </c>
      <c r="J13" s="11">
        <v>19</v>
      </c>
      <c r="K13" s="11">
        <v>39</v>
      </c>
      <c r="L13" s="11">
        <v>20</v>
      </c>
      <c r="M13" s="6"/>
      <c r="N13" s="6"/>
      <c r="O13" s="6">
        <f>SUM(K10:K13)</f>
        <v>95</v>
      </c>
      <c r="P13" s="7"/>
      <c r="T13" s="5">
        <f>SUM(W14:W25)</f>
        <v>132</v>
      </c>
      <c r="U13" s="6"/>
      <c r="V13" s="11">
        <v>19</v>
      </c>
      <c r="W13" s="11">
        <v>45</v>
      </c>
      <c r="X13" s="11">
        <v>12</v>
      </c>
      <c r="Y13" s="11">
        <f t="shared" si="0"/>
        <v>540</v>
      </c>
      <c r="Z13" s="6"/>
      <c r="AA13" s="6">
        <f>SUM(AC9:AC13)</f>
        <v>137</v>
      </c>
      <c r="AB13" s="11">
        <v>19</v>
      </c>
      <c r="AC13" s="11">
        <v>45</v>
      </c>
      <c r="AD13" s="11">
        <v>12</v>
      </c>
      <c r="AE13" s="11">
        <f t="shared" si="1"/>
        <v>540</v>
      </c>
      <c r="AF13" s="7"/>
      <c r="AI13" s="11">
        <v>19</v>
      </c>
      <c r="AJ13" s="11">
        <v>1</v>
      </c>
      <c r="AK13" s="11">
        <v>528</v>
      </c>
      <c r="AL13" s="11">
        <f t="shared" si="2"/>
        <v>528</v>
      </c>
      <c r="AM13" s="11">
        <v>1</v>
      </c>
      <c r="AN13" s="11">
        <v>2</v>
      </c>
    </row>
    <row r="14" spans="4:40">
      <c r="D14" s="5"/>
      <c r="E14" s="6"/>
      <c r="F14" s="6" t="s">
        <v>391</v>
      </c>
      <c r="G14" s="11">
        <v>20</v>
      </c>
      <c r="H14" s="11">
        <v>432</v>
      </c>
      <c r="I14" s="11">
        <v>40</v>
      </c>
      <c r="J14" s="11">
        <v>21</v>
      </c>
      <c r="K14" s="11">
        <v>1</v>
      </c>
      <c r="L14" s="11">
        <v>20</v>
      </c>
      <c r="M14" s="6"/>
      <c r="N14" s="6"/>
      <c r="O14" s="6">
        <f>SUM(K14:K27)</f>
        <v>143</v>
      </c>
      <c r="P14" s="7"/>
      <c r="T14" s="5">
        <f>SUM(W26:W32)</f>
        <v>36</v>
      </c>
      <c r="U14" s="6">
        <f>T14*4</f>
        <v>144</v>
      </c>
      <c r="V14" s="11">
        <v>21</v>
      </c>
      <c r="W14" s="11">
        <v>1</v>
      </c>
      <c r="X14" s="11">
        <v>336</v>
      </c>
      <c r="Y14" s="11">
        <f t="shared" si="0"/>
        <v>336</v>
      </c>
      <c r="Z14" s="6"/>
      <c r="AA14" s="6">
        <f>SUM(AC14:AC22)</f>
        <v>103</v>
      </c>
      <c r="AB14" s="11">
        <v>21</v>
      </c>
      <c r="AC14" s="11">
        <v>1</v>
      </c>
      <c r="AD14" s="11">
        <v>336</v>
      </c>
      <c r="AE14" s="11">
        <f t="shared" si="1"/>
        <v>336</v>
      </c>
      <c r="AF14" s="7"/>
      <c r="AI14" s="11">
        <v>20</v>
      </c>
      <c r="AJ14" s="11">
        <v>2</v>
      </c>
      <c r="AK14" s="11">
        <v>240</v>
      </c>
      <c r="AL14" s="11">
        <f t="shared" si="2"/>
        <v>480</v>
      </c>
      <c r="AM14" s="11">
        <v>2</v>
      </c>
      <c r="AN14" s="11">
        <v>2</v>
      </c>
    </row>
    <row r="15" spans="4:40">
      <c r="D15" s="5"/>
      <c r="E15" s="6"/>
      <c r="F15" s="6"/>
      <c r="G15" s="11">
        <v>20</v>
      </c>
      <c r="H15" s="11">
        <v>240</v>
      </c>
      <c r="I15" s="11">
        <v>1</v>
      </c>
      <c r="J15" s="11">
        <v>22</v>
      </c>
      <c r="K15" s="11">
        <v>2</v>
      </c>
      <c r="L15" s="11">
        <v>22</v>
      </c>
      <c r="M15" s="6"/>
      <c r="N15" s="6"/>
      <c r="O15" s="6">
        <f>SUM(K28:K35)</f>
        <v>30</v>
      </c>
      <c r="P15" s="7">
        <f>O15*4</f>
        <v>120</v>
      </c>
      <c r="T15" s="5"/>
      <c r="U15" s="6"/>
      <c r="V15" s="11">
        <v>22</v>
      </c>
      <c r="W15" s="11">
        <v>4</v>
      </c>
      <c r="X15" s="11">
        <v>144</v>
      </c>
      <c r="Y15" s="11">
        <f t="shared" si="0"/>
        <v>576</v>
      </c>
      <c r="Z15" s="6"/>
      <c r="AA15" s="6">
        <f>SUM(AC24:AC29)</f>
        <v>31</v>
      </c>
      <c r="AB15" s="11">
        <v>22</v>
      </c>
      <c r="AC15" s="11">
        <v>4</v>
      </c>
      <c r="AD15" s="11">
        <v>144</v>
      </c>
      <c r="AE15" s="11">
        <f t="shared" si="1"/>
        <v>576</v>
      </c>
      <c r="AF15" s="7"/>
      <c r="AI15" s="11">
        <v>21</v>
      </c>
      <c r="AJ15" s="11">
        <v>3</v>
      </c>
      <c r="AK15" s="11">
        <v>192</v>
      </c>
      <c r="AL15" s="11">
        <f t="shared" si="2"/>
        <v>576</v>
      </c>
      <c r="AM15" s="11">
        <v>3</v>
      </c>
      <c r="AN15" s="11">
        <v>2</v>
      </c>
    </row>
    <row r="16" spans="4:40">
      <c r="D16" s="5"/>
      <c r="E16" s="6"/>
      <c r="F16" s="6"/>
      <c r="G16" s="11">
        <v>22</v>
      </c>
      <c r="H16" s="11">
        <v>144</v>
      </c>
      <c r="I16" s="11">
        <v>4</v>
      </c>
      <c r="J16" s="11">
        <v>23</v>
      </c>
      <c r="K16" s="11">
        <v>4</v>
      </c>
      <c r="L16" s="11">
        <v>23</v>
      </c>
      <c r="M16" s="6"/>
      <c r="N16" s="6"/>
      <c r="O16" s="6"/>
      <c r="P16" s="7">
        <f>SUM(P15,O14)</f>
        <v>263</v>
      </c>
      <c r="T16" s="5">
        <f>U14+T13</f>
        <v>276</v>
      </c>
      <c r="U16" s="6"/>
      <c r="V16" s="11">
        <v>24</v>
      </c>
      <c r="W16" s="11">
        <v>14</v>
      </c>
      <c r="X16" s="11">
        <v>48</v>
      </c>
      <c r="Y16" s="11">
        <f t="shared" si="0"/>
        <v>672</v>
      </c>
      <c r="Z16" s="6"/>
      <c r="AA16" s="6">
        <f>AA15*4</f>
        <v>124</v>
      </c>
      <c r="AB16" s="11">
        <v>24</v>
      </c>
      <c r="AC16" s="11">
        <v>14</v>
      </c>
      <c r="AD16" s="11">
        <v>48</v>
      </c>
      <c r="AE16" s="11">
        <f t="shared" si="1"/>
        <v>672</v>
      </c>
      <c r="AF16" s="7"/>
      <c r="AI16" s="11">
        <v>23</v>
      </c>
      <c r="AJ16" s="11">
        <v>6</v>
      </c>
      <c r="AK16" s="11">
        <v>96</v>
      </c>
      <c r="AL16" s="11">
        <f t="shared" si="2"/>
        <v>576</v>
      </c>
      <c r="AM16" s="11">
        <v>4</v>
      </c>
      <c r="AN16" s="11">
        <v>2</v>
      </c>
    </row>
    <row r="17" spans="4:40">
      <c r="D17" s="5"/>
      <c r="E17" s="6"/>
      <c r="F17" s="6"/>
      <c r="G17" s="11">
        <v>23</v>
      </c>
      <c r="H17" s="11">
        <v>96</v>
      </c>
      <c r="I17" s="11">
        <v>6</v>
      </c>
      <c r="J17" s="11">
        <v>25</v>
      </c>
      <c r="K17" s="11">
        <v>6</v>
      </c>
      <c r="L17" s="11">
        <v>25</v>
      </c>
      <c r="M17" s="6"/>
      <c r="N17" s="6"/>
      <c r="O17" s="6"/>
      <c r="P17" s="7"/>
      <c r="T17" s="5"/>
      <c r="U17" s="6"/>
      <c r="V17" s="11">
        <v>27</v>
      </c>
      <c r="W17" s="11">
        <v>14</v>
      </c>
      <c r="X17" s="11">
        <v>48</v>
      </c>
      <c r="Y17" s="11">
        <f t="shared" si="0"/>
        <v>672</v>
      </c>
      <c r="Z17" s="6"/>
      <c r="AA17" s="6">
        <f>SUM(AA16+AA14)</f>
        <v>227</v>
      </c>
      <c r="AB17" s="11">
        <v>27</v>
      </c>
      <c r="AC17" s="11">
        <v>14</v>
      </c>
      <c r="AD17" s="11">
        <v>48</v>
      </c>
      <c r="AE17" s="11">
        <f t="shared" si="1"/>
        <v>672</v>
      </c>
      <c r="AF17" s="7"/>
      <c r="AI17" s="11">
        <v>25</v>
      </c>
      <c r="AJ17" s="11">
        <v>14</v>
      </c>
      <c r="AK17" s="11">
        <v>48</v>
      </c>
      <c r="AL17" s="11">
        <f t="shared" si="2"/>
        <v>672</v>
      </c>
      <c r="AM17" s="11">
        <v>1</v>
      </c>
      <c r="AN17" s="11">
        <v>3</v>
      </c>
    </row>
    <row r="18" spans="4:40">
      <c r="D18" s="5"/>
      <c r="E18" s="6"/>
      <c r="F18" s="6"/>
      <c r="G18" s="11">
        <v>25</v>
      </c>
      <c r="H18" s="11">
        <v>48</v>
      </c>
      <c r="I18" s="11">
        <v>13</v>
      </c>
      <c r="J18" s="11">
        <v>28</v>
      </c>
      <c r="K18" s="11">
        <v>13</v>
      </c>
      <c r="L18" s="11">
        <v>28</v>
      </c>
      <c r="M18" s="6"/>
      <c r="N18" s="6"/>
      <c r="O18" s="6"/>
      <c r="P18" s="7"/>
      <c r="T18" s="5"/>
      <c r="U18" s="6"/>
      <c r="V18" s="11">
        <v>29</v>
      </c>
      <c r="W18" s="11">
        <v>14</v>
      </c>
      <c r="X18" s="11">
        <v>48</v>
      </c>
      <c r="Y18" s="11">
        <f t="shared" si="0"/>
        <v>672</v>
      </c>
      <c r="Z18" s="6"/>
      <c r="AA18" s="6"/>
      <c r="AB18" s="11">
        <v>29</v>
      </c>
      <c r="AC18" s="11">
        <v>14</v>
      </c>
      <c r="AD18" s="11">
        <v>48</v>
      </c>
      <c r="AE18" s="11">
        <f t="shared" si="1"/>
        <v>672</v>
      </c>
      <c r="AF18" s="7"/>
      <c r="AI18" s="11">
        <v>28</v>
      </c>
      <c r="AJ18" s="11">
        <v>14</v>
      </c>
      <c r="AK18" s="11">
        <v>48</v>
      </c>
      <c r="AL18" s="11">
        <f t="shared" si="2"/>
        <v>672</v>
      </c>
      <c r="AM18" s="11">
        <v>2</v>
      </c>
      <c r="AN18" s="11">
        <v>3</v>
      </c>
    </row>
    <row r="19" spans="4:40">
      <c r="D19" s="5"/>
      <c r="E19" s="6"/>
      <c r="F19" s="6"/>
      <c r="G19" s="11">
        <v>28</v>
      </c>
      <c r="H19" s="11">
        <v>48</v>
      </c>
      <c r="I19" s="11">
        <v>13</v>
      </c>
      <c r="J19" s="11">
        <v>29.9</v>
      </c>
      <c r="K19" s="11">
        <v>13</v>
      </c>
      <c r="L19" s="11">
        <v>29</v>
      </c>
      <c r="M19" s="6"/>
      <c r="N19" s="6"/>
      <c r="O19" s="6"/>
      <c r="P19" s="7"/>
      <c r="T19" s="5"/>
      <c r="U19" s="6"/>
      <c r="V19" s="11">
        <v>31</v>
      </c>
      <c r="W19" s="11">
        <v>14</v>
      </c>
      <c r="X19" s="11">
        <v>48</v>
      </c>
      <c r="Y19" s="11">
        <f t="shared" si="0"/>
        <v>672</v>
      </c>
      <c r="Z19" s="6"/>
      <c r="AA19" s="6"/>
      <c r="AB19" s="11">
        <v>31</v>
      </c>
      <c r="AC19" s="11">
        <v>14</v>
      </c>
      <c r="AD19" s="11">
        <v>48</v>
      </c>
      <c r="AE19" s="11">
        <f t="shared" si="1"/>
        <v>672</v>
      </c>
      <c r="AF19" s="7"/>
      <c r="AI19" s="11">
        <v>29</v>
      </c>
      <c r="AJ19" s="11">
        <v>14</v>
      </c>
      <c r="AK19" s="11">
        <v>48</v>
      </c>
      <c r="AL19" s="11">
        <f t="shared" si="2"/>
        <v>672</v>
      </c>
      <c r="AM19" s="11">
        <v>3</v>
      </c>
      <c r="AN19" s="11">
        <v>3</v>
      </c>
    </row>
    <row r="20" spans="4:40">
      <c r="D20" s="5"/>
      <c r="E20" s="6"/>
      <c r="F20" s="6"/>
      <c r="G20" s="11">
        <v>29</v>
      </c>
      <c r="H20" s="11">
        <v>48</v>
      </c>
      <c r="I20" s="11">
        <v>13</v>
      </c>
      <c r="J20" s="11">
        <v>31</v>
      </c>
      <c r="K20" s="11">
        <v>13</v>
      </c>
      <c r="L20" s="11">
        <v>31</v>
      </c>
      <c r="M20" s="6"/>
      <c r="N20" s="6"/>
      <c r="O20" s="6"/>
      <c r="P20" s="7"/>
      <c r="T20" s="5"/>
      <c r="U20" s="6"/>
      <c r="V20" s="11">
        <v>33</v>
      </c>
      <c r="W20" s="11">
        <v>14</v>
      </c>
      <c r="X20" s="11">
        <v>48</v>
      </c>
      <c r="Y20" s="11">
        <f t="shared" si="0"/>
        <v>672</v>
      </c>
      <c r="Z20" s="6"/>
      <c r="AA20" s="6"/>
      <c r="AB20" s="11">
        <v>33</v>
      </c>
      <c r="AC20" s="11">
        <v>14</v>
      </c>
      <c r="AD20" s="11">
        <v>48</v>
      </c>
      <c r="AE20" s="11">
        <f t="shared" si="1"/>
        <v>672</v>
      </c>
      <c r="AF20" s="7"/>
      <c r="AI20" s="11">
        <v>32</v>
      </c>
      <c r="AJ20" s="11">
        <v>14</v>
      </c>
      <c r="AK20" s="11">
        <v>48</v>
      </c>
      <c r="AL20" s="11">
        <f t="shared" si="2"/>
        <v>672</v>
      </c>
      <c r="AM20" s="11">
        <v>1</v>
      </c>
      <c r="AN20" s="11">
        <v>4</v>
      </c>
    </row>
    <row r="21" spans="4:40" ht="15.75" thickBot="1">
      <c r="D21" s="8"/>
      <c r="E21" s="9"/>
      <c r="F21" s="9"/>
      <c r="G21" s="9">
        <v>31</v>
      </c>
      <c r="H21" s="9">
        <v>48</v>
      </c>
      <c r="I21" s="9">
        <v>13</v>
      </c>
      <c r="J21" s="9">
        <v>33</v>
      </c>
      <c r="K21" s="9">
        <v>13</v>
      </c>
      <c r="L21" s="9">
        <v>33</v>
      </c>
      <c r="M21" s="9"/>
      <c r="N21" s="9"/>
      <c r="O21" s="9"/>
      <c r="P21" s="10"/>
      <c r="T21" s="8"/>
      <c r="U21" s="9"/>
      <c r="V21" s="9">
        <v>35</v>
      </c>
      <c r="W21" s="9">
        <v>14</v>
      </c>
      <c r="X21" s="9">
        <v>48</v>
      </c>
      <c r="Y21" s="9">
        <f t="shared" si="0"/>
        <v>672</v>
      </c>
      <c r="Z21" s="9"/>
      <c r="AA21" s="9"/>
      <c r="AB21" s="9">
        <v>35</v>
      </c>
      <c r="AC21" s="9">
        <v>14</v>
      </c>
      <c r="AD21" s="9">
        <v>48</v>
      </c>
      <c r="AE21" s="9">
        <f t="shared" si="1"/>
        <v>672</v>
      </c>
      <c r="AF21" s="10"/>
      <c r="AI21" s="9">
        <v>34</v>
      </c>
      <c r="AJ21" s="9">
        <v>14</v>
      </c>
      <c r="AK21" s="9">
        <v>48</v>
      </c>
      <c r="AL21" s="9">
        <f t="shared" si="2"/>
        <v>672</v>
      </c>
      <c r="AM21" s="11">
        <v>2</v>
      </c>
      <c r="AN21" s="11">
        <v>4</v>
      </c>
    </row>
    <row r="22" spans="4:40">
      <c r="G22" s="11">
        <v>33</v>
      </c>
      <c r="H22" s="11">
        <v>48</v>
      </c>
      <c r="I22" s="11">
        <v>13</v>
      </c>
      <c r="J22" s="11">
        <v>35</v>
      </c>
      <c r="K22" s="11">
        <v>13</v>
      </c>
      <c r="L22" s="11">
        <v>35</v>
      </c>
      <c r="V22" s="11">
        <v>37</v>
      </c>
      <c r="W22" s="11">
        <v>14</v>
      </c>
      <c r="X22" s="11">
        <v>48</v>
      </c>
      <c r="Y22" s="11">
        <f t="shared" si="0"/>
        <v>672</v>
      </c>
      <c r="AB22" s="11">
        <v>37</v>
      </c>
      <c r="AC22" s="11">
        <v>14</v>
      </c>
      <c r="AD22" s="11">
        <v>48</v>
      </c>
      <c r="AE22" s="11">
        <f t="shared" si="1"/>
        <v>672</v>
      </c>
      <c r="AI22" s="11">
        <v>36</v>
      </c>
      <c r="AJ22" s="11">
        <v>14</v>
      </c>
      <c r="AK22" s="11">
        <v>48</v>
      </c>
      <c r="AL22" s="11">
        <f t="shared" si="2"/>
        <v>672</v>
      </c>
      <c r="AM22" s="11">
        <v>3</v>
      </c>
      <c r="AN22" s="11">
        <v>4</v>
      </c>
    </row>
    <row r="23" spans="4:40">
      <c r="G23" s="11">
        <v>35</v>
      </c>
      <c r="H23" s="11">
        <v>48</v>
      </c>
      <c r="I23" s="11">
        <v>13</v>
      </c>
      <c r="J23" s="11">
        <v>37</v>
      </c>
      <c r="K23" s="11">
        <v>13</v>
      </c>
      <c r="L23" s="11">
        <v>37</v>
      </c>
      <c r="V23" s="11">
        <v>38</v>
      </c>
      <c r="W23" s="11">
        <v>14</v>
      </c>
      <c r="X23" s="11">
        <v>48</v>
      </c>
      <c r="Y23" s="11">
        <f t="shared" si="0"/>
        <v>672</v>
      </c>
      <c r="AA23" t="s">
        <v>454</v>
      </c>
      <c r="AB23" s="11">
        <v>38</v>
      </c>
      <c r="AC23" s="11">
        <v>11</v>
      </c>
      <c r="AD23" s="11">
        <v>60</v>
      </c>
      <c r="AE23" s="11">
        <f t="shared" si="1"/>
        <v>660</v>
      </c>
      <c r="AI23" s="11">
        <v>37</v>
      </c>
      <c r="AJ23" s="11">
        <v>14</v>
      </c>
      <c r="AK23" s="11">
        <v>48</v>
      </c>
      <c r="AL23" s="11">
        <f t="shared" si="2"/>
        <v>672</v>
      </c>
      <c r="AM23" s="11">
        <v>1</v>
      </c>
      <c r="AN23" s="11">
        <v>5</v>
      </c>
    </row>
    <row r="24" spans="4:40">
      <c r="G24" s="11">
        <v>37</v>
      </c>
      <c r="H24" s="11">
        <v>48</v>
      </c>
      <c r="I24" s="11">
        <v>13</v>
      </c>
      <c r="J24" s="11">
        <v>38</v>
      </c>
      <c r="K24" s="11">
        <v>13</v>
      </c>
      <c r="L24" s="11">
        <v>38</v>
      </c>
      <c r="N24" t="s">
        <v>401</v>
      </c>
      <c r="V24" s="11">
        <v>39</v>
      </c>
      <c r="W24" s="11">
        <v>14</v>
      </c>
      <c r="X24" s="11">
        <v>48</v>
      </c>
      <c r="Y24" s="11">
        <f t="shared" si="0"/>
        <v>672</v>
      </c>
      <c r="AB24" s="11">
        <v>40</v>
      </c>
      <c r="AC24" s="11">
        <v>1</v>
      </c>
      <c r="AD24" s="11">
        <v>602</v>
      </c>
      <c r="AE24" s="11">
        <f t="shared" si="1"/>
        <v>602</v>
      </c>
      <c r="AH24" t="s">
        <v>454</v>
      </c>
      <c r="AI24" s="11">
        <v>38</v>
      </c>
      <c r="AJ24" s="11">
        <v>9</v>
      </c>
      <c r="AK24" s="11">
        <v>60</v>
      </c>
      <c r="AL24" s="11">
        <f t="shared" si="2"/>
        <v>540</v>
      </c>
      <c r="AM24" s="11">
        <v>2</v>
      </c>
      <c r="AN24" s="11">
        <v>5</v>
      </c>
    </row>
    <row r="25" spans="4:40">
      <c r="G25" s="11">
        <v>38</v>
      </c>
      <c r="H25" s="11">
        <v>48</v>
      </c>
      <c r="I25" s="11">
        <v>13</v>
      </c>
      <c r="J25" s="11">
        <v>39.25</v>
      </c>
      <c r="K25" s="11">
        <v>13</v>
      </c>
      <c r="L25" s="11">
        <v>39</v>
      </c>
      <c r="T25" t="s">
        <v>528</v>
      </c>
      <c r="V25" s="11">
        <v>39</v>
      </c>
      <c r="W25" s="11">
        <v>1</v>
      </c>
      <c r="X25" s="11">
        <v>48</v>
      </c>
      <c r="Y25" s="11">
        <f t="shared" si="0"/>
        <v>48</v>
      </c>
      <c r="AB25" s="11">
        <v>40</v>
      </c>
      <c r="AC25" s="11">
        <v>2</v>
      </c>
      <c r="AD25" s="11">
        <v>344</v>
      </c>
      <c r="AE25" s="11">
        <f t="shared" si="1"/>
        <v>688</v>
      </c>
      <c r="AI25" s="11">
        <v>40</v>
      </c>
      <c r="AJ25" s="11">
        <v>1</v>
      </c>
      <c r="AK25" s="11">
        <v>602</v>
      </c>
      <c r="AL25" s="11">
        <f t="shared" si="2"/>
        <v>602</v>
      </c>
      <c r="AM25" s="11">
        <v>1</v>
      </c>
      <c r="AN25" s="11">
        <v>6</v>
      </c>
    </row>
    <row r="26" spans="4:40">
      <c r="G26" s="11">
        <v>39</v>
      </c>
      <c r="H26" s="11">
        <v>48</v>
      </c>
      <c r="I26" s="11">
        <v>13</v>
      </c>
      <c r="J26" s="11">
        <v>39.85</v>
      </c>
      <c r="K26" s="11">
        <v>13</v>
      </c>
      <c r="L26" s="11">
        <v>39</v>
      </c>
      <c r="V26" s="11">
        <v>40</v>
      </c>
      <c r="W26" s="11">
        <v>1</v>
      </c>
      <c r="X26" s="11">
        <v>602</v>
      </c>
      <c r="Y26" s="11">
        <f t="shared" si="0"/>
        <v>602</v>
      </c>
      <c r="AB26" s="11">
        <v>42</v>
      </c>
      <c r="AC26" s="11">
        <v>4</v>
      </c>
      <c r="AD26" s="11">
        <v>172</v>
      </c>
      <c r="AE26" s="11">
        <f t="shared" si="1"/>
        <v>688</v>
      </c>
      <c r="AG26">
        <f>SUM(AG27:AG28)</f>
        <v>202</v>
      </c>
      <c r="AI26" s="11">
        <v>40</v>
      </c>
      <c r="AJ26" s="11">
        <v>2</v>
      </c>
      <c r="AK26" s="11">
        <v>344</v>
      </c>
      <c r="AL26" s="11">
        <f t="shared" si="2"/>
        <v>688</v>
      </c>
      <c r="AM26" s="11">
        <v>2</v>
      </c>
      <c r="AN26" s="11">
        <v>6</v>
      </c>
    </row>
    <row r="27" spans="4:40">
      <c r="G27" s="11">
        <v>39</v>
      </c>
      <c r="H27" s="11">
        <v>48</v>
      </c>
      <c r="I27" s="11">
        <v>7</v>
      </c>
      <c r="J27" s="11">
        <v>40</v>
      </c>
      <c r="K27" s="11">
        <v>13</v>
      </c>
      <c r="L27" s="11">
        <v>40</v>
      </c>
      <c r="O27" t="s">
        <v>396</v>
      </c>
      <c r="V27" s="11">
        <v>40</v>
      </c>
      <c r="W27" s="11">
        <v>2</v>
      </c>
      <c r="X27" s="11">
        <v>344</v>
      </c>
      <c r="Y27" s="11">
        <f t="shared" si="0"/>
        <v>688</v>
      </c>
      <c r="AB27" s="11">
        <v>43</v>
      </c>
      <c r="AC27" s="11">
        <v>8</v>
      </c>
      <c r="AD27" s="11">
        <v>86</v>
      </c>
      <c r="AE27" s="11">
        <f t="shared" si="1"/>
        <v>688</v>
      </c>
      <c r="AG27">
        <f>SUM(AJ13:AJ23)</f>
        <v>110</v>
      </c>
      <c r="AI27" s="11">
        <v>42</v>
      </c>
      <c r="AJ27" s="11">
        <v>4</v>
      </c>
      <c r="AK27" s="11">
        <v>172</v>
      </c>
      <c r="AL27" s="11">
        <f t="shared" si="2"/>
        <v>688</v>
      </c>
      <c r="AM27" s="11">
        <v>3</v>
      </c>
      <c r="AN27" s="11">
        <v>6</v>
      </c>
    </row>
    <row r="28" spans="4:40">
      <c r="F28" t="s">
        <v>392</v>
      </c>
      <c r="G28" s="11">
        <v>40</v>
      </c>
      <c r="H28" s="11">
        <v>602</v>
      </c>
      <c r="I28" s="11">
        <v>1</v>
      </c>
      <c r="J28" s="11">
        <v>41</v>
      </c>
      <c r="K28" s="11">
        <v>1</v>
      </c>
      <c r="L28" s="11">
        <v>41</v>
      </c>
      <c r="V28" s="11">
        <v>42</v>
      </c>
      <c r="W28" s="11">
        <v>4</v>
      </c>
      <c r="X28" s="11">
        <v>172</v>
      </c>
      <c r="Y28" s="11">
        <f t="shared" si="0"/>
        <v>688</v>
      </c>
      <c r="AB28" s="11">
        <v>45</v>
      </c>
      <c r="AC28" s="11">
        <v>8</v>
      </c>
      <c r="AD28" s="11">
        <v>86</v>
      </c>
      <c r="AE28" s="11">
        <f t="shared" si="1"/>
        <v>688</v>
      </c>
      <c r="AG28">
        <f>SUM(AJ25:AJ29)*4</f>
        <v>92</v>
      </c>
      <c r="AI28" s="11">
        <v>43</v>
      </c>
      <c r="AJ28" s="11">
        <v>8</v>
      </c>
      <c r="AK28" s="11">
        <v>86</v>
      </c>
      <c r="AL28" s="11">
        <f t="shared" si="2"/>
        <v>688</v>
      </c>
      <c r="AM28" s="11">
        <v>4</v>
      </c>
      <c r="AN28" s="11">
        <v>6</v>
      </c>
    </row>
    <row r="29" spans="4:40">
      <c r="G29" s="11">
        <v>41</v>
      </c>
      <c r="H29" s="11">
        <v>258</v>
      </c>
      <c r="I29" s="11">
        <v>2</v>
      </c>
      <c r="J29" s="11">
        <v>42</v>
      </c>
      <c r="K29" s="11">
        <v>2</v>
      </c>
      <c r="L29" s="11">
        <v>42</v>
      </c>
      <c r="V29" s="11">
        <v>43</v>
      </c>
      <c r="W29" s="11">
        <v>8</v>
      </c>
      <c r="X29" s="11">
        <v>86</v>
      </c>
      <c r="Y29" s="11">
        <f t="shared" si="0"/>
        <v>688</v>
      </c>
      <c r="AB29" s="11">
        <v>47</v>
      </c>
      <c r="AC29" s="11">
        <v>8</v>
      </c>
      <c r="AD29" s="11">
        <v>86</v>
      </c>
      <c r="AE29" s="11">
        <f t="shared" si="1"/>
        <v>688</v>
      </c>
      <c r="AI29" s="11">
        <v>45</v>
      </c>
      <c r="AJ29" s="11">
        <v>8</v>
      </c>
      <c r="AK29" s="11">
        <v>86</v>
      </c>
      <c r="AL29" s="11">
        <f t="shared" si="2"/>
        <v>688</v>
      </c>
      <c r="AM29" s="11">
        <v>1</v>
      </c>
      <c r="AN29" s="11">
        <v>7</v>
      </c>
    </row>
    <row r="30" spans="4:40">
      <c r="G30" s="11">
        <v>42</v>
      </c>
      <c r="H30" s="11">
        <v>172</v>
      </c>
      <c r="I30" s="11">
        <v>3</v>
      </c>
      <c r="J30" s="11">
        <v>43</v>
      </c>
      <c r="K30" s="11">
        <v>3</v>
      </c>
      <c r="L30" s="11">
        <v>43</v>
      </c>
      <c r="M30" t="s">
        <v>399</v>
      </c>
      <c r="V30" s="11">
        <v>45</v>
      </c>
      <c r="W30" s="11">
        <v>8</v>
      </c>
      <c r="X30" s="11">
        <v>86</v>
      </c>
      <c r="Y30" s="11">
        <f t="shared" si="0"/>
        <v>688</v>
      </c>
      <c r="AA30" t="s">
        <v>454</v>
      </c>
      <c r="AB30" s="11">
        <v>49</v>
      </c>
      <c r="AC30" s="11">
        <v>6</v>
      </c>
      <c r="AD30" s="11">
        <v>96</v>
      </c>
      <c r="AE30" s="11">
        <f t="shared" si="1"/>
        <v>576</v>
      </c>
      <c r="AH30" t="s">
        <v>454</v>
      </c>
      <c r="AI30" s="11">
        <v>47</v>
      </c>
      <c r="AJ30" s="11">
        <v>9</v>
      </c>
      <c r="AK30" s="11">
        <v>400</v>
      </c>
      <c r="AL30" s="11">
        <f t="shared" si="2"/>
        <v>3600</v>
      </c>
      <c r="AM30" s="11">
        <v>2</v>
      </c>
      <c r="AN30" s="11">
        <v>7</v>
      </c>
    </row>
    <row r="31" spans="4:40">
      <c r="G31" s="11">
        <v>43</v>
      </c>
      <c r="H31" s="11">
        <v>86</v>
      </c>
      <c r="I31" s="11">
        <v>7</v>
      </c>
      <c r="J31" s="11">
        <v>45</v>
      </c>
      <c r="K31" s="11">
        <v>7</v>
      </c>
      <c r="L31" s="11">
        <v>45</v>
      </c>
      <c r="M31" t="s">
        <v>400</v>
      </c>
      <c r="V31" s="11">
        <v>47</v>
      </c>
      <c r="W31" s="11">
        <v>8</v>
      </c>
      <c r="X31" s="11">
        <v>86</v>
      </c>
      <c r="Y31" s="11">
        <f t="shared" si="0"/>
        <v>688</v>
      </c>
      <c r="AB31" s="11">
        <v>50</v>
      </c>
      <c r="AC31" s="11"/>
      <c r="AD31" s="11"/>
      <c r="AE31" s="11">
        <f t="shared" si="1"/>
        <v>0</v>
      </c>
      <c r="AH31" t="s">
        <v>454</v>
      </c>
      <c r="AI31" s="11">
        <v>49</v>
      </c>
      <c r="AJ31" s="11">
        <v>6</v>
      </c>
      <c r="AK31" s="11">
        <v>100</v>
      </c>
      <c r="AL31" s="11">
        <f t="shared" si="2"/>
        <v>600</v>
      </c>
      <c r="AM31" s="11">
        <v>1</v>
      </c>
      <c r="AN31" s="11">
        <v>8</v>
      </c>
    </row>
    <row r="32" spans="4:40">
      <c r="G32" s="11">
        <v>45</v>
      </c>
      <c r="H32" s="11">
        <v>86</v>
      </c>
      <c r="I32" s="11">
        <v>7</v>
      </c>
      <c r="J32" s="11">
        <v>47</v>
      </c>
      <c r="K32" s="11">
        <v>7</v>
      </c>
      <c r="L32" s="11">
        <v>47</v>
      </c>
      <c r="O32" t="s">
        <v>394</v>
      </c>
      <c r="V32" s="11">
        <v>49</v>
      </c>
      <c r="W32" s="11">
        <v>5</v>
      </c>
      <c r="X32" s="11">
        <v>86</v>
      </c>
      <c r="Y32" s="11">
        <f t="shared" si="0"/>
        <v>430</v>
      </c>
      <c r="AB32" s="11"/>
      <c r="AC32" s="11"/>
      <c r="AD32" s="11"/>
      <c r="AE32" s="11">
        <f t="shared" si="1"/>
        <v>0</v>
      </c>
      <c r="AI32" s="11">
        <v>50</v>
      </c>
      <c r="AJ32" s="11"/>
      <c r="AK32" s="11"/>
      <c r="AL32" s="11">
        <f t="shared" si="2"/>
        <v>0</v>
      </c>
      <c r="AM32" s="11"/>
    </row>
    <row r="33" spans="6:28">
      <c r="G33" s="11">
        <v>47</v>
      </c>
      <c r="H33" s="11">
        <v>86</v>
      </c>
      <c r="I33" s="11">
        <v>7</v>
      </c>
      <c r="J33" s="11">
        <v>48</v>
      </c>
      <c r="O33" t="s">
        <v>395</v>
      </c>
      <c r="V33" s="11">
        <v>50</v>
      </c>
      <c r="AB33" s="11"/>
    </row>
    <row r="34" spans="6:28">
      <c r="F34" t="s">
        <v>393</v>
      </c>
      <c r="G34" s="11">
        <v>48</v>
      </c>
      <c r="H34" s="11">
        <v>86</v>
      </c>
      <c r="K34">
        <v>7</v>
      </c>
      <c r="L34">
        <v>49</v>
      </c>
      <c r="M34">
        <v>49.3</v>
      </c>
    </row>
    <row r="35" spans="6:28">
      <c r="G35" s="11">
        <v>49</v>
      </c>
      <c r="H35" s="11">
        <v>86</v>
      </c>
      <c r="K35">
        <v>3</v>
      </c>
      <c r="L35">
        <v>49</v>
      </c>
      <c r="M35">
        <v>49.85</v>
      </c>
    </row>
    <row r="39" spans="6:28">
      <c r="I39" t="s">
        <v>526</v>
      </c>
    </row>
    <row r="41" spans="6:28">
      <c r="N41" t="s">
        <v>520</v>
      </c>
    </row>
    <row r="42" spans="6:28">
      <c r="N42">
        <v>6</v>
      </c>
      <c r="O42" t="s">
        <v>521</v>
      </c>
    </row>
    <row r="43" spans="6:28">
      <c r="H43">
        <v>156</v>
      </c>
      <c r="I43">
        <f>I44+12</f>
        <v>84</v>
      </c>
      <c r="J43">
        <f>I43*2</f>
        <v>168</v>
      </c>
      <c r="N43">
        <v>10</v>
      </c>
      <c r="O43" t="s">
        <v>522</v>
      </c>
    </row>
    <row r="44" spans="6:28">
      <c r="G44">
        <v>1</v>
      </c>
      <c r="H44">
        <v>42</v>
      </c>
      <c r="I44">
        <f>I45+12</f>
        <v>72</v>
      </c>
      <c r="N44">
        <v>30</v>
      </c>
      <c r="O44" t="s">
        <v>523</v>
      </c>
    </row>
    <row r="45" spans="6:28">
      <c r="G45">
        <v>2</v>
      </c>
      <c r="H45">
        <v>36</v>
      </c>
      <c r="I45">
        <f>I46+12</f>
        <v>60</v>
      </c>
      <c r="L45">
        <f>81*3+13</f>
        <v>256</v>
      </c>
      <c r="N45">
        <v>39</v>
      </c>
      <c r="O45" t="s">
        <v>524</v>
      </c>
      <c r="Q45" t="s">
        <v>525</v>
      </c>
    </row>
    <row r="46" spans="6:28">
      <c r="G46">
        <v>3</v>
      </c>
      <c r="H46">
        <v>30</v>
      </c>
      <c r="I46">
        <f>I47+12</f>
        <v>48</v>
      </c>
    </row>
    <row r="47" spans="6:28">
      <c r="G47">
        <v>4</v>
      </c>
      <c r="H47">
        <v>24</v>
      </c>
      <c r="I47">
        <v>36</v>
      </c>
    </row>
    <row r="48" spans="6:28">
      <c r="G48">
        <v>5</v>
      </c>
      <c r="H48">
        <v>18</v>
      </c>
      <c r="I48">
        <v>24</v>
      </c>
    </row>
    <row r="49" spans="7:8">
      <c r="G49">
        <v>6</v>
      </c>
      <c r="H49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14"/>
  <sheetViews>
    <sheetView workbookViewId="0">
      <selection activeCell="F34" sqref="F34"/>
    </sheetView>
  </sheetViews>
  <sheetFormatPr defaultRowHeight="15"/>
  <cols>
    <col min="3" max="3" width="32.85546875" customWidth="1"/>
  </cols>
  <sheetData>
    <row r="7" spans="3:14">
      <c r="C7" t="s">
        <v>123</v>
      </c>
      <c r="D7" t="s">
        <v>124</v>
      </c>
      <c r="E7" t="s">
        <v>125</v>
      </c>
      <c r="F7" t="s">
        <v>126</v>
      </c>
    </row>
    <row r="8" spans="3:14">
      <c r="C8" t="s">
        <v>127</v>
      </c>
    </row>
    <row r="9" spans="3:14">
      <c r="C9" t="s">
        <v>128</v>
      </c>
      <c r="L9">
        <v>1095</v>
      </c>
    </row>
    <row r="10" spans="3:14">
      <c r="C10" t="s">
        <v>129</v>
      </c>
      <c r="E10">
        <v>221</v>
      </c>
      <c r="L10">
        <v>1316</v>
      </c>
    </row>
    <row r="11" spans="3:14">
      <c r="C11" t="s">
        <v>130</v>
      </c>
      <c r="L11">
        <f>L10-L9</f>
        <v>221</v>
      </c>
    </row>
    <row r="14" spans="3:14">
      <c r="N14" t="s">
        <v>131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R62"/>
  <sheetViews>
    <sheetView topLeftCell="A10" workbookViewId="0">
      <selection activeCell="G35" sqref="G35"/>
    </sheetView>
  </sheetViews>
  <sheetFormatPr defaultRowHeight="15"/>
  <sheetData>
    <row r="4" spans="5:18">
      <c r="N4" t="s">
        <v>94</v>
      </c>
      <c r="O4">
        <v>9</v>
      </c>
    </row>
    <row r="7" spans="5:18">
      <c r="E7" t="s">
        <v>420</v>
      </c>
      <c r="F7" t="s">
        <v>28</v>
      </c>
      <c r="G7" t="s">
        <v>0</v>
      </c>
      <c r="H7" t="s">
        <v>29</v>
      </c>
      <c r="I7" t="s">
        <v>30</v>
      </c>
      <c r="J7" t="s">
        <v>31</v>
      </c>
      <c r="M7" t="s">
        <v>21</v>
      </c>
      <c r="N7" t="s">
        <v>28</v>
      </c>
      <c r="O7" t="s">
        <v>0</v>
      </c>
      <c r="P7" t="s">
        <v>29</v>
      </c>
      <c r="Q7" t="s">
        <v>30</v>
      </c>
      <c r="R7" t="s">
        <v>31</v>
      </c>
    </row>
    <row r="8" spans="5:18">
      <c r="E8" t="s">
        <v>94</v>
      </c>
      <c r="F8">
        <v>0</v>
      </c>
      <c r="G8">
        <v>0.25</v>
      </c>
      <c r="H8">
        <v>0</v>
      </c>
      <c r="I8">
        <v>0</v>
      </c>
      <c r="J8">
        <v>0.1</v>
      </c>
      <c r="M8">
        <v>1</v>
      </c>
      <c r="N8">
        <v>26</v>
      </c>
      <c r="O8">
        <v>56</v>
      </c>
      <c r="P8">
        <v>5</v>
      </c>
      <c r="Q8">
        <v>4</v>
      </c>
      <c r="R8">
        <v>5</v>
      </c>
    </row>
    <row r="9" spans="5:18">
      <c r="M9">
        <v>4</v>
      </c>
      <c r="N9">
        <v>78</v>
      </c>
      <c r="O9">
        <v>94</v>
      </c>
      <c r="P9">
        <v>16</v>
      </c>
      <c r="Q9">
        <v>19</v>
      </c>
      <c r="R9">
        <v>15</v>
      </c>
    </row>
    <row r="10" spans="5:18">
      <c r="M10">
        <v>9</v>
      </c>
      <c r="N10">
        <v>155</v>
      </c>
      <c r="O10">
        <v>174</v>
      </c>
      <c r="P10">
        <v>34</v>
      </c>
      <c r="Q10">
        <v>46</v>
      </c>
      <c r="R10">
        <v>32</v>
      </c>
    </row>
    <row r="11" spans="5:18">
      <c r="E11" t="s">
        <v>21</v>
      </c>
      <c r="F11" t="s">
        <v>28</v>
      </c>
      <c r="G11" t="s">
        <v>0</v>
      </c>
      <c r="H11" t="s">
        <v>29</v>
      </c>
      <c r="I11" t="s">
        <v>30</v>
      </c>
      <c r="J11" t="s">
        <v>31</v>
      </c>
      <c r="M11">
        <v>25</v>
      </c>
      <c r="N11">
        <v>439</v>
      </c>
      <c r="O11">
        <v>363</v>
      </c>
      <c r="P11">
        <v>57</v>
      </c>
      <c r="Q11">
        <v>72</v>
      </c>
      <c r="R11">
        <v>57</v>
      </c>
    </row>
    <row r="12" spans="5:18">
      <c r="E12">
        <v>1</v>
      </c>
      <c r="F12">
        <f t="shared" ref="F12:J21" si="0">FLOOR(F$8*$E12,1)</f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M12">
        <v>32</v>
      </c>
      <c r="N12">
        <v>628</v>
      </c>
      <c r="O12">
        <v>425</v>
      </c>
      <c r="P12">
        <v>69</v>
      </c>
      <c r="Q12">
        <v>84</v>
      </c>
      <c r="R12">
        <v>68</v>
      </c>
    </row>
    <row r="13" spans="5:18">
      <c r="E13">
        <f t="shared" ref="E13:E44" si="1">E12+1</f>
        <v>2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M13">
        <v>38</v>
      </c>
      <c r="N13">
        <v>799</v>
      </c>
      <c r="O13">
        <v>466</v>
      </c>
      <c r="P13">
        <v>80</v>
      </c>
      <c r="Q13">
        <v>93</v>
      </c>
      <c r="R13">
        <v>77</v>
      </c>
    </row>
    <row r="14" spans="5:18">
      <c r="E14">
        <f t="shared" si="1"/>
        <v>3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5:18">
      <c r="E15">
        <f t="shared" si="1"/>
        <v>4</v>
      </c>
      <c r="F15">
        <f t="shared" si="0"/>
        <v>0</v>
      </c>
      <c r="G15">
        <f t="shared" si="0"/>
        <v>1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5:18">
      <c r="E16">
        <f t="shared" si="1"/>
        <v>5</v>
      </c>
      <c r="F16">
        <f t="shared" si="0"/>
        <v>0</v>
      </c>
      <c r="G16">
        <f t="shared" si="0"/>
        <v>1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5:18">
      <c r="E17">
        <f t="shared" si="1"/>
        <v>6</v>
      </c>
      <c r="F17">
        <f t="shared" si="0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5:18">
      <c r="E18">
        <f t="shared" si="1"/>
        <v>7</v>
      </c>
      <c r="F18">
        <f t="shared" si="0"/>
        <v>0</v>
      </c>
      <c r="G18">
        <f t="shared" si="0"/>
        <v>1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5:18">
      <c r="E19">
        <f t="shared" si="1"/>
        <v>8</v>
      </c>
      <c r="F19">
        <f t="shared" si="0"/>
        <v>0</v>
      </c>
      <c r="G19">
        <f t="shared" si="0"/>
        <v>2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5:18">
      <c r="E20">
        <f t="shared" si="1"/>
        <v>9</v>
      </c>
      <c r="F20">
        <f t="shared" si="0"/>
        <v>0</v>
      </c>
      <c r="G20">
        <f t="shared" si="0"/>
        <v>2</v>
      </c>
      <c r="H20">
        <f t="shared" si="0"/>
        <v>0</v>
      </c>
      <c r="I20">
        <f t="shared" si="0"/>
        <v>0</v>
      </c>
      <c r="J20">
        <f t="shared" si="0"/>
        <v>0</v>
      </c>
      <c r="N20" t="s">
        <v>28</v>
      </c>
      <c r="O20" t="s">
        <v>0</v>
      </c>
      <c r="P20" t="s">
        <v>29</v>
      </c>
      <c r="Q20" t="s">
        <v>30</v>
      </c>
      <c r="R20" t="s">
        <v>31</v>
      </c>
    </row>
    <row r="21" spans="5:18">
      <c r="E21">
        <f t="shared" si="1"/>
        <v>10</v>
      </c>
      <c r="F21">
        <f t="shared" si="0"/>
        <v>0</v>
      </c>
      <c r="G21">
        <f t="shared" si="0"/>
        <v>2</v>
      </c>
      <c r="H21">
        <f t="shared" si="0"/>
        <v>0</v>
      </c>
      <c r="I21">
        <f t="shared" si="0"/>
        <v>0</v>
      </c>
      <c r="J21">
        <f t="shared" si="0"/>
        <v>1</v>
      </c>
      <c r="M21" t="s">
        <v>94</v>
      </c>
      <c r="N21">
        <v>3</v>
      </c>
      <c r="O21">
        <v>2</v>
      </c>
      <c r="P21">
        <v>0.5</v>
      </c>
      <c r="Q21">
        <v>1</v>
      </c>
      <c r="R21">
        <v>0.5</v>
      </c>
    </row>
    <row r="22" spans="5:18">
      <c r="E22">
        <f t="shared" si="1"/>
        <v>11</v>
      </c>
      <c r="F22">
        <f t="shared" ref="F22:J31" si="2">FLOOR(F$8*$E22,1)</f>
        <v>0</v>
      </c>
      <c r="G22">
        <f t="shared" si="2"/>
        <v>2</v>
      </c>
      <c r="H22">
        <f t="shared" si="2"/>
        <v>0</v>
      </c>
      <c r="I22">
        <f t="shared" si="2"/>
        <v>0</v>
      </c>
      <c r="J22">
        <f t="shared" si="2"/>
        <v>1</v>
      </c>
      <c r="M22" t="s">
        <v>95</v>
      </c>
      <c r="N22">
        <v>2</v>
      </c>
      <c r="O22">
        <v>5</v>
      </c>
      <c r="P22">
        <v>0.5</v>
      </c>
      <c r="Q22">
        <v>0.5</v>
      </c>
      <c r="R22">
        <v>0.2</v>
      </c>
    </row>
    <row r="23" spans="5:18">
      <c r="E23">
        <f t="shared" si="1"/>
        <v>12</v>
      </c>
      <c r="F23">
        <f t="shared" si="2"/>
        <v>0</v>
      </c>
      <c r="G23">
        <f t="shared" si="2"/>
        <v>3</v>
      </c>
      <c r="H23">
        <f t="shared" si="2"/>
        <v>0</v>
      </c>
      <c r="I23">
        <f t="shared" si="2"/>
        <v>0</v>
      </c>
      <c r="J23">
        <f t="shared" si="2"/>
        <v>1</v>
      </c>
      <c r="M23" t="s">
        <v>419</v>
      </c>
      <c r="N23">
        <v>0</v>
      </c>
      <c r="O23">
        <v>0</v>
      </c>
      <c r="P23">
        <v>0.5</v>
      </c>
      <c r="Q23">
        <v>0.5</v>
      </c>
      <c r="R23">
        <v>0</v>
      </c>
    </row>
    <row r="24" spans="5:18">
      <c r="E24">
        <f t="shared" si="1"/>
        <v>13</v>
      </c>
      <c r="F24">
        <f t="shared" si="2"/>
        <v>0</v>
      </c>
      <c r="G24">
        <f t="shared" si="2"/>
        <v>3</v>
      </c>
      <c r="H24">
        <f t="shared" si="2"/>
        <v>0</v>
      </c>
      <c r="I24">
        <f t="shared" si="2"/>
        <v>0</v>
      </c>
      <c r="J24">
        <f t="shared" si="2"/>
        <v>1</v>
      </c>
      <c r="M24" t="s">
        <v>418</v>
      </c>
      <c r="N24">
        <v>0</v>
      </c>
      <c r="O24">
        <v>1.5</v>
      </c>
      <c r="P24">
        <v>0</v>
      </c>
      <c r="Q24">
        <v>0</v>
      </c>
      <c r="R24">
        <v>0.5</v>
      </c>
    </row>
    <row r="25" spans="5:18">
      <c r="E25">
        <f t="shared" si="1"/>
        <v>14</v>
      </c>
      <c r="F25">
        <f t="shared" si="2"/>
        <v>0</v>
      </c>
      <c r="G25">
        <f t="shared" si="2"/>
        <v>3</v>
      </c>
      <c r="H25">
        <f t="shared" si="2"/>
        <v>0</v>
      </c>
      <c r="I25">
        <f t="shared" si="2"/>
        <v>0</v>
      </c>
      <c r="J25">
        <f t="shared" si="2"/>
        <v>1</v>
      </c>
      <c r="M25" t="s">
        <v>417</v>
      </c>
      <c r="N25">
        <v>2</v>
      </c>
      <c r="O25">
        <v>1.5</v>
      </c>
      <c r="P25">
        <v>0</v>
      </c>
      <c r="Q25">
        <v>0.5</v>
      </c>
      <c r="R25">
        <v>0</v>
      </c>
    </row>
    <row r="26" spans="5:18">
      <c r="E26">
        <f t="shared" si="1"/>
        <v>15</v>
      </c>
      <c r="F26">
        <f t="shared" si="2"/>
        <v>0</v>
      </c>
      <c r="G26">
        <f t="shared" si="2"/>
        <v>3</v>
      </c>
      <c r="H26">
        <f t="shared" si="2"/>
        <v>0</v>
      </c>
      <c r="I26">
        <f t="shared" si="2"/>
        <v>0</v>
      </c>
      <c r="J26">
        <f t="shared" si="2"/>
        <v>1</v>
      </c>
      <c r="M26" t="s">
        <v>416</v>
      </c>
      <c r="N26">
        <v>0.3</v>
      </c>
      <c r="O26">
        <v>0.125</v>
      </c>
      <c r="P26">
        <v>0</v>
      </c>
      <c r="Q26">
        <v>0.1</v>
      </c>
      <c r="R26">
        <v>0</v>
      </c>
    </row>
    <row r="27" spans="5:18">
      <c r="E27">
        <f t="shared" si="1"/>
        <v>16</v>
      </c>
      <c r="F27">
        <f t="shared" si="2"/>
        <v>0</v>
      </c>
      <c r="G27">
        <f t="shared" si="2"/>
        <v>4</v>
      </c>
      <c r="H27">
        <f t="shared" si="2"/>
        <v>0</v>
      </c>
      <c r="I27">
        <f t="shared" si="2"/>
        <v>0</v>
      </c>
      <c r="J27">
        <f t="shared" si="2"/>
        <v>1</v>
      </c>
      <c r="M27" t="s">
        <v>415</v>
      </c>
      <c r="N27">
        <v>1</v>
      </c>
      <c r="O27">
        <v>1</v>
      </c>
      <c r="P27">
        <v>0</v>
      </c>
      <c r="Q27">
        <v>0.3</v>
      </c>
      <c r="R27">
        <v>0</v>
      </c>
    </row>
    <row r="28" spans="5:18">
      <c r="E28">
        <f t="shared" si="1"/>
        <v>17</v>
      </c>
      <c r="F28">
        <f t="shared" si="2"/>
        <v>0</v>
      </c>
      <c r="G28">
        <f t="shared" si="2"/>
        <v>4</v>
      </c>
      <c r="H28">
        <f t="shared" si="2"/>
        <v>0</v>
      </c>
      <c r="I28">
        <f t="shared" si="2"/>
        <v>0</v>
      </c>
      <c r="J28">
        <f t="shared" si="2"/>
        <v>1</v>
      </c>
      <c r="M28" t="s">
        <v>414</v>
      </c>
      <c r="N28">
        <v>1</v>
      </c>
      <c r="O28">
        <v>1</v>
      </c>
      <c r="P28">
        <v>0</v>
      </c>
      <c r="Q28">
        <v>0.3</v>
      </c>
      <c r="R28">
        <v>0</v>
      </c>
    </row>
    <row r="29" spans="5:18">
      <c r="E29">
        <f t="shared" si="1"/>
        <v>18</v>
      </c>
      <c r="F29">
        <f t="shared" si="2"/>
        <v>0</v>
      </c>
      <c r="G29">
        <f t="shared" si="2"/>
        <v>4</v>
      </c>
      <c r="H29">
        <f t="shared" si="2"/>
        <v>0</v>
      </c>
      <c r="I29">
        <f t="shared" si="2"/>
        <v>0</v>
      </c>
      <c r="J29">
        <f t="shared" si="2"/>
        <v>1</v>
      </c>
      <c r="M29" t="s">
        <v>413</v>
      </c>
      <c r="N29">
        <v>0</v>
      </c>
      <c r="O29">
        <v>0.5</v>
      </c>
      <c r="P29">
        <v>0</v>
      </c>
      <c r="Q29">
        <v>0</v>
      </c>
      <c r="R29">
        <v>0.5</v>
      </c>
    </row>
    <row r="30" spans="5:18">
      <c r="E30">
        <f t="shared" si="1"/>
        <v>19</v>
      </c>
      <c r="F30">
        <f t="shared" si="2"/>
        <v>0</v>
      </c>
      <c r="G30">
        <f t="shared" si="2"/>
        <v>4</v>
      </c>
      <c r="H30">
        <f t="shared" si="2"/>
        <v>0</v>
      </c>
      <c r="I30">
        <f t="shared" si="2"/>
        <v>0</v>
      </c>
      <c r="J30">
        <f t="shared" si="2"/>
        <v>1</v>
      </c>
      <c r="M30" t="s">
        <v>412</v>
      </c>
      <c r="N30">
        <v>0</v>
      </c>
      <c r="O30">
        <v>0.25</v>
      </c>
      <c r="P30">
        <v>0</v>
      </c>
      <c r="Q30">
        <v>0.1</v>
      </c>
      <c r="R30">
        <v>0</v>
      </c>
    </row>
    <row r="31" spans="5:18">
      <c r="E31">
        <f t="shared" si="1"/>
        <v>20</v>
      </c>
      <c r="F31">
        <f t="shared" si="2"/>
        <v>0</v>
      </c>
      <c r="G31">
        <f t="shared" si="2"/>
        <v>5</v>
      </c>
      <c r="H31">
        <f t="shared" si="2"/>
        <v>0</v>
      </c>
      <c r="I31">
        <f t="shared" si="2"/>
        <v>0</v>
      </c>
      <c r="J31">
        <f t="shared" si="2"/>
        <v>2</v>
      </c>
      <c r="M31" t="s">
        <v>411</v>
      </c>
      <c r="N31">
        <v>0</v>
      </c>
      <c r="O31">
        <v>0.25</v>
      </c>
      <c r="P31">
        <v>0</v>
      </c>
      <c r="Q31">
        <v>0</v>
      </c>
      <c r="R31">
        <v>0.1</v>
      </c>
    </row>
    <row r="32" spans="5:18">
      <c r="E32">
        <f t="shared" si="1"/>
        <v>21</v>
      </c>
      <c r="F32">
        <f t="shared" ref="F32:J41" si="3">FLOOR(F$8*$E32,1)</f>
        <v>0</v>
      </c>
      <c r="G32">
        <f t="shared" si="3"/>
        <v>5</v>
      </c>
      <c r="H32">
        <f t="shared" si="3"/>
        <v>0</v>
      </c>
      <c r="I32">
        <f t="shared" si="3"/>
        <v>0</v>
      </c>
      <c r="J32">
        <f t="shared" si="3"/>
        <v>2</v>
      </c>
      <c r="M32" t="s">
        <v>410</v>
      </c>
      <c r="N32">
        <v>3</v>
      </c>
      <c r="O32">
        <v>0</v>
      </c>
      <c r="P32">
        <v>0</v>
      </c>
      <c r="Q32">
        <v>1.5</v>
      </c>
      <c r="R32">
        <v>0</v>
      </c>
    </row>
    <row r="33" spans="5:18">
      <c r="E33">
        <f t="shared" si="1"/>
        <v>22</v>
      </c>
      <c r="F33">
        <f t="shared" si="3"/>
        <v>0</v>
      </c>
      <c r="G33">
        <f t="shared" si="3"/>
        <v>5</v>
      </c>
      <c r="H33">
        <f t="shared" si="3"/>
        <v>0</v>
      </c>
      <c r="I33">
        <f t="shared" si="3"/>
        <v>0</v>
      </c>
      <c r="J33">
        <f t="shared" si="3"/>
        <v>2</v>
      </c>
      <c r="M33" t="s">
        <v>409</v>
      </c>
      <c r="N33">
        <v>1</v>
      </c>
      <c r="O33">
        <v>1</v>
      </c>
      <c r="P33">
        <v>0</v>
      </c>
      <c r="Q33">
        <v>0.1</v>
      </c>
      <c r="R33">
        <v>0</v>
      </c>
    </row>
    <row r="34" spans="5:18">
      <c r="E34">
        <f t="shared" si="1"/>
        <v>23</v>
      </c>
      <c r="F34">
        <f t="shared" si="3"/>
        <v>0</v>
      </c>
      <c r="G34">
        <f t="shared" si="3"/>
        <v>5</v>
      </c>
      <c r="H34">
        <f t="shared" si="3"/>
        <v>0</v>
      </c>
      <c r="I34">
        <f t="shared" si="3"/>
        <v>0</v>
      </c>
      <c r="J34">
        <f t="shared" si="3"/>
        <v>2</v>
      </c>
      <c r="M34" t="s">
        <v>408</v>
      </c>
      <c r="N34">
        <v>1</v>
      </c>
      <c r="O34">
        <v>0</v>
      </c>
      <c r="P34">
        <v>0.25</v>
      </c>
      <c r="Q34">
        <v>0</v>
      </c>
      <c r="R34">
        <v>0.1</v>
      </c>
    </row>
    <row r="35" spans="5:18">
      <c r="E35">
        <f t="shared" si="1"/>
        <v>24</v>
      </c>
      <c r="F35">
        <f t="shared" si="3"/>
        <v>0</v>
      </c>
      <c r="G35">
        <f t="shared" si="3"/>
        <v>6</v>
      </c>
      <c r="H35">
        <f t="shared" si="3"/>
        <v>0</v>
      </c>
      <c r="I35">
        <f t="shared" si="3"/>
        <v>0</v>
      </c>
      <c r="J35">
        <f t="shared" si="3"/>
        <v>2</v>
      </c>
      <c r="M35" t="s">
        <v>407</v>
      </c>
      <c r="N35">
        <v>0</v>
      </c>
      <c r="O35">
        <v>0.25</v>
      </c>
      <c r="P35">
        <v>0</v>
      </c>
      <c r="Q35">
        <v>0</v>
      </c>
      <c r="R35">
        <v>0.2</v>
      </c>
    </row>
    <row r="36" spans="5:18">
      <c r="E36">
        <f t="shared" si="1"/>
        <v>25</v>
      </c>
      <c r="F36">
        <f t="shared" si="3"/>
        <v>0</v>
      </c>
      <c r="G36">
        <f t="shared" si="3"/>
        <v>6</v>
      </c>
      <c r="H36">
        <f t="shared" si="3"/>
        <v>0</v>
      </c>
      <c r="I36">
        <f t="shared" si="3"/>
        <v>0</v>
      </c>
      <c r="J36">
        <f t="shared" si="3"/>
        <v>2</v>
      </c>
      <c r="M36" t="s">
        <v>406</v>
      </c>
      <c r="N36">
        <v>0</v>
      </c>
      <c r="O36">
        <v>0.5</v>
      </c>
      <c r="P36">
        <v>0</v>
      </c>
      <c r="Q36">
        <v>0</v>
      </c>
      <c r="R36">
        <v>0.2</v>
      </c>
    </row>
    <row r="37" spans="5:18">
      <c r="E37">
        <f t="shared" si="1"/>
        <v>26</v>
      </c>
      <c r="F37">
        <f t="shared" si="3"/>
        <v>0</v>
      </c>
      <c r="G37">
        <f t="shared" si="3"/>
        <v>6</v>
      </c>
      <c r="H37">
        <f t="shared" si="3"/>
        <v>0</v>
      </c>
      <c r="I37">
        <f t="shared" si="3"/>
        <v>0</v>
      </c>
      <c r="J37">
        <f t="shared" si="3"/>
        <v>2</v>
      </c>
      <c r="M37" t="s">
        <v>405</v>
      </c>
      <c r="N37">
        <v>0</v>
      </c>
      <c r="O37">
        <v>0.25</v>
      </c>
      <c r="P37">
        <v>0.25</v>
      </c>
      <c r="Q37">
        <v>0</v>
      </c>
      <c r="R37">
        <v>0</v>
      </c>
    </row>
    <row r="38" spans="5:18">
      <c r="E38">
        <f t="shared" si="1"/>
        <v>27</v>
      </c>
      <c r="F38">
        <f t="shared" si="3"/>
        <v>0</v>
      </c>
      <c r="G38">
        <f t="shared" si="3"/>
        <v>6</v>
      </c>
      <c r="H38">
        <f t="shared" si="3"/>
        <v>0</v>
      </c>
      <c r="I38">
        <f t="shared" si="3"/>
        <v>0</v>
      </c>
      <c r="J38">
        <f t="shared" si="3"/>
        <v>2</v>
      </c>
    </row>
    <row r="39" spans="5:18">
      <c r="E39">
        <f t="shared" si="1"/>
        <v>28</v>
      </c>
      <c r="F39">
        <f t="shared" si="3"/>
        <v>0</v>
      </c>
      <c r="G39">
        <f t="shared" si="3"/>
        <v>7</v>
      </c>
      <c r="H39">
        <f t="shared" si="3"/>
        <v>0</v>
      </c>
      <c r="I39">
        <f t="shared" si="3"/>
        <v>0</v>
      </c>
      <c r="J39">
        <f t="shared" si="3"/>
        <v>2</v>
      </c>
    </row>
    <row r="40" spans="5:18">
      <c r="E40">
        <f t="shared" si="1"/>
        <v>29</v>
      </c>
      <c r="F40">
        <f t="shared" si="3"/>
        <v>0</v>
      </c>
      <c r="G40">
        <f t="shared" si="3"/>
        <v>7</v>
      </c>
      <c r="H40">
        <f t="shared" si="3"/>
        <v>0</v>
      </c>
      <c r="I40">
        <f t="shared" si="3"/>
        <v>0</v>
      </c>
      <c r="J40">
        <f t="shared" si="3"/>
        <v>2</v>
      </c>
    </row>
    <row r="41" spans="5:18">
      <c r="E41">
        <f t="shared" si="1"/>
        <v>30</v>
      </c>
      <c r="F41">
        <f t="shared" si="3"/>
        <v>0</v>
      </c>
      <c r="G41">
        <f t="shared" si="3"/>
        <v>7</v>
      </c>
      <c r="H41">
        <f t="shared" si="3"/>
        <v>0</v>
      </c>
      <c r="I41">
        <f t="shared" si="3"/>
        <v>0</v>
      </c>
      <c r="J41">
        <f t="shared" si="3"/>
        <v>3</v>
      </c>
    </row>
    <row r="42" spans="5:18">
      <c r="E42">
        <f t="shared" si="1"/>
        <v>31</v>
      </c>
      <c r="F42">
        <f t="shared" ref="F42:J51" si="4">FLOOR(F$8*$E42,1)</f>
        <v>0</v>
      </c>
      <c r="G42">
        <f t="shared" si="4"/>
        <v>7</v>
      </c>
      <c r="H42">
        <f t="shared" si="4"/>
        <v>0</v>
      </c>
      <c r="I42">
        <f t="shared" si="4"/>
        <v>0</v>
      </c>
      <c r="J42">
        <f t="shared" si="4"/>
        <v>3</v>
      </c>
      <c r="L42" t="s">
        <v>404</v>
      </c>
      <c r="M42" t="s">
        <v>403</v>
      </c>
    </row>
    <row r="43" spans="5:18">
      <c r="E43">
        <f t="shared" si="1"/>
        <v>32</v>
      </c>
      <c r="F43">
        <f t="shared" si="4"/>
        <v>0</v>
      </c>
      <c r="G43">
        <f t="shared" si="4"/>
        <v>8</v>
      </c>
      <c r="H43">
        <f t="shared" si="4"/>
        <v>0</v>
      </c>
      <c r="I43">
        <f t="shared" si="4"/>
        <v>0</v>
      </c>
      <c r="J43">
        <f t="shared" si="4"/>
        <v>3</v>
      </c>
      <c r="L43">
        <v>0</v>
      </c>
      <c r="M43">
        <v>0</v>
      </c>
      <c r="N43">
        <v>26</v>
      </c>
      <c r="O43">
        <v>56</v>
      </c>
      <c r="P43">
        <v>5</v>
      </c>
      <c r="Q43">
        <v>4</v>
      </c>
      <c r="R43">
        <v>5</v>
      </c>
    </row>
    <row r="44" spans="5:18">
      <c r="E44">
        <f t="shared" si="1"/>
        <v>33</v>
      </c>
      <c r="F44">
        <f t="shared" si="4"/>
        <v>0</v>
      </c>
      <c r="G44">
        <f t="shared" si="4"/>
        <v>8</v>
      </c>
      <c r="H44">
        <f t="shared" si="4"/>
        <v>0</v>
      </c>
      <c r="I44">
        <f t="shared" si="4"/>
        <v>0</v>
      </c>
      <c r="J44">
        <f t="shared" si="4"/>
        <v>3</v>
      </c>
      <c r="L44">
        <v>10</v>
      </c>
      <c r="M44">
        <v>10</v>
      </c>
      <c r="N44">
        <f>N43+F21</f>
        <v>26</v>
      </c>
      <c r="O44">
        <f>O43+G21</f>
        <v>58</v>
      </c>
      <c r="P44">
        <f>P43+H21</f>
        <v>5</v>
      </c>
      <c r="Q44">
        <f>Q43+I21</f>
        <v>4</v>
      </c>
      <c r="R44">
        <f>R43+J21</f>
        <v>6</v>
      </c>
    </row>
    <row r="45" spans="5:18">
      <c r="E45">
        <f t="shared" ref="E45:E62" si="5">E44+1</f>
        <v>34</v>
      </c>
      <c r="F45">
        <f t="shared" si="4"/>
        <v>0</v>
      </c>
      <c r="G45">
        <f t="shared" si="4"/>
        <v>8</v>
      </c>
      <c r="H45">
        <f t="shared" si="4"/>
        <v>0</v>
      </c>
      <c r="I45">
        <f t="shared" si="4"/>
        <v>0</v>
      </c>
      <c r="J45">
        <f t="shared" si="4"/>
        <v>3</v>
      </c>
      <c r="L45">
        <v>25</v>
      </c>
      <c r="M45">
        <v>20</v>
      </c>
      <c r="N45">
        <f>N43+F31</f>
        <v>26</v>
      </c>
      <c r="O45">
        <f>O43+G31</f>
        <v>61</v>
      </c>
      <c r="P45">
        <f>P43+H31</f>
        <v>5</v>
      </c>
      <c r="Q45">
        <f>Q43+I31</f>
        <v>4</v>
      </c>
      <c r="R45">
        <f>R43+J31</f>
        <v>7</v>
      </c>
    </row>
    <row r="46" spans="5:18">
      <c r="E46">
        <f t="shared" si="5"/>
        <v>35</v>
      </c>
      <c r="F46">
        <f t="shared" si="4"/>
        <v>0</v>
      </c>
      <c r="G46">
        <f t="shared" si="4"/>
        <v>8</v>
      </c>
      <c r="H46">
        <f t="shared" si="4"/>
        <v>0</v>
      </c>
      <c r="I46">
        <f t="shared" si="4"/>
        <v>0</v>
      </c>
      <c r="J46">
        <f t="shared" si="4"/>
        <v>3</v>
      </c>
      <c r="L46">
        <v>40</v>
      </c>
      <c r="M46">
        <v>30</v>
      </c>
      <c r="N46">
        <f>N43+F41</f>
        <v>26</v>
      </c>
      <c r="O46">
        <f>O43+G41</f>
        <v>63</v>
      </c>
      <c r="P46">
        <f>P43+H41</f>
        <v>5</v>
      </c>
      <c r="Q46">
        <f>Q43+I41</f>
        <v>4</v>
      </c>
      <c r="R46">
        <f>R43+J41</f>
        <v>8</v>
      </c>
    </row>
    <row r="47" spans="5:18">
      <c r="E47">
        <f t="shared" si="5"/>
        <v>36</v>
      </c>
      <c r="F47">
        <f t="shared" si="4"/>
        <v>0</v>
      </c>
      <c r="G47">
        <f t="shared" si="4"/>
        <v>9</v>
      </c>
      <c r="H47">
        <f t="shared" si="4"/>
        <v>0</v>
      </c>
      <c r="I47">
        <f t="shared" si="4"/>
        <v>0</v>
      </c>
      <c r="J47">
        <f t="shared" si="4"/>
        <v>3</v>
      </c>
      <c r="L47">
        <v>60</v>
      </c>
      <c r="M47">
        <v>40</v>
      </c>
      <c r="N47">
        <f>N43+F51</f>
        <v>26</v>
      </c>
      <c r="O47">
        <f>O43+G51</f>
        <v>66</v>
      </c>
      <c r="P47">
        <f>P43+H51</f>
        <v>5</v>
      </c>
      <c r="Q47">
        <f>Q43+I51</f>
        <v>4</v>
      </c>
      <c r="R47">
        <f>R43+J51</f>
        <v>9</v>
      </c>
    </row>
    <row r="48" spans="5:18">
      <c r="E48">
        <f t="shared" si="5"/>
        <v>37</v>
      </c>
      <c r="F48">
        <f t="shared" si="4"/>
        <v>0</v>
      </c>
      <c r="G48">
        <f t="shared" si="4"/>
        <v>9</v>
      </c>
      <c r="H48">
        <f t="shared" si="4"/>
        <v>0</v>
      </c>
      <c r="I48">
        <f t="shared" si="4"/>
        <v>0</v>
      </c>
      <c r="J48">
        <f t="shared" si="4"/>
        <v>3</v>
      </c>
      <c r="L48">
        <v>80</v>
      </c>
      <c r="M48">
        <v>50</v>
      </c>
      <c r="N48">
        <f>N43+F61</f>
        <v>26</v>
      </c>
      <c r="O48">
        <f>O43+G61</f>
        <v>68</v>
      </c>
      <c r="P48">
        <f>P43+H61</f>
        <v>5</v>
      </c>
      <c r="Q48">
        <f>Q43+I61</f>
        <v>4</v>
      </c>
      <c r="R48">
        <f>R43+J61</f>
        <v>10</v>
      </c>
    </row>
    <row r="49" spans="5:12">
      <c r="E49">
        <f t="shared" si="5"/>
        <v>38</v>
      </c>
      <c r="F49">
        <f t="shared" si="4"/>
        <v>0</v>
      </c>
      <c r="G49">
        <f t="shared" si="4"/>
        <v>9</v>
      </c>
      <c r="H49">
        <f t="shared" si="4"/>
        <v>0</v>
      </c>
      <c r="I49">
        <f t="shared" si="4"/>
        <v>0</v>
      </c>
      <c r="J49">
        <f t="shared" si="4"/>
        <v>3</v>
      </c>
    </row>
    <row r="50" spans="5:12">
      <c r="E50">
        <f t="shared" si="5"/>
        <v>39</v>
      </c>
      <c r="F50">
        <f t="shared" si="4"/>
        <v>0</v>
      </c>
      <c r="G50">
        <f t="shared" si="4"/>
        <v>9</v>
      </c>
      <c r="H50">
        <f t="shared" si="4"/>
        <v>0</v>
      </c>
      <c r="I50">
        <f t="shared" si="4"/>
        <v>0</v>
      </c>
      <c r="J50">
        <f t="shared" si="4"/>
        <v>3</v>
      </c>
    </row>
    <row r="51" spans="5:12">
      <c r="E51">
        <f t="shared" si="5"/>
        <v>40</v>
      </c>
      <c r="F51">
        <f t="shared" si="4"/>
        <v>0</v>
      </c>
      <c r="G51">
        <f t="shared" si="4"/>
        <v>10</v>
      </c>
      <c r="H51">
        <f t="shared" si="4"/>
        <v>0</v>
      </c>
      <c r="I51">
        <f t="shared" si="4"/>
        <v>0</v>
      </c>
      <c r="J51">
        <f t="shared" si="4"/>
        <v>4</v>
      </c>
    </row>
    <row r="52" spans="5:12">
      <c r="E52">
        <f t="shared" si="5"/>
        <v>41</v>
      </c>
      <c r="F52">
        <f t="shared" ref="F52:J62" si="6">FLOOR(F$8*$E52,1)</f>
        <v>0</v>
      </c>
      <c r="G52">
        <f t="shared" si="6"/>
        <v>10</v>
      </c>
      <c r="H52">
        <f t="shared" si="6"/>
        <v>0</v>
      </c>
      <c r="I52">
        <f t="shared" si="6"/>
        <v>0</v>
      </c>
      <c r="J52">
        <f t="shared" si="6"/>
        <v>4</v>
      </c>
      <c r="L52" t="s">
        <v>402</v>
      </c>
    </row>
    <row r="53" spans="5:12">
      <c r="E53">
        <f t="shared" si="5"/>
        <v>42</v>
      </c>
      <c r="F53">
        <f t="shared" si="6"/>
        <v>0</v>
      </c>
      <c r="G53">
        <f t="shared" si="6"/>
        <v>10</v>
      </c>
      <c r="H53">
        <f t="shared" si="6"/>
        <v>0</v>
      </c>
      <c r="I53">
        <f t="shared" si="6"/>
        <v>0</v>
      </c>
      <c r="J53">
        <f t="shared" si="6"/>
        <v>4</v>
      </c>
    </row>
    <row r="54" spans="5:12">
      <c r="E54">
        <f t="shared" si="5"/>
        <v>43</v>
      </c>
      <c r="F54">
        <f t="shared" si="6"/>
        <v>0</v>
      </c>
      <c r="G54">
        <f t="shared" si="6"/>
        <v>10</v>
      </c>
      <c r="H54">
        <f t="shared" si="6"/>
        <v>0</v>
      </c>
      <c r="I54">
        <f t="shared" si="6"/>
        <v>0</v>
      </c>
      <c r="J54">
        <f t="shared" si="6"/>
        <v>4</v>
      </c>
    </row>
    <row r="55" spans="5:12">
      <c r="E55">
        <f t="shared" si="5"/>
        <v>44</v>
      </c>
      <c r="F55">
        <f t="shared" si="6"/>
        <v>0</v>
      </c>
      <c r="G55">
        <f t="shared" si="6"/>
        <v>11</v>
      </c>
      <c r="H55">
        <f t="shared" si="6"/>
        <v>0</v>
      </c>
      <c r="I55">
        <f t="shared" si="6"/>
        <v>0</v>
      </c>
      <c r="J55">
        <f t="shared" si="6"/>
        <v>4</v>
      </c>
    </row>
    <row r="56" spans="5:12">
      <c r="E56">
        <f t="shared" si="5"/>
        <v>45</v>
      </c>
      <c r="F56">
        <f t="shared" si="6"/>
        <v>0</v>
      </c>
      <c r="G56">
        <f t="shared" si="6"/>
        <v>11</v>
      </c>
      <c r="H56">
        <f t="shared" si="6"/>
        <v>0</v>
      </c>
      <c r="I56">
        <f t="shared" si="6"/>
        <v>0</v>
      </c>
      <c r="J56">
        <f t="shared" si="6"/>
        <v>4</v>
      </c>
    </row>
    <row r="57" spans="5:12">
      <c r="E57">
        <f t="shared" si="5"/>
        <v>46</v>
      </c>
      <c r="F57">
        <f t="shared" si="6"/>
        <v>0</v>
      </c>
      <c r="G57">
        <f t="shared" si="6"/>
        <v>11</v>
      </c>
      <c r="H57">
        <f t="shared" si="6"/>
        <v>0</v>
      </c>
      <c r="I57">
        <f t="shared" si="6"/>
        <v>0</v>
      </c>
      <c r="J57">
        <f t="shared" si="6"/>
        <v>4</v>
      </c>
    </row>
    <row r="58" spans="5:12">
      <c r="E58">
        <f t="shared" si="5"/>
        <v>47</v>
      </c>
      <c r="F58">
        <f t="shared" si="6"/>
        <v>0</v>
      </c>
      <c r="G58">
        <f t="shared" si="6"/>
        <v>11</v>
      </c>
      <c r="H58">
        <f t="shared" si="6"/>
        <v>0</v>
      </c>
      <c r="I58">
        <f t="shared" si="6"/>
        <v>0</v>
      </c>
      <c r="J58">
        <f t="shared" si="6"/>
        <v>4</v>
      </c>
    </row>
    <row r="59" spans="5:12">
      <c r="E59">
        <f t="shared" si="5"/>
        <v>48</v>
      </c>
      <c r="F59">
        <f t="shared" si="6"/>
        <v>0</v>
      </c>
      <c r="G59">
        <f t="shared" si="6"/>
        <v>12</v>
      </c>
      <c r="H59">
        <f t="shared" si="6"/>
        <v>0</v>
      </c>
      <c r="I59">
        <f t="shared" si="6"/>
        <v>0</v>
      </c>
      <c r="J59">
        <f t="shared" si="6"/>
        <v>4</v>
      </c>
    </row>
    <row r="60" spans="5:12">
      <c r="E60">
        <f t="shared" si="5"/>
        <v>49</v>
      </c>
      <c r="F60">
        <f t="shared" si="6"/>
        <v>0</v>
      </c>
      <c r="G60">
        <f t="shared" si="6"/>
        <v>12</v>
      </c>
      <c r="H60">
        <f t="shared" si="6"/>
        <v>0</v>
      </c>
      <c r="I60">
        <f t="shared" si="6"/>
        <v>0</v>
      </c>
      <c r="J60">
        <f t="shared" si="6"/>
        <v>4</v>
      </c>
    </row>
    <row r="61" spans="5:12">
      <c r="E61">
        <f t="shared" si="5"/>
        <v>50</v>
      </c>
      <c r="F61">
        <f t="shared" si="6"/>
        <v>0</v>
      </c>
      <c r="G61">
        <f t="shared" si="6"/>
        <v>12</v>
      </c>
      <c r="H61">
        <f t="shared" si="6"/>
        <v>0</v>
      </c>
      <c r="I61">
        <f t="shared" si="6"/>
        <v>0</v>
      </c>
      <c r="J61">
        <f t="shared" si="6"/>
        <v>5</v>
      </c>
    </row>
    <row r="62" spans="5:12">
      <c r="E62">
        <f t="shared" si="5"/>
        <v>51</v>
      </c>
      <c r="F62">
        <f t="shared" si="6"/>
        <v>0</v>
      </c>
      <c r="G62">
        <f t="shared" si="6"/>
        <v>12</v>
      </c>
      <c r="H62">
        <f t="shared" si="6"/>
        <v>0</v>
      </c>
      <c r="I62">
        <f t="shared" si="6"/>
        <v>0</v>
      </c>
      <c r="J62">
        <f t="shared" si="6"/>
        <v>5</v>
      </c>
    </row>
  </sheetData>
  <conditionalFormatting sqref="N21:R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44"/>
  <sheetViews>
    <sheetView topLeftCell="A3" workbookViewId="0">
      <selection activeCell="P46" sqref="P46"/>
    </sheetView>
  </sheetViews>
  <sheetFormatPr defaultRowHeight="15"/>
  <cols>
    <col min="6" max="6" width="19.5703125" customWidth="1"/>
  </cols>
  <sheetData>
    <row r="8" spans="3:8">
      <c r="C8" t="s">
        <v>478</v>
      </c>
      <c r="D8" s="18" t="s">
        <v>477</v>
      </c>
      <c r="E8" t="s">
        <v>476</v>
      </c>
      <c r="F8" t="s">
        <v>124</v>
      </c>
      <c r="H8" t="s">
        <v>475</v>
      </c>
    </row>
    <row r="9" spans="3:8">
      <c r="D9" t="s">
        <v>474</v>
      </c>
      <c r="E9" t="s">
        <v>121</v>
      </c>
      <c r="F9" t="s">
        <v>473</v>
      </c>
      <c r="H9">
        <v>1</v>
      </c>
    </row>
    <row r="10" spans="3:8">
      <c r="D10" t="s">
        <v>472</v>
      </c>
      <c r="E10" t="s">
        <v>121</v>
      </c>
      <c r="F10" t="s">
        <v>471</v>
      </c>
      <c r="H10">
        <v>2</v>
      </c>
    </row>
    <row r="11" spans="3:8">
      <c r="D11" t="s">
        <v>470</v>
      </c>
      <c r="E11" t="s">
        <v>121</v>
      </c>
      <c r="F11" t="s">
        <v>469</v>
      </c>
      <c r="H11">
        <v>3</v>
      </c>
    </row>
    <row r="12" spans="3:8">
      <c r="D12" t="s">
        <v>468</v>
      </c>
      <c r="E12" t="s">
        <v>121</v>
      </c>
      <c r="H12">
        <v>4</v>
      </c>
    </row>
    <row r="13" spans="3:8">
      <c r="D13" t="s">
        <v>467</v>
      </c>
      <c r="E13" t="s">
        <v>121</v>
      </c>
      <c r="F13" t="s">
        <v>466</v>
      </c>
      <c r="H13">
        <v>4</v>
      </c>
    </row>
    <row r="14" spans="3:8">
      <c r="D14" t="s">
        <v>465</v>
      </c>
      <c r="E14" t="s">
        <v>121</v>
      </c>
      <c r="F14" t="s">
        <v>464</v>
      </c>
      <c r="H14">
        <v>5</v>
      </c>
    </row>
    <row r="15" spans="3:8">
      <c r="C15" t="s">
        <v>454</v>
      </c>
      <c r="D15" t="s">
        <v>426</v>
      </c>
      <c r="E15" t="s">
        <v>121</v>
      </c>
      <c r="F15" t="s">
        <v>463</v>
      </c>
      <c r="H15">
        <v>5</v>
      </c>
    </row>
    <row r="16" spans="3:8">
      <c r="C16" t="s">
        <v>454</v>
      </c>
      <c r="D16" t="s">
        <v>413</v>
      </c>
      <c r="F16" t="s">
        <v>462</v>
      </c>
      <c r="H16">
        <v>6</v>
      </c>
    </row>
    <row r="17" spans="3:8">
      <c r="C17" t="s">
        <v>454</v>
      </c>
      <c r="D17" t="s">
        <v>461</v>
      </c>
      <c r="F17" t="s">
        <v>460</v>
      </c>
      <c r="H17">
        <v>8</v>
      </c>
    </row>
    <row r="18" spans="3:8">
      <c r="C18" t="s">
        <v>454</v>
      </c>
      <c r="D18" t="s">
        <v>101</v>
      </c>
      <c r="F18" t="s">
        <v>459</v>
      </c>
      <c r="H18">
        <v>9</v>
      </c>
    </row>
    <row r="19" spans="3:8">
      <c r="D19" t="s">
        <v>458</v>
      </c>
      <c r="E19" t="s">
        <v>121</v>
      </c>
      <c r="F19" t="s">
        <v>457</v>
      </c>
      <c r="H19">
        <v>9</v>
      </c>
    </row>
    <row r="20" spans="3:8">
      <c r="D20" t="s">
        <v>456</v>
      </c>
      <c r="F20" t="s">
        <v>455</v>
      </c>
    </row>
    <row r="21" spans="3:8">
      <c r="C21" t="s">
        <v>454</v>
      </c>
      <c r="D21" t="s">
        <v>453</v>
      </c>
      <c r="F21" t="s">
        <v>452</v>
      </c>
    </row>
    <row r="22" spans="3:8">
      <c r="D22" t="s">
        <v>412</v>
      </c>
      <c r="F22" t="s">
        <v>451</v>
      </c>
    </row>
    <row r="23" spans="3:8">
      <c r="D23" t="s">
        <v>57</v>
      </c>
      <c r="F23" t="s">
        <v>450</v>
      </c>
    </row>
    <row r="24" spans="3:8">
      <c r="C24" t="s">
        <v>412</v>
      </c>
      <c r="D24" t="s">
        <v>58</v>
      </c>
      <c r="F24" t="s">
        <v>449</v>
      </c>
    </row>
    <row r="25" spans="3:8">
      <c r="D25" t="s">
        <v>448</v>
      </c>
      <c r="F25" t="s">
        <v>447</v>
      </c>
    </row>
    <row r="26" spans="3:8">
      <c r="D26" t="s">
        <v>446</v>
      </c>
      <c r="F26" t="s">
        <v>445</v>
      </c>
    </row>
    <row r="27" spans="3:8">
      <c r="D27" t="s">
        <v>411</v>
      </c>
      <c r="F27" t="s">
        <v>444</v>
      </c>
    </row>
    <row r="28" spans="3:8">
      <c r="D28" t="s">
        <v>443</v>
      </c>
      <c r="F28" t="s">
        <v>115</v>
      </c>
    </row>
    <row r="29" spans="3:8">
      <c r="D29" t="s">
        <v>59</v>
      </c>
      <c r="F29" t="s">
        <v>442</v>
      </c>
    </row>
    <row r="30" spans="3:8">
      <c r="D30" t="s">
        <v>441</v>
      </c>
      <c r="F30" t="s">
        <v>440</v>
      </c>
    </row>
    <row r="31" spans="3:8">
      <c r="D31" t="s">
        <v>439</v>
      </c>
      <c r="F31" t="s">
        <v>142</v>
      </c>
    </row>
    <row r="32" spans="3:8">
      <c r="D32" t="s">
        <v>438</v>
      </c>
      <c r="F32" t="s">
        <v>437</v>
      </c>
    </row>
    <row r="33" spans="3:8">
      <c r="D33" t="s">
        <v>436</v>
      </c>
      <c r="F33" t="s">
        <v>435</v>
      </c>
    </row>
    <row r="34" spans="3:8">
      <c r="D34" t="s">
        <v>434</v>
      </c>
      <c r="F34" t="s">
        <v>230</v>
      </c>
    </row>
    <row r="35" spans="3:8">
      <c r="D35" t="s">
        <v>433</v>
      </c>
      <c r="F35" t="s">
        <v>432</v>
      </c>
    </row>
    <row r="38" spans="3:8">
      <c r="C38" t="s">
        <v>431</v>
      </c>
      <c r="D38" t="s">
        <v>430</v>
      </c>
      <c r="E38" t="s">
        <v>121</v>
      </c>
      <c r="F38" t="s">
        <v>379</v>
      </c>
      <c r="H38">
        <v>6</v>
      </c>
    </row>
    <row r="39" spans="3:8">
      <c r="D39" t="s">
        <v>429</v>
      </c>
      <c r="E39" t="s">
        <v>121</v>
      </c>
      <c r="F39" t="s">
        <v>428</v>
      </c>
      <c r="H39">
        <v>7</v>
      </c>
    </row>
    <row r="40" spans="3:8">
      <c r="D40" t="s">
        <v>427</v>
      </c>
      <c r="E40" t="s">
        <v>121</v>
      </c>
      <c r="F40" t="s">
        <v>378</v>
      </c>
      <c r="H40">
        <v>7</v>
      </c>
    </row>
    <row r="41" spans="3:8">
      <c r="C41" t="s">
        <v>426</v>
      </c>
      <c r="D41" t="s">
        <v>376</v>
      </c>
      <c r="E41" t="s">
        <v>121</v>
      </c>
      <c r="H41">
        <v>8</v>
      </c>
    </row>
    <row r="42" spans="3:8">
      <c r="D42" t="s">
        <v>425</v>
      </c>
      <c r="E42" t="s">
        <v>121</v>
      </c>
      <c r="H42" t="s">
        <v>421</v>
      </c>
    </row>
    <row r="43" spans="3:8">
      <c r="D43" t="s">
        <v>424</v>
      </c>
      <c r="E43" t="s">
        <v>121</v>
      </c>
      <c r="H43" t="s">
        <v>421</v>
      </c>
    </row>
    <row r="44" spans="3:8">
      <c r="D44" t="s">
        <v>423</v>
      </c>
      <c r="E44" t="s">
        <v>121</v>
      </c>
      <c r="F44" t="s">
        <v>422</v>
      </c>
      <c r="H44" t="s">
        <v>421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51"/>
  <sheetViews>
    <sheetView topLeftCell="A25" workbookViewId="0">
      <selection activeCell="D47" sqref="D47"/>
    </sheetView>
  </sheetViews>
  <sheetFormatPr defaultRowHeight="15"/>
  <sheetData>
    <row r="6" spans="3:25">
      <c r="U6" t="s">
        <v>511</v>
      </c>
      <c r="V6" t="s">
        <v>510</v>
      </c>
      <c r="W6" t="s">
        <v>509</v>
      </c>
      <c r="X6" t="s">
        <v>508</v>
      </c>
    </row>
    <row r="8" spans="3:25">
      <c r="T8">
        <v>2</v>
      </c>
      <c r="U8">
        <f t="shared" ref="U8:U15" si="0">(T8-1)/T8</f>
        <v>0.5</v>
      </c>
      <c r="V8">
        <v>71</v>
      </c>
      <c r="W8">
        <v>114</v>
      </c>
      <c r="X8">
        <v>43</v>
      </c>
      <c r="Y8">
        <f t="shared" ref="Y8:Y15" si="1">W8+FLOOR(X8*U8+V8,1)*(T8-1)</f>
        <v>206</v>
      </c>
    </row>
    <row r="9" spans="3:25">
      <c r="M9">
        <f>43*0.333</f>
        <v>14.319000000000001</v>
      </c>
      <c r="T9">
        <v>3</v>
      </c>
      <c r="U9">
        <f t="shared" si="0"/>
        <v>0.66666666666666663</v>
      </c>
      <c r="V9">
        <v>71</v>
      </c>
      <c r="W9">
        <v>114</v>
      </c>
      <c r="X9">
        <v>43</v>
      </c>
      <c r="Y9">
        <f t="shared" si="1"/>
        <v>312</v>
      </c>
    </row>
    <row r="10" spans="3:25">
      <c r="M10">
        <f>43*0.6667</f>
        <v>28.668099999999999</v>
      </c>
      <c r="T10">
        <v>4</v>
      </c>
      <c r="U10">
        <f t="shared" si="0"/>
        <v>0.75</v>
      </c>
      <c r="V10">
        <v>71</v>
      </c>
      <c r="W10">
        <v>114</v>
      </c>
      <c r="X10">
        <v>43</v>
      </c>
      <c r="Y10">
        <f t="shared" si="1"/>
        <v>423</v>
      </c>
    </row>
    <row r="11" spans="3:25">
      <c r="C11" t="s">
        <v>507</v>
      </c>
      <c r="T11">
        <v>5</v>
      </c>
      <c r="U11">
        <f t="shared" si="0"/>
        <v>0.8</v>
      </c>
      <c r="V11">
        <v>71</v>
      </c>
      <c r="W11">
        <v>114</v>
      </c>
      <c r="X11">
        <v>43</v>
      </c>
      <c r="Y11">
        <f t="shared" si="1"/>
        <v>534</v>
      </c>
    </row>
    <row r="12" spans="3:25">
      <c r="C12" t="s">
        <v>506</v>
      </c>
      <c r="I12">
        <v>114</v>
      </c>
      <c r="J12">
        <f>I12-J13</f>
        <v>28</v>
      </c>
      <c r="T12">
        <v>6</v>
      </c>
      <c r="U12">
        <f t="shared" si="0"/>
        <v>0.83333333333333337</v>
      </c>
      <c r="V12">
        <v>71</v>
      </c>
      <c r="W12">
        <v>114</v>
      </c>
      <c r="X12">
        <v>43</v>
      </c>
      <c r="Y12">
        <f t="shared" si="1"/>
        <v>644</v>
      </c>
    </row>
    <row r="13" spans="3:25">
      <c r="C13" t="s">
        <v>505</v>
      </c>
      <c r="I13">
        <f>I15-114</f>
        <v>172</v>
      </c>
      <c r="J13">
        <f>I13/2</f>
        <v>86</v>
      </c>
      <c r="K13">
        <f>J13/I12</f>
        <v>0.75438596491228072</v>
      </c>
      <c r="T13">
        <v>7</v>
      </c>
      <c r="U13">
        <f t="shared" si="0"/>
        <v>0.8571428571428571</v>
      </c>
      <c r="V13">
        <v>71</v>
      </c>
      <c r="W13">
        <v>114</v>
      </c>
      <c r="X13">
        <v>43</v>
      </c>
      <c r="Y13">
        <f t="shared" si="1"/>
        <v>756</v>
      </c>
    </row>
    <row r="14" spans="3:25">
      <c r="C14" t="s">
        <v>504</v>
      </c>
      <c r="J14">
        <v>71</v>
      </c>
      <c r="K14">
        <f>I12-J14</f>
        <v>43</v>
      </c>
      <c r="L14">
        <f>K14/3</f>
        <v>14.333333333333334</v>
      </c>
      <c r="M14">
        <f>K14*(2/3)</f>
        <v>28.666666666666664</v>
      </c>
      <c r="T14">
        <v>8</v>
      </c>
      <c r="U14">
        <f t="shared" si="0"/>
        <v>0.875</v>
      </c>
      <c r="V14">
        <v>71</v>
      </c>
      <c r="W14">
        <v>114</v>
      </c>
      <c r="X14">
        <v>43</v>
      </c>
      <c r="Y14">
        <f t="shared" si="1"/>
        <v>870</v>
      </c>
    </row>
    <row r="15" spans="3:25">
      <c r="C15" t="s">
        <v>503</v>
      </c>
      <c r="I15">
        <v>286</v>
      </c>
      <c r="T15">
        <v>9</v>
      </c>
      <c r="U15">
        <f t="shared" si="0"/>
        <v>0.88888888888888884</v>
      </c>
      <c r="V15">
        <v>71</v>
      </c>
      <c r="W15">
        <v>114</v>
      </c>
      <c r="X15">
        <v>43</v>
      </c>
      <c r="Y15">
        <f t="shared" si="1"/>
        <v>986</v>
      </c>
    </row>
    <row r="16" spans="3:25">
      <c r="C16" t="s">
        <v>502</v>
      </c>
    </row>
    <row r="17" spans="3:15">
      <c r="C17" t="s">
        <v>501</v>
      </c>
    </row>
    <row r="18" spans="3:15">
      <c r="C18" t="s">
        <v>500</v>
      </c>
    </row>
    <row r="19" spans="3:15">
      <c r="C19" t="s">
        <v>499</v>
      </c>
    </row>
    <row r="20" spans="3:15">
      <c r="C20" t="s">
        <v>498</v>
      </c>
    </row>
    <row r="24" spans="3:15">
      <c r="D24" t="s">
        <v>244</v>
      </c>
      <c r="E24" t="s">
        <v>497</v>
      </c>
      <c r="F24" t="s">
        <v>187</v>
      </c>
      <c r="J24">
        <v>60</v>
      </c>
      <c r="K24" t="s">
        <v>306</v>
      </c>
    </row>
    <row r="25" spans="3:15">
      <c r="C25">
        <v>2</v>
      </c>
      <c r="D25">
        <f t="shared" ref="D25:D33" si="2">$C25+$A$41+A$42</f>
        <v>33</v>
      </c>
      <c r="E25">
        <f t="shared" ref="E25:E33" si="3">$C25+$A$41+$A$43</f>
        <v>47</v>
      </c>
      <c r="F25">
        <f t="shared" ref="F25:F33" si="4">$C25+$A$41+$A$44</f>
        <v>39</v>
      </c>
      <c r="J25">
        <v>30</v>
      </c>
      <c r="K25" t="s">
        <v>307</v>
      </c>
    </row>
    <row r="26" spans="3:15">
      <c r="C26">
        <v>3</v>
      </c>
      <c r="D26">
        <f t="shared" si="2"/>
        <v>34</v>
      </c>
      <c r="E26">
        <f t="shared" si="3"/>
        <v>48</v>
      </c>
      <c r="F26">
        <f t="shared" si="4"/>
        <v>40</v>
      </c>
      <c r="J26">
        <v>45</v>
      </c>
    </row>
    <row r="27" spans="3:15">
      <c r="C27">
        <v>4</v>
      </c>
      <c r="D27">
        <f t="shared" si="2"/>
        <v>35</v>
      </c>
      <c r="E27">
        <f t="shared" si="3"/>
        <v>49</v>
      </c>
      <c r="F27">
        <f t="shared" si="4"/>
        <v>41</v>
      </c>
      <c r="J27">
        <f>J26/2</f>
        <v>22.5</v>
      </c>
    </row>
    <row r="28" spans="3:15">
      <c r="C28">
        <v>5</v>
      </c>
      <c r="D28">
        <f t="shared" si="2"/>
        <v>36</v>
      </c>
      <c r="E28">
        <f t="shared" si="3"/>
        <v>50</v>
      </c>
      <c r="F28">
        <f t="shared" si="4"/>
        <v>42</v>
      </c>
    </row>
    <row r="29" spans="3:15">
      <c r="C29">
        <v>6</v>
      </c>
      <c r="D29">
        <f t="shared" si="2"/>
        <v>37</v>
      </c>
      <c r="E29">
        <f t="shared" si="3"/>
        <v>51</v>
      </c>
      <c r="F29">
        <f t="shared" si="4"/>
        <v>43</v>
      </c>
    </row>
    <row r="30" spans="3:15">
      <c r="C30">
        <v>7</v>
      </c>
      <c r="D30">
        <f t="shared" si="2"/>
        <v>38</v>
      </c>
      <c r="E30">
        <f t="shared" si="3"/>
        <v>52</v>
      </c>
      <c r="F30">
        <f t="shared" si="4"/>
        <v>44</v>
      </c>
      <c r="J30">
        <v>11</v>
      </c>
      <c r="K30" t="s">
        <v>283</v>
      </c>
    </row>
    <row r="31" spans="3:15">
      <c r="C31">
        <v>8</v>
      </c>
      <c r="D31">
        <f t="shared" si="2"/>
        <v>39</v>
      </c>
      <c r="E31">
        <f t="shared" si="3"/>
        <v>53</v>
      </c>
      <c r="F31">
        <f t="shared" si="4"/>
        <v>45</v>
      </c>
      <c r="J31">
        <f>J30+15</f>
        <v>26</v>
      </c>
      <c r="K31" t="s">
        <v>307</v>
      </c>
      <c r="L31">
        <f>J31*3*2</f>
        <v>156</v>
      </c>
      <c r="M31">
        <f>J31*3.5*2</f>
        <v>182</v>
      </c>
      <c r="N31">
        <v>108</v>
      </c>
      <c r="O31" t="s">
        <v>496</v>
      </c>
    </row>
    <row r="32" spans="3:15">
      <c r="C32">
        <v>9</v>
      </c>
      <c r="D32">
        <f t="shared" si="2"/>
        <v>40</v>
      </c>
      <c r="E32">
        <f t="shared" si="3"/>
        <v>54</v>
      </c>
      <c r="F32">
        <f t="shared" si="4"/>
        <v>46</v>
      </c>
      <c r="J32">
        <f>J30+30</f>
        <v>41</v>
      </c>
      <c r="K32" t="s">
        <v>306</v>
      </c>
      <c r="L32">
        <f>J32*3*2</f>
        <v>246</v>
      </c>
      <c r="N32">
        <v>138</v>
      </c>
      <c r="O32" t="s">
        <v>391</v>
      </c>
    </row>
    <row r="33" spans="1:15">
      <c r="C33">
        <v>10</v>
      </c>
      <c r="D33">
        <f t="shared" si="2"/>
        <v>41</v>
      </c>
      <c r="E33">
        <f t="shared" si="3"/>
        <v>55</v>
      </c>
      <c r="F33">
        <f t="shared" si="4"/>
        <v>47</v>
      </c>
      <c r="J33">
        <f>J30+23</f>
        <v>34</v>
      </c>
      <c r="K33" t="s">
        <v>479</v>
      </c>
      <c r="L33">
        <f>J33*3*2</f>
        <v>204</v>
      </c>
      <c r="M33">
        <f>J33*3.5*2</f>
        <v>238</v>
      </c>
      <c r="N33">
        <f>SUM(N31:N32)</f>
        <v>246</v>
      </c>
      <c r="O33" t="s">
        <v>495</v>
      </c>
    </row>
    <row r="34" spans="1:15">
      <c r="C34" t="s">
        <v>148</v>
      </c>
      <c r="D34">
        <f>SUM(D25:D33)</f>
        <v>333</v>
      </c>
      <c r="E34">
        <f>SUM(E25:E33)</f>
        <v>459</v>
      </c>
      <c r="F34">
        <f>SUM(F25:F33)</f>
        <v>387</v>
      </c>
    </row>
    <row r="35" spans="1:15">
      <c r="C35" s="1" t="s">
        <v>494</v>
      </c>
      <c r="D35">
        <f>FLOOR(D34*1.5,1)</f>
        <v>499</v>
      </c>
      <c r="E35">
        <f>FLOOR(E34*1.5,1)</f>
        <v>688</v>
      </c>
      <c r="F35">
        <f>FLOOR(F34*1.5,1)</f>
        <v>580</v>
      </c>
    </row>
    <row r="36" spans="1:15">
      <c r="D36">
        <f>SUM(D25:D32)</f>
        <v>292</v>
      </c>
      <c r="E36">
        <f>SUM(E25:E32)</f>
        <v>404</v>
      </c>
      <c r="F36">
        <f>SUM(F25:F32)</f>
        <v>340</v>
      </c>
    </row>
    <row r="37" spans="1:15">
      <c r="D37">
        <f>D36*1.5</f>
        <v>438</v>
      </c>
      <c r="E37">
        <f>E36*1.5</f>
        <v>606</v>
      </c>
      <c r="F37">
        <f>F36*1.5</f>
        <v>510</v>
      </c>
    </row>
    <row r="40" spans="1:15">
      <c r="A40" t="s">
        <v>493</v>
      </c>
      <c r="D40" t="s">
        <v>492</v>
      </c>
    </row>
    <row r="41" spans="1:15">
      <c r="A41">
        <v>28</v>
      </c>
      <c r="B41" t="s">
        <v>491</v>
      </c>
      <c r="D41">
        <v>1</v>
      </c>
      <c r="E41" t="s">
        <v>488</v>
      </c>
      <c r="F41" t="s">
        <v>490</v>
      </c>
      <c r="G41" t="s">
        <v>489</v>
      </c>
    </row>
    <row r="42" spans="1:15">
      <c r="A42">
        <v>3</v>
      </c>
      <c r="B42" t="s">
        <v>488</v>
      </c>
      <c r="D42">
        <v>6</v>
      </c>
      <c r="E42" t="s">
        <v>484</v>
      </c>
      <c r="F42" t="s">
        <v>487</v>
      </c>
      <c r="G42" t="s">
        <v>486</v>
      </c>
      <c r="H42" t="s">
        <v>485</v>
      </c>
    </row>
    <row r="43" spans="1:15">
      <c r="A43">
        <f>34/2</f>
        <v>17</v>
      </c>
      <c r="B43" t="s">
        <v>484</v>
      </c>
      <c r="D43">
        <v>4</v>
      </c>
      <c r="E43" t="s">
        <v>480</v>
      </c>
      <c r="F43" t="s">
        <v>483</v>
      </c>
      <c r="G43" t="s">
        <v>482</v>
      </c>
      <c r="H43" t="s">
        <v>481</v>
      </c>
    </row>
    <row r="44" spans="1:15">
      <c r="A44">
        <v>9</v>
      </c>
      <c r="B44" t="s">
        <v>480</v>
      </c>
    </row>
    <row r="48" spans="1:15">
      <c r="C48">
        <v>11</v>
      </c>
      <c r="D48" t="s">
        <v>283</v>
      </c>
    </row>
    <row r="49" spans="3:6">
      <c r="C49">
        <f>C48+15</f>
        <v>26</v>
      </c>
      <c r="D49" t="s">
        <v>307</v>
      </c>
      <c r="E49">
        <f>C49*3*2</f>
        <v>156</v>
      </c>
      <c r="F49">
        <f>C49*3.5*2</f>
        <v>182</v>
      </c>
    </row>
    <row r="50" spans="3:6">
      <c r="C50">
        <f>C48+30</f>
        <v>41</v>
      </c>
      <c r="D50" t="s">
        <v>306</v>
      </c>
      <c r="E50">
        <f>C50*3*2</f>
        <v>246</v>
      </c>
    </row>
    <row r="51" spans="3:6">
      <c r="C51">
        <f>C48+23</f>
        <v>34</v>
      </c>
      <c r="D51" t="s">
        <v>479</v>
      </c>
      <c r="E51">
        <f>C51*3*2</f>
        <v>204</v>
      </c>
      <c r="F51">
        <f>C51*3.5*2</f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84"/>
  <sheetViews>
    <sheetView topLeftCell="A66" workbookViewId="0">
      <selection activeCell="G159" sqref="G159"/>
    </sheetView>
  </sheetViews>
  <sheetFormatPr defaultRowHeight="15"/>
  <cols>
    <col min="3" max="3" width="22" customWidth="1"/>
    <col min="4" max="4" width="12.42578125" customWidth="1"/>
    <col min="5" max="5" width="19" customWidth="1"/>
  </cols>
  <sheetData>
    <row r="5" spans="3:5" ht="15.75" thickBot="1"/>
    <row r="6" spans="3:5" ht="15" customHeight="1" thickBot="1">
      <c r="C6" s="21" t="s">
        <v>556</v>
      </c>
      <c r="D6" s="21" t="s">
        <v>557</v>
      </c>
      <c r="E6" s="21" t="s">
        <v>558</v>
      </c>
    </row>
    <row r="7" spans="3:5" ht="15" customHeight="1" thickBot="1">
      <c r="C7" s="22" t="s">
        <v>682</v>
      </c>
      <c r="D7" s="22">
        <v>0</v>
      </c>
      <c r="E7" s="22" t="s">
        <v>683</v>
      </c>
    </row>
    <row r="8" spans="3:5" ht="15" customHeight="1" thickBot="1">
      <c r="C8" s="22" t="s">
        <v>684</v>
      </c>
      <c r="D8" s="22">
        <v>4</v>
      </c>
      <c r="E8" s="22" t="s">
        <v>683</v>
      </c>
    </row>
    <row r="9" spans="3:5" ht="15" customHeight="1" thickBot="1">
      <c r="C9" s="22" t="s">
        <v>108</v>
      </c>
      <c r="D9" s="22">
        <v>5</v>
      </c>
      <c r="E9" s="22" t="s">
        <v>683</v>
      </c>
    </row>
    <row r="10" spans="3:5" ht="15" customHeight="1" thickBot="1">
      <c r="C10" s="22" t="s">
        <v>685</v>
      </c>
      <c r="D10" s="22">
        <v>6</v>
      </c>
      <c r="E10" s="22" t="s">
        <v>683</v>
      </c>
    </row>
    <row r="11" spans="3:5" ht="15" customHeight="1" thickBot="1">
      <c r="C11" s="22" t="s">
        <v>686</v>
      </c>
      <c r="D11" s="22">
        <v>7</v>
      </c>
      <c r="E11" s="22" t="s">
        <v>683</v>
      </c>
    </row>
    <row r="12" spans="3:5" ht="15" customHeight="1" thickBot="1">
      <c r="C12" s="22" t="s">
        <v>687</v>
      </c>
      <c r="D12" s="22">
        <v>7</v>
      </c>
      <c r="E12" s="22" t="s">
        <v>683</v>
      </c>
    </row>
    <row r="13" spans="3:5" ht="15" customHeight="1" thickBot="1">
      <c r="C13" s="22" t="s">
        <v>688</v>
      </c>
      <c r="D13" s="22">
        <v>8</v>
      </c>
      <c r="E13" s="22" t="s">
        <v>683</v>
      </c>
    </row>
    <row r="14" spans="3:5" ht="15" customHeight="1" thickBot="1">
      <c r="C14" s="22" t="s">
        <v>689</v>
      </c>
      <c r="D14" s="22">
        <v>9</v>
      </c>
      <c r="E14" s="22" t="s">
        <v>683</v>
      </c>
    </row>
    <row r="15" spans="3:5" ht="15" customHeight="1" thickBot="1">
      <c r="C15" s="22" t="s">
        <v>690</v>
      </c>
      <c r="D15" s="22">
        <v>10</v>
      </c>
      <c r="E15" s="22" t="s">
        <v>683</v>
      </c>
    </row>
    <row r="16" spans="3:5" ht="15" customHeight="1" thickBot="1">
      <c r="C16" s="22" t="s">
        <v>691</v>
      </c>
      <c r="D16" s="22">
        <v>11</v>
      </c>
      <c r="E16" s="22" t="s">
        <v>683</v>
      </c>
    </row>
    <row r="17" spans="3:8" ht="15" customHeight="1" thickBot="1">
      <c r="C17" s="22" t="s">
        <v>692</v>
      </c>
      <c r="D17" s="22">
        <v>11</v>
      </c>
      <c r="E17" s="22" t="s">
        <v>683</v>
      </c>
    </row>
    <row r="18" spans="3:8" ht="15" customHeight="1" thickBot="1">
      <c r="C18" s="22" t="s">
        <v>693</v>
      </c>
      <c r="D18" s="22">
        <v>11</v>
      </c>
      <c r="E18" s="22" t="s">
        <v>683</v>
      </c>
    </row>
    <row r="19" spans="3:8" ht="15" customHeight="1" thickBot="1">
      <c r="C19" s="22" t="s">
        <v>694</v>
      </c>
      <c r="D19" s="22">
        <v>12</v>
      </c>
      <c r="E19" s="22" t="s">
        <v>683</v>
      </c>
    </row>
    <row r="20" spans="3:8" ht="15" customHeight="1" thickBot="1">
      <c r="C20" s="22" t="s">
        <v>695</v>
      </c>
      <c r="D20" s="22">
        <v>12</v>
      </c>
      <c r="E20" s="22" t="s">
        <v>683</v>
      </c>
    </row>
    <row r="21" spans="3:8" ht="15" customHeight="1" thickBot="1">
      <c r="C21" s="22" t="s">
        <v>696</v>
      </c>
      <c r="D21" s="22">
        <v>13</v>
      </c>
      <c r="E21" s="22" t="s">
        <v>683</v>
      </c>
    </row>
    <row r="22" spans="3:8" ht="15" customHeight="1" thickBot="1">
      <c r="C22" s="22" t="s">
        <v>697</v>
      </c>
      <c r="D22" s="22">
        <v>14</v>
      </c>
      <c r="E22" s="22" t="s">
        <v>683</v>
      </c>
    </row>
    <row r="23" spans="3:8" ht="15" customHeight="1" thickBot="1">
      <c r="C23" s="22" t="s">
        <v>698</v>
      </c>
      <c r="D23" s="22">
        <v>14</v>
      </c>
      <c r="E23" s="22" t="s">
        <v>683</v>
      </c>
    </row>
    <row r="24" spans="3:8" ht="15" customHeight="1" thickBot="1">
      <c r="C24" s="22" t="s">
        <v>699</v>
      </c>
      <c r="D24" s="22">
        <v>14</v>
      </c>
      <c r="E24" s="22" t="s">
        <v>683</v>
      </c>
    </row>
    <row r="25" spans="3:8" ht="15" customHeight="1" thickBot="1">
      <c r="C25" s="22" t="s">
        <v>700</v>
      </c>
      <c r="D25" s="22">
        <v>15</v>
      </c>
      <c r="E25" s="22" t="s">
        <v>683</v>
      </c>
    </row>
    <row r="26" spans="3:8" ht="15" customHeight="1" thickBot="1">
      <c r="C26" s="22" t="s">
        <v>673</v>
      </c>
      <c r="D26" s="22">
        <v>0</v>
      </c>
      <c r="E26" s="22" t="s">
        <v>674</v>
      </c>
    </row>
    <row r="27" spans="3:8" ht="15" customHeight="1" thickBot="1">
      <c r="C27" s="22" t="s">
        <v>169</v>
      </c>
      <c r="D27" s="22">
        <v>1</v>
      </c>
      <c r="E27" s="22" t="s">
        <v>674</v>
      </c>
    </row>
    <row r="28" spans="3:8" ht="15" customHeight="1" thickBot="1">
      <c r="C28" s="22" t="s">
        <v>675</v>
      </c>
      <c r="D28" s="22">
        <v>4</v>
      </c>
      <c r="E28" s="22" t="s">
        <v>674</v>
      </c>
      <c r="H28">
        <f>6*15</f>
        <v>90</v>
      </c>
    </row>
    <row r="29" spans="3:8" ht="15" customHeight="1" thickBot="1">
      <c r="C29" s="22" t="s">
        <v>184</v>
      </c>
      <c r="D29" s="22">
        <v>6</v>
      </c>
      <c r="E29" s="22" t="s">
        <v>674</v>
      </c>
    </row>
    <row r="30" spans="3:8" ht="15" customHeight="1" thickBot="1">
      <c r="C30" s="22" t="s">
        <v>676</v>
      </c>
      <c r="D30" s="22">
        <v>7</v>
      </c>
      <c r="E30" s="22" t="s">
        <v>674</v>
      </c>
    </row>
    <row r="31" spans="3:8" ht="15" customHeight="1" thickBot="1">
      <c r="C31" s="22" t="s">
        <v>677</v>
      </c>
      <c r="D31" s="22">
        <v>8</v>
      </c>
      <c r="E31" s="22" t="s">
        <v>674</v>
      </c>
    </row>
    <row r="32" spans="3:8" ht="15" customHeight="1" thickBot="1">
      <c r="C32" s="22" t="s">
        <v>678</v>
      </c>
      <c r="D32" s="22">
        <v>9</v>
      </c>
      <c r="E32" s="22" t="s">
        <v>674</v>
      </c>
    </row>
    <row r="33" spans="3:5" ht="15" customHeight="1" thickBot="1">
      <c r="C33" s="22" t="s">
        <v>679</v>
      </c>
      <c r="D33" s="22">
        <v>10</v>
      </c>
      <c r="E33" s="22" t="s">
        <v>674</v>
      </c>
    </row>
    <row r="34" spans="3:5" ht="15" customHeight="1" thickBot="1">
      <c r="C34" s="22" t="s">
        <v>680</v>
      </c>
      <c r="D34" s="22">
        <v>11</v>
      </c>
      <c r="E34" s="22" t="s">
        <v>674</v>
      </c>
    </row>
    <row r="35" spans="3:5" ht="15" customHeight="1" thickBot="1">
      <c r="C35" s="22" t="s">
        <v>681</v>
      </c>
      <c r="D35" s="22">
        <v>14</v>
      </c>
      <c r="E35" s="22" t="s">
        <v>674</v>
      </c>
    </row>
    <row r="36" spans="3:5" ht="15" customHeight="1" thickBot="1">
      <c r="C36" s="22" t="s">
        <v>559</v>
      </c>
      <c r="D36" s="22">
        <v>0</v>
      </c>
      <c r="E36" s="22" t="s">
        <v>560</v>
      </c>
    </row>
    <row r="37" spans="3:5" ht="15" customHeight="1" thickBot="1">
      <c r="C37" s="22" t="s">
        <v>561</v>
      </c>
      <c r="D37" s="22">
        <v>0</v>
      </c>
      <c r="E37" s="22" t="s">
        <v>560</v>
      </c>
    </row>
    <row r="38" spans="3:5" ht="15" customHeight="1" thickBot="1">
      <c r="C38" s="22" t="s">
        <v>713</v>
      </c>
      <c r="D38" s="22">
        <v>5</v>
      </c>
      <c r="E38" s="22" t="s">
        <v>560</v>
      </c>
    </row>
    <row r="39" spans="3:5" ht="15" customHeight="1" thickBot="1">
      <c r="C39" s="22" t="s">
        <v>716</v>
      </c>
      <c r="D39" s="22">
        <v>5</v>
      </c>
      <c r="E39" s="22" t="s">
        <v>560</v>
      </c>
    </row>
    <row r="40" spans="3:5" ht="15" customHeight="1" thickBot="1">
      <c r="C40" s="22" t="s">
        <v>719</v>
      </c>
      <c r="D40" s="22">
        <v>6</v>
      </c>
      <c r="E40" s="22" t="s">
        <v>560</v>
      </c>
    </row>
    <row r="41" spans="3:5" ht="15" customHeight="1" thickBot="1">
      <c r="C41" s="22" t="s">
        <v>724</v>
      </c>
      <c r="D41" s="22">
        <v>6</v>
      </c>
      <c r="E41" s="22" t="s">
        <v>560</v>
      </c>
    </row>
    <row r="42" spans="3:5" ht="15" customHeight="1" thickBot="1">
      <c r="C42" s="22" t="s">
        <v>715</v>
      </c>
      <c r="D42" s="22">
        <v>8</v>
      </c>
      <c r="E42" s="22" t="s">
        <v>560</v>
      </c>
    </row>
    <row r="43" spans="3:5" ht="15" customHeight="1" thickBot="1">
      <c r="C43" s="22" t="s">
        <v>723</v>
      </c>
      <c r="D43" s="22">
        <v>9</v>
      </c>
      <c r="E43" s="22" t="s">
        <v>560</v>
      </c>
    </row>
    <row r="44" spans="3:5" ht="15" customHeight="1" thickBot="1">
      <c r="C44" s="22" t="s">
        <v>714</v>
      </c>
      <c r="D44" s="22">
        <v>10</v>
      </c>
      <c r="E44" s="22" t="s">
        <v>560</v>
      </c>
    </row>
    <row r="45" spans="3:5" ht="15" customHeight="1" thickBot="1">
      <c r="C45" s="22" t="s">
        <v>720</v>
      </c>
      <c r="D45" s="22">
        <v>10</v>
      </c>
      <c r="E45" s="22" t="s">
        <v>560</v>
      </c>
    </row>
    <row r="46" spans="3:5" ht="15" customHeight="1" thickBot="1">
      <c r="C46" s="22" t="s">
        <v>722</v>
      </c>
      <c r="D46" s="22">
        <v>10</v>
      </c>
      <c r="E46" s="22" t="s">
        <v>560</v>
      </c>
    </row>
    <row r="47" spans="3:5" ht="15" customHeight="1" thickBot="1">
      <c r="C47" s="22" t="s">
        <v>717</v>
      </c>
      <c r="D47" s="22">
        <v>13</v>
      </c>
      <c r="E47" s="22" t="s">
        <v>560</v>
      </c>
    </row>
    <row r="48" spans="3:5" ht="15" customHeight="1" thickBot="1">
      <c r="C48" s="22" t="s">
        <v>725</v>
      </c>
      <c r="D48" s="22">
        <v>13</v>
      </c>
      <c r="E48" s="22" t="s">
        <v>560</v>
      </c>
    </row>
    <row r="49" spans="3:5" ht="15" customHeight="1" thickBot="1">
      <c r="C49" s="22" t="s">
        <v>726</v>
      </c>
      <c r="D49" s="22">
        <v>13</v>
      </c>
      <c r="E49" s="22" t="s">
        <v>560</v>
      </c>
    </row>
    <row r="50" spans="3:5" ht="15" customHeight="1" thickBot="1">
      <c r="C50" s="22" t="s">
        <v>728</v>
      </c>
      <c r="D50" s="22">
        <v>13</v>
      </c>
      <c r="E50" s="22" t="s">
        <v>560</v>
      </c>
    </row>
    <row r="51" spans="3:5" ht="15" customHeight="1" thickBot="1">
      <c r="C51" s="22" t="s">
        <v>727</v>
      </c>
      <c r="D51" s="22">
        <v>14</v>
      </c>
      <c r="E51" s="22" t="s">
        <v>560</v>
      </c>
    </row>
    <row r="52" spans="3:5" ht="15" customHeight="1" thickBot="1">
      <c r="C52" s="22" t="s">
        <v>718</v>
      </c>
      <c r="D52" s="22">
        <v>15</v>
      </c>
      <c r="E52" s="22" t="s">
        <v>560</v>
      </c>
    </row>
    <row r="53" spans="3:5" ht="15" customHeight="1" thickBot="1">
      <c r="C53" s="22" t="s">
        <v>721</v>
      </c>
      <c r="D53" s="22">
        <v>15</v>
      </c>
      <c r="E53" s="22" t="s">
        <v>560</v>
      </c>
    </row>
    <row r="54" spans="3:5" ht="15" customHeight="1" thickBot="1">
      <c r="C54" s="22" t="s">
        <v>578</v>
      </c>
      <c r="D54" s="22">
        <v>3</v>
      </c>
      <c r="E54" s="22" t="s">
        <v>577</v>
      </c>
    </row>
    <row r="55" spans="3:5" ht="15" customHeight="1" thickBot="1">
      <c r="C55" s="22" t="s">
        <v>576</v>
      </c>
      <c r="D55" s="22">
        <v>4</v>
      </c>
      <c r="E55" s="22" t="s">
        <v>577</v>
      </c>
    </row>
    <row r="56" spans="3:5" ht="15" customHeight="1" thickBot="1">
      <c r="C56" s="22" t="s">
        <v>579</v>
      </c>
      <c r="D56" s="22">
        <v>7</v>
      </c>
      <c r="E56" s="22" t="s">
        <v>577</v>
      </c>
    </row>
    <row r="57" spans="3:5" ht="15" customHeight="1" thickBot="1">
      <c r="C57" s="22" t="s">
        <v>580</v>
      </c>
      <c r="D57" s="22">
        <v>8</v>
      </c>
      <c r="E57" s="22" t="s">
        <v>577</v>
      </c>
    </row>
    <row r="58" spans="3:5" ht="15" customHeight="1" thickBot="1">
      <c r="C58" s="22" t="s">
        <v>581</v>
      </c>
      <c r="D58" s="22">
        <v>9</v>
      </c>
      <c r="E58" s="22" t="s">
        <v>577</v>
      </c>
    </row>
    <row r="59" spans="3:5" ht="15" customHeight="1" thickBot="1">
      <c r="C59" s="22" t="s">
        <v>582</v>
      </c>
      <c r="D59" s="22">
        <v>10</v>
      </c>
      <c r="E59" s="22" t="s">
        <v>577</v>
      </c>
    </row>
    <row r="60" spans="3:5" ht="15" customHeight="1" thickBot="1">
      <c r="C60" s="22" t="s">
        <v>583</v>
      </c>
      <c r="D60" s="22">
        <v>11</v>
      </c>
      <c r="E60" s="22" t="s">
        <v>577</v>
      </c>
    </row>
    <row r="61" spans="3:5" ht="15" customHeight="1" thickBot="1">
      <c r="C61" s="22" t="s">
        <v>584</v>
      </c>
      <c r="D61" s="22">
        <v>12</v>
      </c>
      <c r="E61" s="22" t="s">
        <v>577</v>
      </c>
    </row>
    <row r="62" spans="3:5" ht="15" customHeight="1" thickBot="1">
      <c r="C62" s="22" t="s">
        <v>585</v>
      </c>
      <c r="D62" s="22">
        <v>13</v>
      </c>
      <c r="E62" s="22" t="s">
        <v>577</v>
      </c>
    </row>
    <row r="63" spans="3:5" ht="15" customHeight="1" thickBot="1">
      <c r="C63" s="22" t="s">
        <v>586</v>
      </c>
      <c r="D63" s="22">
        <v>13</v>
      </c>
      <c r="E63" s="22" t="s">
        <v>577</v>
      </c>
    </row>
    <row r="64" spans="3:5" ht="15" customHeight="1" thickBot="1">
      <c r="C64" s="22" t="s">
        <v>587</v>
      </c>
      <c r="D64" s="22">
        <v>14</v>
      </c>
      <c r="E64" s="22" t="s">
        <v>577</v>
      </c>
    </row>
    <row r="65" spans="3:5" ht="15" customHeight="1" thickBot="1">
      <c r="C65" s="22" t="s">
        <v>588</v>
      </c>
      <c r="D65" s="22">
        <v>15</v>
      </c>
      <c r="E65" s="22" t="s">
        <v>577</v>
      </c>
    </row>
    <row r="66" spans="3:5" ht="15" customHeight="1" thickBot="1">
      <c r="C66" s="22" t="s">
        <v>600</v>
      </c>
      <c r="D66" s="22">
        <v>2</v>
      </c>
      <c r="E66" s="22" t="s">
        <v>601</v>
      </c>
    </row>
    <row r="67" spans="3:5" ht="15" customHeight="1" thickBot="1">
      <c r="C67" s="22" t="s">
        <v>602</v>
      </c>
      <c r="D67" s="22">
        <v>5</v>
      </c>
      <c r="E67" s="22" t="s">
        <v>601</v>
      </c>
    </row>
    <row r="68" spans="3:5" ht="15" customHeight="1" thickBot="1">
      <c r="C68" s="22" t="s">
        <v>603</v>
      </c>
      <c r="D68" s="22">
        <v>10</v>
      </c>
      <c r="E68" s="22" t="s">
        <v>601</v>
      </c>
    </row>
    <row r="69" spans="3:5" ht="15" customHeight="1" thickBot="1">
      <c r="C69" s="22" t="s">
        <v>604</v>
      </c>
      <c r="D69" s="22">
        <v>12</v>
      </c>
      <c r="E69" s="22" t="s">
        <v>601</v>
      </c>
    </row>
    <row r="70" spans="3:5" ht="15" customHeight="1" thickBot="1">
      <c r="C70" s="22" t="s">
        <v>605</v>
      </c>
      <c r="D70" s="22">
        <v>15</v>
      </c>
      <c r="E70" s="22" t="s">
        <v>601</v>
      </c>
    </row>
    <row r="71" spans="3:5" ht="15" customHeight="1" thickBot="1">
      <c r="C71" s="22" t="s">
        <v>646</v>
      </c>
      <c r="D71" s="22">
        <v>0</v>
      </c>
      <c r="E71" s="22" t="s">
        <v>647</v>
      </c>
    </row>
    <row r="72" spans="3:5" ht="15" customHeight="1" thickBot="1">
      <c r="C72" s="22" t="s">
        <v>174</v>
      </c>
      <c r="D72" s="22">
        <v>1</v>
      </c>
      <c r="E72" s="22" t="s">
        <v>647</v>
      </c>
    </row>
    <row r="73" spans="3:5" ht="15" customHeight="1" thickBot="1">
      <c r="C73" s="22" t="s">
        <v>648</v>
      </c>
      <c r="D73" s="22">
        <v>3</v>
      </c>
      <c r="E73" s="22" t="s">
        <v>647</v>
      </c>
    </row>
    <row r="74" spans="3:5" ht="15" customHeight="1" thickBot="1">
      <c r="C74" s="22" t="s">
        <v>649</v>
      </c>
      <c r="D74" s="22">
        <v>4</v>
      </c>
      <c r="E74" s="22" t="s">
        <v>647</v>
      </c>
    </row>
    <row r="75" spans="3:5" ht="15" customHeight="1" thickBot="1">
      <c r="C75" s="22" t="s">
        <v>650</v>
      </c>
      <c r="D75" s="22">
        <v>5</v>
      </c>
      <c r="E75" s="22" t="s">
        <v>647</v>
      </c>
    </row>
    <row r="76" spans="3:5" ht="15" customHeight="1" thickBot="1">
      <c r="C76" s="22" t="s">
        <v>651</v>
      </c>
      <c r="D76" s="22">
        <v>6</v>
      </c>
      <c r="E76" s="22" t="s">
        <v>647</v>
      </c>
    </row>
    <row r="77" spans="3:5" ht="15" customHeight="1" thickBot="1">
      <c r="C77" s="22" t="s">
        <v>652</v>
      </c>
      <c r="D77" s="22">
        <v>7</v>
      </c>
      <c r="E77" s="22" t="s">
        <v>647</v>
      </c>
    </row>
    <row r="78" spans="3:5" ht="15" customHeight="1" thickBot="1">
      <c r="C78" s="22" t="s">
        <v>653</v>
      </c>
      <c r="D78" s="22">
        <v>9</v>
      </c>
      <c r="E78" s="22" t="s">
        <v>647</v>
      </c>
    </row>
    <row r="79" spans="3:5" ht="15" customHeight="1" thickBot="1">
      <c r="C79" s="22" t="s">
        <v>654</v>
      </c>
      <c r="D79" s="22">
        <v>10</v>
      </c>
      <c r="E79" s="22" t="s">
        <v>647</v>
      </c>
    </row>
    <row r="80" spans="3:5" ht="15" customHeight="1" thickBot="1">
      <c r="C80" s="22" t="s">
        <v>655</v>
      </c>
      <c r="D80" s="22">
        <v>11</v>
      </c>
      <c r="E80" s="22" t="s">
        <v>647</v>
      </c>
    </row>
    <row r="81" spans="3:5" ht="15" customHeight="1" thickBot="1">
      <c r="C81" s="22" t="s">
        <v>656</v>
      </c>
      <c r="D81" s="22">
        <v>15</v>
      </c>
      <c r="E81" s="22" t="s">
        <v>647</v>
      </c>
    </row>
    <row r="82" spans="3:5" ht="15" customHeight="1" thickBot="1">
      <c r="C82" s="22" t="s">
        <v>657</v>
      </c>
      <c r="D82" s="22">
        <v>15</v>
      </c>
      <c r="E82" s="22" t="s">
        <v>647</v>
      </c>
    </row>
    <row r="83" spans="3:5" ht="15" customHeight="1" thickBot="1">
      <c r="C83" s="22" t="s">
        <v>658</v>
      </c>
      <c r="D83" s="22">
        <v>15</v>
      </c>
      <c r="E83" s="22" t="s">
        <v>647</v>
      </c>
    </row>
    <row r="84" spans="3:5" ht="15" customHeight="1" thickBot="1">
      <c r="C84" s="22" t="s">
        <v>114</v>
      </c>
      <c r="D84" s="22">
        <v>0</v>
      </c>
      <c r="E84" s="22" t="s">
        <v>566</v>
      </c>
    </row>
    <row r="85" spans="3:5" ht="15" customHeight="1" thickBot="1">
      <c r="C85" s="22" t="s">
        <v>115</v>
      </c>
      <c r="D85" s="22">
        <v>2</v>
      </c>
      <c r="E85" s="22" t="s">
        <v>566</v>
      </c>
    </row>
    <row r="86" spans="3:5" ht="15" customHeight="1" thickBot="1">
      <c r="C86" s="22" t="s">
        <v>567</v>
      </c>
      <c r="D86" s="22">
        <v>5</v>
      </c>
      <c r="E86" s="22" t="s">
        <v>566</v>
      </c>
    </row>
    <row r="87" spans="3:5" ht="15" customHeight="1" thickBot="1">
      <c r="C87" s="22" t="s">
        <v>568</v>
      </c>
      <c r="D87" s="22">
        <v>7</v>
      </c>
      <c r="E87" s="22" t="s">
        <v>566</v>
      </c>
    </row>
    <row r="88" spans="3:5" ht="15" customHeight="1" thickBot="1">
      <c r="C88" s="22" t="s">
        <v>569</v>
      </c>
      <c r="D88" s="22">
        <v>8</v>
      </c>
      <c r="E88" s="22" t="s">
        <v>566</v>
      </c>
    </row>
    <row r="89" spans="3:5" ht="15" customHeight="1" thickBot="1">
      <c r="C89" s="22" t="s">
        <v>570</v>
      </c>
      <c r="D89" s="22">
        <v>11</v>
      </c>
      <c r="E89" s="22" t="s">
        <v>566</v>
      </c>
    </row>
    <row r="90" spans="3:5" ht="15" customHeight="1" thickBot="1">
      <c r="C90" s="22" t="s">
        <v>571</v>
      </c>
      <c r="D90" s="22">
        <v>13</v>
      </c>
      <c r="E90" s="22" t="s">
        <v>566</v>
      </c>
    </row>
    <row r="91" spans="3:5" ht="15" customHeight="1" thickBot="1">
      <c r="C91" s="22" t="s">
        <v>572</v>
      </c>
      <c r="D91" s="22">
        <v>13</v>
      </c>
      <c r="E91" s="22" t="s">
        <v>566</v>
      </c>
    </row>
    <row r="92" spans="3:5" ht="15" customHeight="1" thickBot="1">
      <c r="C92" s="22" t="s">
        <v>573</v>
      </c>
      <c r="D92" s="22">
        <v>13</v>
      </c>
      <c r="E92" s="22" t="s">
        <v>566</v>
      </c>
    </row>
    <row r="93" spans="3:5" ht="15" customHeight="1" thickBot="1">
      <c r="C93" s="22" t="s">
        <v>574</v>
      </c>
      <c r="D93" s="22">
        <v>13</v>
      </c>
      <c r="E93" s="22" t="s">
        <v>566</v>
      </c>
    </row>
    <row r="94" spans="3:5" ht="15" customHeight="1" thickBot="1">
      <c r="C94" s="22" t="s">
        <v>575</v>
      </c>
      <c r="D94" s="22">
        <v>15</v>
      </c>
      <c r="E94" s="22" t="s">
        <v>566</v>
      </c>
    </row>
    <row r="95" spans="3:5" ht="15" customHeight="1" thickBot="1">
      <c r="C95" s="22" t="s">
        <v>595</v>
      </c>
      <c r="D95" s="22">
        <v>5</v>
      </c>
      <c r="E95" s="22" t="s">
        <v>596</v>
      </c>
    </row>
    <row r="96" spans="3:5" ht="15" customHeight="1" thickBot="1">
      <c r="C96" s="22" t="s">
        <v>597</v>
      </c>
      <c r="D96" s="22">
        <v>9</v>
      </c>
      <c r="E96" s="22" t="s">
        <v>596</v>
      </c>
    </row>
    <row r="97" spans="3:5" ht="15" customHeight="1" thickBot="1">
      <c r="C97" s="22" t="s">
        <v>598</v>
      </c>
      <c r="D97" s="22">
        <v>10</v>
      </c>
      <c r="E97" s="22" t="s">
        <v>596</v>
      </c>
    </row>
    <row r="98" spans="3:5" ht="15" customHeight="1" thickBot="1">
      <c r="C98" s="22" t="s">
        <v>599</v>
      </c>
      <c r="D98" s="22">
        <v>14</v>
      </c>
      <c r="E98" s="22" t="s">
        <v>596</v>
      </c>
    </row>
    <row r="99" spans="3:5" ht="15" customHeight="1" thickBot="1">
      <c r="C99" s="22" t="s">
        <v>101</v>
      </c>
      <c r="D99" s="22">
        <v>1</v>
      </c>
      <c r="E99" s="22" t="s">
        <v>562</v>
      </c>
    </row>
    <row r="100" spans="3:5" ht="15" customHeight="1" thickBot="1">
      <c r="C100" s="22" t="s">
        <v>563</v>
      </c>
      <c r="D100" s="22">
        <v>2</v>
      </c>
      <c r="E100" s="22" t="s">
        <v>562</v>
      </c>
    </row>
    <row r="101" spans="3:5" ht="15" customHeight="1" thickBot="1">
      <c r="C101" s="22" t="s">
        <v>104</v>
      </c>
      <c r="D101" s="22">
        <v>4</v>
      </c>
      <c r="E101" s="22" t="s">
        <v>562</v>
      </c>
    </row>
    <row r="102" spans="3:5" ht="15" customHeight="1" thickBot="1">
      <c r="C102" s="22" t="s">
        <v>111</v>
      </c>
      <c r="D102" s="22">
        <v>7</v>
      </c>
      <c r="E102" s="22" t="s">
        <v>562</v>
      </c>
    </row>
    <row r="103" spans="3:5" ht="15" customHeight="1" thickBot="1">
      <c r="C103" s="22" t="s">
        <v>112</v>
      </c>
      <c r="D103" s="22">
        <v>9</v>
      </c>
      <c r="E103" s="22" t="s">
        <v>562</v>
      </c>
    </row>
    <row r="104" spans="3:5" ht="15" customHeight="1" thickBot="1">
      <c r="C104" s="22" t="s">
        <v>113</v>
      </c>
      <c r="D104" s="22">
        <v>12</v>
      </c>
      <c r="E104" s="22" t="s">
        <v>562</v>
      </c>
    </row>
    <row r="105" spans="3:5" ht="15" customHeight="1" thickBot="1">
      <c r="C105" s="22" t="s">
        <v>564</v>
      </c>
      <c r="D105" s="22">
        <v>13</v>
      </c>
      <c r="E105" s="22" t="s">
        <v>562</v>
      </c>
    </row>
    <row r="106" spans="3:5" ht="15" customHeight="1" thickBot="1">
      <c r="C106" s="22" t="s">
        <v>565</v>
      </c>
      <c r="D106" s="22">
        <v>15</v>
      </c>
      <c r="E106" s="22" t="s">
        <v>562</v>
      </c>
    </row>
    <row r="107" spans="3:5" ht="15" customHeight="1" thickBot="1">
      <c r="C107" s="22" t="s">
        <v>733</v>
      </c>
      <c r="D107" s="22">
        <v>0</v>
      </c>
      <c r="E107" s="22" t="s">
        <v>734</v>
      </c>
    </row>
    <row r="108" spans="3:5" ht="15" customHeight="1" thickBot="1">
      <c r="C108" s="22" t="s">
        <v>735</v>
      </c>
      <c r="D108" s="22">
        <v>0</v>
      </c>
      <c r="E108" s="22" t="s">
        <v>734</v>
      </c>
    </row>
    <row r="109" spans="3:5" ht="15" customHeight="1" thickBot="1">
      <c r="C109" s="22" t="s">
        <v>736</v>
      </c>
      <c r="D109" s="22">
        <v>0</v>
      </c>
      <c r="E109" s="22" t="s">
        <v>734</v>
      </c>
    </row>
    <row r="110" spans="3:5" ht="15" customHeight="1" thickBot="1">
      <c r="C110" s="22" t="s">
        <v>470</v>
      </c>
      <c r="D110" s="22">
        <v>0</v>
      </c>
      <c r="E110" s="22" t="s">
        <v>734</v>
      </c>
    </row>
    <row r="111" spans="3:5" ht="15" customHeight="1" thickBot="1">
      <c r="C111" s="22" t="s">
        <v>171</v>
      </c>
      <c r="D111" s="22">
        <v>1</v>
      </c>
      <c r="E111" s="22" t="s">
        <v>659</v>
      </c>
    </row>
    <row r="112" spans="3:5" ht="15" customHeight="1" thickBot="1">
      <c r="C112" s="22" t="s">
        <v>660</v>
      </c>
      <c r="D112" s="22">
        <v>3</v>
      </c>
      <c r="E112" s="22" t="s">
        <v>659</v>
      </c>
    </row>
    <row r="113" spans="3:5" ht="15" customHeight="1" thickBot="1">
      <c r="C113" s="22" t="s">
        <v>661</v>
      </c>
      <c r="D113" s="22">
        <v>5</v>
      </c>
      <c r="E113" s="22" t="s">
        <v>659</v>
      </c>
    </row>
    <row r="114" spans="3:5" ht="15" customHeight="1" thickBot="1">
      <c r="C114" s="22" t="s">
        <v>662</v>
      </c>
      <c r="D114" s="22">
        <v>6</v>
      </c>
      <c r="E114" s="22" t="s">
        <v>659</v>
      </c>
    </row>
    <row r="115" spans="3:5" ht="15" customHeight="1" thickBot="1">
      <c r="C115" s="22" t="s">
        <v>663</v>
      </c>
      <c r="D115" s="22">
        <v>7</v>
      </c>
      <c r="E115" s="22" t="s">
        <v>659</v>
      </c>
    </row>
    <row r="116" spans="3:5" ht="15" customHeight="1" thickBot="1">
      <c r="C116" s="22" t="s">
        <v>664</v>
      </c>
      <c r="D116" s="22">
        <v>8</v>
      </c>
      <c r="E116" s="22" t="s">
        <v>659</v>
      </c>
    </row>
    <row r="117" spans="3:5" ht="15" customHeight="1" thickBot="1">
      <c r="C117" s="22" t="s">
        <v>665</v>
      </c>
      <c r="D117" s="22">
        <v>9</v>
      </c>
      <c r="E117" s="22" t="s">
        <v>659</v>
      </c>
    </row>
    <row r="118" spans="3:5" ht="15" customHeight="1" thickBot="1">
      <c r="C118" s="22" t="s">
        <v>666</v>
      </c>
      <c r="D118" s="22">
        <v>10</v>
      </c>
      <c r="E118" s="22" t="s">
        <v>659</v>
      </c>
    </row>
    <row r="119" spans="3:5" ht="15" customHeight="1" thickBot="1">
      <c r="C119" s="22" t="s">
        <v>667</v>
      </c>
      <c r="D119" s="22">
        <v>11</v>
      </c>
      <c r="E119" s="22" t="s">
        <v>659</v>
      </c>
    </row>
    <row r="120" spans="3:5" ht="15" customHeight="1" thickBot="1">
      <c r="C120" s="22" t="s">
        <v>406</v>
      </c>
      <c r="D120" s="22">
        <v>11</v>
      </c>
      <c r="E120" s="22" t="s">
        <v>659</v>
      </c>
    </row>
    <row r="121" spans="3:5" ht="15" customHeight="1" thickBot="1">
      <c r="C121" s="22" t="s">
        <v>668</v>
      </c>
      <c r="D121" s="22">
        <v>12</v>
      </c>
      <c r="E121" s="22" t="s">
        <v>659</v>
      </c>
    </row>
    <row r="122" spans="3:5" ht="15" customHeight="1" thickBot="1">
      <c r="C122" s="22" t="s">
        <v>669</v>
      </c>
      <c r="D122" s="22">
        <v>12</v>
      </c>
      <c r="E122" s="22" t="s">
        <v>659</v>
      </c>
    </row>
    <row r="123" spans="3:5" ht="15" customHeight="1" thickBot="1">
      <c r="C123" s="22" t="s">
        <v>670</v>
      </c>
      <c r="D123" s="22">
        <v>13</v>
      </c>
      <c r="E123" s="22" t="s">
        <v>659</v>
      </c>
    </row>
    <row r="124" spans="3:5" ht="15" customHeight="1" thickBot="1">
      <c r="C124" s="22" t="s">
        <v>671</v>
      </c>
      <c r="D124" s="22">
        <v>14</v>
      </c>
      <c r="E124" s="22" t="s">
        <v>659</v>
      </c>
    </row>
    <row r="125" spans="3:5" ht="15" customHeight="1" thickBot="1">
      <c r="C125" s="22" t="s">
        <v>672</v>
      </c>
      <c r="D125" s="22">
        <v>15</v>
      </c>
      <c r="E125" s="22" t="s">
        <v>659</v>
      </c>
    </row>
    <row r="126" spans="3:5" ht="15" customHeight="1" thickBot="1">
      <c r="C126" s="22" t="s">
        <v>701</v>
      </c>
      <c r="D126" s="22">
        <v>11</v>
      </c>
      <c r="E126" s="22" t="s">
        <v>702</v>
      </c>
    </row>
    <row r="127" spans="3:5" ht="15" customHeight="1" thickBot="1">
      <c r="C127" s="22" t="s">
        <v>703</v>
      </c>
      <c r="D127" s="22">
        <v>14</v>
      </c>
      <c r="E127" s="22" t="s">
        <v>702</v>
      </c>
    </row>
    <row r="128" spans="3:5" ht="15" customHeight="1" thickBot="1">
      <c r="C128" s="22" t="s">
        <v>704</v>
      </c>
      <c r="D128" s="22">
        <v>14</v>
      </c>
      <c r="E128" s="22" t="s">
        <v>702</v>
      </c>
    </row>
    <row r="129" spans="3:5" ht="15" customHeight="1" thickBot="1">
      <c r="C129" s="22" t="s">
        <v>705</v>
      </c>
      <c r="D129" s="22">
        <v>14</v>
      </c>
      <c r="E129" s="22" t="s">
        <v>702</v>
      </c>
    </row>
    <row r="130" spans="3:5" ht="15" customHeight="1" thickBot="1">
      <c r="C130" s="22" t="s">
        <v>706</v>
      </c>
      <c r="D130" s="22">
        <v>14</v>
      </c>
      <c r="E130" s="22" t="s">
        <v>702</v>
      </c>
    </row>
    <row r="131" spans="3:5" ht="15" customHeight="1" thickBot="1">
      <c r="C131" s="22" t="s">
        <v>707</v>
      </c>
      <c r="D131" s="22">
        <v>14</v>
      </c>
      <c r="E131" s="22" t="s">
        <v>702</v>
      </c>
    </row>
    <row r="132" spans="3:5" ht="15" customHeight="1" thickBot="1">
      <c r="C132" s="22" t="s">
        <v>708</v>
      </c>
      <c r="D132" s="22">
        <v>14</v>
      </c>
      <c r="E132" s="22" t="s">
        <v>702</v>
      </c>
    </row>
    <row r="133" spans="3:5" ht="15" customHeight="1" thickBot="1">
      <c r="C133" s="22" t="s">
        <v>709</v>
      </c>
      <c r="D133" s="22">
        <v>15</v>
      </c>
      <c r="E133" s="22" t="s">
        <v>702</v>
      </c>
    </row>
    <row r="134" spans="3:5" ht="15" customHeight="1" thickBot="1">
      <c r="C134" s="22" t="s">
        <v>710</v>
      </c>
      <c r="D134" s="22">
        <v>15</v>
      </c>
      <c r="E134" s="22" t="s">
        <v>702</v>
      </c>
    </row>
    <row r="135" spans="3:5" ht="15" customHeight="1" thickBot="1">
      <c r="C135" s="22" t="s">
        <v>711</v>
      </c>
      <c r="D135" s="22">
        <v>15</v>
      </c>
      <c r="E135" s="22" t="s">
        <v>702</v>
      </c>
    </row>
    <row r="136" spans="3:5" ht="15" customHeight="1" thickBot="1">
      <c r="C136" s="22" t="s">
        <v>712</v>
      </c>
      <c r="D136" s="22">
        <v>15</v>
      </c>
      <c r="E136" s="22" t="s">
        <v>702</v>
      </c>
    </row>
    <row r="137" spans="3:5" ht="15" customHeight="1" thickBot="1">
      <c r="C137" s="22" t="s">
        <v>630</v>
      </c>
      <c r="D137" s="22">
        <v>0</v>
      </c>
      <c r="E137" s="22" t="s">
        <v>631</v>
      </c>
    </row>
    <row r="138" spans="3:5" ht="15" customHeight="1" thickBot="1">
      <c r="C138" s="22" t="s">
        <v>632</v>
      </c>
      <c r="D138" s="22">
        <v>2</v>
      </c>
      <c r="E138" s="22" t="s">
        <v>631</v>
      </c>
    </row>
    <row r="139" spans="3:5" ht="15" customHeight="1" thickBot="1">
      <c r="C139" s="22" t="s">
        <v>633</v>
      </c>
      <c r="D139" s="22">
        <v>5</v>
      </c>
      <c r="E139" s="22" t="s">
        <v>631</v>
      </c>
    </row>
    <row r="140" spans="3:5" ht="15" customHeight="1" thickBot="1">
      <c r="C140" s="22" t="s">
        <v>634</v>
      </c>
      <c r="D140" s="22">
        <v>8</v>
      </c>
      <c r="E140" s="22" t="s">
        <v>631</v>
      </c>
    </row>
    <row r="141" spans="3:5" ht="15" customHeight="1" thickBot="1">
      <c r="C141" s="22" t="s">
        <v>635</v>
      </c>
      <c r="D141" s="22">
        <v>9</v>
      </c>
      <c r="E141" s="22" t="s">
        <v>631</v>
      </c>
    </row>
    <row r="142" spans="3:5" ht="15" customHeight="1" thickBot="1">
      <c r="C142" s="22" t="s">
        <v>636</v>
      </c>
      <c r="D142" s="22">
        <v>11</v>
      </c>
      <c r="E142" s="22" t="s">
        <v>631</v>
      </c>
    </row>
    <row r="143" spans="3:5" ht="15" customHeight="1" thickBot="1">
      <c r="C143" s="22" t="s">
        <v>637</v>
      </c>
      <c r="D143" s="22">
        <v>11</v>
      </c>
      <c r="E143" s="22" t="s">
        <v>631</v>
      </c>
    </row>
    <row r="144" spans="3:5" ht="15" customHeight="1" thickBot="1">
      <c r="C144" s="22" t="s">
        <v>638</v>
      </c>
      <c r="D144" s="22">
        <v>12</v>
      </c>
      <c r="E144" s="22" t="s">
        <v>631</v>
      </c>
    </row>
    <row r="145" spans="3:5" ht="15" customHeight="1" thickBot="1">
      <c r="C145" s="22" t="s">
        <v>639</v>
      </c>
      <c r="D145" s="22">
        <v>12</v>
      </c>
      <c r="E145" s="22" t="s">
        <v>631</v>
      </c>
    </row>
    <row r="146" spans="3:5" ht="15" customHeight="1" thickBot="1">
      <c r="C146" s="22" t="s">
        <v>640</v>
      </c>
      <c r="D146" s="22">
        <v>12</v>
      </c>
      <c r="E146" s="22" t="s">
        <v>631</v>
      </c>
    </row>
    <row r="147" spans="3:5" ht="15" customHeight="1" thickBot="1">
      <c r="C147" s="22" t="s">
        <v>641</v>
      </c>
      <c r="D147" s="22">
        <v>14</v>
      </c>
      <c r="E147" s="22" t="s">
        <v>631</v>
      </c>
    </row>
    <row r="148" spans="3:5" ht="15" customHeight="1" thickBot="1">
      <c r="C148" s="22" t="s">
        <v>642</v>
      </c>
      <c r="D148" s="22">
        <v>14</v>
      </c>
      <c r="E148" s="22" t="s">
        <v>631</v>
      </c>
    </row>
    <row r="149" spans="3:5" ht="15" customHeight="1" thickBot="1">
      <c r="C149" s="22" t="s">
        <v>643</v>
      </c>
      <c r="D149" s="22">
        <v>14</v>
      </c>
      <c r="E149" s="22" t="s">
        <v>631</v>
      </c>
    </row>
    <row r="150" spans="3:5" ht="15" customHeight="1" thickBot="1">
      <c r="C150" s="22" t="s">
        <v>644</v>
      </c>
      <c r="D150" s="22">
        <v>14</v>
      </c>
      <c r="E150" s="22" t="s">
        <v>631</v>
      </c>
    </row>
    <row r="151" spans="3:5" ht="15" customHeight="1" thickBot="1">
      <c r="C151" s="22" t="s">
        <v>645</v>
      </c>
      <c r="D151" s="22">
        <v>15</v>
      </c>
      <c r="E151" s="22" t="s">
        <v>631</v>
      </c>
    </row>
    <row r="152" spans="3:5" ht="15" customHeight="1" thickBot="1">
      <c r="C152" s="22" t="s">
        <v>606</v>
      </c>
      <c r="D152" s="22">
        <v>2</v>
      </c>
      <c r="E152" s="22" t="s">
        <v>607</v>
      </c>
    </row>
    <row r="153" spans="3:5" ht="15" customHeight="1" thickBot="1">
      <c r="C153" s="22" t="s">
        <v>608</v>
      </c>
      <c r="D153" s="22">
        <v>3</v>
      </c>
      <c r="E153" s="22" t="s">
        <v>607</v>
      </c>
    </row>
    <row r="154" spans="3:5" ht="15" customHeight="1" thickBot="1">
      <c r="C154" s="22" t="s">
        <v>609</v>
      </c>
      <c r="D154" s="22">
        <v>8</v>
      </c>
      <c r="E154" s="22" t="s">
        <v>607</v>
      </c>
    </row>
    <row r="155" spans="3:5" ht="15" customHeight="1" thickBot="1">
      <c r="C155" s="22" t="s">
        <v>610</v>
      </c>
      <c r="D155" s="22">
        <v>9</v>
      </c>
      <c r="E155" s="22" t="s">
        <v>607</v>
      </c>
    </row>
    <row r="156" spans="3:5" ht="15" customHeight="1" thickBot="1">
      <c r="C156" s="22" t="s">
        <v>611</v>
      </c>
      <c r="D156" s="22">
        <v>12</v>
      </c>
      <c r="E156" s="22" t="s">
        <v>607</v>
      </c>
    </row>
    <row r="157" spans="3:5" ht="15" customHeight="1" thickBot="1">
      <c r="C157" s="22" t="s">
        <v>612</v>
      </c>
      <c r="D157" s="22">
        <v>15</v>
      </c>
      <c r="E157" s="22" t="s">
        <v>607</v>
      </c>
    </row>
    <row r="158" spans="3:5" ht="15" customHeight="1" thickBot="1">
      <c r="C158" s="22" t="s">
        <v>589</v>
      </c>
      <c r="D158" s="22">
        <v>0</v>
      </c>
      <c r="E158" s="22" t="s">
        <v>590</v>
      </c>
    </row>
    <row r="159" spans="3:5" ht="15" customHeight="1" thickBot="1">
      <c r="C159" s="22" t="s">
        <v>243</v>
      </c>
      <c r="D159" s="22">
        <v>1</v>
      </c>
      <c r="E159" s="22" t="s">
        <v>590</v>
      </c>
    </row>
    <row r="160" spans="3:5" ht="15" customHeight="1" thickBot="1">
      <c r="C160" s="22" t="s">
        <v>178</v>
      </c>
      <c r="D160" s="22">
        <v>3</v>
      </c>
      <c r="E160" s="22" t="s">
        <v>590</v>
      </c>
    </row>
    <row r="161" spans="3:5" ht="15" customHeight="1" thickBot="1">
      <c r="C161" s="22" t="s">
        <v>591</v>
      </c>
      <c r="D161" s="22">
        <v>7</v>
      </c>
      <c r="E161" s="22" t="s">
        <v>590</v>
      </c>
    </row>
    <row r="162" spans="3:5" ht="15" customHeight="1" thickBot="1">
      <c r="C162" s="22" t="s">
        <v>592</v>
      </c>
      <c r="D162" s="22">
        <v>9</v>
      </c>
      <c r="E162" s="22" t="s">
        <v>590</v>
      </c>
    </row>
    <row r="163" spans="3:5" ht="15" customHeight="1" thickBot="1">
      <c r="C163" s="22" t="s">
        <v>180</v>
      </c>
      <c r="D163" s="22">
        <v>10</v>
      </c>
      <c r="E163" s="22" t="s">
        <v>590</v>
      </c>
    </row>
    <row r="164" spans="3:5" ht="15" customHeight="1" thickBot="1">
      <c r="C164" s="22" t="s">
        <v>593</v>
      </c>
      <c r="D164" s="22">
        <v>12</v>
      </c>
      <c r="E164" s="22" t="s">
        <v>590</v>
      </c>
    </row>
    <row r="165" spans="3:5" ht="15" customHeight="1" thickBot="1">
      <c r="C165" s="22" t="s">
        <v>594</v>
      </c>
      <c r="D165" s="22">
        <v>13</v>
      </c>
      <c r="E165" s="22" t="s">
        <v>590</v>
      </c>
    </row>
    <row r="166" spans="3:5" ht="15" customHeight="1" thickBot="1">
      <c r="C166" s="22" t="s">
        <v>613</v>
      </c>
      <c r="D166" s="22">
        <v>4</v>
      </c>
      <c r="E166" s="22" t="s">
        <v>614</v>
      </c>
    </row>
    <row r="167" spans="3:5" ht="15" customHeight="1" thickBot="1">
      <c r="C167" s="22" t="s">
        <v>615</v>
      </c>
      <c r="D167" s="22">
        <v>9</v>
      </c>
      <c r="E167" s="22" t="s">
        <v>614</v>
      </c>
    </row>
    <row r="168" spans="3:5" ht="15" customHeight="1" thickBot="1">
      <c r="C168" s="22" t="s">
        <v>616</v>
      </c>
      <c r="D168" s="22">
        <v>12</v>
      </c>
      <c r="E168" s="22" t="s">
        <v>614</v>
      </c>
    </row>
    <row r="169" spans="3:5" ht="15" customHeight="1" thickBot="1">
      <c r="C169" s="22" t="s">
        <v>617</v>
      </c>
      <c r="D169" s="22">
        <v>13</v>
      </c>
      <c r="E169" s="22" t="s">
        <v>614</v>
      </c>
    </row>
    <row r="170" spans="3:5" ht="15" customHeight="1" thickBot="1">
      <c r="C170" s="22" t="s">
        <v>618</v>
      </c>
      <c r="D170" s="22">
        <v>14</v>
      </c>
      <c r="E170" s="22" t="s">
        <v>614</v>
      </c>
    </row>
    <row r="171" spans="3:5" ht="15" customHeight="1" thickBot="1">
      <c r="C171" s="22" t="s">
        <v>619</v>
      </c>
      <c r="D171" s="22">
        <v>15</v>
      </c>
      <c r="E171" s="22" t="s">
        <v>614</v>
      </c>
    </row>
    <row r="172" spans="3:5" ht="15" customHeight="1" thickBot="1">
      <c r="C172" s="22" t="s">
        <v>195</v>
      </c>
      <c r="D172" s="22">
        <v>1</v>
      </c>
      <c r="E172" s="22" t="s">
        <v>620</v>
      </c>
    </row>
    <row r="173" spans="3:5" ht="15" customHeight="1" thickBot="1">
      <c r="C173" s="22" t="s">
        <v>621</v>
      </c>
      <c r="D173" s="22">
        <v>2</v>
      </c>
      <c r="E173" s="22" t="s">
        <v>620</v>
      </c>
    </row>
    <row r="174" spans="3:5" ht="15" customHeight="1" thickBot="1">
      <c r="C174" s="22" t="s">
        <v>622</v>
      </c>
      <c r="D174" s="22">
        <v>2</v>
      </c>
      <c r="E174" s="22" t="s">
        <v>620</v>
      </c>
    </row>
    <row r="175" spans="3:5" ht="15" customHeight="1" thickBot="1">
      <c r="C175" s="22" t="s">
        <v>623</v>
      </c>
      <c r="D175" s="22">
        <v>4</v>
      </c>
      <c r="E175" s="22" t="s">
        <v>620</v>
      </c>
    </row>
    <row r="176" spans="3:5" ht="15" customHeight="1" thickBot="1">
      <c r="C176" s="22" t="s">
        <v>624</v>
      </c>
      <c r="D176" s="22">
        <v>6</v>
      </c>
      <c r="E176" s="22" t="s">
        <v>620</v>
      </c>
    </row>
    <row r="177" spans="3:5" ht="15" customHeight="1" thickBot="1">
      <c r="C177" s="22" t="s">
        <v>625</v>
      </c>
      <c r="D177" s="22">
        <v>6</v>
      </c>
      <c r="E177" s="22" t="s">
        <v>620</v>
      </c>
    </row>
    <row r="178" spans="3:5" ht="15" customHeight="1" thickBot="1">
      <c r="C178" s="22" t="s">
        <v>626</v>
      </c>
      <c r="D178" s="22">
        <v>7</v>
      </c>
      <c r="E178" s="22" t="s">
        <v>620</v>
      </c>
    </row>
    <row r="179" spans="3:5" ht="15" customHeight="1" thickBot="1">
      <c r="C179" s="22" t="s">
        <v>627</v>
      </c>
      <c r="D179" s="22">
        <v>10</v>
      </c>
      <c r="E179" s="22" t="s">
        <v>620</v>
      </c>
    </row>
    <row r="180" spans="3:5" ht="15" customHeight="1" thickBot="1">
      <c r="C180" s="22" t="s">
        <v>628</v>
      </c>
      <c r="D180" s="22">
        <v>12</v>
      </c>
      <c r="E180" s="22" t="s">
        <v>620</v>
      </c>
    </row>
    <row r="181" spans="3:5" ht="15" customHeight="1" thickBot="1">
      <c r="C181" s="22" t="s">
        <v>629</v>
      </c>
      <c r="D181" s="22">
        <v>15</v>
      </c>
      <c r="E181" s="22" t="s">
        <v>620</v>
      </c>
    </row>
    <row r="182" spans="3:5" ht="15" customHeight="1" thickBot="1">
      <c r="C182" s="22" t="s">
        <v>729</v>
      </c>
      <c r="D182" s="22">
        <v>0</v>
      </c>
      <c r="E182" s="22" t="s">
        <v>730</v>
      </c>
    </row>
    <row r="183" spans="3:5" ht="15" customHeight="1" thickBot="1">
      <c r="C183" s="22" t="s">
        <v>731</v>
      </c>
      <c r="D183" s="22">
        <v>0</v>
      </c>
      <c r="E183" s="22" t="s">
        <v>730</v>
      </c>
    </row>
    <row r="184" spans="3:5" ht="15" customHeight="1" thickBot="1">
      <c r="C184" s="22" t="s">
        <v>732</v>
      </c>
      <c r="D184" s="22">
        <v>5</v>
      </c>
      <c r="E184" s="22" t="s">
        <v>730</v>
      </c>
    </row>
  </sheetData>
  <autoFilter ref="C6:E6">
    <sortState ref="C7:E184">
      <sortCondition ref="E6"/>
    </sortState>
  </autoFilter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00"/>
  <sheetViews>
    <sheetView topLeftCell="A40" workbookViewId="0">
      <selection activeCell="F50" sqref="F50"/>
    </sheetView>
  </sheetViews>
  <sheetFormatPr defaultRowHeight="15"/>
  <sheetData>
    <row r="1" spans="5:8">
      <c r="E1" t="s">
        <v>1</v>
      </c>
      <c r="F1" t="s">
        <v>19</v>
      </c>
    </row>
    <row r="2" spans="5:8">
      <c r="E2">
        <v>1</v>
      </c>
      <c r="F2">
        <v>60</v>
      </c>
    </row>
    <row r="3" spans="5:8">
      <c r="E3">
        <f>E2+1</f>
        <v>2</v>
      </c>
      <c r="F3">
        <v>60</v>
      </c>
    </row>
    <row r="4" spans="5:8">
      <c r="E4">
        <f t="shared" ref="E4:E67" si="0">E3+1</f>
        <v>3</v>
      </c>
      <c r="F4">
        <v>60</v>
      </c>
    </row>
    <row r="5" spans="5:8">
      <c r="E5">
        <f t="shared" si="0"/>
        <v>4</v>
      </c>
      <c r="F5">
        <v>60</v>
      </c>
    </row>
    <row r="6" spans="5:8">
      <c r="E6">
        <f t="shared" si="0"/>
        <v>5</v>
      </c>
      <c r="F6">
        <v>60</v>
      </c>
    </row>
    <row r="7" spans="5:8">
      <c r="E7">
        <f t="shared" si="0"/>
        <v>6</v>
      </c>
      <c r="F7">
        <v>90</v>
      </c>
    </row>
    <row r="8" spans="5:8">
      <c r="E8">
        <f t="shared" si="0"/>
        <v>7</v>
      </c>
      <c r="F8">
        <v>90</v>
      </c>
      <c r="H8">
        <f>SUM(F2:F7)</f>
        <v>390</v>
      </c>
    </row>
    <row r="9" spans="5:8">
      <c r="E9">
        <f t="shared" si="0"/>
        <v>8</v>
      </c>
      <c r="F9">
        <v>90</v>
      </c>
    </row>
    <row r="10" spans="5:8">
      <c r="E10">
        <f t="shared" si="0"/>
        <v>9</v>
      </c>
      <c r="F10">
        <v>240</v>
      </c>
      <c r="H10">
        <f>SUM(F2:F10)</f>
        <v>810</v>
      </c>
    </row>
    <row r="11" spans="5:8">
      <c r="E11">
        <f t="shared" si="0"/>
        <v>10</v>
      </c>
      <c r="F11">
        <v>120</v>
      </c>
    </row>
    <row r="12" spans="5:8">
      <c r="E12">
        <f t="shared" si="0"/>
        <v>11</v>
      </c>
      <c r="F12">
        <v>120</v>
      </c>
    </row>
    <row r="13" spans="5:8">
      <c r="E13">
        <f t="shared" si="0"/>
        <v>12</v>
      </c>
      <c r="F13">
        <v>150</v>
      </c>
    </row>
    <row r="14" spans="5:8">
      <c r="E14">
        <f t="shared" si="0"/>
        <v>13</v>
      </c>
      <c r="F14">
        <v>180</v>
      </c>
    </row>
    <row r="15" spans="5:8">
      <c r="E15">
        <f t="shared" si="0"/>
        <v>14</v>
      </c>
      <c r="F15">
        <v>210</v>
      </c>
    </row>
    <row r="16" spans="5:8">
      <c r="E16">
        <f t="shared" si="0"/>
        <v>15</v>
      </c>
      <c r="F16">
        <v>210</v>
      </c>
    </row>
    <row r="17" spans="5:6">
      <c r="E17">
        <f t="shared" si="0"/>
        <v>16</v>
      </c>
      <c r="F17">
        <v>240</v>
      </c>
    </row>
    <row r="18" spans="5:6">
      <c r="E18">
        <f t="shared" si="0"/>
        <v>17</v>
      </c>
      <c r="F18">
        <v>240</v>
      </c>
    </row>
    <row r="19" spans="5:6">
      <c r="E19">
        <f t="shared" si="0"/>
        <v>18</v>
      </c>
      <c r="F19">
        <v>270</v>
      </c>
    </row>
    <row r="20" spans="5:6">
      <c r="E20">
        <f t="shared" si="0"/>
        <v>19</v>
      </c>
      <c r="F20">
        <v>390</v>
      </c>
    </row>
    <row r="21" spans="5:6">
      <c r="E21">
        <f t="shared" si="0"/>
        <v>20</v>
      </c>
      <c r="F21">
        <v>300</v>
      </c>
    </row>
    <row r="22" spans="5:6">
      <c r="E22">
        <f t="shared" si="0"/>
        <v>21</v>
      </c>
      <c r="F22">
        <v>300</v>
      </c>
    </row>
    <row r="23" spans="5:6">
      <c r="E23">
        <f t="shared" si="0"/>
        <v>22</v>
      </c>
      <c r="F23">
        <v>300</v>
      </c>
    </row>
    <row r="24" spans="5:6">
      <c r="E24">
        <f t="shared" si="0"/>
        <v>23</v>
      </c>
      <c r="F24">
        <v>300</v>
      </c>
    </row>
    <row r="25" spans="5:6">
      <c r="E25">
        <f t="shared" si="0"/>
        <v>24</v>
      </c>
      <c r="F25">
        <v>300</v>
      </c>
    </row>
    <row r="26" spans="5:6">
      <c r="E26">
        <f t="shared" si="0"/>
        <v>25</v>
      </c>
      <c r="F26">
        <v>300</v>
      </c>
    </row>
    <row r="27" spans="5:6">
      <c r="E27">
        <f t="shared" si="0"/>
        <v>26</v>
      </c>
      <c r="F27">
        <v>300</v>
      </c>
    </row>
    <row r="28" spans="5:6">
      <c r="E28">
        <f t="shared" si="0"/>
        <v>27</v>
      </c>
      <c r="F28">
        <v>300</v>
      </c>
    </row>
    <row r="29" spans="5:6">
      <c r="E29">
        <f t="shared" si="0"/>
        <v>28</v>
      </c>
      <c r="F29">
        <v>300</v>
      </c>
    </row>
    <row r="30" spans="5:6">
      <c r="E30">
        <f t="shared" si="0"/>
        <v>29</v>
      </c>
      <c r="F30">
        <v>540</v>
      </c>
    </row>
    <row r="31" spans="5:6">
      <c r="E31">
        <f t="shared" si="0"/>
        <v>30</v>
      </c>
      <c r="F31">
        <v>300</v>
      </c>
    </row>
    <row r="32" spans="5:6">
      <c r="E32">
        <f t="shared" si="0"/>
        <v>31</v>
      </c>
      <c r="F32">
        <v>300</v>
      </c>
    </row>
    <row r="33" spans="5:6">
      <c r="E33">
        <f t="shared" si="0"/>
        <v>32</v>
      </c>
      <c r="F33">
        <v>300</v>
      </c>
    </row>
    <row r="34" spans="5:6">
      <c r="E34">
        <f t="shared" si="0"/>
        <v>33</v>
      </c>
      <c r="F34">
        <v>300</v>
      </c>
    </row>
    <row r="35" spans="5:6">
      <c r="E35">
        <f t="shared" si="0"/>
        <v>34</v>
      </c>
      <c r="F35">
        <v>300</v>
      </c>
    </row>
    <row r="36" spans="5:6">
      <c r="E36">
        <f t="shared" si="0"/>
        <v>35</v>
      </c>
      <c r="F36">
        <v>300</v>
      </c>
    </row>
    <row r="37" spans="5:6">
      <c r="E37">
        <f t="shared" si="0"/>
        <v>36</v>
      </c>
      <c r="F37">
        <v>300</v>
      </c>
    </row>
    <row r="38" spans="5:6">
      <c r="E38">
        <f t="shared" si="0"/>
        <v>37</v>
      </c>
      <c r="F38">
        <v>300</v>
      </c>
    </row>
    <row r="39" spans="5:6">
      <c r="E39">
        <f t="shared" si="0"/>
        <v>38</v>
      </c>
      <c r="F39">
        <v>300</v>
      </c>
    </row>
    <row r="40" spans="5:6">
      <c r="E40">
        <f t="shared" si="0"/>
        <v>39</v>
      </c>
      <c r="F40">
        <v>600</v>
      </c>
    </row>
    <row r="41" spans="5:6">
      <c r="E41">
        <f t="shared" si="0"/>
        <v>40</v>
      </c>
      <c r="F41">
        <v>330</v>
      </c>
    </row>
    <row r="42" spans="5:6">
      <c r="E42">
        <f t="shared" si="0"/>
        <v>41</v>
      </c>
      <c r="F42">
        <v>360</v>
      </c>
    </row>
    <row r="43" spans="5:6">
      <c r="E43">
        <f t="shared" si="0"/>
        <v>42</v>
      </c>
      <c r="F43">
        <v>390</v>
      </c>
    </row>
    <row r="44" spans="5:6">
      <c r="E44">
        <f t="shared" si="0"/>
        <v>43</v>
      </c>
      <c r="F44">
        <v>390</v>
      </c>
    </row>
    <row r="45" spans="5:6">
      <c r="E45">
        <f t="shared" si="0"/>
        <v>44</v>
      </c>
      <c r="F45">
        <v>390</v>
      </c>
    </row>
    <row r="46" spans="5:6">
      <c r="E46">
        <f t="shared" si="0"/>
        <v>45</v>
      </c>
      <c r="F46">
        <v>420</v>
      </c>
    </row>
    <row r="47" spans="5:6">
      <c r="E47">
        <f t="shared" si="0"/>
        <v>46</v>
      </c>
      <c r="F47">
        <v>420</v>
      </c>
    </row>
    <row r="48" spans="5:6">
      <c r="E48">
        <f t="shared" si="0"/>
        <v>47</v>
      </c>
      <c r="F48">
        <v>450</v>
      </c>
    </row>
    <row r="49" spans="5:8">
      <c r="E49">
        <f t="shared" si="0"/>
        <v>48</v>
      </c>
      <c r="F49">
        <v>450</v>
      </c>
    </row>
    <row r="50" spans="5:8">
      <c r="E50">
        <f t="shared" si="0"/>
        <v>49</v>
      </c>
      <c r="F50">
        <v>600</v>
      </c>
    </row>
    <row r="51" spans="5:8">
      <c r="E51">
        <f t="shared" si="0"/>
        <v>50</v>
      </c>
      <c r="F51">
        <v>480</v>
      </c>
      <c r="H51">
        <f>SUM(F2:F50)</f>
        <v>13680</v>
      </c>
    </row>
    <row r="52" spans="5:8">
      <c r="E52">
        <f t="shared" si="0"/>
        <v>51</v>
      </c>
      <c r="F52">
        <v>480</v>
      </c>
      <c r="H52">
        <f>H51/30</f>
        <v>456</v>
      </c>
    </row>
    <row r="53" spans="5:8">
      <c r="E53">
        <f t="shared" si="0"/>
        <v>52</v>
      </c>
      <c r="F53">
        <v>480</v>
      </c>
    </row>
    <row r="54" spans="5:8">
      <c r="E54">
        <f t="shared" si="0"/>
        <v>53</v>
      </c>
      <c r="F54">
        <v>480</v>
      </c>
    </row>
    <row r="55" spans="5:8">
      <c r="E55">
        <f t="shared" si="0"/>
        <v>54</v>
      </c>
      <c r="F55">
        <v>480</v>
      </c>
    </row>
    <row r="56" spans="5:8">
      <c r="E56">
        <f t="shared" si="0"/>
        <v>55</v>
      </c>
      <c r="F56">
        <v>510</v>
      </c>
    </row>
    <row r="57" spans="5:8">
      <c r="E57">
        <f t="shared" si="0"/>
        <v>56</v>
      </c>
      <c r="F57">
        <v>510</v>
      </c>
    </row>
    <row r="58" spans="5:8">
      <c r="E58">
        <f t="shared" si="0"/>
        <v>57</v>
      </c>
      <c r="F58">
        <v>510</v>
      </c>
    </row>
    <row r="59" spans="5:8">
      <c r="E59">
        <f t="shared" si="0"/>
        <v>58</v>
      </c>
      <c r="F59">
        <v>510</v>
      </c>
    </row>
    <row r="60" spans="5:8">
      <c r="E60">
        <f t="shared" si="0"/>
        <v>59</v>
      </c>
      <c r="F60">
        <v>600</v>
      </c>
    </row>
    <row r="61" spans="5:8">
      <c r="E61">
        <f t="shared" si="0"/>
        <v>60</v>
      </c>
      <c r="F61">
        <v>540</v>
      </c>
    </row>
    <row r="62" spans="5:8">
      <c r="E62">
        <f t="shared" si="0"/>
        <v>61</v>
      </c>
      <c r="F62">
        <v>540</v>
      </c>
    </row>
    <row r="63" spans="5:8">
      <c r="E63">
        <f t="shared" si="0"/>
        <v>62</v>
      </c>
      <c r="F63">
        <v>540</v>
      </c>
    </row>
    <row r="64" spans="5:8">
      <c r="E64">
        <f t="shared" si="0"/>
        <v>63</v>
      </c>
      <c r="F64">
        <v>540</v>
      </c>
    </row>
    <row r="65" spans="5:6">
      <c r="E65">
        <f t="shared" si="0"/>
        <v>64</v>
      </c>
      <c r="F65">
        <v>540</v>
      </c>
    </row>
    <row r="66" spans="5:6">
      <c r="E66">
        <f t="shared" si="0"/>
        <v>65</v>
      </c>
      <c r="F66">
        <v>540</v>
      </c>
    </row>
    <row r="67" spans="5:6">
      <c r="E67">
        <f t="shared" si="0"/>
        <v>66</v>
      </c>
      <c r="F67">
        <v>540</v>
      </c>
    </row>
    <row r="68" spans="5:6">
      <c r="E68">
        <f t="shared" ref="E68:E100" si="1">E67+1</f>
        <v>67</v>
      </c>
      <c r="F68">
        <v>540</v>
      </c>
    </row>
    <row r="69" spans="5:6">
      <c r="E69">
        <f t="shared" si="1"/>
        <v>68</v>
      </c>
      <c r="F69">
        <v>540</v>
      </c>
    </row>
    <row r="70" spans="5:6">
      <c r="E70">
        <f t="shared" si="1"/>
        <v>69</v>
      </c>
      <c r="F70">
        <v>600</v>
      </c>
    </row>
    <row r="71" spans="5:6">
      <c r="E71">
        <f t="shared" si="1"/>
        <v>70</v>
      </c>
      <c r="F71">
        <v>570</v>
      </c>
    </row>
    <row r="72" spans="5:6">
      <c r="E72">
        <f t="shared" si="1"/>
        <v>71</v>
      </c>
      <c r="F72">
        <v>570</v>
      </c>
    </row>
    <row r="73" spans="5:6">
      <c r="E73">
        <f t="shared" si="1"/>
        <v>72</v>
      </c>
      <c r="F73">
        <v>570</v>
      </c>
    </row>
    <row r="74" spans="5:6">
      <c r="E74">
        <f t="shared" si="1"/>
        <v>73</v>
      </c>
      <c r="F74">
        <v>570</v>
      </c>
    </row>
    <row r="75" spans="5:6">
      <c r="E75">
        <f t="shared" si="1"/>
        <v>74</v>
      </c>
      <c r="F75">
        <v>570</v>
      </c>
    </row>
    <row r="76" spans="5:6">
      <c r="E76">
        <f t="shared" si="1"/>
        <v>75</v>
      </c>
      <c r="F76">
        <v>570</v>
      </c>
    </row>
    <row r="77" spans="5:6">
      <c r="E77">
        <f t="shared" si="1"/>
        <v>76</v>
      </c>
      <c r="F77">
        <v>570</v>
      </c>
    </row>
    <row r="78" spans="5:6">
      <c r="E78">
        <f t="shared" si="1"/>
        <v>77</v>
      </c>
      <c r="F78">
        <v>570</v>
      </c>
    </row>
    <row r="79" spans="5:6">
      <c r="E79">
        <f t="shared" si="1"/>
        <v>78</v>
      </c>
      <c r="F79">
        <v>570</v>
      </c>
    </row>
    <row r="80" spans="5:6">
      <c r="E80">
        <f t="shared" si="1"/>
        <v>79</v>
      </c>
      <c r="F80">
        <v>600</v>
      </c>
    </row>
    <row r="81" spans="5:6">
      <c r="E81">
        <f t="shared" si="1"/>
        <v>80</v>
      </c>
      <c r="F81">
        <v>600</v>
      </c>
    </row>
    <row r="82" spans="5:6">
      <c r="E82">
        <f t="shared" si="1"/>
        <v>81</v>
      </c>
      <c r="F82">
        <v>660</v>
      </c>
    </row>
    <row r="83" spans="5:6">
      <c r="E83">
        <f t="shared" si="1"/>
        <v>82</v>
      </c>
      <c r="F83">
        <v>720</v>
      </c>
    </row>
    <row r="84" spans="5:6">
      <c r="E84">
        <f t="shared" si="1"/>
        <v>83</v>
      </c>
      <c r="F84">
        <v>780</v>
      </c>
    </row>
    <row r="85" spans="5:6">
      <c r="E85">
        <f t="shared" si="1"/>
        <v>84</v>
      </c>
      <c r="F85">
        <v>840</v>
      </c>
    </row>
    <row r="86" spans="5:6">
      <c r="E86">
        <f t="shared" si="1"/>
        <v>85</v>
      </c>
      <c r="F86">
        <v>900</v>
      </c>
    </row>
    <row r="87" spans="5:6">
      <c r="E87">
        <f t="shared" si="1"/>
        <v>86</v>
      </c>
      <c r="F87">
        <v>960</v>
      </c>
    </row>
    <row r="88" spans="5:6">
      <c r="E88">
        <f t="shared" si="1"/>
        <v>87</v>
      </c>
      <c r="F88">
        <v>1020</v>
      </c>
    </row>
    <row r="89" spans="5:6">
      <c r="E89">
        <f t="shared" si="1"/>
        <v>88</v>
      </c>
      <c r="F89">
        <v>1080</v>
      </c>
    </row>
    <row r="90" spans="5:6">
      <c r="E90">
        <f t="shared" si="1"/>
        <v>89</v>
      </c>
      <c r="F90">
        <v>1200</v>
      </c>
    </row>
    <row r="91" spans="5:6">
      <c r="E91">
        <f t="shared" si="1"/>
        <v>90</v>
      </c>
      <c r="F91">
        <v>1300</v>
      </c>
    </row>
    <row r="92" spans="5:6">
      <c r="E92">
        <f t="shared" si="1"/>
        <v>91</v>
      </c>
      <c r="F92">
        <v>1400</v>
      </c>
    </row>
    <row r="93" spans="5:6">
      <c r="E93">
        <f t="shared" si="1"/>
        <v>92</v>
      </c>
      <c r="F93">
        <v>1500</v>
      </c>
    </row>
    <row r="94" spans="5:6">
      <c r="E94">
        <f t="shared" si="1"/>
        <v>93</v>
      </c>
      <c r="F94">
        <v>1600</v>
      </c>
    </row>
    <row r="95" spans="5:6">
      <c r="E95">
        <f t="shared" si="1"/>
        <v>94</v>
      </c>
      <c r="F95">
        <v>1700</v>
      </c>
    </row>
    <row r="96" spans="5:6">
      <c r="E96">
        <f t="shared" si="1"/>
        <v>95</v>
      </c>
      <c r="F96">
        <v>1800</v>
      </c>
    </row>
    <row r="97" spans="5:6">
      <c r="E97">
        <f t="shared" si="1"/>
        <v>96</v>
      </c>
      <c r="F97">
        <v>1900</v>
      </c>
    </row>
    <row r="98" spans="5:6">
      <c r="E98">
        <f t="shared" si="1"/>
        <v>97</v>
      </c>
      <c r="F98">
        <v>2000</v>
      </c>
    </row>
    <row r="99" spans="5:6">
      <c r="E99">
        <f t="shared" si="1"/>
        <v>98</v>
      </c>
      <c r="F99">
        <v>2100</v>
      </c>
    </row>
    <row r="100" spans="5:6">
      <c r="E100">
        <f t="shared" si="1"/>
        <v>99</v>
      </c>
      <c r="F10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X64"/>
  <sheetViews>
    <sheetView topLeftCell="A7" workbookViewId="0">
      <selection activeCell="I26" sqref="I26"/>
    </sheetView>
  </sheetViews>
  <sheetFormatPr defaultRowHeight="15"/>
  <cols>
    <col min="8" max="8" width="38.85546875" customWidth="1"/>
    <col min="19" max="19" width="17.85546875" customWidth="1"/>
  </cols>
  <sheetData>
    <row r="6" spans="4:16" ht="15.75" thickBot="1"/>
    <row r="7" spans="4:16">
      <c r="D7" s="2"/>
      <c r="E7" s="3"/>
      <c r="F7" s="3"/>
      <c r="G7" s="3" t="s">
        <v>739</v>
      </c>
      <c r="H7" s="3" t="s">
        <v>740</v>
      </c>
      <c r="I7" s="3"/>
      <c r="J7" s="3"/>
      <c r="K7" s="3"/>
      <c r="L7" s="3"/>
      <c r="M7" s="3"/>
      <c r="N7" s="3"/>
      <c r="O7" s="3"/>
      <c r="P7" s="4"/>
    </row>
    <row r="8" spans="4:16">
      <c r="D8" s="5"/>
      <c r="E8" s="6" t="s">
        <v>737</v>
      </c>
      <c r="F8" s="6"/>
      <c r="G8" s="6" t="s">
        <v>741</v>
      </c>
      <c r="H8" s="6" t="s">
        <v>742</v>
      </c>
      <c r="I8" s="11"/>
      <c r="J8" s="6"/>
      <c r="K8" s="6"/>
      <c r="L8" s="6"/>
      <c r="M8" s="6"/>
      <c r="N8" s="6"/>
      <c r="O8" s="6"/>
      <c r="P8" s="7"/>
    </row>
    <row r="9" spans="4:16">
      <c r="D9" s="5"/>
      <c r="E9" s="6"/>
      <c r="F9" s="6"/>
      <c r="G9" s="6" t="s">
        <v>743</v>
      </c>
      <c r="H9" s="6" t="s">
        <v>744</v>
      </c>
      <c r="I9" s="6"/>
      <c r="J9" s="6"/>
      <c r="K9" s="6"/>
      <c r="L9" s="6"/>
      <c r="M9" s="6"/>
      <c r="N9" s="6"/>
      <c r="O9" s="6"/>
      <c r="P9" s="7"/>
    </row>
    <row r="10" spans="4:16">
      <c r="D10" s="5"/>
      <c r="E10" s="6" t="s">
        <v>745</v>
      </c>
      <c r="F10" s="6"/>
      <c r="G10" s="11" t="s">
        <v>746</v>
      </c>
      <c r="H10" s="11" t="s">
        <v>747</v>
      </c>
      <c r="I10" s="11" t="s">
        <v>750</v>
      </c>
      <c r="J10" s="6"/>
      <c r="K10" s="6"/>
      <c r="L10" s="6"/>
      <c r="M10" s="6"/>
      <c r="N10" s="6"/>
      <c r="O10" s="6"/>
      <c r="P10" s="7"/>
    </row>
    <row r="11" spans="4:16">
      <c r="D11" s="5"/>
      <c r="E11" s="6" t="s">
        <v>754</v>
      </c>
      <c r="F11" s="6"/>
      <c r="G11" s="11" t="s">
        <v>755</v>
      </c>
      <c r="H11" s="11" t="s">
        <v>756</v>
      </c>
      <c r="I11" s="6" t="s">
        <v>751</v>
      </c>
      <c r="J11" s="6"/>
      <c r="K11" s="6"/>
      <c r="L11" s="6"/>
      <c r="M11" s="6"/>
      <c r="N11" s="6"/>
      <c r="O11" s="6"/>
      <c r="P11" s="7"/>
    </row>
    <row r="12" spans="4:16">
      <c r="D12" s="5"/>
      <c r="E12" s="6"/>
      <c r="F12" s="6"/>
      <c r="G12" s="11" t="s">
        <v>757</v>
      </c>
      <c r="H12" s="11" t="s">
        <v>758</v>
      </c>
      <c r="I12" s="6" t="s">
        <v>752</v>
      </c>
      <c r="J12" s="6"/>
      <c r="K12" s="6" t="s">
        <v>753</v>
      </c>
      <c r="L12" s="6"/>
      <c r="M12" s="6"/>
      <c r="N12" s="6"/>
      <c r="O12" s="6"/>
      <c r="P12" s="7"/>
    </row>
    <row r="13" spans="4:16">
      <c r="D13" s="5"/>
      <c r="E13" s="6"/>
      <c r="F13" s="6"/>
      <c r="G13" s="11" t="s">
        <v>759</v>
      </c>
      <c r="H13" s="11" t="s">
        <v>762</v>
      </c>
      <c r="I13" s="6"/>
      <c r="J13" s="6"/>
      <c r="K13" s="6"/>
      <c r="L13" s="6"/>
      <c r="M13" s="6"/>
      <c r="N13" s="6"/>
      <c r="O13" s="6"/>
      <c r="P13" s="7"/>
    </row>
    <row r="14" spans="4:16">
      <c r="D14" s="5"/>
      <c r="E14" s="6"/>
      <c r="F14" s="6"/>
      <c r="G14" s="11" t="s">
        <v>760</v>
      </c>
      <c r="H14" s="11" t="s">
        <v>761</v>
      </c>
      <c r="I14" s="6"/>
      <c r="J14" s="6"/>
      <c r="K14" s="6"/>
      <c r="L14" s="6"/>
      <c r="M14" s="6"/>
      <c r="N14" s="6"/>
      <c r="O14" s="6"/>
      <c r="P14" s="7"/>
    </row>
    <row r="15" spans="4:16">
      <c r="D15" s="5"/>
      <c r="E15" s="6" t="s">
        <v>763</v>
      </c>
      <c r="F15" s="6"/>
      <c r="G15" s="11" t="s">
        <v>764</v>
      </c>
      <c r="H15" s="11" t="s">
        <v>765</v>
      </c>
      <c r="I15" s="6"/>
      <c r="J15" s="6"/>
      <c r="K15" s="6"/>
      <c r="L15" s="6"/>
      <c r="M15" s="6"/>
      <c r="N15" s="6"/>
      <c r="O15" s="6"/>
      <c r="P15" s="7"/>
    </row>
    <row r="16" spans="4:16">
      <c r="D16" s="5"/>
      <c r="E16" s="6"/>
      <c r="F16" s="6"/>
      <c r="G16" s="11" t="s">
        <v>766</v>
      </c>
      <c r="H16" s="11" t="s">
        <v>767</v>
      </c>
      <c r="I16" s="6"/>
      <c r="J16" s="6"/>
      <c r="K16" s="6"/>
      <c r="L16" s="6"/>
      <c r="M16" s="6"/>
      <c r="N16" s="6"/>
      <c r="O16" s="6"/>
      <c r="P16" s="7"/>
    </row>
    <row r="17" spans="4:16">
      <c r="D17" s="5"/>
      <c r="E17" s="6"/>
      <c r="F17" s="6"/>
      <c r="G17" s="11" t="s">
        <v>768</v>
      </c>
      <c r="H17" s="11" t="s">
        <v>769</v>
      </c>
      <c r="I17" s="6"/>
      <c r="J17" s="6"/>
      <c r="K17" s="6"/>
      <c r="L17" s="6"/>
      <c r="M17" s="6"/>
      <c r="N17" s="6"/>
      <c r="O17" s="6"/>
      <c r="P17" s="7"/>
    </row>
    <row r="18" spans="4:16">
      <c r="D18" s="5"/>
      <c r="E18" s="6" t="s">
        <v>772</v>
      </c>
      <c r="F18" s="6"/>
      <c r="G18" s="11" t="s">
        <v>770</v>
      </c>
      <c r="H18" s="11" t="s">
        <v>771</v>
      </c>
      <c r="I18" s="6"/>
      <c r="J18" s="6"/>
      <c r="K18" s="6"/>
      <c r="L18" s="6"/>
      <c r="M18" s="6"/>
      <c r="N18" s="6"/>
      <c r="O18" s="6"/>
      <c r="P18" s="7"/>
    </row>
    <row r="19" spans="4:16">
      <c r="D19" s="5"/>
      <c r="E19" s="6"/>
      <c r="F19" s="6"/>
      <c r="G19" s="11" t="s">
        <v>773</v>
      </c>
      <c r="H19" s="11" t="s">
        <v>774</v>
      </c>
      <c r="I19" s="6"/>
      <c r="J19" s="6"/>
      <c r="K19" s="6"/>
      <c r="L19" s="6"/>
      <c r="M19" s="6"/>
      <c r="N19" s="6"/>
      <c r="O19" s="6"/>
      <c r="P19" s="7"/>
    </row>
    <row r="20" spans="4:16">
      <c r="D20" s="5"/>
      <c r="E20" s="6" t="s">
        <v>786</v>
      </c>
      <c r="F20" s="6"/>
      <c r="G20" s="11" t="s">
        <v>759</v>
      </c>
      <c r="H20" s="11" t="s">
        <v>787</v>
      </c>
      <c r="I20" s="6"/>
      <c r="J20" s="6"/>
      <c r="K20" s="6"/>
      <c r="L20" s="6"/>
      <c r="M20" s="6"/>
      <c r="N20" s="6"/>
      <c r="O20" s="6"/>
      <c r="P20" s="7"/>
    </row>
    <row r="21" spans="4:16" ht="15.75" thickBot="1">
      <c r="D21" s="8"/>
      <c r="E21" s="9"/>
      <c r="F21" s="9"/>
      <c r="G21" s="9" t="s">
        <v>788</v>
      </c>
      <c r="H21" s="9" t="s">
        <v>789</v>
      </c>
      <c r="I21" s="9"/>
      <c r="J21" s="9"/>
      <c r="K21" s="9"/>
      <c r="L21" s="9"/>
      <c r="M21" s="9"/>
      <c r="N21" s="9"/>
      <c r="O21" s="9"/>
      <c r="P21" s="10"/>
    </row>
    <row r="22" spans="4:16">
      <c r="G22" s="11" t="s">
        <v>790</v>
      </c>
      <c r="H22" s="11" t="s">
        <v>794</v>
      </c>
    </row>
    <row r="23" spans="4:16">
      <c r="G23" s="11" t="s">
        <v>791</v>
      </c>
      <c r="H23" s="11" t="s">
        <v>792</v>
      </c>
    </row>
    <row r="24" spans="4:16">
      <c r="G24" s="11" t="s">
        <v>793</v>
      </c>
      <c r="H24" s="11" t="s">
        <v>266</v>
      </c>
      <c r="O24">
        <f>SUM(18600,12250,23000,8000,18000)</f>
        <v>79850</v>
      </c>
    </row>
    <row r="25" spans="4:16">
      <c r="G25" s="11" t="s">
        <v>795</v>
      </c>
      <c r="H25" s="11" t="s">
        <v>796</v>
      </c>
      <c r="O25">
        <v>5200</v>
      </c>
    </row>
    <row r="26" spans="4:16">
      <c r="G26" s="11" t="s">
        <v>764</v>
      </c>
      <c r="H26" s="11" t="s">
        <v>797</v>
      </c>
      <c r="O26">
        <v>7200</v>
      </c>
    </row>
    <row r="27" spans="4:16">
      <c r="E27" t="s">
        <v>798</v>
      </c>
      <c r="G27" t="s">
        <v>780</v>
      </c>
      <c r="H27" t="s">
        <v>781</v>
      </c>
      <c r="O27">
        <v>1800</v>
      </c>
    </row>
    <row r="28" spans="4:16">
      <c r="G28" t="s">
        <v>783</v>
      </c>
      <c r="H28" t="s">
        <v>260</v>
      </c>
      <c r="O28">
        <v>2500</v>
      </c>
    </row>
    <row r="29" spans="4:16">
      <c r="G29" t="s">
        <v>760</v>
      </c>
      <c r="H29" t="s">
        <v>262</v>
      </c>
      <c r="O29">
        <v>12600</v>
      </c>
    </row>
    <row r="30" spans="4:16">
      <c r="E30" t="s">
        <v>799</v>
      </c>
      <c r="G30" t="s">
        <v>800</v>
      </c>
      <c r="H30" t="s">
        <v>801</v>
      </c>
      <c r="O30">
        <f>SUM(O24:O29)</f>
        <v>109150</v>
      </c>
    </row>
    <row r="31" spans="4:16">
      <c r="G31" t="s">
        <v>802</v>
      </c>
      <c r="H31" t="s">
        <v>803</v>
      </c>
      <c r="J31" t="s">
        <v>775</v>
      </c>
    </row>
    <row r="32" spans="4:16">
      <c r="G32" t="s">
        <v>804</v>
      </c>
      <c r="H32" t="s">
        <v>805</v>
      </c>
      <c r="I32" t="s">
        <v>784</v>
      </c>
      <c r="K32" t="s">
        <v>776</v>
      </c>
    </row>
    <row r="33" spans="4:24">
      <c r="G33" t="s">
        <v>791</v>
      </c>
      <c r="H33" t="s">
        <v>806</v>
      </c>
      <c r="I33" t="s">
        <v>782</v>
      </c>
      <c r="K33" t="s">
        <v>782</v>
      </c>
    </row>
    <row r="34" spans="4:24">
      <c r="G34" t="s">
        <v>807</v>
      </c>
      <c r="H34" t="s">
        <v>808</v>
      </c>
      <c r="I34" t="s">
        <v>764</v>
      </c>
      <c r="J34" s="1" t="s">
        <v>150</v>
      </c>
      <c r="K34" t="s">
        <v>770</v>
      </c>
      <c r="L34" s="1" t="s">
        <v>150</v>
      </c>
      <c r="M34" t="s">
        <v>779</v>
      </c>
    </row>
    <row r="35" spans="4:24">
      <c r="D35" t="s">
        <v>777</v>
      </c>
      <c r="E35" s="1" t="s">
        <v>150</v>
      </c>
      <c r="F35" t="s">
        <v>785</v>
      </c>
      <c r="G35" t="s">
        <v>809</v>
      </c>
      <c r="H35" t="s">
        <v>810</v>
      </c>
      <c r="K35" t="s">
        <v>782</v>
      </c>
      <c r="M35" t="s">
        <v>782</v>
      </c>
    </row>
    <row r="36" spans="4:24">
      <c r="F36" t="s">
        <v>782</v>
      </c>
      <c r="G36" t="s">
        <v>811</v>
      </c>
      <c r="H36" t="s">
        <v>812</v>
      </c>
      <c r="K36" t="s">
        <v>783</v>
      </c>
      <c r="M36" t="s">
        <v>780</v>
      </c>
    </row>
    <row r="37" spans="4:24">
      <c r="D37" t="s">
        <v>760</v>
      </c>
      <c r="E37" s="1" t="s">
        <v>150</v>
      </c>
      <c r="F37" t="s">
        <v>759</v>
      </c>
      <c r="G37" t="s">
        <v>813</v>
      </c>
      <c r="H37" t="s">
        <v>814</v>
      </c>
      <c r="V37" t="s">
        <v>1151</v>
      </c>
      <c r="W37" t="s">
        <v>1152</v>
      </c>
      <c r="X37" t="s">
        <v>1153</v>
      </c>
    </row>
    <row r="38" spans="4:24">
      <c r="G38" t="s">
        <v>815</v>
      </c>
      <c r="H38" t="s">
        <v>269</v>
      </c>
      <c r="Q38" t="s">
        <v>1166</v>
      </c>
      <c r="R38" t="s">
        <v>1060</v>
      </c>
      <c r="S38" t="s">
        <v>1117</v>
      </c>
      <c r="T38">
        <v>4080</v>
      </c>
      <c r="U38">
        <v>1000</v>
      </c>
      <c r="V38">
        <v>30</v>
      </c>
      <c r="W38">
        <v>15</v>
      </c>
      <c r="X38">
        <v>20</v>
      </c>
    </row>
    <row r="39" spans="4:24">
      <c r="G39" t="s">
        <v>738</v>
      </c>
      <c r="H39" t="s">
        <v>816</v>
      </c>
      <c r="Q39" t="s">
        <v>1167</v>
      </c>
      <c r="R39" t="s">
        <v>1060</v>
      </c>
      <c r="S39" t="s">
        <v>812</v>
      </c>
      <c r="T39">
        <v>3000</v>
      </c>
      <c r="U39">
        <v>450</v>
      </c>
      <c r="V39">
        <v>17</v>
      </c>
      <c r="W39">
        <v>10</v>
      </c>
      <c r="X39">
        <v>15</v>
      </c>
    </row>
    <row r="40" spans="4:24">
      <c r="G40" t="s">
        <v>764</v>
      </c>
      <c r="H40" t="s">
        <v>817</v>
      </c>
      <c r="Q40" t="s">
        <v>1166</v>
      </c>
      <c r="R40" t="s">
        <v>835</v>
      </c>
      <c r="S40" t="s">
        <v>836</v>
      </c>
      <c r="T40" t="s">
        <v>1154</v>
      </c>
      <c r="U40">
        <v>1000</v>
      </c>
    </row>
    <row r="41" spans="4:24">
      <c r="G41" t="s">
        <v>818</v>
      </c>
      <c r="H41" t="s">
        <v>819</v>
      </c>
      <c r="Q41" t="s">
        <v>1167</v>
      </c>
      <c r="R41" t="s">
        <v>772</v>
      </c>
      <c r="S41" t="s">
        <v>1150</v>
      </c>
      <c r="T41">
        <v>5760</v>
      </c>
      <c r="U41">
        <v>1000</v>
      </c>
    </row>
    <row r="42" spans="4:24">
      <c r="G42" t="s">
        <v>820</v>
      </c>
      <c r="H42" t="s">
        <v>821</v>
      </c>
      <c r="Q42" t="s">
        <v>1166</v>
      </c>
      <c r="R42" t="s">
        <v>1168</v>
      </c>
      <c r="S42" t="s">
        <v>371</v>
      </c>
      <c r="T42">
        <v>3720</v>
      </c>
      <c r="U42">
        <v>800</v>
      </c>
    </row>
    <row r="43" spans="4:24">
      <c r="E43" t="s">
        <v>822</v>
      </c>
      <c r="G43" t="s">
        <v>813</v>
      </c>
      <c r="H43" t="s">
        <v>823</v>
      </c>
      <c r="Q43" t="s">
        <v>1166</v>
      </c>
      <c r="R43" t="s">
        <v>368</v>
      </c>
      <c r="S43" t="s">
        <v>1155</v>
      </c>
      <c r="T43">
        <v>100</v>
      </c>
      <c r="U43" t="s">
        <v>1156</v>
      </c>
    </row>
    <row r="44" spans="4:24">
      <c r="G44" t="s">
        <v>766</v>
      </c>
      <c r="H44" t="s">
        <v>824</v>
      </c>
      <c r="Q44" t="s">
        <v>1166</v>
      </c>
      <c r="R44" t="s">
        <v>368</v>
      </c>
      <c r="S44" t="s">
        <v>1157</v>
      </c>
      <c r="T44">
        <v>220</v>
      </c>
      <c r="U44">
        <v>30</v>
      </c>
      <c r="V44">
        <v>1</v>
      </c>
      <c r="W44">
        <v>1</v>
      </c>
      <c r="X44">
        <v>1</v>
      </c>
    </row>
    <row r="45" spans="4:24">
      <c r="E45" t="s">
        <v>825</v>
      </c>
      <c r="G45" t="s">
        <v>795</v>
      </c>
      <c r="H45" t="s">
        <v>830</v>
      </c>
      <c r="M45" t="s">
        <v>1178</v>
      </c>
      <c r="Q45" t="s">
        <v>1166</v>
      </c>
      <c r="R45" t="s">
        <v>368</v>
      </c>
      <c r="S45" t="s">
        <v>1158</v>
      </c>
      <c r="T45">
        <v>2700</v>
      </c>
      <c r="U45">
        <v>220</v>
      </c>
      <c r="V45">
        <v>10</v>
      </c>
      <c r="W45">
        <v>6</v>
      </c>
      <c r="X45">
        <v>9</v>
      </c>
    </row>
    <row r="46" spans="4:24">
      <c r="G46" t="s">
        <v>826</v>
      </c>
      <c r="H46" t="s">
        <v>831</v>
      </c>
      <c r="Q46" t="s">
        <v>1166</v>
      </c>
      <c r="R46" t="s">
        <v>1168</v>
      </c>
      <c r="S46" t="s">
        <v>1105</v>
      </c>
      <c r="T46">
        <v>4560</v>
      </c>
      <c r="U46">
        <v>1000</v>
      </c>
      <c r="W46">
        <v>35</v>
      </c>
    </row>
    <row r="47" spans="4:24">
      <c r="G47" t="s">
        <v>807</v>
      </c>
      <c r="H47" t="s">
        <v>827</v>
      </c>
      <c r="Q47" t="s">
        <v>1167</v>
      </c>
      <c r="R47" t="s">
        <v>1058</v>
      </c>
      <c r="S47" t="s">
        <v>1159</v>
      </c>
      <c r="T47">
        <v>300</v>
      </c>
      <c r="U47">
        <v>80</v>
      </c>
      <c r="V47">
        <v>2</v>
      </c>
      <c r="W47">
        <v>2</v>
      </c>
      <c r="X47">
        <v>2</v>
      </c>
    </row>
    <row r="48" spans="4:24">
      <c r="G48" t="s">
        <v>828</v>
      </c>
      <c r="H48" t="s">
        <v>829</v>
      </c>
      <c r="Q48" t="s">
        <v>1167</v>
      </c>
      <c r="R48" t="s">
        <v>1058</v>
      </c>
      <c r="S48" t="s">
        <v>1160</v>
      </c>
      <c r="T48">
        <v>600</v>
      </c>
      <c r="U48">
        <v>150</v>
      </c>
      <c r="V48">
        <v>18</v>
      </c>
    </row>
    <row r="49" spans="5:24">
      <c r="G49" t="s">
        <v>778</v>
      </c>
      <c r="H49" t="s">
        <v>832</v>
      </c>
      <c r="Q49" t="s">
        <v>1167</v>
      </c>
      <c r="R49" t="s">
        <v>1169</v>
      </c>
      <c r="S49" t="s">
        <v>1161</v>
      </c>
      <c r="T49">
        <v>5000</v>
      </c>
      <c r="U49">
        <v>1120</v>
      </c>
    </row>
    <row r="50" spans="5:24">
      <c r="G50" t="s">
        <v>833</v>
      </c>
      <c r="H50" t="s">
        <v>834</v>
      </c>
      <c r="Q50" t="s">
        <v>1167</v>
      </c>
      <c r="R50" t="s">
        <v>1170</v>
      </c>
      <c r="S50" t="s">
        <v>1162</v>
      </c>
      <c r="T50">
        <v>3640</v>
      </c>
      <c r="U50" t="s">
        <v>1165</v>
      </c>
    </row>
    <row r="51" spans="5:24">
      <c r="E51" t="s">
        <v>835</v>
      </c>
      <c r="G51" t="s">
        <v>759</v>
      </c>
      <c r="H51" t="s">
        <v>836</v>
      </c>
      <c r="M51" t="s">
        <v>1175</v>
      </c>
      <c r="Q51" t="s">
        <v>1167</v>
      </c>
      <c r="R51" t="s">
        <v>1170</v>
      </c>
      <c r="S51" t="s">
        <v>1163</v>
      </c>
      <c r="T51">
        <v>1960</v>
      </c>
      <c r="U51" s="1" t="s">
        <v>1164</v>
      </c>
      <c r="X51">
        <v>20</v>
      </c>
    </row>
    <row r="52" spans="5:24">
      <c r="G52" t="s">
        <v>837</v>
      </c>
      <c r="H52" t="s">
        <v>829</v>
      </c>
      <c r="M52" t="s">
        <v>1117</v>
      </c>
      <c r="Q52" t="s">
        <v>1166</v>
      </c>
      <c r="R52" t="s">
        <v>1168</v>
      </c>
      <c r="S52" t="s">
        <v>370</v>
      </c>
      <c r="T52">
        <v>2040</v>
      </c>
      <c r="U52">
        <v>800</v>
      </c>
      <c r="W52">
        <v>15</v>
      </c>
    </row>
    <row r="53" spans="5:24">
      <c r="G53" t="s">
        <v>755</v>
      </c>
      <c r="H53" t="s">
        <v>838</v>
      </c>
      <c r="M53" t="s">
        <v>836</v>
      </c>
      <c r="Q53" t="s">
        <v>1166</v>
      </c>
      <c r="R53" t="s">
        <v>1171</v>
      </c>
      <c r="S53" t="s">
        <v>372</v>
      </c>
      <c r="T53">
        <v>400</v>
      </c>
      <c r="U53">
        <v>120</v>
      </c>
      <c r="V53">
        <v>4</v>
      </c>
      <c r="W53">
        <v>4</v>
      </c>
      <c r="X53">
        <v>4</v>
      </c>
    </row>
    <row r="54" spans="5:24">
      <c r="G54" t="s">
        <v>839</v>
      </c>
      <c r="H54" t="s">
        <v>840</v>
      </c>
      <c r="M54" t="s">
        <v>371</v>
      </c>
    </row>
    <row r="55" spans="5:24">
      <c r="G55" t="s">
        <v>815</v>
      </c>
      <c r="H55" t="s">
        <v>274</v>
      </c>
      <c r="M55" t="s">
        <v>370</v>
      </c>
    </row>
    <row r="56" spans="5:24">
      <c r="G56" t="s">
        <v>766</v>
      </c>
      <c r="H56" t="s">
        <v>841</v>
      </c>
      <c r="Q56" t="s">
        <v>1173</v>
      </c>
      <c r="S56" t="s">
        <v>370</v>
      </c>
    </row>
    <row r="57" spans="5:24">
      <c r="G57" t="s">
        <v>764</v>
      </c>
      <c r="H57" t="s">
        <v>842</v>
      </c>
      <c r="Q57" t="s">
        <v>1174</v>
      </c>
      <c r="S57" t="s">
        <v>1176</v>
      </c>
    </row>
    <row r="58" spans="5:24">
      <c r="E58" t="s">
        <v>843</v>
      </c>
      <c r="G58" t="s">
        <v>844</v>
      </c>
      <c r="H58" t="s">
        <v>845</v>
      </c>
      <c r="Q58" t="s">
        <v>825</v>
      </c>
      <c r="S58" t="s">
        <v>1117</v>
      </c>
    </row>
    <row r="59" spans="5:24">
      <c r="G59" t="s">
        <v>846</v>
      </c>
      <c r="H59" t="s">
        <v>829</v>
      </c>
      <c r="Q59" t="s">
        <v>843</v>
      </c>
      <c r="S59" t="s">
        <v>371</v>
      </c>
    </row>
    <row r="60" spans="5:24">
      <c r="G60" t="s">
        <v>847</v>
      </c>
      <c r="H60" t="s">
        <v>848</v>
      </c>
      <c r="Q60" t="s">
        <v>835</v>
      </c>
      <c r="S60" t="s">
        <v>1177</v>
      </c>
    </row>
    <row r="61" spans="5:24">
      <c r="G61" t="s">
        <v>777</v>
      </c>
      <c r="H61" t="s">
        <v>849</v>
      </c>
    </row>
    <row r="62" spans="5:24">
      <c r="G62" t="s">
        <v>779</v>
      </c>
      <c r="H62" t="s">
        <v>850</v>
      </c>
      <c r="P62" t="s">
        <v>1172</v>
      </c>
    </row>
    <row r="63" spans="5:24">
      <c r="P63" t="s">
        <v>28</v>
      </c>
      <c r="Q63" t="s">
        <v>0</v>
      </c>
    </row>
    <row r="64" spans="5:24">
      <c r="P64">
        <v>3552</v>
      </c>
      <c r="Q64">
        <v>823</v>
      </c>
      <c r="R64">
        <v>209</v>
      </c>
      <c r="S64">
        <v>239</v>
      </c>
      <c r="T64">
        <v>216</v>
      </c>
      <c r="U64">
        <v>1138</v>
      </c>
      <c r="V64">
        <v>1456</v>
      </c>
      <c r="W64">
        <v>871</v>
      </c>
      <c r="X64">
        <v>1309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59"/>
  <sheetViews>
    <sheetView topLeftCell="A34" workbookViewId="0">
      <selection activeCell="I9" sqref="I9"/>
    </sheetView>
  </sheetViews>
  <sheetFormatPr defaultRowHeight="15"/>
  <cols>
    <col min="4" max="4" width="13.5703125" customWidth="1"/>
    <col min="7" max="7" width="12.85546875" customWidth="1"/>
  </cols>
  <sheetData>
    <row r="4" spans="4:24">
      <c r="D4">
        <v>989</v>
      </c>
      <c r="E4" t="s">
        <v>860</v>
      </c>
    </row>
    <row r="5" spans="4:24">
      <c r="D5">
        <v>279</v>
      </c>
      <c r="E5" t="s">
        <v>31</v>
      </c>
    </row>
    <row r="7" spans="4:24">
      <c r="M7" t="s">
        <v>861</v>
      </c>
      <c r="Q7" t="s">
        <v>862</v>
      </c>
      <c r="V7" t="s">
        <v>48</v>
      </c>
    </row>
    <row r="8" spans="4:24">
      <c r="D8" t="s">
        <v>859</v>
      </c>
      <c r="E8" t="s">
        <v>851</v>
      </c>
      <c r="F8" t="s">
        <v>858</v>
      </c>
      <c r="G8" t="s">
        <v>852</v>
      </c>
      <c r="H8" t="s">
        <v>856</v>
      </c>
      <c r="I8" t="s">
        <v>853</v>
      </c>
      <c r="M8">
        <v>321</v>
      </c>
      <c r="Q8">
        <v>1128</v>
      </c>
      <c r="V8">
        <v>835</v>
      </c>
    </row>
    <row r="9" spans="4:24">
      <c r="D9" t="s">
        <v>854</v>
      </c>
      <c r="E9">
        <v>1011</v>
      </c>
      <c r="F9">
        <v>3</v>
      </c>
      <c r="G9">
        <v>1.7</v>
      </c>
      <c r="H9">
        <v>0.5</v>
      </c>
      <c r="I9">
        <f>(E9*F9*H9)/G9</f>
        <v>892.05882352941182</v>
      </c>
      <c r="M9">
        <v>362</v>
      </c>
      <c r="Q9">
        <v>1124</v>
      </c>
      <c r="V9">
        <v>932</v>
      </c>
    </row>
    <row r="10" spans="4:24">
      <c r="D10" t="s">
        <v>855</v>
      </c>
      <c r="E10">
        <v>400</v>
      </c>
      <c r="F10">
        <v>6</v>
      </c>
      <c r="G10">
        <v>2</v>
      </c>
      <c r="H10">
        <v>0.5</v>
      </c>
      <c r="I10">
        <f>(E10*F10*H10)/G10</f>
        <v>600</v>
      </c>
      <c r="M10">
        <v>313</v>
      </c>
      <c r="Q10">
        <v>908</v>
      </c>
      <c r="V10">
        <v>677</v>
      </c>
    </row>
    <row r="11" spans="4:24">
      <c r="D11" t="s">
        <v>230</v>
      </c>
      <c r="E11">
        <v>250</v>
      </c>
      <c r="F11">
        <v>5</v>
      </c>
      <c r="G11">
        <v>3</v>
      </c>
      <c r="H11">
        <v>0.6</v>
      </c>
      <c r="I11">
        <f>(E11*F11*H11)/G11</f>
        <v>250</v>
      </c>
      <c r="M11">
        <v>379</v>
      </c>
      <c r="Q11">
        <v>1051</v>
      </c>
      <c r="V11">
        <v>977</v>
      </c>
    </row>
    <row r="12" spans="4:24">
      <c r="D12" t="s">
        <v>273</v>
      </c>
      <c r="E12">
        <v>353</v>
      </c>
      <c r="F12">
        <v>4</v>
      </c>
      <c r="G12">
        <v>1.6</v>
      </c>
      <c r="H12">
        <v>0.75</v>
      </c>
      <c r="I12">
        <f>(E12*F12*H12)/G12</f>
        <v>661.875</v>
      </c>
      <c r="M12">
        <v>385</v>
      </c>
      <c r="Q12">
        <v>990</v>
      </c>
      <c r="V12">
        <v>894</v>
      </c>
    </row>
    <row r="13" spans="4:24">
      <c r="D13" t="s">
        <v>857</v>
      </c>
      <c r="E13">
        <v>766</v>
      </c>
      <c r="F13">
        <v>1</v>
      </c>
      <c r="G13">
        <v>1.3</v>
      </c>
      <c r="H13">
        <v>1</v>
      </c>
      <c r="I13">
        <f>(E13*F13*H13)/G13</f>
        <v>589.23076923076917</v>
      </c>
      <c r="M13">
        <v>353</v>
      </c>
      <c r="Q13">
        <v>957</v>
      </c>
      <c r="V13">
        <v>801</v>
      </c>
    </row>
    <row r="14" spans="4:24">
      <c r="M14">
        <v>332</v>
      </c>
      <c r="Q14">
        <v>1118</v>
      </c>
      <c r="S14">
        <f>AVERAGE(Q8:Q21)</f>
        <v>1011.7142857142857</v>
      </c>
      <c r="V14">
        <v>593</v>
      </c>
    </row>
    <row r="15" spans="4:24">
      <c r="M15">
        <v>376</v>
      </c>
      <c r="Q15">
        <v>947</v>
      </c>
      <c r="V15">
        <v>672</v>
      </c>
      <c r="X15">
        <f>AVERAGE(V8:V26)</f>
        <v>766.36842105263156</v>
      </c>
    </row>
    <row r="16" spans="4:24">
      <c r="M16">
        <v>328</v>
      </c>
      <c r="O16">
        <f>AVERAGE(M8:M26)</f>
        <v>353.10526315789474</v>
      </c>
      <c r="Q16">
        <v>942</v>
      </c>
      <c r="V16">
        <v>972</v>
      </c>
    </row>
    <row r="17" spans="13:22">
      <c r="M17">
        <v>368</v>
      </c>
      <c r="Q17">
        <v>946</v>
      </c>
      <c r="V17">
        <v>617</v>
      </c>
    </row>
    <row r="18" spans="13:22">
      <c r="M18">
        <v>338</v>
      </c>
      <c r="Q18">
        <v>993</v>
      </c>
      <c r="V18">
        <v>609</v>
      </c>
    </row>
    <row r="19" spans="13:22">
      <c r="M19">
        <v>327</v>
      </c>
      <c r="Q19">
        <v>1046</v>
      </c>
      <c r="V19">
        <v>660</v>
      </c>
    </row>
    <row r="20" spans="13:22">
      <c r="M20">
        <v>350</v>
      </c>
      <c r="Q20">
        <v>887</v>
      </c>
      <c r="V20">
        <v>973</v>
      </c>
    </row>
    <row r="21" spans="13:22">
      <c r="M21">
        <v>390</v>
      </c>
      <c r="Q21">
        <v>1127</v>
      </c>
      <c r="V21">
        <v>660</v>
      </c>
    </row>
    <row r="22" spans="13:22">
      <c r="M22">
        <v>316</v>
      </c>
      <c r="V22">
        <v>582</v>
      </c>
    </row>
    <row r="23" spans="13:22">
      <c r="M23">
        <v>320</v>
      </c>
      <c r="V23">
        <v>915</v>
      </c>
    </row>
    <row r="24" spans="13:22">
      <c r="M24">
        <v>392</v>
      </c>
      <c r="V24">
        <v>633</v>
      </c>
    </row>
    <row r="25" spans="13:22">
      <c r="M25">
        <v>361</v>
      </c>
      <c r="V25">
        <v>621</v>
      </c>
    </row>
    <row r="26" spans="13:22">
      <c r="M26">
        <v>398</v>
      </c>
      <c r="V26">
        <v>938</v>
      </c>
    </row>
    <row r="31" spans="13:22">
      <c r="M31" t="s">
        <v>863</v>
      </c>
      <c r="O31" t="s">
        <v>865</v>
      </c>
    </row>
    <row r="32" spans="13:22">
      <c r="M32" t="s">
        <v>864</v>
      </c>
      <c r="O32" t="s">
        <v>866</v>
      </c>
    </row>
    <row r="40" spans="5:12">
      <c r="G40" t="s">
        <v>867</v>
      </c>
    </row>
    <row r="41" spans="5:12">
      <c r="F41" t="s">
        <v>862</v>
      </c>
      <c r="G41" t="s">
        <v>264</v>
      </c>
      <c r="L41" t="s">
        <v>868</v>
      </c>
    </row>
    <row r="42" spans="5:12">
      <c r="F42">
        <v>2477</v>
      </c>
      <c r="G42">
        <v>794</v>
      </c>
      <c r="L42">
        <v>851</v>
      </c>
    </row>
    <row r="43" spans="5:12">
      <c r="F43">
        <v>2443</v>
      </c>
      <c r="G43">
        <v>941</v>
      </c>
      <c r="L43">
        <v>1001</v>
      </c>
    </row>
    <row r="44" spans="5:12">
      <c r="F44">
        <v>2580</v>
      </c>
      <c r="G44">
        <v>808</v>
      </c>
      <c r="L44">
        <v>972</v>
      </c>
    </row>
    <row r="45" spans="5:12">
      <c r="F45">
        <v>2739</v>
      </c>
      <c r="G45">
        <v>884</v>
      </c>
      <c r="L45">
        <v>947</v>
      </c>
    </row>
    <row r="46" spans="5:12">
      <c r="F46">
        <v>2494</v>
      </c>
      <c r="G46">
        <v>939</v>
      </c>
      <c r="L46">
        <v>857</v>
      </c>
    </row>
    <row r="47" spans="5:12">
      <c r="F47">
        <v>2312</v>
      </c>
      <c r="G47">
        <v>793</v>
      </c>
      <c r="L47">
        <v>853</v>
      </c>
    </row>
    <row r="48" spans="5:12">
      <c r="E48">
        <f>AVERAGE(F42:F63)</f>
        <v>2498.3636363636365</v>
      </c>
      <c r="F48">
        <v>2594</v>
      </c>
      <c r="G48">
        <v>906</v>
      </c>
      <c r="H48">
        <f>AVERAGE(G42:G58)</f>
        <v>856.52941176470586</v>
      </c>
      <c r="J48">
        <f>H48*8</f>
        <v>6852.2352941176468</v>
      </c>
      <c r="L48">
        <v>930</v>
      </c>
    </row>
    <row r="49" spans="6:14">
      <c r="F49">
        <v>2300</v>
      </c>
      <c r="G49">
        <v>920</v>
      </c>
      <c r="L49">
        <v>839</v>
      </c>
      <c r="N49">
        <f>AVERAGE(L42:L59)</f>
        <v>915.44444444444446</v>
      </c>
    </row>
    <row r="50" spans="6:14">
      <c r="F50">
        <v>2698</v>
      </c>
      <c r="G50">
        <v>785</v>
      </c>
      <c r="L50">
        <v>927</v>
      </c>
      <c r="N50">
        <f>N49/H48</f>
        <v>1.0687834321513328</v>
      </c>
    </row>
    <row r="51" spans="6:14">
      <c r="F51">
        <v>2664</v>
      </c>
      <c r="G51">
        <v>916</v>
      </c>
      <c r="L51">
        <v>790</v>
      </c>
    </row>
    <row r="52" spans="6:14">
      <c r="F52">
        <v>2181</v>
      </c>
      <c r="G52">
        <v>809</v>
      </c>
      <c r="L52">
        <v>948</v>
      </c>
    </row>
    <row r="53" spans="6:14">
      <c r="G53">
        <v>928</v>
      </c>
      <c r="L53">
        <v>979</v>
      </c>
    </row>
    <row r="54" spans="6:14">
      <c r="G54">
        <v>783</v>
      </c>
      <c r="L54">
        <v>979</v>
      </c>
    </row>
    <row r="55" spans="6:14">
      <c r="G55">
        <v>791</v>
      </c>
      <c r="L55">
        <v>954</v>
      </c>
    </row>
    <row r="56" spans="6:14">
      <c r="G56">
        <v>888</v>
      </c>
      <c r="L56">
        <v>975</v>
      </c>
    </row>
    <row r="57" spans="6:14">
      <c r="G57">
        <v>893</v>
      </c>
      <c r="L57">
        <v>790</v>
      </c>
    </row>
    <row r="58" spans="6:14">
      <c r="G58">
        <v>783</v>
      </c>
      <c r="L58">
        <v>876</v>
      </c>
    </row>
    <row r="59" spans="6:14">
      <c r="L59">
        <v>1010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5"/>
  <sheetViews>
    <sheetView workbookViewId="0">
      <selection activeCell="D11" sqref="D11"/>
    </sheetView>
  </sheetViews>
  <sheetFormatPr defaultRowHeight="15"/>
  <sheetData>
    <row r="7" spans="4:11">
      <c r="D7" t="s">
        <v>220</v>
      </c>
    </row>
    <row r="8" spans="4:11">
      <c r="D8" t="s">
        <v>221</v>
      </c>
    </row>
    <row r="10" spans="4:11">
      <c r="D10" t="s">
        <v>222</v>
      </c>
      <c r="I10" t="s">
        <v>227</v>
      </c>
      <c r="J10" t="s">
        <v>228</v>
      </c>
    </row>
    <row r="11" spans="4:11">
      <c r="D11" t="s">
        <v>223</v>
      </c>
    </row>
    <row r="12" spans="4:11">
      <c r="I12">
        <v>37</v>
      </c>
      <c r="J12" t="s">
        <v>93</v>
      </c>
    </row>
    <row r="13" spans="4:11">
      <c r="D13" t="s">
        <v>226</v>
      </c>
      <c r="H13" t="s">
        <v>121</v>
      </c>
    </row>
    <row r="14" spans="4:11">
      <c r="H14">
        <v>3</v>
      </c>
      <c r="I14">
        <f>I12*H14</f>
        <v>111</v>
      </c>
      <c r="J14">
        <f>I14*2</f>
        <v>222</v>
      </c>
      <c r="K14">
        <f>I14*3</f>
        <v>333</v>
      </c>
    </row>
    <row r="15" spans="4:11">
      <c r="H15">
        <v>4</v>
      </c>
      <c r="I15">
        <f>I12*H15</f>
        <v>148</v>
      </c>
      <c r="J15">
        <f>I15*2</f>
        <v>296</v>
      </c>
      <c r="K15">
        <f>I15*3</f>
        <v>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73"/>
  <sheetViews>
    <sheetView topLeftCell="A43" workbookViewId="0">
      <selection activeCell="G36" sqref="G36"/>
    </sheetView>
  </sheetViews>
  <sheetFormatPr defaultRowHeight="15"/>
  <sheetData>
    <row r="6" spans="4:16" ht="15.75" thickBot="1"/>
    <row r="7" spans="4:16">
      <c r="D7" s="2"/>
      <c r="E7" s="3"/>
      <c r="F7" s="3"/>
      <c r="G7" s="3"/>
      <c r="H7" s="3"/>
      <c r="I7" s="3" t="s">
        <v>60</v>
      </c>
      <c r="J7" s="3" t="s">
        <v>0</v>
      </c>
      <c r="K7" s="3" t="s">
        <v>103</v>
      </c>
      <c r="L7" s="3" t="s">
        <v>147</v>
      </c>
      <c r="M7" s="3" t="s">
        <v>148</v>
      </c>
      <c r="N7" s="4" t="s">
        <v>149</v>
      </c>
    </row>
    <row r="8" spans="4:16">
      <c r="D8" s="5"/>
      <c r="E8" s="6" t="s">
        <v>139</v>
      </c>
      <c r="F8" s="6" t="s">
        <v>140</v>
      </c>
      <c r="G8" s="6" t="s">
        <v>141</v>
      </c>
      <c r="H8" s="11" t="s">
        <v>142</v>
      </c>
      <c r="I8" s="11">
        <v>0</v>
      </c>
      <c r="J8" s="6">
        <v>156</v>
      </c>
      <c r="K8" s="6">
        <v>74</v>
      </c>
      <c r="L8" s="11">
        <v>1</v>
      </c>
      <c r="M8" s="6">
        <f>L8*K8</f>
        <v>74</v>
      </c>
      <c r="N8">
        <f>J8</f>
        <v>156</v>
      </c>
      <c r="P8" s="7"/>
    </row>
    <row r="9" spans="4:16">
      <c r="D9" s="5"/>
      <c r="E9" t="s">
        <v>59</v>
      </c>
      <c r="F9" s="6" t="s">
        <v>155</v>
      </c>
      <c r="G9" s="6" t="s">
        <v>156</v>
      </c>
      <c r="H9" s="11" t="s">
        <v>157</v>
      </c>
      <c r="I9" s="6">
        <v>1</v>
      </c>
      <c r="J9" s="6">
        <v>72</v>
      </c>
      <c r="K9" s="6">
        <v>68</v>
      </c>
      <c r="L9" s="11">
        <v>2</v>
      </c>
      <c r="M9" s="6">
        <f>M8+L9*K9</f>
        <v>210</v>
      </c>
      <c r="N9">
        <f>L9*J9</f>
        <v>144</v>
      </c>
      <c r="P9" s="7"/>
    </row>
    <row r="10" spans="4:16">
      <c r="D10" s="5"/>
      <c r="E10" s="6" t="s">
        <v>143</v>
      </c>
      <c r="F10" s="6"/>
      <c r="G10" s="6"/>
      <c r="H10" s="6"/>
      <c r="I10" s="6">
        <v>2</v>
      </c>
      <c r="J10" s="12" t="s">
        <v>150</v>
      </c>
      <c r="K10" s="6">
        <v>62</v>
      </c>
      <c r="L10" s="6"/>
      <c r="M10" s="6"/>
      <c r="P10" s="7"/>
    </row>
    <row r="11" spans="4:16">
      <c r="D11" s="5"/>
      <c r="E11" s="6"/>
      <c r="F11" s="6"/>
      <c r="G11" s="6"/>
      <c r="H11" s="6"/>
      <c r="I11" s="11">
        <v>3</v>
      </c>
      <c r="J11" s="6">
        <v>48</v>
      </c>
      <c r="K11" s="11">
        <v>56</v>
      </c>
      <c r="L11" s="11">
        <v>3</v>
      </c>
      <c r="M11" s="6"/>
      <c r="N11" s="6"/>
      <c r="O11" s="6"/>
      <c r="P11" s="7"/>
    </row>
    <row r="12" spans="4:16">
      <c r="D12" s="5"/>
      <c r="E12" s="6"/>
      <c r="F12" s="6"/>
      <c r="G12" s="6"/>
      <c r="H12" s="6"/>
      <c r="I12" s="11">
        <v>4</v>
      </c>
      <c r="J12" s="12" t="s">
        <v>150</v>
      </c>
      <c r="K12" s="11">
        <v>50</v>
      </c>
      <c r="L12" s="6"/>
      <c r="M12" s="6"/>
      <c r="N12" s="6"/>
      <c r="O12" s="6"/>
      <c r="P12" s="7"/>
    </row>
    <row r="13" spans="4:16">
      <c r="D13" s="5"/>
      <c r="E13" s="6" t="s">
        <v>144</v>
      </c>
      <c r="F13" s="6"/>
      <c r="G13" s="6"/>
      <c r="H13" s="6"/>
      <c r="I13" s="11">
        <v>5</v>
      </c>
      <c r="J13" s="11">
        <v>24</v>
      </c>
      <c r="K13" s="11">
        <v>44</v>
      </c>
      <c r="L13" s="11">
        <v>7</v>
      </c>
      <c r="M13" s="6"/>
      <c r="N13" s="6"/>
      <c r="O13" s="6"/>
      <c r="P13" s="7"/>
    </row>
    <row r="14" spans="4:16">
      <c r="D14" s="5"/>
      <c r="E14" s="6" t="s">
        <v>145</v>
      </c>
      <c r="F14" s="6"/>
      <c r="G14" s="6" t="s">
        <v>146</v>
      </c>
      <c r="H14" s="6"/>
      <c r="I14" s="11">
        <v>6</v>
      </c>
      <c r="J14" s="6"/>
      <c r="K14" s="11">
        <v>38</v>
      </c>
      <c r="L14" s="6"/>
      <c r="M14" s="6"/>
      <c r="N14" s="6"/>
      <c r="O14" s="6"/>
      <c r="P14" s="7"/>
    </row>
    <row r="15" spans="4:16">
      <c r="D15" s="5"/>
      <c r="E15" s="6"/>
      <c r="F15" s="6"/>
      <c r="G15" s="6"/>
      <c r="H15" s="6"/>
      <c r="I15" s="11">
        <v>7</v>
      </c>
      <c r="J15" s="6"/>
      <c r="K15" s="6"/>
      <c r="L15" s="6"/>
      <c r="M15" s="6"/>
      <c r="N15" s="6"/>
      <c r="O15" s="6"/>
      <c r="P15" s="7"/>
    </row>
    <row r="16" spans="4:16">
      <c r="D16" s="5"/>
      <c r="E16" s="6"/>
      <c r="F16" s="6"/>
      <c r="G16" s="6"/>
      <c r="H16" s="6"/>
      <c r="I16" s="11">
        <v>8</v>
      </c>
      <c r="J16" s="6">
        <v>12</v>
      </c>
      <c r="K16" s="6"/>
      <c r="L16" s="6">
        <v>14</v>
      </c>
      <c r="M16" s="6"/>
      <c r="N16" s="6"/>
      <c r="O16" s="6"/>
      <c r="P16" s="7"/>
    </row>
    <row r="17" spans="4:16">
      <c r="D17" s="5"/>
      <c r="E17" s="6"/>
      <c r="F17" s="6"/>
      <c r="G17" s="6"/>
      <c r="H17" s="6"/>
      <c r="I17" s="11">
        <v>11</v>
      </c>
      <c r="J17" s="6">
        <v>12</v>
      </c>
      <c r="K17" s="6"/>
      <c r="L17" s="6">
        <v>14</v>
      </c>
      <c r="M17" s="6"/>
      <c r="N17" s="6"/>
      <c r="O17" s="6"/>
      <c r="P17" s="7"/>
    </row>
    <row r="18" spans="4:16">
      <c r="D18" s="5"/>
      <c r="E18" s="6"/>
      <c r="F18" s="6" t="s">
        <v>151</v>
      </c>
      <c r="G18" s="6"/>
      <c r="H18" s="6"/>
      <c r="I18" s="11">
        <v>13</v>
      </c>
      <c r="J18" s="11">
        <v>12</v>
      </c>
      <c r="K18" s="6"/>
      <c r="L18" s="11">
        <v>14</v>
      </c>
      <c r="M18" s="6"/>
      <c r="N18" s="6"/>
      <c r="O18" s="6"/>
      <c r="P18" s="7"/>
    </row>
    <row r="19" spans="4:16">
      <c r="D19" s="5"/>
      <c r="E19" s="6"/>
      <c r="F19" s="6"/>
      <c r="G19" s="6"/>
      <c r="H19" s="6"/>
      <c r="I19" s="11">
        <v>15</v>
      </c>
      <c r="J19" s="11">
        <v>12</v>
      </c>
      <c r="K19" s="6"/>
      <c r="L19" s="11">
        <v>14</v>
      </c>
      <c r="M19" s="6"/>
      <c r="N19" s="6"/>
      <c r="O19" s="6"/>
      <c r="P19" s="7"/>
    </row>
    <row r="20" spans="4:16">
      <c r="D20" s="5"/>
      <c r="E20" s="6"/>
      <c r="F20" s="6"/>
      <c r="G20" s="6"/>
      <c r="H20" s="6"/>
      <c r="I20" s="11">
        <v>16</v>
      </c>
      <c r="J20" s="11">
        <v>12</v>
      </c>
      <c r="K20" s="6"/>
      <c r="L20" s="6"/>
      <c r="M20" s="6"/>
      <c r="N20" s="6"/>
      <c r="O20" s="6"/>
      <c r="P20" s="7"/>
    </row>
    <row r="21" spans="4:16" ht="15.75" thickBot="1">
      <c r="D21" s="8"/>
      <c r="E21" s="9"/>
      <c r="F21" s="9"/>
      <c r="G21" s="9"/>
      <c r="H21" s="9"/>
      <c r="I21" s="9">
        <v>17</v>
      </c>
      <c r="J21" s="9"/>
      <c r="K21" s="9"/>
      <c r="L21" s="9"/>
      <c r="M21" s="9"/>
      <c r="N21" s="9"/>
      <c r="O21" s="9"/>
      <c r="P21" s="10"/>
    </row>
    <row r="24" spans="4:16">
      <c r="F24" t="s">
        <v>152</v>
      </c>
    </row>
    <row r="25" spans="4:16">
      <c r="M25" t="s">
        <v>154</v>
      </c>
    </row>
    <row r="26" spans="4:16">
      <c r="F26" t="s">
        <v>153</v>
      </c>
      <c r="G26">
        <v>20</v>
      </c>
      <c r="H26">
        <v>432</v>
      </c>
    </row>
    <row r="27" spans="4:16">
      <c r="G27">
        <v>21</v>
      </c>
      <c r="H27">
        <v>336</v>
      </c>
      <c r="I27">
        <f>H26-H27</f>
        <v>96</v>
      </c>
      <c r="J27">
        <f>I27/24</f>
        <v>4</v>
      </c>
    </row>
    <row r="28" spans="4:16">
      <c r="G28">
        <v>22</v>
      </c>
      <c r="H28">
        <f>H27-96</f>
        <v>240</v>
      </c>
    </row>
    <row r="29" spans="4:16">
      <c r="G29">
        <v>23</v>
      </c>
      <c r="H29">
        <f>H28-96</f>
        <v>144</v>
      </c>
    </row>
    <row r="35" spans="5:15">
      <c r="F35" t="s">
        <v>158</v>
      </c>
      <c r="N35" t="s">
        <v>164</v>
      </c>
    </row>
    <row r="36" spans="5:15">
      <c r="F36" t="s">
        <v>159</v>
      </c>
      <c r="G36">
        <v>546</v>
      </c>
      <c r="N36" t="s">
        <v>165</v>
      </c>
    </row>
    <row r="39" spans="5:15">
      <c r="G39">
        <v>0</v>
      </c>
      <c r="H39">
        <v>156</v>
      </c>
      <c r="I39">
        <v>1</v>
      </c>
      <c r="M39">
        <v>0</v>
      </c>
    </row>
    <row r="40" spans="5:15">
      <c r="G40">
        <v>1</v>
      </c>
      <c r="H40">
        <v>72</v>
      </c>
      <c r="I40">
        <v>7</v>
      </c>
      <c r="M40">
        <v>1</v>
      </c>
      <c r="N40">
        <v>72</v>
      </c>
      <c r="O40">
        <v>8</v>
      </c>
    </row>
    <row r="41" spans="5:15">
      <c r="G41">
        <v>6</v>
      </c>
      <c r="H41">
        <v>12</v>
      </c>
      <c r="I41">
        <v>45</v>
      </c>
    </row>
    <row r="42" spans="5:15">
      <c r="G42">
        <v>15</v>
      </c>
      <c r="H42">
        <v>12</v>
      </c>
      <c r="I42">
        <v>40</v>
      </c>
    </row>
    <row r="43" spans="5:15">
      <c r="G43">
        <v>18</v>
      </c>
      <c r="I43">
        <v>20</v>
      </c>
    </row>
    <row r="44" spans="5:15">
      <c r="G44">
        <v>19</v>
      </c>
      <c r="H44">
        <v>288</v>
      </c>
      <c r="I44">
        <v>1</v>
      </c>
      <c r="J44">
        <v>1</v>
      </c>
      <c r="K44">
        <v>1</v>
      </c>
    </row>
    <row r="45" spans="5:15">
      <c r="E45" t="s">
        <v>160</v>
      </c>
      <c r="G45">
        <v>20</v>
      </c>
      <c r="I45">
        <v>2</v>
      </c>
      <c r="M45">
        <v>810</v>
      </c>
      <c r="N45" t="s">
        <v>238</v>
      </c>
    </row>
    <row r="46" spans="5:15">
      <c r="G46">
        <v>21</v>
      </c>
      <c r="H46">
        <v>192</v>
      </c>
      <c r="I46">
        <v>2</v>
      </c>
      <c r="M46">
        <f>68*8</f>
        <v>544</v>
      </c>
    </row>
    <row r="47" spans="5:15">
      <c r="G47">
        <v>22</v>
      </c>
      <c r="H47">
        <v>144</v>
      </c>
      <c r="I47">
        <v>3</v>
      </c>
      <c r="M47">
        <f>M45/M46</f>
        <v>1.4889705882352942</v>
      </c>
    </row>
    <row r="48" spans="5:15">
      <c r="G48">
        <v>23</v>
      </c>
      <c r="H48">
        <v>96</v>
      </c>
      <c r="I48">
        <v>5</v>
      </c>
    </row>
    <row r="49" spans="7:15">
      <c r="G49">
        <v>24</v>
      </c>
      <c r="H49">
        <v>48</v>
      </c>
      <c r="I49">
        <v>11</v>
      </c>
    </row>
    <row r="50" spans="7:15">
      <c r="G50">
        <v>25</v>
      </c>
      <c r="H50">
        <v>48</v>
      </c>
      <c r="I50">
        <v>11</v>
      </c>
    </row>
    <row r="51" spans="7:15">
      <c r="G51">
        <v>27</v>
      </c>
      <c r="I51">
        <v>11</v>
      </c>
    </row>
    <row r="52" spans="7:15">
      <c r="G52">
        <v>29</v>
      </c>
      <c r="I52">
        <v>22</v>
      </c>
    </row>
    <row r="53" spans="7:15">
      <c r="G53">
        <v>30</v>
      </c>
      <c r="I53">
        <v>11</v>
      </c>
      <c r="M53" t="s">
        <v>162</v>
      </c>
    </row>
    <row r="54" spans="7:15">
      <c r="G54">
        <v>32</v>
      </c>
      <c r="I54">
        <v>11</v>
      </c>
      <c r="L54" t="s">
        <v>161</v>
      </c>
      <c r="M54">
        <v>946</v>
      </c>
    </row>
    <row r="55" spans="7:15">
      <c r="G55">
        <v>33</v>
      </c>
      <c r="I55">
        <v>11</v>
      </c>
      <c r="M55">
        <v>774</v>
      </c>
    </row>
    <row r="56" spans="7:15">
      <c r="G56">
        <v>34</v>
      </c>
      <c r="I56">
        <v>11</v>
      </c>
      <c r="M56">
        <v>602</v>
      </c>
      <c r="O56" t="s">
        <v>163</v>
      </c>
    </row>
    <row r="57" spans="7:15">
      <c r="G57">
        <v>35</v>
      </c>
      <c r="I57">
        <v>11</v>
      </c>
      <c r="L57">
        <v>41</v>
      </c>
      <c r="M57">
        <v>430</v>
      </c>
      <c r="N57">
        <v>258</v>
      </c>
      <c r="O57">
        <v>242</v>
      </c>
    </row>
    <row r="58" spans="7:15">
      <c r="G58">
        <v>36</v>
      </c>
      <c r="I58">
        <v>11</v>
      </c>
    </row>
    <row r="59" spans="7:15">
      <c r="G59">
        <v>36</v>
      </c>
      <c r="I59">
        <v>11</v>
      </c>
    </row>
    <row r="60" spans="7:15">
      <c r="G60">
        <v>37</v>
      </c>
      <c r="I60">
        <v>11</v>
      </c>
    </row>
    <row r="61" spans="7:15">
      <c r="G61">
        <v>38</v>
      </c>
    </row>
    <row r="64" spans="7:15">
      <c r="G64">
        <v>41</v>
      </c>
      <c r="H64">
        <v>242</v>
      </c>
      <c r="I64">
        <v>2</v>
      </c>
    </row>
    <row r="65" spans="7:9">
      <c r="G65">
        <v>42</v>
      </c>
      <c r="H65">
        <v>162</v>
      </c>
      <c r="I65">
        <v>3</v>
      </c>
    </row>
    <row r="66" spans="7:9">
      <c r="G66">
        <v>43</v>
      </c>
      <c r="H66">
        <v>81</v>
      </c>
      <c r="I66">
        <v>7</v>
      </c>
    </row>
    <row r="67" spans="7:9">
      <c r="G67">
        <v>44</v>
      </c>
      <c r="H67">
        <v>81</v>
      </c>
      <c r="I67">
        <v>7</v>
      </c>
    </row>
    <row r="68" spans="7:9">
      <c r="G68">
        <v>45</v>
      </c>
      <c r="H68">
        <v>81</v>
      </c>
      <c r="I68">
        <v>7</v>
      </c>
    </row>
    <row r="69" spans="7:9">
      <c r="G69">
        <v>46</v>
      </c>
      <c r="H69">
        <v>81</v>
      </c>
      <c r="I69">
        <v>7</v>
      </c>
    </row>
    <row r="73" spans="7:9">
      <c r="I73">
        <f>SUM(I64:I69)*4</f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40"/>
  <sheetViews>
    <sheetView workbookViewId="0">
      <selection activeCell="F15" sqref="D15:F15"/>
    </sheetView>
  </sheetViews>
  <sheetFormatPr defaultRowHeight="15"/>
  <cols>
    <col min="4" max="4" width="16.140625" customWidth="1"/>
    <col min="5" max="5" width="14.5703125" customWidth="1"/>
    <col min="6" max="6" width="16.140625" customWidth="1"/>
  </cols>
  <sheetData>
    <row r="3" spans="4:13">
      <c r="M3" t="s">
        <v>172</v>
      </c>
    </row>
    <row r="5" spans="4:13">
      <c r="E5" t="s">
        <v>167</v>
      </c>
      <c r="F5" t="s">
        <v>168</v>
      </c>
      <c r="M5" t="s">
        <v>175</v>
      </c>
    </row>
    <row r="6" spans="4:13">
      <c r="D6" t="s">
        <v>244</v>
      </c>
      <c r="E6" t="s">
        <v>245</v>
      </c>
      <c r="F6" t="s">
        <v>169</v>
      </c>
      <c r="M6" t="s">
        <v>176</v>
      </c>
    </row>
    <row r="7" spans="4:13">
      <c r="D7" t="s">
        <v>166</v>
      </c>
      <c r="F7" t="s">
        <v>243</v>
      </c>
      <c r="M7" t="s">
        <v>198</v>
      </c>
    </row>
    <row r="8" spans="4:13">
      <c r="D8" t="s">
        <v>170</v>
      </c>
      <c r="E8" t="s">
        <v>171</v>
      </c>
      <c r="F8" t="s">
        <v>171</v>
      </c>
      <c r="M8" t="s">
        <v>199</v>
      </c>
    </row>
    <row r="9" spans="4:13">
      <c r="D9" t="s">
        <v>173</v>
      </c>
      <c r="E9" t="s">
        <v>174</v>
      </c>
      <c r="F9" t="s">
        <v>174</v>
      </c>
      <c r="M9" t="s">
        <v>200</v>
      </c>
    </row>
    <row r="10" spans="4:13">
      <c r="D10" t="s">
        <v>177</v>
      </c>
      <c r="E10" t="s">
        <v>178</v>
      </c>
      <c r="F10" t="s">
        <v>178</v>
      </c>
      <c r="M10" t="s">
        <v>201</v>
      </c>
    </row>
    <row r="11" spans="4:13">
      <c r="D11" t="s">
        <v>179</v>
      </c>
      <c r="E11" t="s">
        <v>180</v>
      </c>
      <c r="F11" t="s">
        <v>180</v>
      </c>
      <c r="K11" t="s">
        <v>229</v>
      </c>
      <c r="M11" t="s">
        <v>202</v>
      </c>
    </row>
    <row r="12" spans="4:13">
      <c r="D12" t="s">
        <v>181</v>
      </c>
      <c r="E12" t="s">
        <v>182</v>
      </c>
      <c r="F12" t="s">
        <v>182</v>
      </c>
    </row>
    <row r="13" spans="4:13">
      <c r="D13" t="s">
        <v>183</v>
      </c>
      <c r="E13" t="s">
        <v>184</v>
      </c>
      <c r="F13" t="s">
        <v>184</v>
      </c>
    </row>
    <row r="14" spans="4:13">
      <c r="D14" t="s">
        <v>185</v>
      </c>
      <c r="E14" t="s">
        <v>178</v>
      </c>
      <c r="F14" t="s">
        <v>178</v>
      </c>
    </row>
    <row r="15" spans="4:13">
      <c r="D15" t="s">
        <v>186</v>
      </c>
      <c r="E15" t="s">
        <v>108</v>
      </c>
      <c r="F15" t="s">
        <v>108</v>
      </c>
    </row>
    <row r="16" spans="4:13">
      <c r="D16" t="s">
        <v>187</v>
      </c>
      <c r="E16" t="s">
        <v>188</v>
      </c>
      <c r="F16" t="s">
        <v>188</v>
      </c>
      <c r="K16" t="s">
        <v>193</v>
      </c>
    </row>
    <row r="17" spans="4:15">
      <c r="D17" t="s">
        <v>189</v>
      </c>
      <c r="E17" t="s">
        <v>190</v>
      </c>
      <c r="F17" t="s">
        <v>190</v>
      </c>
      <c r="J17" t="s">
        <v>194</v>
      </c>
      <c r="L17">
        <v>4</v>
      </c>
    </row>
    <row r="18" spans="4:15">
      <c r="D18" t="s">
        <v>191</v>
      </c>
      <c r="E18" t="s">
        <v>192</v>
      </c>
      <c r="F18" t="s">
        <v>192</v>
      </c>
      <c r="J18" t="s">
        <v>195</v>
      </c>
      <c r="L18">
        <v>6</v>
      </c>
    </row>
    <row r="19" spans="4:15">
      <c r="J19" t="s">
        <v>196</v>
      </c>
      <c r="L19">
        <v>6</v>
      </c>
    </row>
    <row r="20" spans="4:15">
      <c r="J20" t="s">
        <v>197</v>
      </c>
      <c r="L20">
        <v>15</v>
      </c>
    </row>
    <row r="24" spans="4:15">
      <c r="D24" t="s">
        <v>203</v>
      </c>
    </row>
    <row r="25" spans="4:15">
      <c r="D25" t="s">
        <v>204</v>
      </c>
      <c r="M25" t="s">
        <v>224</v>
      </c>
    </row>
    <row r="26" spans="4:15">
      <c r="D26" t="s">
        <v>205</v>
      </c>
      <c r="M26" t="s">
        <v>225</v>
      </c>
      <c r="N26" t="s">
        <v>140</v>
      </c>
      <c r="O26" t="s">
        <v>156</v>
      </c>
    </row>
    <row r="27" spans="4:15">
      <c r="D27" t="s">
        <v>206</v>
      </c>
    </row>
    <row r="28" spans="4:15">
      <c r="D28" t="s">
        <v>207</v>
      </c>
    </row>
    <row r="29" spans="4:15">
      <c r="D29" t="s">
        <v>208</v>
      </c>
    </row>
    <row r="30" spans="4:15">
      <c r="D30" t="s">
        <v>209</v>
      </c>
    </row>
    <row r="31" spans="4:15">
      <c r="D31" t="s">
        <v>210</v>
      </c>
    </row>
    <row r="32" spans="4:15">
      <c r="D32" t="s">
        <v>211</v>
      </c>
    </row>
    <row r="33" spans="4:8">
      <c r="D33" t="s">
        <v>212</v>
      </c>
    </row>
    <row r="34" spans="4:8">
      <c r="D34" t="s">
        <v>213</v>
      </c>
    </row>
    <row r="39" spans="4:8">
      <c r="F39" t="s">
        <v>244</v>
      </c>
      <c r="G39" t="s">
        <v>246</v>
      </c>
    </row>
    <row r="40" spans="4:8">
      <c r="G40" t="s">
        <v>247</v>
      </c>
      <c r="H40" t="s">
        <v>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L29"/>
  <sheetViews>
    <sheetView topLeftCell="A4" workbookViewId="0">
      <selection activeCell="E28" sqref="E28"/>
    </sheetView>
  </sheetViews>
  <sheetFormatPr defaultRowHeight="15"/>
  <sheetData>
    <row r="11" spans="5:12">
      <c r="E11" t="s">
        <v>230</v>
      </c>
      <c r="G11" t="s">
        <v>231</v>
      </c>
    </row>
    <row r="12" spans="5:12">
      <c r="E12" t="s">
        <v>233</v>
      </c>
      <c r="G12" t="s">
        <v>232</v>
      </c>
      <c r="L12" t="s">
        <v>237</v>
      </c>
    </row>
    <row r="13" spans="5:12">
      <c r="E13" t="s">
        <v>234</v>
      </c>
      <c r="G13" t="s">
        <v>232</v>
      </c>
    </row>
    <row r="14" spans="5:12">
      <c r="E14" t="s">
        <v>235</v>
      </c>
      <c r="G14" t="s">
        <v>236</v>
      </c>
    </row>
    <row r="15" spans="5:12">
      <c r="E15" t="s">
        <v>111</v>
      </c>
      <c r="G15" t="s">
        <v>249</v>
      </c>
    </row>
    <row r="16" spans="5:12">
      <c r="E16" t="s">
        <v>250</v>
      </c>
      <c r="G16" t="s">
        <v>251</v>
      </c>
    </row>
    <row r="17" spans="5:11">
      <c r="E17" t="s">
        <v>252</v>
      </c>
      <c r="G17" t="s">
        <v>253</v>
      </c>
    </row>
    <row r="18" spans="5:11">
      <c r="E18" t="s">
        <v>254</v>
      </c>
      <c r="G18" t="s">
        <v>255</v>
      </c>
    </row>
    <row r="19" spans="5:11">
      <c r="E19" t="s">
        <v>256</v>
      </c>
      <c r="G19" t="s">
        <v>259</v>
      </c>
      <c r="K19">
        <f>30*280</f>
        <v>8400</v>
      </c>
    </row>
    <row r="20" spans="5:11">
      <c r="E20" t="s">
        <v>257</v>
      </c>
      <c r="G20" t="s">
        <v>258</v>
      </c>
      <c r="K20">
        <f>25*5</f>
        <v>125</v>
      </c>
    </row>
    <row r="21" spans="5:11">
      <c r="E21" t="s">
        <v>260</v>
      </c>
      <c r="G21" t="s">
        <v>261</v>
      </c>
    </row>
    <row r="22" spans="5:11">
      <c r="E22" t="s">
        <v>262</v>
      </c>
      <c r="G22" t="s">
        <v>263</v>
      </c>
    </row>
    <row r="23" spans="5:11">
      <c r="E23" t="s">
        <v>264</v>
      </c>
      <c r="G23" t="s">
        <v>265</v>
      </c>
    </row>
    <row r="24" spans="5:11">
      <c r="E24" t="s">
        <v>266</v>
      </c>
      <c r="G24" t="s">
        <v>267</v>
      </c>
    </row>
    <row r="25" spans="5:11">
      <c r="E25" t="s">
        <v>268</v>
      </c>
      <c r="G25" t="s">
        <v>267</v>
      </c>
    </row>
    <row r="26" spans="5:11">
      <c r="E26" t="s">
        <v>269</v>
      </c>
      <c r="G26" t="s">
        <v>270</v>
      </c>
    </row>
    <row r="27" spans="5:11">
      <c r="E27" t="s">
        <v>271</v>
      </c>
      <c r="G27" t="s">
        <v>272</v>
      </c>
    </row>
    <row r="28" spans="5:11">
      <c r="E28" t="s">
        <v>273</v>
      </c>
      <c r="G28" t="s">
        <v>272</v>
      </c>
    </row>
    <row r="29" spans="5:11">
      <c r="E29" t="s">
        <v>274</v>
      </c>
      <c r="G29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Scratchpad</vt:lpstr>
      <vt:lpstr>Bonuses</vt:lpstr>
      <vt:lpstr>Rarity Table</vt:lpstr>
      <vt:lpstr>Late-game Chests</vt:lpstr>
      <vt:lpstr>Final Boss damages</vt:lpstr>
      <vt:lpstr>Timing</vt:lpstr>
      <vt:lpstr>Scratchpad2</vt:lpstr>
      <vt:lpstr>Tame List</vt:lpstr>
      <vt:lpstr>Useful Items</vt:lpstr>
      <vt:lpstr>Sheet2</vt:lpstr>
      <vt:lpstr>Timing Tests</vt:lpstr>
      <vt:lpstr>Debugging</vt:lpstr>
      <vt:lpstr>Early Game Plan</vt:lpstr>
      <vt:lpstr>Sheet3</vt:lpstr>
      <vt:lpstr>Sheet1</vt:lpstr>
      <vt:lpstr>Sheet3 (2)</vt:lpstr>
      <vt:lpstr>Sheet3 (3)</vt:lpstr>
      <vt:lpstr>Sheet3 (4)</vt:lpstr>
      <vt:lpstr>Sheet5</vt:lpstr>
      <vt:lpstr>Movement</vt:lpstr>
      <vt:lpstr>Movement Timing</vt:lpstr>
      <vt:lpstr>Sheet4</vt:lpstr>
      <vt:lpstr>Money</vt:lpstr>
      <vt:lpstr>Late Game Plan</vt:lpstr>
      <vt:lpstr>Crafting Route</vt:lpstr>
      <vt:lpstr>Requests</vt:lpstr>
      <vt:lpstr>Skill Calculator</vt:lpstr>
      <vt:lpstr>Request Planning</vt:lpstr>
      <vt:lpstr>XP planning</vt:lpstr>
      <vt:lpstr>Exp per 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2018-04-06T02:54:31Z</dcterms:created>
  <dcterms:modified xsi:type="dcterms:W3CDTF">2019-03-01T04:27:30Z</dcterms:modified>
</cp:coreProperties>
</file>