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M:\Dropbox\"/>
    </mc:Choice>
  </mc:AlternateContent>
  <bookViews>
    <workbookView xWindow="240" yWindow="165" windowWidth="8595" windowHeight="5835" firstSheet="1" activeTab="11"/>
  </bookViews>
  <sheets>
    <sheet name="Physical DD Tiers" sheetId="1" r:id="rId1"/>
    <sheet name="Sheet1" sheetId="2" r:id="rId2"/>
    <sheet name="Sheet2" sheetId="3" r:id="rId3"/>
    <sheet name="Sheet3" sheetId="4" r:id="rId4"/>
    <sheet name="Sheet4" sheetId="5" r:id="rId5"/>
    <sheet name="Sheet6" sheetId="8" r:id="rId6"/>
    <sheet name="Experience Check" sheetId="6" r:id="rId7"/>
    <sheet name="Sheet5" sheetId="7" r:id="rId8"/>
    <sheet name="Sheet7" sheetId="9" r:id="rId9"/>
    <sheet name="Sheet8" sheetId="10" r:id="rId10"/>
    <sheet name="Leveling Strategy" sheetId="11" r:id="rId11"/>
    <sheet name="Sheet9" sheetId="12" r:id="rId12"/>
  </sheets>
  <definedNames>
    <definedName name="_xlnm._FilterDatabase" localSheetId="0">'Physical DD Tiers'!$A$1:$AJ$1</definedName>
  </definedNames>
  <calcPr calcId="152511"/>
</workbook>
</file>

<file path=xl/calcChain.xml><?xml version="1.0" encoding="utf-8"?>
<calcChain xmlns="http://schemas.openxmlformats.org/spreadsheetml/2006/main">
  <c r="I81" i="9" l="1"/>
  <c r="C81" i="9"/>
  <c r="D81" i="9"/>
  <c r="Q56" i="9"/>
  <c r="L55" i="9"/>
  <c r="J46" i="9"/>
  <c r="L45" i="9"/>
  <c r="T44" i="9"/>
  <c r="R45" i="9"/>
  <c r="N44" i="9"/>
  <c r="P44" i="9"/>
  <c r="P38" i="9"/>
  <c r="C83" i="11" l="1"/>
  <c r="C81" i="11"/>
  <c r="C53" i="9" l="1"/>
  <c r="C52" i="9"/>
  <c r="C51" i="9"/>
  <c r="C50" i="9"/>
  <c r="K102" i="2" l="1"/>
  <c r="F107" i="2"/>
  <c r="L91" i="2"/>
  <c r="S64" i="11"/>
  <c r="U49" i="11"/>
  <c r="U48" i="11"/>
  <c r="U47" i="11"/>
  <c r="U46" i="11"/>
  <c r="T48" i="11"/>
  <c r="S8" i="4"/>
  <c r="S10" i="4" s="1"/>
  <c r="S11" i="4" s="1"/>
  <c r="S12" i="4" s="1"/>
  <c r="S13" i="4" s="1"/>
  <c r="S14" i="4" s="1"/>
  <c r="S15" i="4" s="1"/>
  <c r="S16" i="4" s="1"/>
  <c r="S17" i="4" s="1"/>
  <c r="S18" i="4" s="1"/>
  <c r="S19" i="4" s="1"/>
  <c r="S20" i="4" s="1"/>
  <c r="S21" i="4" s="1"/>
  <c r="S22" i="4" s="1"/>
  <c r="S23" i="4" s="1"/>
  <c r="S24" i="4" s="1"/>
  <c r="S25" i="4" s="1"/>
  <c r="S26" i="4" s="1"/>
  <c r="S27" i="4" s="1"/>
  <c r="S28" i="4" s="1"/>
  <c r="S29" i="4" s="1"/>
  <c r="S30" i="4" s="1"/>
  <c r="S31" i="4" s="1"/>
  <c r="S32" i="4" s="1"/>
  <c r="S33" i="4" s="1"/>
  <c r="S34" i="4" s="1"/>
  <c r="S35" i="4" s="1"/>
  <c r="S36" i="4" s="1"/>
  <c r="S37" i="4" s="1"/>
  <c r="S38" i="4" s="1"/>
  <c r="S39" i="4" s="1"/>
  <c r="S40" i="4" s="1"/>
  <c r="S41" i="4" s="1"/>
  <c r="S42" i="4" s="1"/>
  <c r="S43" i="4" s="1"/>
  <c r="S44" i="4" s="1"/>
  <c r="S45" i="4" s="1"/>
  <c r="S46" i="4" s="1"/>
  <c r="S47" i="4" s="1"/>
  <c r="S48" i="4" s="1"/>
  <c r="S49" i="4" s="1"/>
  <c r="S50" i="4" s="1"/>
  <c r="D41" i="11"/>
  <c r="C41" i="11"/>
  <c r="E40" i="11"/>
  <c r="D40" i="11"/>
  <c r="B40" i="11"/>
  <c r="C40" i="11"/>
  <c r="S29" i="11"/>
  <c r="S28" i="11"/>
  <c r="S27" i="11"/>
  <c r="S26" i="11"/>
  <c r="P43" i="11"/>
  <c r="P42" i="11"/>
  <c r="P41" i="11"/>
  <c r="P32" i="11"/>
  <c r="P31" i="11"/>
  <c r="P30" i="11"/>
  <c r="P29" i="11"/>
  <c r="P28" i="11"/>
  <c r="P27" i="11"/>
  <c r="P26" i="11"/>
  <c r="P38" i="11"/>
  <c r="P37" i="11"/>
  <c r="P36" i="11"/>
  <c r="M38" i="11"/>
  <c r="M37" i="11"/>
  <c r="M36" i="11"/>
  <c r="M32" i="11"/>
  <c r="M31" i="11"/>
  <c r="M30" i="11"/>
  <c r="M29" i="11"/>
  <c r="M26" i="11"/>
  <c r="I32" i="11"/>
  <c r="I31" i="11"/>
  <c r="I30" i="11"/>
  <c r="I29" i="11"/>
  <c r="I28" i="11"/>
  <c r="I27" i="11"/>
  <c r="I26" i="11"/>
  <c r="O19" i="11"/>
  <c r="O18" i="11"/>
  <c r="O17" i="11"/>
  <c r="I21" i="11"/>
  <c r="I20" i="11"/>
  <c r="I19" i="11"/>
  <c r="R15" i="11"/>
  <c r="O15" i="11"/>
  <c r="I16" i="11"/>
  <c r="I15" i="11"/>
  <c r="W9" i="11"/>
  <c r="V9" i="11"/>
  <c r="U9" i="11"/>
  <c r="T9" i="11"/>
  <c r="S9" i="11"/>
  <c r="R9" i="11"/>
  <c r="Q9" i="11"/>
  <c r="P9" i="11"/>
  <c r="O9" i="11"/>
  <c r="N9" i="11"/>
  <c r="M9" i="11"/>
  <c r="L9" i="11"/>
  <c r="K9" i="11"/>
  <c r="J9" i="11"/>
  <c r="W8" i="11"/>
  <c r="V8" i="11"/>
  <c r="U8" i="11"/>
  <c r="T8" i="11"/>
  <c r="S8" i="11"/>
  <c r="R8" i="11"/>
  <c r="Q8" i="11"/>
  <c r="P8" i="11"/>
  <c r="O8" i="11"/>
  <c r="N8" i="11"/>
  <c r="M8" i="11"/>
  <c r="L8" i="11"/>
  <c r="K8" i="11"/>
  <c r="J8" i="11"/>
  <c r="W7" i="11"/>
  <c r="V7" i="11"/>
  <c r="U7" i="11"/>
  <c r="T7" i="11"/>
  <c r="S7" i="11"/>
  <c r="W6" i="11"/>
  <c r="V6" i="11"/>
  <c r="U6" i="11"/>
  <c r="T6" i="11"/>
  <c r="S6" i="11"/>
  <c r="W5" i="11"/>
  <c r="V5" i="11"/>
  <c r="U5" i="11"/>
  <c r="T5" i="11"/>
  <c r="S5" i="11"/>
  <c r="R7" i="11"/>
  <c r="Q7" i="11"/>
  <c r="P7" i="11"/>
  <c r="O7" i="11"/>
  <c r="N7" i="11"/>
  <c r="M7" i="11"/>
  <c r="L7" i="11"/>
  <c r="K7" i="11"/>
  <c r="J7" i="11"/>
  <c r="R6" i="11"/>
  <c r="Q6" i="11"/>
  <c r="P6" i="11"/>
  <c r="O6" i="11"/>
  <c r="N6" i="11"/>
  <c r="M6" i="11"/>
  <c r="L6" i="11"/>
  <c r="K6" i="11"/>
  <c r="J6" i="11"/>
  <c r="R5" i="11"/>
  <c r="Q5" i="11"/>
  <c r="P5" i="11"/>
  <c r="O5" i="11"/>
  <c r="N5" i="11"/>
  <c r="M5" i="11"/>
  <c r="L5" i="11"/>
  <c r="K5" i="11"/>
  <c r="J5" i="11"/>
  <c r="J4" i="11"/>
  <c r="V49" i="5"/>
  <c r="T35" i="5"/>
  <c r="T34" i="5"/>
  <c r="S34" i="5"/>
  <c r="K20" i="10"/>
  <c r="K17" i="10"/>
  <c r="K15" i="10"/>
  <c r="K21" i="10"/>
  <c r="J21" i="10"/>
  <c r="J15" i="10"/>
  <c r="J17" i="10"/>
  <c r="J20" i="10"/>
  <c r="M25" i="10"/>
  <c r="N21" i="10"/>
  <c r="N20" i="10"/>
  <c r="N18" i="10"/>
  <c r="N17" i="10"/>
  <c r="N16" i="10"/>
  <c r="N15" i="10"/>
  <c r="N14" i="10"/>
  <c r="N13" i="10"/>
  <c r="P19" i="9" l="1"/>
  <c r="Q19" i="9"/>
  <c r="Q17" i="9"/>
  <c r="Q16" i="9"/>
  <c r="C22" i="9" l="1"/>
  <c r="D10" i="9"/>
  <c r="D11" i="9" s="1"/>
  <c r="D12" i="9" s="1"/>
  <c r="D13" i="9" s="1"/>
  <c r="D14" i="9" s="1"/>
  <c r="D15" i="9" s="1"/>
  <c r="D16" i="9" s="1"/>
  <c r="D17" i="9" s="1"/>
  <c r="D18" i="9" s="1"/>
  <c r="D19" i="9" s="1"/>
  <c r="D20" i="9" s="1"/>
  <c r="D21" i="9" s="1"/>
  <c r="D22" i="9" s="1"/>
  <c r="D23" i="9" s="1"/>
  <c r="D24" i="9" s="1"/>
  <c r="D25" i="9" s="1"/>
  <c r="D26" i="9" s="1"/>
  <c r="D27" i="9" s="1"/>
  <c r="D28" i="9" s="1"/>
  <c r="D9" i="9"/>
  <c r="D29" i="9" l="1"/>
  <c r="D30" i="9" s="1"/>
  <c r="D31" i="9" s="1"/>
  <c r="D32" i="9" s="1"/>
  <c r="AA93" i="2"/>
  <c r="AA92" i="2"/>
  <c r="AA91" i="2"/>
  <c r="AA90" i="2"/>
  <c r="AA89" i="2"/>
  <c r="AA88" i="2"/>
  <c r="AA87" i="2"/>
  <c r="AA86" i="2"/>
  <c r="AA85" i="2"/>
  <c r="AA84" i="2"/>
  <c r="AA83" i="2"/>
  <c r="AA82" i="2"/>
  <c r="AA81" i="2"/>
  <c r="AA80" i="2"/>
  <c r="AA79" i="2"/>
  <c r="AA78" i="2"/>
  <c r="AA77" i="2"/>
  <c r="AA76" i="2"/>
  <c r="AA75" i="2"/>
  <c r="AA74" i="2"/>
  <c r="AA73" i="2"/>
  <c r="AA72" i="2"/>
  <c r="AA71" i="2"/>
  <c r="AA70" i="2"/>
  <c r="AA69" i="2"/>
  <c r="AA68" i="2"/>
  <c r="Z68" i="2"/>
  <c r="U72" i="2"/>
  <c r="U71" i="2"/>
  <c r="Z93" i="2" s="1"/>
  <c r="Z92" i="2"/>
  <c r="Z91" i="2"/>
  <c r="Z90" i="2"/>
  <c r="Z89" i="2"/>
  <c r="Z88" i="2"/>
  <c r="Z87" i="2"/>
  <c r="Z86" i="2"/>
  <c r="Z85" i="2"/>
  <c r="Z84" i="2"/>
  <c r="Z83" i="2"/>
  <c r="Z82" i="2"/>
  <c r="Z81" i="2"/>
  <c r="Z80" i="2"/>
  <c r="Z79" i="2"/>
  <c r="Z78" i="2"/>
  <c r="Z77" i="2"/>
  <c r="Z76" i="2"/>
  <c r="Z75" i="2"/>
  <c r="Z74" i="2"/>
  <c r="Z73" i="2"/>
  <c r="Z72" i="2"/>
  <c r="Z71" i="2"/>
  <c r="Z70" i="2"/>
  <c r="Z69" i="2"/>
  <c r="Y71" i="2"/>
  <c r="Y72" i="2" s="1"/>
  <c r="Y73" i="2" s="1"/>
  <c r="Y74" i="2" s="1"/>
  <c r="Y75" i="2" s="1"/>
  <c r="Y76" i="2" s="1"/>
  <c r="Y77" i="2" s="1"/>
  <c r="Y78" i="2" s="1"/>
  <c r="Y79" i="2" s="1"/>
  <c r="Y80" i="2" s="1"/>
  <c r="Y81" i="2" s="1"/>
  <c r="Y82" i="2" s="1"/>
  <c r="Y83" i="2" s="1"/>
  <c r="Y84" i="2" s="1"/>
  <c r="Y85" i="2" s="1"/>
  <c r="Y86" i="2" s="1"/>
  <c r="Y87" i="2" s="1"/>
  <c r="Y88" i="2" s="1"/>
  <c r="Y89" i="2" s="1"/>
  <c r="Y90" i="2" s="1"/>
  <c r="Y91" i="2" s="1"/>
  <c r="Y92" i="2" s="1"/>
  <c r="Y93" i="2" s="1"/>
  <c r="Y70" i="2"/>
  <c r="M49" i="5"/>
  <c r="K49" i="5"/>
  <c r="X6" i="3"/>
  <c r="T6" i="3"/>
  <c r="P82" i="2"/>
  <c r="O82" i="2"/>
  <c r="W53" i="2"/>
  <c r="V53" i="2"/>
  <c r="W52" i="2"/>
  <c r="V52" i="2"/>
  <c r="W51" i="2"/>
  <c r="V51" i="2"/>
  <c r="W47" i="2"/>
  <c r="V47" i="2"/>
  <c r="W46" i="2"/>
  <c r="V46" i="2"/>
  <c r="W21" i="3"/>
  <c r="U22" i="3"/>
  <c r="U21" i="3"/>
  <c r="U20" i="3"/>
  <c r="S20" i="3"/>
  <c r="S19" i="3"/>
  <c r="S18" i="3"/>
  <c r="S17" i="3"/>
  <c r="S16" i="3"/>
  <c r="T35" i="6"/>
  <c r="T34" i="6"/>
  <c r="T33" i="6"/>
  <c r="U40" i="6"/>
  <c r="U39" i="6"/>
  <c r="U38" i="6"/>
  <c r="T40" i="6"/>
  <c r="T39" i="6"/>
  <c r="T38" i="6"/>
  <c r="U45" i="6"/>
  <c r="U44" i="6"/>
  <c r="U43" i="6"/>
  <c r="T45" i="6"/>
  <c r="T44" i="6"/>
  <c r="T43" i="6"/>
  <c r="S45" i="6"/>
  <c r="S44" i="6"/>
  <c r="S43" i="6"/>
  <c r="R45" i="6"/>
  <c r="R43" i="6"/>
  <c r="R44" i="6"/>
  <c r="S40" i="6"/>
  <c r="S39" i="6"/>
  <c r="S38" i="6"/>
  <c r="R40" i="6"/>
  <c r="R39" i="6"/>
  <c r="R38" i="6"/>
  <c r="S33" i="6"/>
  <c r="S34" i="6"/>
  <c r="S35" i="6"/>
  <c r="R35" i="6"/>
  <c r="R34" i="6"/>
  <c r="R33" i="6"/>
  <c r="D35" i="9" l="1"/>
  <c r="D36" i="9" s="1"/>
  <c r="D37" i="9" s="1"/>
  <c r="D38" i="9" s="1"/>
  <c r="D39" i="9" s="1"/>
  <c r="D33" i="9"/>
  <c r="D34" i="9" s="1"/>
  <c r="W49" i="7"/>
  <c r="U15" i="1"/>
  <c r="U22" i="1"/>
  <c r="U34" i="1"/>
  <c r="U57" i="1"/>
  <c r="U75" i="1"/>
  <c r="U10" i="1"/>
  <c r="U67" i="1"/>
  <c r="U52" i="1"/>
  <c r="U40" i="1"/>
  <c r="U7" i="1"/>
  <c r="U54" i="1"/>
  <c r="U29" i="1"/>
  <c r="U25" i="1"/>
  <c r="U8" i="1"/>
  <c r="U14" i="1"/>
  <c r="U46" i="1"/>
  <c r="U32" i="1"/>
  <c r="U51" i="1"/>
  <c r="U50" i="1"/>
  <c r="U21" i="1"/>
  <c r="U31" i="1"/>
  <c r="U63" i="1"/>
  <c r="U9" i="1"/>
  <c r="U73" i="1"/>
  <c r="U62" i="1"/>
  <c r="U76" i="1"/>
  <c r="U13" i="1"/>
  <c r="U30" i="1"/>
  <c r="U70" i="1"/>
  <c r="U45" i="1"/>
  <c r="U77" i="1"/>
  <c r="U24" i="1"/>
  <c r="U64" i="1"/>
  <c r="U59" i="1"/>
  <c r="U68" i="1"/>
  <c r="U53" i="1"/>
  <c r="U4" i="1"/>
  <c r="U5" i="1"/>
  <c r="U20" i="1"/>
  <c r="U2" i="1"/>
  <c r="U16" i="1"/>
  <c r="U58" i="1"/>
  <c r="U33" i="1"/>
  <c r="U48" i="1"/>
  <c r="U39" i="1"/>
  <c r="U47" i="1"/>
  <c r="U28" i="1"/>
  <c r="U23" i="1"/>
  <c r="U12" i="1"/>
  <c r="U3" i="1"/>
  <c r="U78" i="1"/>
  <c r="U66" i="1"/>
  <c r="U41" i="1"/>
  <c r="U26" i="1"/>
  <c r="U72" i="1"/>
  <c r="U61" i="1"/>
  <c r="U69" i="1"/>
  <c r="U80" i="1"/>
  <c r="U42" i="1"/>
  <c r="U55" i="1"/>
  <c r="U27" i="1"/>
  <c r="U81" i="1"/>
  <c r="U38" i="1"/>
  <c r="U37" i="1"/>
  <c r="U56" i="1"/>
  <c r="U6" i="1"/>
  <c r="U44" i="1"/>
  <c r="U18" i="1"/>
  <c r="U65" i="1"/>
  <c r="U71" i="1"/>
  <c r="U43" i="1"/>
  <c r="U19" i="1"/>
  <c r="U82" i="1"/>
  <c r="U49" i="1"/>
  <c r="U60" i="1"/>
  <c r="U36" i="1"/>
  <c r="U17" i="1"/>
  <c r="U74" i="1"/>
  <c r="U79" i="1"/>
  <c r="U11" i="1"/>
  <c r="U35" i="1"/>
  <c r="U51" i="3" l="1"/>
  <c r="R46" i="3"/>
  <c r="F48" i="3"/>
  <c r="Z23" i="7"/>
  <c r="Y23" i="7"/>
  <c r="X23" i="7"/>
  <c r="W23" i="7"/>
  <c r="AB21" i="7"/>
  <c r="Z21" i="7"/>
  <c r="Z19" i="7"/>
  <c r="X19" i="7"/>
  <c r="Y17" i="7"/>
  <c r="X17" i="7"/>
  <c r="Y14" i="7"/>
  <c r="Z14" i="7"/>
  <c r="X14" i="7"/>
  <c r="Z10" i="7"/>
  <c r="W7" i="7"/>
  <c r="Y10" i="7"/>
  <c r="Y8" i="7"/>
  <c r="Y7" i="7"/>
  <c r="X10" i="7"/>
  <c r="X8" i="7"/>
  <c r="X7" i="7"/>
  <c r="Y6" i="7"/>
  <c r="X6" i="7"/>
  <c r="W5" i="7"/>
  <c r="W8" i="7"/>
  <c r="W10" i="7" s="1"/>
  <c r="AB10" i="7" l="1"/>
  <c r="G38" i="7"/>
  <c r="H16" i="7"/>
  <c r="H15" i="7"/>
  <c r="H29" i="7"/>
  <c r="I28" i="7"/>
  <c r="I30" i="7" s="1"/>
  <c r="I24" i="7"/>
  <c r="AC42" i="7" l="1"/>
  <c r="AC35" i="7"/>
  <c r="X35" i="7"/>
  <c r="AD35" i="7" s="1"/>
  <c r="AD42" i="7" s="1"/>
  <c r="H54" i="7"/>
  <c r="R48" i="7"/>
  <c r="R41" i="7"/>
  <c r="R35" i="7"/>
  <c r="N35" i="7"/>
  <c r="N39" i="7" s="1"/>
  <c r="E41" i="7"/>
  <c r="D56" i="7"/>
  <c r="D50" i="7"/>
  <c r="D51" i="7" s="1"/>
  <c r="D55" i="7"/>
  <c r="E25" i="7"/>
  <c r="E24" i="7"/>
  <c r="E30" i="7" s="1"/>
  <c r="E33" i="7" s="1"/>
  <c r="H24" i="7"/>
  <c r="H30" i="7" s="1"/>
  <c r="F17" i="7"/>
  <c r="S35" i="7" l="1"/>
  <c r="S41" i="7"/>
  <c r="S48" i="7" s="1"/>
  <c r="E27" i="7"/>
  <c r="AE40" i="6"/>
  <c r="I47" i="6" s="1"/>
  <c r="AE39" i="6"/>
  <c r="I46" i="6" s="1"/>
  <c r="AE37" i="6"/>
  <c r="I44" i="6" s="1"/>
  <c r="AF39" i="6"/>
  <c r="J46" i="6" s="1"/>
  <c r="AF37" i="6"/>
  <c r="J44" i="6" s="1"/>
  <c r="L47" i="6"/>
  <c r="L46" i="6"/>
  <c r="L45" i="6"/>
  <c r="L44" i="6"/>
  <c r="AJ40" i="6"/>
  <c r="N47" i="6" s="1"/>
  <c r="AI40" i="6"/>
  <c r="M47" i="6" s="1"/>
  <c r="AG40" i="6"/>
  <c r="K47" i="6" s="1"/>
  <c r="AF40" i="6"/>
  <c r="J47" i="6" s="1"/>
  <c r="N40" i="6"/>
  <c r="M40" i="6"/>
  <c r="L40" i="6"/>
  <c r="K40" i="6"/>
  <c r="J40" i="6"/>
  <c r="I40" i="6"/>
  <c r="AJ39" i="6"/>
  <c r="N46" i="6" s="1"/>
  <c r="AI39" i="6"/>
  <c r="M46" i="6" s="1"/>
  <c r="AG39" i="6"/>
  <c r="K46" i="6" s="1"/>
  <c r="N39" i="6"/>
  <c r="M39" i="6"/>
  <c r="L39" i="6"/>
  <c r="K39" i="6"/>
  <c r="J39" i="6"/>
  <c r="I39" i="6"/>
  <c r="AJ38" i="6"/>
  <c r="N45" i="6" s="1"/>
  <c r="AI38" i="6"/>
  <c r="M45" i="6" s="1"/>
  <c r="AG38" i="6"/>
  <c r="K45" i="6" s="1"/>
  <c r="AF38" i="6"/>
  <c r="J45" i="6" s="1"/>
  <c r="AE38" i="6"/>
  <c r="I45" i="6" s="1"/>
  <c r="N38" i="6"/>
  <c r="M38" i="6"/>
  <c r="L38" i="6"/>
  <c r="K38" i="6"/>
  <c r="J38" i="6"/>
  <c r="I38" i="6"/>
  <c r="AJ37" i="6"/>
  <c r="N44" i="6" s="1"/>
  <c r="AI37" i="6"/>
  <c r="M44" i="6" s="1"/>
  <c r="AG37" i="6"/>
  <c r="K44" i="6" s="1"/>
  <c r="N37" i="6"/>
  <c r="M37" i="6"/>
  <c r="L37" i="6"/>
  <c r="K37" i="6"/>
  <c r="N29" i="6"/>
  <c r="M29" i="6"/>
  <c r="L29" i="6"/>
  <c r="N28" i="6"/>
  <c r="M28" i="6"/>
  <c r="L28" i="6"/>
  <c r="N27" i="6"/>
  <c r="M27" i="6"/>
  <c r="L27" i="6"/>
  <c r="N26" i="6"/>
  <c r="M26" i="6"/>
  <c r="L26" i="6"/>
  <c r="N25" i="6"/>
  <c r="M25" i="6"/>
  <c r="L25" i="6"/>
  <c r="N24" i="6"/>
  <c r="M24" i="6"/>
  <c r="L24" i="6"/>
  <c r="N23" i="6"/>
  <c r="M23" i="6"/>
  <c r="L23" i="6"/>
  <c r="N22" i="6"/>
  <c r="M22" i="6"/>
  <c r="L22" i="6"/>
  <c r="N21" i="6"/>
  <c r="M21" i="6"/>
  <c r="L21" i="6"/>
  <c r="N20" i="6"/>
  <c r="M20" i="6"/>
  <c r="L20" i="6"/>
  <c r="N19" i="6"/>
  <c r="M19" i="6"/>
  <c r="L19" i="6"/>
  <c r="N18" i="6"/>
  <c r="M18" i="6"/>
  <c r="L18" i="6"/>
  <c r="N17" i="6"/>
  <c r="M17" i="6"/>
  <c r="L17" i="6"/>
  <c r="N16" i="6"/>
  <c r="M16" i="6"/>
  <c r="L16" i="6"/>
  <c r="N15" i="6"/>
  <c r="M15" i="6"/>
  <c r="L15" i="6"/>
  <c r="N14" i="6"/>
  <c r="M14" i="6"/>
  <c r="L14" i="6"/>
  <c r="N13" i="6"/>
  <c r="M13" i="6"/>
  <c r="L13" i="6"/>
  <c r="N12" i="6"/>
  <c r="M12" i="6"/>
  <c r="L12" i="6"/>
  <c r="N11" i="6"/>
  <c r="M11" i="6"/>
  <c r="L11" i="6"/>
  <c r="I37" i="6" l="1"/>
  <c r="J37" i="6"/>
  <c r="E53" i="3" l="1"/>
  <c r="E52" i="3"/>
  <c r="E51" i="3"/>
  <c r="D52" i="3"/>
  <c r="D58" i="3" s="1"/>
  <c r="D51" i="3"/>
  <c r="D53" i="3"/>
  <c r="E49" i="3"/>
  <c r="E48" i="3"/>
  <c r="E47" i="3"/>
  <c r="F47" i="3" s="1"/>
  <c r="C47" i="3"/>
  <c r="G58" i="3" l="1"/>
  <c r="K58" i="3" s="1"/>
  <c r="F58" i="3"/>
  <c r="I58" i="3" s="1"/>
  <c r="E58" i="3"/>
  <c r="O58" i="3"/>
  <c r="N58" i="3"/>
  <c r="L58" i="3"/>
  <c r="M58" i="3"/>
  <c r="J58" i="3"/>
  <c r="H58" i="3"/>
  <c r="F49" i="3"/>
  <c r="L68" i="2"/>
  <c r="M68" i="2" s="1"/>
  <c r="K50" i="5"/>
  <c r="D41" i="5"/>
  <c r="D42" i="5" s="1"/>
  <c r="D43" i="5" s="1"/>
  <c r="D28" i="5"/>
  <c r="D29" i="5"/>
  <c r="D36" i="5" s="1"/>
  <c r="D37" i="5" s="1"/>
  <c r="I17" i="5"/>
  <c r="I18" i="5" s="1"/>
  <c r="F5" i="5"/>
  <c r="I8" i="5" s="1"/>
  <c r="I9" i="5" s="1"/>
  <c r="I10" i="5" s="1"/>
  <c r="I13" i="5" s="1"/>
  <c r="I14" i="5" s="1"/>
  <c r="D32" i="5" l="1"/>
  <c r="D33" i="5" s="1"/>
  <c r="N22" i="5"/>
  <c r="D22" i="5"/>
  <c r="S8" i="5"/>
  <c r="S9" i="5" s="1"/>
  <c r="S10" i="5" s="1"/>
  <c r="S17" i="5" s="1"/>
  <c r="S18" i="5" s="1"/>
  <c r="I22" i="5"/>
  <c r="N8" i="5"/>
  <c r="N9" i="5" s="1"/>
  <c r="N10" i="5" s="1"/>
  <c r="N17" i="5" s="1"/>
  <c r="N18" i="5" s="1"/>
  <c r="S22" i="5"/>
  <c r="S24" i="5" s="1"/>
  <c r="P58" i="3"/>
  <c r="Q58" i="3"/>
  <c r="R58" i="3"/>
  <c r="S58" i="3"/>
  <c r="D50" i="5"/>
  <c r="D51" i="5" s="1"/>
  <c r="D46" i="5"/>
  <c r="D47" i="5" s="1"/>
  <c r="S13" i="5"/>
  <c r="S14" i="5" s="1"/>
  <c r="D8" i="5"/>
  <c r="D9" i="5" s="1"/>
  <c r="D10" i="5" s="1"/>
  <c r="N13" i="5"/>
  <c r="N14" i="5" s="1"/>
  <c r="T10" i="4"/>
  <c r="T11" i="4" s="1"/>
  <c r="T12" i="4" s="1"/>
  <c r="T13" i="4" s="1"/>
  <c r="T14" i="4" s="1"/>
  <c r="T15" i="4" s="1"/>
  <c r="T16" i="4" s="1"/>
  <c r="T17" i="4" s="1"/>
  <c r="T18" i="4" s="1"/>
  <c r="T19" i="4" s="1"/>
  <c r="T20" i="4" s="1"/>
  <c r="T21" i="4" s="1"/>
  <c r="T22" i="4" s="1"/>
  <c r="T23" i="4" s="1"/>
  <c r="T24" i="4" s="1"/>
  <c r="T25" i="4" s="1"/>
  <c r="T26" i="4" s="1"/>
  <c r="T27" i="4" s="1"/>
  <c r="T28" i="4" s="1"/>
  <c r="T29" i="4" s="1"/>
  <c r="T30" i="4" s="1"/>
  <c r="T31" i="4" s="1"/>
  <c r="T32" i="4" s="1"/>
  <c r="T33" i="4" s="1"/>
  <c r="T34" i="4" s="1"/>
  <c r="T35" i="4" s="1"/>
  <c r="T36" i="4" s="1"/>
  <c r="T37" i="4" s="1"/>
  <c r="T38" i="4" s="1"/>
  <c r="T39" i="4" s="1"/>
  <c r="T40" i="4" s="1"/>
  <c r="T41" i="4" s="1"/>
  <c r="T42" i="4" s="1"/>
  <c r="T43" i="4" s="1"/>
  <c r="T44" i="4" s="1"/>
  <c r="T45" i="4" s="1"/>
  <c r="T46" i="4" s="1"/>
  <c r="T47" i="4" s="1"/>
  <c r="T48" i="4" s="1"/>
  <c r="T49" i="4" s="1"/>
  <c r="T50" i="4" s="1"/>
  <c r="O10" i="4"/>
  <c r="J10" i="4"/>
  <c r="J11" i="4" s="1"/>
  <c r="J12" i="4" s="1"/>
  <c r="J13" i="4" s="1"/>
  <c r="J14" i="4" s="1"/>
  <c r="J15" i="4" s="1"/>
  <c r="J16" i="4" s="1"/>
  <c r="J17" i="4" s="1"/>
  <c r="J18" i="4" s="1"/>
  <c r="J19" i="4" s="1"/>
  <c r="J20" i="4" s="1"/>
  <c r="J21" i="4" s="1"/>
  <c r="J22" i="4" s="1"/>
  <c r="J23" i="4" s="1"/>
  <c r="J24" i="4" s="1"/>
  <c r="J25" i="4" s="1"/>
  <c r="J26" i="4" s="1"/>
  <c r="J27" i="4" s="1"/>
  <c r="J28" i="4" s="1"/>
  <c r="J29" i="4" s="1"/>
  <c r="J30" i="4" s="1"/>
  <c r="J31" i="4" s="1"/>
  <c r="J32" i="4" s="1"/>
  <c r="J33" i="4" s="1"/>
  <c r="J34" i="4" s="1"/>
  <c r="J35" i="4" s="1"/>
  <c r="J36" i="4" s="1"/>
  <c r="J37" i="4" s="1"/>
  <c r="J38" i="4" s="1"/>
  <c r="J39" i="4" s="1"/>
  <c r="J40" i="4" s="1"/>
  <c r="J41" i="4" s="1"/>
  <c r="J42" i="4" s="1"/>
  <c r="J43" i="4" s="1"/>
  <c r="J44" i="4" s="1"/>
  <c r="J45" i="4" s="1"/>
  <c r="J46" i="4" s="1"/>
  <c r="J47" i="4" s="1"/>
  <c r="J48" i="4" s="1"/>
  <c r="J49" i="4" s="1"/>
  <c r="J50" i="4" s="1"/>
  <c r="E10" i="4"/>
  <c r="E11" i="4" s="1"/>
  <c r="E12" i="4" s="1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E26" i="4" s="1"/>
  <c r="E27" i="4" s="1"/>
  <c r="E28" i="4" s="1"/>
  <c r="E29" i="4" s="1"/>
  <c r="E30" i="4" s="1"/>
  <c r="E31" i="4" s="1"/>
  <c r="E32" i="4" s="1"/>
  <c r="E33" i="4" s="1"/>
  <c r="E34" i="4" s="1"/>
  <c r="E35" i="4" s="1"/>
  <c r="E36" i="4" s="1"/>
  <c r="E37" i="4" s="1"/>
  <c r="E38" i="4" s="1"/>
  <c r="E39" i="4" s="1"/>
  <c r="E40" i="4" s="1"/>
  <c r="E41" i="4" s="1"/>
  <c r="E42" i="4" s="1"/>
  <c r="E43" i="4" s="1"/>
  <c r="E44" i="4" s="1"/>
  <c r="E45" i="4" s="1"/>
  <c r="E46" i="4" s="1"/>
  <c r="E47" i="4" s="1"/>
  <c r="E48" i="4" s="1"/>
  <c r="E49" i="4" s="1"/>
  <c r="E50" i="4" s="1"/>
  <c r="D10" i="4"/>
  <c r="D11" i="4" s="1"/>
  <c r="D12" i="4" s="1"/>
  <c r="D13" i="4" s="1"/>
  <c r="D14" i="4" s="1"/>
  <c r="D15" i="4" s="1"/>
  <c r="D16" i="4" s="1"/>
  <c r="D17" i="4" s="1"/>
  <c r="D18" i="4" s="1"/>
  <c r="D19" i="4" s="1"/>
  <c r="D20" i="4" s="1"/>
  <c r="D21" i="4" s="1"/>
  <c r="D22" i="4" s="1"/>
  <c r="D23" i="4" s="1"/>
  <c r="D24" i="4" s="1"/>
  <c r="D25" i="4" s="1"/>
  <c r="D26" i="4" s="1"/>
  <c r="D27" i="4" s="1"/>
  <c r="D28" i="4" s="1"/>
  <c r="D29" i="4" s="1"/>
  <c r="D30" i="4" s="1"/>
  <c r="D31" i="4" s="1"/>
  <c r="D32" i="4" s="1"/>
  <c r="D33" i="4" s="1"/>
  <c r="D34" i="4" s="1"/>
  <c r="D35" i="4" s="1"/>
  <c r="D36" i="4" s="1"/>
  <c r="D37" i="4" s="1"/>
  <c r="D38" i="4" s="1"/>
  <c r="D39" i="4" s="1"/>
  <c r="D40" i="4" s="1"/>
  <c r="D41" i="4" s="1"/>
  <c r="D42" i="4" s="1"/>
  <c r="D43" i="4" s="1"/>
  <c r="D44" i="4" s="1"/>
  <c r="D45" i="4" s="1"/>
  <c r="D46" i="4" s="1"/>
  <c r="D47" i="4" s="1"/>
  <c r="D48" i="4" s="1"/>
  <c r="D49" i="4" s="1"/>
  <c r="D50" i="4" s="1"/>
  <c r="I10" i="4"/>
  <c r="I11" i="4" s="1"/>
  <c r="I12" i="4" s="1"/>
  <c r="I13" i="4" s="1"/>
  <c r="I14" i="4" s="1"/>
  <c r="I15" i="4" s="1"/>
  <c r="I16" i="4" s="1"/>
  <c r="I17" i="4" s="1"/>
  <c r="I18" i="4" s="1"/>
  <c r="I19" i="4" s="1"/>
  <c r="I20" i="4" s="1"/>
  <c r="I21" i="4" s="1"/>
  <c r="I22" i="4" s="1"/>
  <c r="I23" i="4" s="1"/>
  <c r="I24" i="4" s="1"/>
  <c r="I25" i="4" s="1"/>
  <c r="I26" i="4" s="1"/>
  <c r="I27" i="4" s="1"/>
  <c r="I28" i="4" s="1"/>
  <c r="I29" i="4" s="1"/>
  <c r="I30" i="4" s="1"/>
  <c r="I31" i="4" s="1"/>
  <c r="I32" i="4" s="1"/>
  <c r="I33" i="4" s="1"/>
  <c r="I34" i="4" s="1"/>
  <c r="I35" i="4" s="1"/>
  <c r="I36" i="4" s="1"/>
  <c r="I37" i="4" s="1"/>
  <c r="I38" i="4" s="1"/>
  <c r="I39" i="4" s="1"/>
  <c r="I40" i="4" s="1"/>
  <c r="I41" i="4" s="1"/>
  <c r="I42" i="4" s="1"/>
  <c r="I43" i="4" s="1"/>
  <c r="I44" i="4" s="1"/>
  <c r="I45" i="4" s="1"/>
  <c r="I46" i="4" s="1"/>
  <c r="I47" i="4" s="1"/>
  <c r="I48" i="4" s="1"/>
  <c r="I49" i="4" s="1"/>
  <c r="I50" i="4" s="1"/>
  <c r="N10" i="4"/>
  <c r="N11" i="4" s="1"/>
  <c r="N12" i="4" s="1"/>
  <c r="N13" i="4" s="1"/>
  <c r="N14" i="4" s="1"/>
  <c r="N15" i="4" s="1"/>
  <c r="N16" i="4" s="1"/>
  <c r="N17" i="4" s="1"/>
  <c r="N18" i="4" s="1"/>
  <c r="N19" i="4" s="1"/>
  <c r="N20" i="4" s="1"/>
  <c r="N21" i="4" s="1"/>
  <c r="N22" i="4" s="1"/>
  <c r="N23" i="4" s="1"/>
  <c r="N24" i="4" s="1"/>
  <c r="N25" i="4" s="1"/>
  <c r="N26" i="4" s="1"/>
  <c r="N27" i="4" s="1"/>
  <c r="N28" i="4" s="1"/>
  <c r="N29" i="4" s="1"/>
  <c r="N30" i="4" s="1"/>
  <c r="N31" i="4" s="1"/>
  <c r="N32" i="4" s="1"/>
  <c r="N33" i="4" s="1"/>
  <c r="N34" i="4" s="1"/>
  <c r="N35" i="4" s="1"/>
  <c r="N36" i="4" s="1"/>
  <c r="N37" i="4" s="1"/>
  <c r="N38" i="4" s="1"/>
  <c r="N39" i="4" s="1"/>
  <c r="N40" i="4" s="1"/>
  <c r="N41" i="4" s="1"/>
  <c r="N42" i="4" s="1"/>
  <c r="N43" i="4" s="1"/>
  <c r="N44" i="4" s="1"/>
  <c r="N45" i="4" s="1"/>
  <c r="N46" i="4" s="1"/>
  <c r="N47" i="4" s="1"/>
  <c r="N48" i="4" s="1"/>
  <c r="N49" i="4" s="1"/>
  <c r="N50" i="4" s="1"/>
  <c r="H18" i="4"/>
  <c r="H19" i="4" s="1"/>
  <c r="H20" i="4" s="1"/>
  <c r="H21" i="4" s="1"/>
  <c r="H22" i="4" s="1"/>
  <c r="H23" i="4" s="1"/>
  <c r="H24" i="4" s="1"/>
  <c r="H25" i="4" s="1"/>
  <c r="H26" i="4" s="1"/>
  <c r="H27" i="4" s="1"/>
  <c r="H28" i="4" s="1"/>
  <c r="H29" i="4" s="1"/>
  <c r="H30" i="4" s="1"/>
  <c r="H31" i="4" s="1"/>
  <c r="H32" i="4" s="1"/>
  <c r="H33" i="4" s="1"/>
  <c r="H34" i="4" s="1"/>
  <c r="H35" i="4" s="1"/>
  <c r="H36" i="4" s="1"/>
  <c r="H37" i="4" s="1"/>
  <c r="H38" i="4" s="1"/>
  <c r="H39" i="4" s="1"/>
  <c r="H40" i="4" s="1"/>
  <c r="H41" i="4" s="1"/>
  <c r="H42" i="4" s="1"/>
  <c r="H43" i="4" s="1"/>
  <c r="H44" i="4" s="1"/>
  <c r="H45" i="4" s="1"/>
  <c r="H46" i="4" s="1"/>
  <c r="H47" i="4" s="1"/>
  <c r="H48" i="4" s="1"/>
  <c r="H49" i="4" s="1"/>
  <c r="H50" i="4" s="1"/>
  <c r="J8" i="4"/>
  <c r="R18" i="4"/>
  <c r="R19" i="4" s="1"/>
  <c r="R20" i="4" s="1"/>
  <c r="R21" i="4" s="1"/>
  <c r="R22" i="4" s="1"/>
  <c r="R23" i="4" s="1"/>
  <c r="R24" i="4" s="1"/>
  <c r="R25" i="4" s="1"/>
  <c r="R26" i="4" s="1"/>
  <c r="R27" i="4" s="1"/>
  <c r="R28" i="4" s="1"/>
  <c r="R29" i="4" s="1"/>
  <c r="R30" i="4" s="1"/>
  <c r="R31" i="4" s="1"/>
  <c r="R32" i="4" s="1"/>
  <c r="R33" i="4" s="1"/>
  <c r="R34" i="4" s="1"/>
  <c r="R35" i="4" s="1"/>
  <c r="R36" i="4" s="1"/>
  <c r="R37" i="4" s="1"/>
  <c r="R38" i="4" s="1"/>
  <c r="R39" i="4" s="1"/>
  <c r="R40" i="4" s="1"/>
  <c r="R41" i="4" s="1"/>
  <c r="R42" i="4" s="1"/>
  <c r="R43" i="4" s="1"/>
  <c r="R44" i="4" s="1"/>
  <c r="R45" i="4" s="1"/>
  <c r="R46" i="4" s="1"/>
  <c r="R47" i="4" s="1"/>
  <c r="R48" i="4" s="1"/>
  <c r="R49" i="4" s="1"/>
  <c r="R50" i="4" s="1"/>
  <c r="M18" i="4"/>
  <c r="M19" i="4" s="1"/>
  <c r="M20" i="4" s="1"/>
  <c r="M21" i="4" s="1"/>
  <c r="M22" i="4" s="1"/>
  <c r="M23" i="4" s="1"/>
  <c r="M24" i="4" s="1"/>
  <c r="M25" i="4" s="1"/>
  <c r="M26" i="4" s="1"/>
  <c r="M27" i="4" s="1"/>
  <c r="M28" i="4" s="1"/>
  <c r="M29" i="4" s="1"/>
  <c r="M30" i="4" s="1"/>
  <c r="M31" i="4" s="1"/>
  <c r="M32" i="4" s="1"/>
  <c r="M33" i="4" s="1"/>
  <c r="M34" i="4" s="1"/>
  <c r="M35" i="4" s="1"/>
  <c r="M36" i="4" s="1"/>
  <c r="M37" i="4" s="1"/>
  <c r="M38" i="4" s="1"/>
  <c r="M39" i="4" s="1"/>
  <c r="M40" i="4" s="1"/>
  <c r="M41" i="4" s="1"/>
  <c r="M42" i="4" s="1"/>
  <c r="M43" i="4" s="1"/>
  <c r="M44" i="4" s="1"/>
  <c r="M45" i="4" s="1"/>
  <c r="M46" i="4" s="1"/>
  <c r="M47" i="4" s="1"/>
  <c r="M48" i="4" s="1"/>
  <c r="M49" i="4" s="1"/>
  <c r="M50" i="4" s="1"/>
  <c r="O11" i="4"/>
  <c r="O12" i="4" s="1"/>
  <c r="O13" i="4" s="1"/>
  <c r="O14" i="4" s="1"/>
  <c r="O15" i="4" s="1"/>
  <c r="O16" i="4" s="1"/>
  <c r="O17" i="4" s="1"/>
  <c r="O18" i="4" s="1"/>
  <c r="O19" i="4" s="1"/>
  <c r="O20" i="4" s="1"/>
  <c r="O21" i="4" s="1"/>
  <c r="O22" i="4" s="1"/>
  <c r="O23" i="4" s="1"/>
  <c r="O24" i="4" s="1"/>
  <c r="O25" i="4" s="1"/>
  <c r="O26" i="4" s="1"/>
  <c r="O27" i="4" s="1"/>
  <c r="O28" i="4" s="1"/>
  <c r="O29" i="4" s="1"/>
  <c r="O30" i="4" s="1"/>
  <c r="O31" i="4" s="1"/>
  <c r="O32" i="4" s="1"/>
  <c r="O33" i="4" s="1"/>
  <c r="O34" i="4" s="1"/>
  <c r="O35" i="4" s="1"/>
  <c r="O36" i="4" s="1"/>
  <c r="O37" i="4" s="1"/>
  <c r="O38" i="4" s="1"/>
  <c r="O39" i="4" s="1"/>
  <c r="O40" i="4" s="1"/>
  <c r="O41" i="4" s="1"/>
  <c r="O42" i="4" s="1"/>
  <c r="O43" i="4" s="1"/>
  <c r="O44" i="4" s="1"/>
  <c r="O45" i="4" s="1"/>
  <c r="O46" i="4" s="1"/>
  <c r="O47" i="4" s="1"/>
  <c r="O48" i="4" s="1"/>
  <c r="O49" i="4" s="1"/>
  <c r="O50" i="4" s="1"/>
  <c r="O8" i="4"/>
  <c r="C18" i="4"/>
  <c r="C19" i="4" s="1"/>
  <c r="C20" i="4" s="1"/>
  <c r="C21" i="4" s="1"/>
  <c r="C22" i="4" s="1"/>
  <c r="C23" i="4" s="1"/>
  <c r="C24" i="4" s="1"/>
  <c r="C25" i="4" s="1"/>
  <c r="C26" i="4" s="1"/>
  <c r="C27" i="4" s="1"/>
  <c r="C28" i="4" s="1"/>
  <c r="C29" i="4" s="1"/>
  <c r="C30" i="4" s="1"/>
  <c r="C31" i="4" s="1"/>
  <c r="C32" i="4" s="1"/>
  <c r="C33" i="4" s="1"/>
  <c r="C34" i="4" s="1"/>
  <c r="C35" i="4" s="1"/>
  <c r="C36" i="4" s="1"/>
  <c r="C37" i="4" s="1"/>
  <c r="C38" i="4" s="1"/>
  <c r="C39" i="4" s="1"/>
  <c r="C40" i="4" s="1"/>
  <c r="C41" i="4" s="1"/>
  <c r="C42" i="4" s="1"/>
  <c r="C43" i="4" s="1"/>
  <c r="C44" i="4" s="1"/>
  <c r="C45" i="4" s="1"/>
  <c r="C46" i="4" s="1"/>
  <c r="C47" i="4" s="1"/>
  <c r="C48" i="4" s="1"/>
  <c r="C49" i="4" s="1"/>
  <c r="C50" i="4" s="1"/>
  <c r="T39" i="2"/>
  <c r="S28" i="2"/>
  <c r="O54" i="2"/>
  <c r="D13" i="5" l="1"/>
  <c r="D14" i="5" s="1"/>
  <c r="D17" i="5"/>
  <c r="D18" i="5" s="1"/>
  <c r="S23" i="5"/>
  <c r="I24" i="5"/>
  <c r="I23" i="5"/>
  <c r="D24" i="5"/>
  <c r="D23" i="5"/>
  <c r="N23" i="5"/>
  <c r="N24" i="5"/>
  <c r="F10" i="4"/>
  <c r="W58" i="3"/>
  <c r="V58" i="3"/>
  <c r="U58" i="3"/>
  <c r="X58" i="3" s="1"/>
  <c r="T58" i="3"/>
  <c r="K11" i="4"/>
  <c r="K10" i="4"/>
  <c r="U11" i="4"/>
  <c r="U10" i="4"/>
  <c r="P11" i="4"/>
  <c r="P10" i="4"/>
  <c r="F11" i="4"/>
  <c r="F12" i="4"/>
  <c r="F13" i="4"/>
  <c r="N56" i="2"/>
  <c r="N57" i="2" s="1"/>
  <c r="N25" i="3"/>
  <c r="N24" i="3"/>
  <c r="N23" i="3"/>
  <c r="M25" i="3"/>
  <c r="M24" i="3"/>
  <c r="M23" i="3"/>
  <c r="M9" i="3"/>
  <c r="M17" i="3" s="1"/>
  <c r="M8" i="3"/>
  <c r="M16" i="3" s="1"/>
  <c r="M7" i="3"/>
  <c r="M6" i="3"/>
  <c r="L9" i="3"/>
  <c r="L17" i="3" s="1"/>
  <c r="L8" i="3"/>
  <c r="L16" i="3" s="1"/>
  <c r="L7" i="3"/>
  <c r="L6" i="3"/>
  <c r="N37" i="3"/>
  <c r="N36" i="3"/>
  <c r="N35" i="3"/>
  <c r="N34" i="3"/>
  <c r="N33" i="3"/>
  <c r="N32" i="3"/>
  <c r="N31" i="3"/>
  <c r="N30" i="3"/>
  <c r="M37" i="3"/>
  <c r="M36" i="3"/>
  <c r="M35" i="3"/>
  <c r="M34" i="3"/>
  <c r="M33" i="3"/>
  <c r="M32" i="3"/>
  <c r="M31" i="3"/>
  <c r="M30" i="3"/>
  <c r="L37" i="3"/>
  <c r="L36" i="3"/>
  <c r="L35" i="3"/>
  <c r="L34" i="3"/>
  <c r="L33" i="3"/>
  <c r="L32" i="3"/>
  <c r="L31" i="3"/>
  <c r="L30" i="3"/>
  <c r="K37" i="3"/>
  <c r="K36" i="3"/>
  <c r="K35" i="3"/>
  <c r="K34" i="3"/>
  <c r="K33" i="3"/>
  <c r="K32" i="3"/>
  <c r="K31" i="3"/>
  <c r="K30" i="3"/>
  <c r="J37" i="3"/>
  <c r="J36" i="3"/>
  <c r="J35" i="3"/>
  <c r="J34" i="3"/>
  <c r="J33" i="3"/>
  <c r="J32" i="3"/>
  <c r="J31" i="3"/>
  <c r="J30" i="3"/>
  <c r="I37" i="3"/>
  <c r="I36" i="3"/>
  <c r="I35" i="3"/>
  <c r="I34" i="3"/>
  <c r="I33" i="3"/>
  <c r="I32" i="3"/>
  <c r="I31" i="3"/>
  <c r="I30" i="3"/>
  <c r="H37" i="3"/>
  <c r="H36" i="3"/>
  <c r="H35" i="3"/>
  <c r="H34" i="3"/>
  <c r="H33" i="3"/>
  <c r="H32" i="3"/>
  <c r="H31" i="3"/>
  <c r="H30" i="3"/>
  <c r="L25" i="3"/>
  <c r="L24" i="3"/>
  <c r="L23" i="3"/>
  <c r="K25" i="3"/>
  <c r="K24" i="3"/>
  <c r="K23" i="3"/>
  <c r="J25" i="3"/>
  <c r="J24" i="3"/>
  <c r="J23" i="3"/>
  <c r="I25" i="3"/>
  <c r="I24" i="3"/>
  <c r="I23" i="3"/>
  <c r="H25" i="3"/>
  <c r="H24" i="3"/>
  <c r="H23" i="3"/>
  <c r="K9" i="3"/>
  <c r="K17" i="3" s="1"/>
  <c r="K8" i="3"/>
  <c r="K16" i="3" s="1"/>
  <c r="K7" i="3"/>
  <c r="K6" i="3"/>
  <c r="J9" i="3"/>
  <c r="J17" i="3" s="1"/>
  <c r="J8" i="3"/>
  <c r="J16" i="3" s="1"/>
  <c r="J7" i="3"/>
  <c r="J6" i="3"/>
  <c r="I9" i="3"/>
  <c r="I17" i="3" s="1"/>
  <c r="I8" i="3"/>
  <c r="I16" i="3" s="1"/>
  <c r="I7" i="3"/>
  <c r="I6" i="3"/>
  <c r="H9" i="3"/>
  <c r="H17" i="3" s="1"/>
  <c r="H8" i="3"/>
  <c r="H16" i="3" s="1"/>
  <c r="H7" i="3"/>
  <c r="H6" i="3"/>
  <c r="F27" i="2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E27" i="2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81" i="2" s="1"/>
  <c r="E82" i="2" s="1"/>
  <c r="E83" i="2" s="1"/>
  <c r="E84" i="2" s="1"/>
  <c r="D27" i="2"/>
  <c r="C31" i="2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 s="1"/>
  <c r="C100" i="2" s="1"/>
  <c r="C101" i="2" s="1"/>
  <c r="C102" i="2" s="1"/>
  <c r="C103" i="2" s="1"/>
  <c r="C104" i="2" s="1"/>
  <c r="C105" i="2" s="1"/>
  <c r="C30" i="2"/>
  <c r="T15" i="2"/>
  <c r="S15" i="2"/>
  <c r="R15" i="2"/>
  <c r="P15" i="2"/>
  <c r="Q15" i="2" s="1"/>
  <c r="O15" i="2"/>
  <c r="N15" i="2"/>
  <c r="M15" i="2"/>
  <c r="S13" i="2"/>
  <c r="S12" i="2"/>
  <c r="S10" i="2"/>
  <c r="S9" i="2"/>
  <c r="S7" i="2"/>
  <c r="R14" i="2"/>
  <c r="R13" i="2"/>
  <c r="R12" i="2"/>
  <c r="R11" i="2"/>
  <c r="R10" i="2"/>
  <c r="R9" i="2"/>
  <c r="R8" i="2"/>
  <c r="R7" i="2"/>
  <c r="T14" i="2"/>
  <c r="P14" i="2"/>
  <c r="N14" i="2"/>
  <c r="M14" i="2"/>
  <c r="P13" i="2"/>
  <c r="Q13" i="2" s="1"/>
  <c r="P12" i="2"/>
  <c r="Q12" i="2" s="1"/>
  <c r="P11" i="2"/>
  <c r="P10" i="2"/>
  <c r="Q10" i="2" s="1"/>
  <c r="P9" i="2"/>
  <c r="Q9" i="2" s="1"/>
  <c r="P8" i="2"/>
  <c r="P7" i="2"/>
  <c r="Q7" i="2" s="1"/>
  <c r="O13" i="2"/>
  <c r="O12" i="2"/>
  <c r="O10" i="2"/>
  <c r="O9" i="2"/>
  <c r="O7" i="2"/>
  <c r="T13" i="2"/>
  <c r="T12" i="2"/>
  <c r="T11" i="2"/>
  <c r="T10" i="2"/>
  <c r="T9" i="2"/>
  <c r="T8" i="2"/>
  <c r="T7" i="2"/>
  <c r="N13" i="2"/>
  <c r="N12" i="2"/>
  <c r="N11" i="2"/>
  <c r="N10" i="2"/>
  <c r="N9" i="2"/>
  <c r="N8" i="2"/>
  <c r="N7" i="2"/>
  <c r="M13" i="2"/>
  <c r="M12" i="2"/>
  <c r="M11" i="2"/>
  <c r="M10" i="2"/>
  <c r="M9" i="2"/>
  <c r="M8" i="2"/>
  <c r="M7" i="2"/>
  <c r="T53" i="1"/>
  <c r="Y53" i="1" s="1"/>
  <c r="T15" i="1"/>
  <c r="Y15" i="1" s="1"/>
  <c r="T22" i="1"/>
  <c r="Y22" i="1" s="1"/>
  <c r="T34" i="1"/>
  <c r="Y34" i="1" s="1"/>
  <c r="T57" i="1"/>
  <c r="Y57" i="1" s="1"/>
  <c r="T75" i="1"/>
  <c r="Y75" i="1" s="1"/>
  <c r="T10" i="1"/>
  <c r="Y10" i="1" s="1"/>
  <c r="T35" i="1"/>
  <c r="Y35" i="1" s="1"/>
  <c r="T67" i="1"/>
  <c r="Y67" i="1" s="1"/>
  <c r="T52" i="1"/>
  <c r="Y52" i="1" s="1"/>
  <c r="T40" i="1"/>
  <c r="Y40" i="1" s="1"/>
  <c r="T7" i="1"/>
  <c r="Y7" i="1" s="1"/>
  <c r="T54" i="1"/>
  <c r="Y54" i="1" s="1"/>
  <c r="T29" i="1"/>
  <c r="Y29" i="1" s="1"/>
  <c r="T25" i="1"/>
  <c r="Y25" i="1" s="1"/>
  <c r="T8" i="1"/>
  <c r="Y8" i="1" s="1"/>
  <c r="T14" i="1"/>
  <c r="Y14" i="1" s="1"/>
  <c r="T46" i="1"/>
  <c r="Y46" i="1" s="1"/>
  <c r="T32" i="1"/>
  <c r="Y32" i="1" s="1"/>
  <c r="T51" i="1"/>
  <c r="Y51" i="1" s="1"/>
  <c r="T50" i="1"/>
  <c r="Y50" i="1" s="1"/>
  <c r="T21" i="1"/>
  <c r="Y21" i="1" s="1"/>
  <c r="T31" i="1"/>
  <c r="Y31" i="1" s="1"/>
  <c r="T63" i="1"/>
  <c r="Y63" i="1" s="1"/>
  <c r="T9" i="1"/>
  <c r="Y9" i="1" s="1"/>
  <c r="T73" i="1"/>
  <c r="Y73" i="1" s="1"/>
  <c r="T62" i="1"/>
  <c r="Y62" i="1" s="1"/>
  <c r="T76" i="1"/>
  <c r="Y76" i="1" s="1"/>
  <c r="T13" i="1"/>
  <c r="Y13" i="1" s="1"/>
  <c r="T30" i="1"/>
  <c r="Y30" i="1" s="1"/>
  <c r="T70" i="1"/>
  <c r="Y70" i="1" s="1"/>
  <c r="T45" i="1"/>
  <c r="Y45" i="1" s="1"/>
  <c r="T77" i="1"/>
  <c r="Y77" i="1" s="1"/>
  <c r="T24" i="1"/>
  <c r="Y24" i="1" s="1"/>
  <c r="T64" i="1"/>
  <c r="Y64" i="1" s="1"/>
  <c r="T59" i="1"/>
  <c r="Y59" i="1" s="1"/>
  <c r="T68" i="1"/>
  <c r="Y68" i="1" s="1"/>
  <c r="T4" i="1"/>
  <c r="Y4" i="1" s="1"/>
  <c r="T5" i="1"/>
  <c r="Y5" i="1" s="1"/>
  <c r="T20" i="1"/>
  <c r="Y20" i="1" s="1"/>
  <c r="T2" i="1"/>
  <c r="Y2" i="1" s="1"/>
  <c r="T16" i="1"/>
  <c r="Y16" i="1" s="1"/>
  <c r="T58" i="1"/>
  <c r="Y58" i="1" s="1"/>
  <c r="T33" i="1"/>
  <c r="Y33" i="1" s="1"/>
  <c r="T48" i="1"/>
  <c r="Y48" i="1" s="1"/>
  <c r="T39" i="1"/>
  <c r="Y39" i="1" s="1"/>
  <c r="T47" i="1"/>
  <c r="Y47" i="1" s="1"/>
  <c r="T28" i="1"/>
  <c r="Y28" i="1" s="1"/>
  <c r="T23" i="1"/>
  <c r="Y23" i="1" s="1"/>
  <c r="T12" i="1"/>
  <c r="Y12" i="1" s="1"/>
  <c r="T3" i="1"/>
  <c r="Y3" i="1" s="1"/>
  <c r="T78" i="1"/>
  <c r="Y78" i="1" s="1"/>
  <c r="T66" i="1"/>
  <c r="Y66" i="1" s="1"/>
  <c r="T41" i="1"/>
  <c r="Y41" i="1" s="1"/>
  <c r="T26" i="1"/>
  <c r="Y26" i="1" s="1"/>
  <c r="T72" i="1"/>
  <c r="Y72" i="1" s="1"/>
  <c r="T61" i="1"/>
  <c r="Y61" i="1" s="1"/>
  <c r="T69" i="1"/>
  <c r="Y69" i="1" s="1"/>
  <c r="T80" i="1"/>
  <c r="Y80" i="1" s="1"/>
  <c r="T42" i="1"/>
  <c r="Y42" i="1" s="1"/>
  <c r="T55" i="1"/>
  <c r="Y55" i="1" s="1"/>
  <c r="T27" i="1"/>
  <c r="Y27" i="1" s="1"/>
  <c r="T81" i="1"/>
  <c r="Y81" i="1" s="1"/>
  <c r="T38" i="1"/>
  <c r="Y38" i="1" s="1"/>
  <c r="T37" i="1"/>
  <c r="Y37" i="1" s="1"/>
  <c r="T56" i="1"/>
  <c r="Y56" i="1" s="1"/>
  <c r="T6" i="1"/>
  <c r="Y6" i="1" s="1"/>
  <c r="T44" i="1"/>
  <c r="Y44" i="1" s="1"/>
  <c r="T18" i="1"/>
  <c r="Y18" i="1" s="1"/>
  <c r="T65" i="1"/>
  <c r="Y65" i="1" s="1"/>
  <c r="T71" i="1"/>
  <c r="Y71" i="1" s="1"/>
  <c r="T43" i="1"/>
  <c r="Y43" i="1" s="1"/>
  <c r="T19" i="1"/>
  <c r="Y19" i="1" s="1"/>
  <c r="T82" i="1"/>
  <c r="Y82" i="1" s="1"/>
  <c r="T49" i="1"/>
  <c r="Y49" i="1" s="1"/>
  <c r="T60" i="1"/>
  <c r="Y60" i="1" s="1"/>
  <c r="T36" i="1"/>
  <c r="Y36" i="1" s="1"/>
  <c r="T17" i="1"/>
  <c r="Y17" i="1" s="1"/>
  <c r="T74" i="1"/>
  <c r="Y74" i="1" s="1"/>
  <c r="T79" i="1"/>
  <c r="Y79" i="1" s="1"/>
  <c r="T11" i="1"/>
  <c r="Y11" i="1" s="1"/>
  <c r="V15" i="1"/>
  <c r="V34" i="1"/>
  <c r="V75" i="1"/>
  <c r="V35" i="1"/>
  <c r="V52" i="1"/>
  <c r="V7" i="1"/>
  <c r="V29" i="1"/>
  <c r="V8" i="1"/>
  <c r="V46" i="1"/>
  <c r="V51" i="1"/>
  <c r="V21" i="1"/>
  <c r="V63" i="1"/>
  <c r="V73" i="1"/>
  <c r="V76" i="1"/>
  <c r="V30" i="1"/>
  <c r="V45" i="1"/>
  <c r="V24" i="1"/>
  <c r="V59" i="1"/>
  <c r="V53" i="1"/>
  <c r="V5" i="1"/>
  <c r="V2" i="1"/>
  <c r="V58" i="1"/>
  <c r="V48" i="1"/>
  <c r="V47" i="1"/>
  <c r="V23" i="1"/>
  <c r="V3" i="1"/>
  <c r="V66" i="1"/>
  <c r="V26" i="1"/>
  <c r="V61" i="1"/>
  <c r="V80" i="1"/>
  <c r="V55" i="1"/>
  <c r="V81" i="1"/>
  <c r="V37" i="1"/>
  <c r="V6" i="1"/>
  <c r="V18" i="1"/>
  <c r="V71" i="1"/>
  <c r="V19" i="1"/>
  <c r="V49" i="1"/>
  <c r="V36" i="1"/>
  <c r="V74" i="1"/>
  <c r="V11" i="1"/>
  <c r="D28" i="2" l="1"/>
  <c r="G27" i="2"/>
  <c r="I15" i="3"/>
  <c r="H49" i="3"/>
  <c r="M14" i="3"/>
  <c r="L47" i="3"/>
  <c r="L48" i="3"/>
  <c r="J14" i="3"/>
  <c r="I47" i="3"/>
  <c r="I48" i="3"/>
  <c r="M15" i="3"/>
  <c r="L49" i="3"/>
  <c r="J15" i="3"/>
  <c r="I49" i="3"/>
  <c r="H14" i="3"/>
  <c r="G47" i="3"/>
  <c r="G48" i="3"/>
  <c r="K14" i="3"/>
  <c r="J47" i="3"/>
  <c r="J48" i="3"/>
  <c r="W43" i="1"/>
  <c r="AB43" i="1" s="1"/>
  <c r="AC43" i="1" s="1"/>
  <c r="W28" i="1"/>
  <c r="AF28" i="1" s="1"/>
  <c r="H15" i="3"/>
  <c r="G49" i="3"/>
  <c r="K15" i="3"/>
  <c r="J49" i="3"/>
  <c r="L14" i="3"/>
  <c r="K48" i="3"/>
  <c r="K47" i="3"/>
  <c r="I14" i="3"/>
  <c r="H47" i="3"/>
  <c r="H48" i="3"/>
  <c r="L15" i="3"/>
  <c r="K49" i="3"/>
  <c r="K12" i="4"/>
  <c r="U12" i="4"/>
  <c r="P12" i="4"/>
  <c r="F14" i="4"/>
  <c r="W42" i="1"/>
  <c r="X82" i="1"/>
  <c r="W27" i="1"/>
  <c r="AF27" i="1" s="1"/>
  <c r="W12" i="1"/>
  <c r="AF12" i="1" s="1"/>
  <c r="X4" i="1"/>
  <c r="W38" i="1"/>
  <c r="AD38" i="1" s="1"/>
  <c r="W16" i="1"/>
  <c r="AF16" i="1" s="1"/>
  <c r="W44" i="1"/>
  <c r="AF44" i="1" s="1"/>
  <c r="W60" i="1"/>
  <c r="AD60" i="1" s="1"/>
  <c r="W78" i="1"/>
  <c r="AB78" i="1" s="1"/>
  <c r="AC78" i="1" s="1"/>
  <c r="X20" i="1"/>
  <c r="X17" i="1"/>
  <c r="W56" i="1"/>
  <c r="AF56" i="1" s="1"/>
  <c r="X41" i="1"/>
  <c r="W79" i="1"/>
  <c r="AF79" i="1" s="1"/>
  <c r="X72" i="1"/>
  <c r="X33" i="1"/>
  <c r="X65" i="1"/>
  <c r="W69" i="1"/>
  <c r="AF69" i="1" s="1"/>
  <c r="W39" i="1"/>
  <c r="AF39" i="1" s="1"/>
  <c r="W68" i="1"/>
  <c r="AB68" i="1" s="1"/>
  <c r="AC68" i="1" s="1"/>
  <c r="X64" i="1"/>
  <c r="X77" i="1"/>
  <c r="W70" i="1"/>
  <c r="AF70" i="1" s="1"/>
  <c r="X13" i="1"/>
  <c r="W62" i="1"/>
  <c r="AF62" i="1" s="1"/>
  <c r="X9" i="1"/>
  <c r="X31" i="1"/>
  <c r="W50" i="1"/>
  <c r="AD50" i="1" s="1"/>
  <c r="X32" i="1"/>
  <c r="W14" i="1"/>
  <c r="AD14" i="1" s="1"/>
  <c r="W54" i="1"/>
  <c r="AB54" i="1" s="1"/>
  <c r="AC54" i="1" s="1"/>
  <c r="W40" i="1"/>
  <c r="AB40" i="1" s="1"/>
  <c r="AC40" i="1" s="1"/>
  <c r="X67" i="1"/>
  <c r="W10" i="1"/>
  <c r="AF10" i="1" s="1"/>
  <c r="X22" i="1"/>
  <c r="X25" i="1"/>
  <c r="W57" i="1"/>
  <c r="AD57" i="1" s="1"/>
  <c r="AF43" i="1"/>
  <c r="AB42" i="1"/>
  <c r="AC42" i="1" s="1"/>
  <c r="AD42" i="1"/>
  <c r="AF42" i="1"/>
  <c r="AB28" i="1"/>
  <c r="AC28" i="1" s="1"/>
  <c r="AD28" i="1"/>
  <c r="W11" i="1"/>
  <c r="W4" i="1"/>
  <c r="W3" i="1"/>
  <c r="W21" i="1"/>
  <c r="W47" i="1"/>
  <c r="W66" i="1"/>
  <c r="W13" i="1"/>
  <c r="W52" i="1"/>
  <c r="W61" i="1"/>
  <c r="W46" i="1"/>
  <c r="W8" i="1"/>
  <c r="W22" i="1"/>
  <c r="W9" i="1"/>
  <c r="W80" i="1"/>
  <c r="W26" i="1"/>
  <c r="W35" i="1"/>
  <c r="W59" i="1"/>
  <c r="W72" i="1"/>
  <c r="W17" i="1"/>
  <c r="W55" i="1"/>
  <c r="W41" i="1"/>
  <c r="W37" i="1"/>
  <c r="W33" i="1"/>
  <c r="W19" i="1"/>
  <c r="W34" i="1"/>
  <c r="W65" i="1"/>
  <c r="W29" i="1"/>
  <c r="W76" i="1"/>
  <c r="W25" i="1"/>
  <c r="W31" i="1"/>
  <c r="W15" i="1"/>
  <c r="W32" i="1"/>
  <c r="W67" i="1"/>
  <c r="W77" i="1"/>
  <c r="W5" i="1"/>
  <c r="W20" i="1"/>
  <c r="W63" i="1"/>
  <c r="W82" i="1"/>
  <c r="W64" i="1"/>
  <c r="W81" i="1"/>
  <c r="X14" i="1"/>
  <c r="X75" i="1"/>
  <c r="X6" i="1"/>
  <c r="X16" i="1"/>
  <c r="X12" i="1"/>
  <c r="X30" i="1"/>
  <c r="X40" i="1"/>
  <c r="X56" i="1"/>
  <c r="X36" i="1"/>
  <c r="X43" i="1"/>
  <c r="X18" i="1"/>
  <c r="X7" i="1"/>
  <c r="X44" i="1"/>
  <c r="X24" i="1"/>
  <c r="X27" i="1"/>
  <c r="X69" i="1"/>
  <c r="X78" i="1"/>
  <c r="X73" i="1"/>
  <c r="X62" i="1"/>
  <c r="X60" i="1"/>
  <c r="X58" i="1"/>
  <c r="X39" i="1"/>
  <c r="X23" i="1"/>
  <c r="X57" i="1"/>
  <c r="X48" i="1"/>
  <c r="X54" i="1"/>
  <c r="X50" i="1"/>
  <c r="X49" i="1"/>
  <c r="X45" i="1"/>
  <c r="X74" i="1"/>
  <c r="X28" i="1"/>
  <c r="X53" i="1"/>
  <c r="X79" i="1"/>
  <c r="X2" i="1"/>
  <c r="AD2" i="1" s="1"/>
  <c r="X10" i="1"/>
  <c r="X38" i="1"/>
  <c r="X70" i="1"/>
  <c r="X68" i="1"/>
  <c r="X51" i="1"/>
  <c r="X42" i="1"/>
  <c r="X71" i="1"/>
  <c r="W75" i="1"/>
  <c r="W6" i="1"/>
  <c r="W30" i="1"/>
  <c r="W36" i="1"/>
  <c r="W18" i="1"/>
  <c r="W7" i="1"/>
  <c r="W24" i="1"/>
  <c r="W73" i="1"/>
  <c r="W58" i="1"/>
  <c r="W23" i="1"/>
  <c r="W48" i="1"/>
  <c r="W49" i="1"/>
  <c r="W45" i="1"/>
  <c r="W74" i="1"/>
  <c r="W53" i="1"/>
  <c r="W2" i="1"/>
  <c r="W51" i="1"/>
  <c r="W71" i="1"/>
  <c r="X11" i="1"/>
  <c r="X3" i="1"/>
  <c r="X21" i="1"/>
  <c r="AD21" i="1" s="1"/>
  <c r="X47" i="1"/>
  <c r="AD47" i="1" s="1"/>
  <c r="X66" i="1"/>
  <c r="X52" i="1"/>
  <c r="X61" i="1"/>
  <c r="AD61" i="1" s="1"/>
  <c r="X46" i="1"/>
  <c r="AD46" i="1" s="1"/>
  <c r="X8" i="1"/>
  <c r="X80" i="1"/>
  <c r="X26" i="1"/>
  <c r="X35" i="1"/>
  <c r="X59" i="1"/>
  <c r="X55" i="1"/>
  <c r="X37" i="1"/>
  <c r="X19" i="1"/>
  <c r="X34" i="1"/>
  <c r="X29" i="1"/>
  <c r="X76" i="1"/>
  <c r="X15" i="1"/>
  <c r="X5" i="1"/>
  <c r="X63" i="1"/>
  <c r="X81" i="1"/>
  <c r="Z64" i="1"/>
  <c r="Z77" i="1"/>
  <c r="Z70" i="1"/>
  <c r="Z13" i="1"/>
  <c r="Z62" i="1"/>
  <c r="Z9" i="1"/>
  <c r="AE9" i="1" s="1"/>
  <c r="Z31" i="1"/>
  <c r="Z50" i="1"/>
  <c r="Z32" i="1"/>
  <c r="Z14" i="1"/>
  <c r="Z25" i="1"/>
  <c r="Z54" i="1"/>
  <c r="Z40" i="1"/>
  <c r="Z67" i="1"/>
  <c r="Z10" i="1"/>
  <c r="Z57" i="1"/>
  <c r="Z22" i="1"/>
  <c r="Z79" i="1"/>
  <c r="Z17" i="1"/>
  <c r="Z60" i="1"/>
  <c r="Z82" i="1"/>
  <c r="Z43" i="1"/>
  <c r="AA43" i="1" s="1"/>
  <c r="Z65" i="1"/>
  <c r="Z44" i="1"/>
  <c r="Z56" i="1"/>
  <c r="Z38" i="1"/>
  <c r="Z27" i="1"/>
  <c r="Z42" i="1"/>
  <c r="AA42" i="1" s="1"/>
  <c r="Z69" i="1"/>
  <c r="Z72" i="1"/>
  <c r="Z41" i="1"/>
  <c r="Z78" i="1"/>
  <c r="Z12" i="1"/>
  <c r="Z28" i="1"/>
  <c r="AA28" i="1" s="1"/>
  <c r="Z39" i="1"/>
  <c r="Z33" i="1"/>
  <c r="Z16" i="1"/>
  <c r="Z20" i="1"/>
  <c r="Z4" i="1"/>
  <c r="Z68" i="1"/>
  <c r="V79" i="1"/>
  <c r="V17" i="1"/>
  <c r="V60" i="1"/>
  <c r="V82" i="1"/>
  <c r="V43" i="1"/>
  <c r="V65" i="1"/>
  <c r="V44" i="1"/>
  <c r="V56" i="1"/>
  <c r="V38" i="1"/>
  <c r="V27" i="1"/>
  <c r="V42" i="1"/>
  <c r="V69" i="1"/>
  <c r="V72" i="1"/>
  <c r="V41" i="1"/>
  <c r="V78" i="1"/>
  <c r="V12" i="1"/>
  <c r="V28" i="1"/>
  <c r="V39" i="1"/>
  <c r="V33" i="1"/>
  <c r="V16" i="1"/>
  <c r="V20" i="1"/>
  <c r="V4" i="1"/>
  <c r="V68" i="1"/>
  <c r="V64" i="1"/>
  <c r="V77" i="1"/>
  <c r="V70" i="1"/>
  <c r="V13" i="1"/>
  <c r="V62" i="1"/>
  <c r="V9" i="1"/>
  <c r="V31" i="1"/>
  <c r="V50" i="1"/>
  <c r="V32" i="1"/>
  <c r="V14" i="1"/>
  <c r="V25" i="1"/>
  <c r="V54" i="1"/>
  <c r="V40" i="1"/>
  <c r="V67" i="1"/>
  <c r="V10" i="1"/>
  <c r="V57" i="1"/>
  <c r="V22" i="1"/>
  <c r="Z11" i="1"/>
  <c r="Z74" i="1"/>
  <c r="Z36" i="1"/>
  <c r="Z49" i="1"/>
  <c r="Z19" i="1"/>
  <c r="Z71" i="1"/>
  <c r="Z18" i="1"/>
  <c r="Z6" i="1"/>
  <c r="Z37" i="1"/>
  <c r="Z81" i="1"/>
  <c r="Z55" i="1"/>
  <c r="Z80" i="1"/>
  <c r="Z61" i="1"/>
  <c r="Z26" i="1"/>
  <c r="Z66" i="1"/>
  <c r="Z3" i="1"/>
  <c r="Z23" i="1"/>
  <c r="Z47" i="1"/>
  <c r="Z48" i="1"/>
  <c r="Z58" i="1"/>
  <c r="Z2" i="1"/>
  <c r="Z5" i="1"/>
  <c r="Z53" i="1"/>
  <c r="Z59" i="1"/>
  <c r="Z24" i="1"/>
  <c r="Z45" i="1"/>
  <c r="Z30" i="1"/>
  <c r="Z76" i="1"/>
  <c r="Z73" i="1"/>
  <c r="Z63" i="1"/>
  <c r="Z21" i="1"/>
  <c r="Z51" i="1"/>
  <c r="Z46" i="1"/>
  <c r="Z8" i="1"/>
  <c r="Z29" i="1"/>
  <c r="Z7" i="1"/>
  <c r="Z52" i="1"/>
  <c r="Z35" i="1"/>
  <c r="Z75" i="1"/>
  <c r="Z34" i="1"/>
  <c r="Z15" i="1"/>
  <c r="D29" i="2" l="1"/>
  <c r="G28" i="2"/>
  <c r="K13" i="4"/>
  <c r="U13" i="4"/>
  <c r="P13" i="4"/>
  <c r="F15" i="4"/>
  <c r="AA50" i="1"/>
  <c r="AD9" i="1"/>
  <c r="AA12" i="1"/>
  <c r="AF50" i="1"/>
  <c r="AB50" i="1"/>
  <c r="AC50" i="1" s="1"/>
  <c r="AB27" i="1"/>
  <c r="AC27" i="1" s="1"/>
  <c r="AA27" i="1"/>
  <c r="AB12" i="1"/>
  <c r="AC12" i="1" s="1"/>
  <c r="AD79" i="1"/>
  <c r="AD62" i="1"/>
  <c r="AA62" i="1"/>
  <c r="AD70" i="1"/>
  <c r="AA79" i="1"/>
  <c r="AB62" i="1"/>
  <c r="AC62" i="1" s="1"/>
  <c r="AF40" i="1"/>
  <c r="AA17" i="1"/>
  <c r="AD40" i="1"/>
  <c r="AA69" i="1"/>
  <c r="AD54" i="1"/>
  <c r="AA72" i="1"/>
  <c r="AA78" i="1"/>
  <c r="AB10" i="1"/>
  <c r="AC10" i="1" s="1"/>
  <c r="AF57" i="1"/>
  <c r="AF60" i="1"/>
  <c r="AA25" i="1"/>
  <c r="AB70" i="1"/>
  <c r="AC70" i="1" s="1"/>
  <c r="AF78" i="1"/>
  <c r="AD68" i="1"/>
  <c r="AB38" i="1"/>
  <c r="AC38" i="1" s="1"/>
  <c r="AB60" i="1"/>
  <c r="AC60" i="1" s="1"/>
  <c r="AA68" i="1"/>
  <c r="AA60" i="1"/>
  <c r="AF38" i="1"/>
  <c r="AA41" i="1"/>
  <c r="AA14" i="1"/>
  <c r="AD44" i="1"/>
  <c r="AD39" i="1"/>
  <c r="AB44" i="1"/>
  <c r="AC44" i="1" s="1"/>
  <c r="AA39" i="1"/>
  <c r="AA54" i="1"/>
  <c r="AD69" i="1"/>
  <c r="AD56" i="1"/>
  <c r="AA16" i="1"/>
  <c r="AD16" i="1"/>
  <c r="AB56" i="1"/>
  <c r="AC56" i="1" s="1"/>
  <c r="AA20" i="1"/>
  <c r="AF54" i="1"/>
  <c r="AB16" i="1"/>
  <c r="AC16" i="1" s="1"/>
  <c r="AD78" i="1"/>
  <c r="AB79" i="1"/>
  <c r="AB39" i="1"/>
  <c r="AC39" i="1" s="1"/>
  <c r="AB69" i="1"/>
  <c r="AC69" i="1" s="1"/>
  <c r="AA44" i="1"/>
  <c r="AF14" i="1"/>
  <c r="AA56" i="1"/>
  <c r="AA64" i="1"/>
  <c r="AB14" i="1"/>
  <c r="AC14" i="1" s="1"/>
  <c r="AA38" i="1"/>
  <c r="AA77" i="1"/>
  <c r="AA70" i="1"/>
  <c r="AA10" i="1"/>
  <c r="AA40" i="1"/>
  <c r="AD10" i="1"/>
  <c r="AF68" i="1"/>
  <c r="AA57" i="1"/>
  <c r="AB57" i="1"/>
  <c r="AC57" i="1" s="1"/>
  <c r="AE27" i="1"/>
  <c r="AA34" i="1"/>
  <c r="AA8" i="1"/>
  <c r="AA51" i="1"/>
  <c r="AA63" i="1"/>
  <c r="AA45" i="1"/>
  <c r="AA59" i="1"/>
  <c r="AA5" i="1"/>
  <c r="AA58" i="1"/>
  <c r="AA3" i="1"/>
  <c r="AA26" i="1"/>
  <c r="AD12" i="1"/>
  <c r="AD27" i="1"/>
  <c r="AE40" i="1"/>
  <c r="AE68" i="1"/>
  <c r="AE12" i="1"/>
  <c r="AA15" i="1"/>
  <c r="AA75" i="1"/>
  <c r="AA29" i="1"/>
  <c r="AA30" i="1"/>
  <c r="AA24" i="1"/>
  <c r="AA53" i="1"/>
  <c r="AA48" i="1"/>
  <c r="AA61" i="1"/>
  <c r="AA18" i="1"/>
  <c r="AA11" i="1"/>
  <c r="AE42" i="1"/>
  <c r="AG42" i="1" s="1"/>
  <c r="AA33" i="1"/>
  <c r="AA67" i="1"/>
  <c r="AA9" i="1"/>
  <c r="AA13" i="1"/>
  <c r="AA35" i="1"/>
  <c r="AA7" i="1"/>
  <c r="AA76" i="1"/>
  <c r="AA80" i="1"/>
  <c r="AA81" i="1"/>
  <c r="AA6" i="1"/>
  <c r="AA71" i="1"/>
  <c r="AA49" i="1"/>
  <c r="AA74" i="1"/>
  <c r="AE28" i="1"/>
  <c r="AG28" i="1" s="1"/>
  <c r="AE78" i="1"/>
  <c r="AA52" i="1"/>
  <c r="AA73" i="1"/>
  <c r="AA23" i="1"/>
  <c r="AA66" i="1"/>
  <c r="AA55" i="1"/>
  <c r="AA37" i="1"/>
  <c r="AA19" i="1"/>
  <c r="AA36" i="1"/>
  <c r="AD43" i="1"/>
  <c r="AE54" i="1"/>
  <c r="AE43" i="1"/>
  <c r="AA4" i="1"/>
  <c r="AA65" i="1"/>
  <c r="AA82" i="1"/>
  <c r="AA22" i="1"/>
  <c r="AA32" i="1"/>
  <c r="AA31" i="1"/>
  <c r="AF71" i="1"/>
  <c r="AD71" i="1"/>
  <c r="AB71" i="1"/>
  <c r="AF2" i="1"/>
  <c r="AB2" i="1"/>
  <c r="AC2" i="1" s="1"/>
  <c r="AD74" i="1"/>
  <c r="AF74" i="1"/>
  <c r="AB74" i="1"/>
  <c r="AD49" i="1"/>
  <c r="AF49" i="1"/>
  <c r="AB49" i="1"/>
  <c r="AD23" i="1"/>
  <c r="AF23" i="1"/>
  <c r="AB23" i="1"/>
  <c r="AD73" i="1"/>
  <c r="AF73" i="1"/>
  <c r="AB73" i="1"/>
  <c r="AD7" i="1"/>
  <c r="AF7" i="1"/>
  <c r="AB7" i="1"/>
  <c r="AD36" i="1"/>
  <c r="AF36" i="1"/>
  <c r="AB36" i="1"/>
  <c r="AF6" i="1"/>
  <c r="AD6" i="1"/>
  <c r="AB6" i="1"/>
  <c r="AB64" i="1"/>
  <c r="AD64" i="1"/>
  <c r="AF64" i="1"/>
  <c r="AF63" i="1"/>
  <c r="AD63" i="1"/>
  <c r="AB63" i="1"/>
  <c r="AD5" i="1"/>
  <c r="AF5" i="1"/>
  <c r="AB5" i="1"/>
  <c r="AF67" i="1"/>
  <c r="AB67" i="1"/>
  <c r="AD67" i="1"/>
  <c r="AD15" i="1"/>
  <c r="AF15" i="1"/>
  <c r="AB15" i="1"/>
  <c r="AF25" i="1"/>
  <c r="AB25" i="1"/>
  <c r="AD25" i="1"/>
  <c r="AD29" i="1"/>
  <c r="AF29" i="1"/>
  <c r="AB29" i="1"/>
  <c r="AD34" i="1"/>
  <c r="AF34" i="1"/>
  <c r="AB34" i="1"/>
  <c r="AD33" i="1"/>
  <c r="AB33" i="1"/>
  <c r="AF33" i="1"/>
  <c r="AD41" i="1"/>
  <c r="AB41" i="1"/>
  <c r="AF41" i="1"/>
  <c r="AB17" i="1"/>
  <c r="AD17" i="1"/>
  <c r="AF17" i="1"/>
  <c r="AD59" i="1"/>
  <c r="AF59" i="1"/>
  <c r="AB59" i="1"/>
  <c r="AF26" i="1"/>
  <c r="AD26" i="1"/>
  <c r="AB26" i="1"/>
  <c r="AB9" i="1"/>
  <c r="AC9" i="1" s="1"/>
  <c r="AF9" i="1"/>
  <c r="AD8" i="1"/>
  <c r="AF8" i="1"/>
  <c r="AB8" i="1"/>
  <c r="AF61" i="1"/>
  <c r="AB61" i="1"/>
  <c r="AC61" i="1" s="1"/>
  <c r="AB13" i="1"/>
  <c r="AD13" i="1"/>
  <c r="AF13" i="1"/>
  <c r="AF47" i="1"/>
  <c r="AB47" i="1"/>
  <c r="AC47" i="1" s="1"/>
  <c r="AF3" i="1"/>
  <c r="AD3" i="1"/>
  <c r="AB3" i="1"/>
  <c r="AF11" i="1"/>
  <c r="AD11" i="1"/>
  <c r="AB11" i="1"/>
  <c r="AD51" i="1"/>
  <c r="AF51" i="1"/>
  <c r="AB51" i="1"/>
  <c r="AD53" i="1"/>
  <c r="AF53" i="1"/>
  <c r="AB53" i="1"/>
  <c r="AD45" i="1"/>
  <c r="AF45" i="1"/>
  <c r="AB45" i="1"/>
  <c r="AF48" i="1"/>
  <c r="AD48" i="1"/>
  <c r="AB48" i="1"/>
  <c r="AF58" i="1"/>
  <c r="AD58" i="1"/>
  <c r="AB58" i="1"/>
  <c r="AD24" i="1"/>
  <c r="AF24" i="1"/>
  <c r="AB24" i="1"/>
  <c r="AF18" i="1"/>
  <c r="AD18" i="1"/>
  <c r="AB18" i="1"/>
  <c r="AD30" i="1"/>
  <c r="AF30" i="1"/>
  <c r="AB30" i="1"/>
  <c r="AD75" i="1"/>
  <c r="AF75" i="1"/>
  <c r="AB75" i="1"/>
  <c r="AF81" i="1"/>
  <c r="AD81" i="1"/>
  <c r="AB81" i="1"/>
  <c r="AB82" i="1"/>
  <c r="AD82" i="1"/>
  <c r="AF82" i="1"/>
  <c r="AB20" i="1"/>
  <c r="AD20" i="1"/>
  <c r="AF20" i="1"/>
  <c r="AB77" i="1"/>
  <c r="AD77" i="1"/>
  <c r="AF77" i="1"/>
  <c r="AB32" i="1"/>
  <c r="AD32" i="1"/>
  <c r="AF32" i="1"/>
  <c r="AD31" i="1"/>
  <c r="AB31" i="1"/>
  <c r="AF31" i="1"/>
  <c r="AD76" i="1"/>
  <c r="AF76" i="1"/>
  <c r="AB76" i="1"/>
  <c r="AD65" i="1"/>
  <c r="AB65" i="1"/>
  <c r="AF65" i="1"/>
  <c r="AD19" i="1"/>
  <c r="AF19" i="1"/>
  <c r="AB19" i="1"/>
  <c r="AF37" i="1"/>
  <c r="AD37" i="1"/>
  <c r="AB37" i="1"/>
  <c r="AD55" i="1"/>
  <c r="AF55" i="1"/>
  <c r="AB55" i="1"/>
  <c r="AD72" i="1"/>
  <c r="AB72" i="1"/>
  <c r="AF72" i="1"/>
  <c r="AD35" i="1"/>
  <c r="AF35" i="1"/>
  <c r="AB35" i="1"/>
  <c r="AD80" i="1"/>
  <c r="AF80" i="1"/>
  <c r="AB80" i="1"/>
  <c r="AD22" i="1"/>
  <c r="AF22" i="1"/>
  <c r="AB22" i="1"/>
  <c r="AF46" i="1"/>
  <c r="AB46" i="1"/>
  <c r="AC46" i="1" s="1"/>
  <c r="AD52" i="1"/>
  <c r="AF52" i="1"/>
  <c r="AB52" i="1"/>
  <c r="AF66" i="1"/>
  <c r="AD66" i="1"/>
  <c r="AB66" i="1"/>
  <c r="AF21" i="1"/>
  <c r="AB21" i="1"/>
  <c r="AC21" i="1" s="1"/>
  <c r="AB4" i="1"/>
  <c r="AD4" i="1"/>
  <c r="AF4" i="1"/>
  <c r="AE61" i="1"/>
  <c r="AA47" i="1"/>
  <c r="AE47" i="1"/>
  <c r="AA46" i="1"/>
  <c r="AE46" i="1"/>
  <c r="AA21" i="1"/>
  <c r="AE21" i="1"/>
  <c r="AA2" i="1"/>
  <c r="AE2" i="1"/>
  <c r="D30" i="2" l="1"/>
  <c r="G29" i="2"/>
  <c r="AE50" i="1"/>
  <c r="AG50" i="1" s="1"/>
  <c r="K14" i="4"/>
  <c r="U14" i="4"/>
  <c r="P14" i="4"/>
  <c r="F16" i="4"/>
  <c r="AE44" i="1"/>
  <c r="AG44" i="1" s="1"/>
  <c r="AE70" i="1"/>
  <c r="AG70" i="1" s="1"/>
  <c r="AE10" i="1"/>
  <c r="AG10" i="1" s="1"/>
  <c r="AE62" i="1"/>
  <c r="AG62" i="1" s="1"/>
  <c r="AG40" i="1"/>
  <c r="AE60" i="1"/>
  <c r="AG60" i="1" s="1"/>
  <c r="AG54" i="1"/>
  <c r="AE69" i="1"/>
  <c r="AG69" i="1" s="1"/>
  <c r="AG68" i="1"/>
  <c r="AG78" i="1"/>
  <c r="AE39" i="1"/>
  <c r="AG39" i="1" s="1"/>
  <c r="AE38" i="1"/>
  <c r="AG38" i="1" s="1"/>
  <c r="AC79" i="1"/>
  <c r="AE79" i="1"/>
  <c r="AE56" i="1"/>
  <c r="AG56" i="1" s="1"/>
  <c r="AE16" i="1"/>
  <c r="AG16" i="1" s="1"/>
  <c r="AE14" i="1"/>
  <c r="AG14" i="1" s="1"/>
  <c r="AE57" i="1"/>
  <c r="AG57" i="1" s="1"/>
  <c r="AG2" i="1"/>
  <c r="AG21" i="1"/>
  <c r="AG46" i="1"/>
  <c r="AG47" i="1"/>
  <c r="AG12" i="1"/>
  <c r="AG27" i="1"/>
  <c r="AG61" i="1"/>
  <c r="AG43" i="1"/>
  <c r="AG9" i="1"/>
  <c r="AC66" i="1"/>
  <c r="AE66" i="1"/>
  <c r="AC22" i="1"/>
  <c r="AE22" i="1"/>
  <c r="AC35" i="1"/>
  <c r="AE35" i="1"/>
  <c r="AC72" i="1"/>
  <c r="AE72" i="1"/>
  <c r="AC55" i="1"/>
  <c r="AE55" i="1"/>
  <c r="AC19" i="1"/>
  <c r="AE19" i="1"/>
  <c r="AC65" i="1"/>
  <c r="AE65" i="1"/>
  <c r="AC76" i="1"/>
  <c r="AE76" i="1"/>
  <c r="AC31" i="1"/>
  <c r="AE31" i="1"/>
  <c r="AC32" i="1"/>
  <c r="AE32" i="1"/>
  <c r="AC20" i="1"/>
  <c r="AE20" i="1"/>
  <c r="AC81" i="1"/>
  <c r="AE81" i="1"/>
  <c r="AC30" i="1"/>
  <c r="AE30" i="1"/>
  <c r="AC24" i="1"/>
  <c r="AE24" i="1"/>
  <c r="AC48" i="1"/>
  <c r="AE48" i="1"/>
  <c r="AC53" i="1"/>
  <c r="AE53" i="1"/>
  <c r="AC11" i="1"/>
  <c r="AE11" i="1"/>
  <c r="AC13" i="1"/>
  <c r="AE13" i="1"/>
  <c r="AC26" i="1"/>
  <c r="AE26" i="1"/>
  <c r="AC17" i="1"/>
  <c r="AE17" i="1"/>
  <c r="AC41" i="1"/>
  <c r="AE41" i="1"/>
  <c r="AC29" i="1"/>
  <c r="AE29" i="1"/>
  <c r="AC25" i="1"/>
  <c r="AE25" i="1"/>
  <c r="AC15" i="1"/>
  <c r="AE15" i="1"/>
  <c r="AC67" i="1"/>
  <c r="AE67" i="1"/>
  <c r="AC5" i="1"/>
  <c r="AE5" i="1"/>
  <c r="AC64" i="1"/>
  <c r="AE64" i="1"/>
  <c r="AC36" i="1"/>
  <c r="AE36" i="1"/>
  <c r="AC73" i="1"/>
  <c r="AE73" i="1"/>
  <c r="AC49" i="1"/>
  <c r="AE49" i="1"/>
  <c r="AC71" i="1"/>
  <c r="AE71" i="1"/>
  <c r="AC4" i="1"/>
  <c r="AE4" i="1"/>
  <c r="AC52" i="1"/>
  <c r="AE52" i="1"/>
  <c r="AC80" i="1"/>
  <c r="AE80" i="1"/>
  <c r="AC37" i="1"/>
  <c r="AE37" i="1"/>
  <c r="AC77" i="1"/>
  <c r="AE77" i="1"/>
  <c r="AC82" i="1"/>
  <c r="AE82" i="1"/>
  <c r="AC75" i="1"/>
  <c r="AE75" i="1"/>
  <c r="AC18" i="1"/>
  <c r="AE18" i="1"/>
  <c r="AC58" i="1"/>
  <c r="AE58" i="1"/>
  <c r="AC45" i="1"/>
  <c r="AE45" i="1"/>
  <c r="AC51" i="1"/>
  <c r="AE51" i="1"/>
  <c r="AC3" i="1"/>
  <c r="AE3" i="1"/>
  <c r="AC8" i="1"/>
  <c r="AE8" i="1"/>
  <c r="AC59" i="1"/>
  <c r="AE59" i="1"/>
  <c r="AC33" i="1"/>
  <c r="AE33" i="1"/>
  <c r="AC34" i="1"/>
  <c r="AE34" i="1"/>
  <c r="AC63" i="1"/>
  <c r="AE63" i="1"/>
  <c r="AC6" i="1"/>
  <c r="AE6" i="1"/>
  <c r="AC7" i="1"/>
  <c r="AE7" i="1"/>
  <c r="AC23" i="1"/>
  <c r="AE23" i="1"/>
  <c r="AC74" i="1"/>
  <c r="AE74" i="1"/>
  <c r="D31" i="2" l="1"/>
  <c r="G30" i="2"/>
  <c r="K15" i="4"/>
  <c r="U15" i="4"/>
  <c r="P15" i="4"/>
  <c r="F17" i="4"/>
  <c r="AG79" i="1"/>
  <c r="AG74" i="1"/>
  <c r="AG23" i="1"/>
  <c r="AG7" i="1"/>
  <c r="AG6" i="1"/>
  <c r="AG63" i="1"/>
  <c r="AG34" i="1"/>
  <c r="AG33" i="1"/>
  <c r="AG59" i="1"/>
  <c r="AG8" i="1"/>
  <c r="AG3" i="1"/>
  <c r="AG51" i="1"/>
  <c r="AG45" i="1"/>
  <c r="AG58" i="1"/>
  <c r="AG18" i="1"/>
  <c r="AG75" i="1"/>
  <c r="AG82" i="1"/>
  <c r="AG77" i="1"/>
  <c r="AG37" i="1"/>
  <c r="AG80" i="1"/>
  <c r="AG52" i="1"/>
  <c r="AG4" i="1"/>
  <c r="AG71" i="1"/>
  <c r="AG49" i="1"/>
  <c r="AG73" i="1"/>
  <c r="AG36" i="1"/>
  <c r="AG64" i="1"/>
  <c r="AG5" i="1"/>
  <c r="AG67" i="1"/>
  <c r="AG15" i="1"/>
  <c r="AG25" i="1"/>
  <c r="AG29" i="1"/>
  <c r="AG41" i="1"/>
  <c r="AG17" i="1"/>
  <c r="AG26" i="1"/>
  <c r="AG13" i="1"/>
  <c r="AG11" i="1"/>
  <c r="AG53" i="1"/>
  <c r="AG48" i="1"/>
  <c r="AG24" i="1"/>
  <c r="AG30" i="1"/>
  <c r="AG81" i="1"/>
  <c r="AG20" i="1"/>
  <c r="AG32" i="1"/>
  <c r="AG31" i="1"/>
  <c r="AG76" i="1"/>
  <c r="AG65" i="1"/>
  <c r="AG19" i="1"/>
  <c r="AG55" i="1"/>
  <c r="AG72" i="1"/>
  <c r="AG35" i="1"/>
  <c r="AG22" i="1"/>
  <c r="AG66" i="1"/>
  <c r="D32" i="2" l="1"/>
  <c r="G31" i="2"/>
  <c r="K16" i="4"/>
  <c r="U16" i="4"/>
  <c r="P16" i="4"/>
  <c r="F18" i="4"/>
  <c r="D33" i="2" l="1"/>
  <c r="G32" i="2"/>
  <c r="K17" i="4"/>
  <c r="U17" i="4"/>
  <c r="P17" i="4"/>
  <c r="F19" i="4"/>
  <c r="D34" i="2" l="1"/>
  <c r="G33" i="2"/>
  <c r="K18" i="4"/>
  <c r="U18" i="4"/>
  <c r="P18" i="4"/>
  <c r="F20" i="4"/>
  <c r="D35" i="2" l="1"/>
  <c r="G34" i="2"/>
  <c r="K19" i="4"/>
  <c r="U19" i="4"/>
  <c r="P19" i="4"/>
  <c r="F21" i="4"/>
  <c r="D36" i="2" l="1"/>
  <c r="G35" i="2"/>
  <c r="K20" i="4"/>
  <c r="U20" i="4"/>
  <c r="P20" i="4"/>
  <c r="F22" i="4"/>
  <c r="D37" i="2" l="1"/>
  <c r="G36" i="2"/>
  <c r="K21" i="4"/>
  <c r="U21" i="4"/>
  <c r="P21" i="4"/>
  <c r="F23" i="4"/>
  <c r="D38" i="2" l="1"/>
  <c r="G37" i="2"/>
  <c r="K22" i="4"/>
  <c r="U22" i="4"/>
  <c r="P22" i="4"/>
  <c r="F24" i="4"/>
  <c r="D39" i="2" l="1"/>
  <c r="G38" i="2"/>
  <c r="K23" i="4"/>
  <c r="U23" i="4"/>
  <c r="P23" i="4"/>
  <c r="F25" i="4"/>
  <c r="D40" i="2" l="1"/>
  <c r="G39" i="2"/>
  <c r="K24" i="4"/>
  <c r="U24" i="4"/>
  <c r="P24" i="4"/>
  <c r="F26" i="4"/>
  <c r="D41" i="2" l="1"/>
  <c r="G40" i="2"/>
  <c r="K25" i="4"/>
  <c r="U25" i="4"/>
  <c r="P25" i="4"/>
  <c r="F27" i="4"/>
  <c r="D42" i="2" l="1"/>
  <c r="G41" i="2"/>
  <c r="K26" i="4"/>
  <c r="U26" i="4"/>
  <c r="P26" i="4"/>
  <c r="F28" i="4"/>
  <c r="D43" i="2" l="1"/>
  <c r="G42" i="2"/>
  <c r="K27" i="4"/>
  <c r="U27" i="4"/>
  <c r="P27" i="4"/>
  <c r="F29" i="4"/>
  <c r="D44" i="2" l="1"/>
  <c r="G43" i="2"/>
  <c r="K28" i="4"/>
  <c r="U28" i="4"/>
  <c r="P28" i="4"/>
  <c r="F30" i="4"/>
  <c r="D45" i="2" l="1"/>
  <c r="G44" i="2"/>
  <c r="K29" i="4"/>
  <c r="U29" i="4"/>
  <c r="P29" i="4"/>
  <c r="F31" i="4"/>
  <c r="D46" i="2" l="1"/>
  <c r="G45" i="2"/>
  <c r="K30" i="4"/>
  <c r="U30" i="4"/>
  <c r="P30" i="4"/>
  <c r="F32" i="4"/>
  <c r="D47" i="2" l="1"/>
  <c r="G46" i="2"/>
  <c r="K31" i="4"/>
  <c r="U31" i="4"/>
  <c r="P31" i="4"/>
  <c r="F33" i="4"/>
  <c r="D48" i="2" l="1"/>
  <c r="G47" i="2"/>
  <c r="K32" i="4"/>
  <c r="U32" i="4"/>
  <c r="P32" i="4"/>
  <c r="F34" i="4"/>
  <c r="D49" i="2" l="1"/>
  <c r="G48" i="2"/>
  <c r="K33" i="4"/>
  <c r="U33" i="4"/>
  <c r="P33" i="4"/>
  <c r="F35" i="4"/>
  <c r="D50" i="2" l="1"/>
  <c r="G49" i="2"/>
  <c r="K34" i="4"/>
  <c r="U34" i="4"/>
  <c r="P34" i="4"/>
  <c r="F36" i="4"/>
  <c r="D51" i="2" l="1"/>
  <c r="G50" i="2"/>
  <c r="K35" i="4"/>
  <c r="U35" i="4"/>
  <c r="P35" i="4"/>
  <c r="F37" i="4"/>
  <c r="D52" i="2" l="1"/>
  <c r="G51" i="2"/>
  <c r="K36" i="4"/>
  <c r="U36" i="4"/>
  <c r="P36" i="4"/>
  <c r="F38" i="4"/>
  <c r="D53" i="2" l="1"/>
  <c r="G52" i="2"/>
  <c r="K37" i="4"/>
  <c r="U37" i="4"/>
  <c r="P37" i="4"/>
  <c r="F39" i="4"/>
  <c r="D54" i="2" l="1"/>
  <c r="G53" i="2"/>
  <c r="K38" i="4"/>
  <c r="U38" i="4"/>
  <c r="P38" i="4"/>
  <c r="F40" i="4"/>
  <c r="D55" i="2" l="1"/>
  <c r="G54" i="2"/>
  <c r="K39" i="4"/>
  <c r="U39" i="4"/>
  <c r="P39" i="4"/>
  <c r="F41" i="4"/>
  <c r="D56" i="2" l="1"/>
  <c r="G55" i="2"/>
  <c r="K40" i="4"/>
  <c r="U40" i="4"/>
  <c r="P40" i="4"/>
  <c r="F42" i="4"/>
  <c r="D57" i="2" l="1"/>
  <c r="G56" i="2"/>
  <c r="K41" i="4"/>
  <c r="U41" i="4"/>
  <c r="P41" i="4"/>
  <c r="F43" i="4"/>
  <c r="D58" i="2" l="1"/>
  <c r="G57" i="2"/>
  <c r="K42" i="4"/>
  <c r="U42" i="4"/>
  <c r="P42" i="4"/>
  <c r="F44" i="4"/>
  <c r="D59" i="2" l="1"/>
  <c r="G58" i="2"/>
  <c r="K43" i="4"/>
  <c r="U43" i="4"/>
  <c r="P43" i="4"/>
  <c r="F45" i="4"/>
  <c r="D60" i="2" l="1"/>
  <c r="G59" i="2"/>
  <c r="K44" i="4"/>
  <c r="U44" i="4"/>
  <c r="P44" i="4"/>
  <c r="F46" i="4"/>
  <c r="D61" i="2" l="1"/>
  <c r="G60" i="2"/>
  <c r="K45" i="4"/>
  <c r="U45" i="4"/>
  <c r="P45" i="4"/>
  <c r="F47" i="4"/>
  <c r="D62" i="2" l="1"/>
  <c r="G61" i="2"/>
  <c r="K46" i="4"/>
  <c r="U46" i="4"/>
  <c r="P46" i="4"/>
  <c r="F48" i="4"/>
  <c r="D63" i="2" l="1"/>
  <c r="G62" i="2"/>
  <c r="K47" i="4"/>
  <c r="U47" i="4"/>
  <c r="P47" i="4"/>
  <c r="F50" i="4"/>
  <c r="F49" i="4"/>
  <c r="D64" i="2" l="1"/>
  <c r="G63" i="2"/>
  <c r="K48" i="4"/>
  <c r="U48" i="4"/>
  <c r="P48" i="4"/>
  <c r="D65" i="2" l="1"/>
  <c r="G64" i="2"/>
  <c r="K50" i="4"/>
  <c r="K49" i="4"/>
  <c r="U50" i="4"/>
  <c r="U49" i="4"/>
  <c r="P50" i="4"/>
  <c r="P49" i="4"/>
  <c r="D66" i="2" l="1"/>
  <c r="G65" i="2"/>
  <c r="D67" i="2" l="1"/>
  <c r="G66" i="2"/>
  <c r="D68" i="2" l="1"/>
  <c r="G67" i="2"/>
  <c r="D69" i="2" l="1"/>
  <c r="G68" i="2"/>
  <c r="D70" i="2" l="1"/>
  <c r="G69" i="2"/>
  <c r="D71" i="2" l="1"/>
  <c r="G70" i="2"/>
  <c r="D72" i="2" l="1"/>
  <c r="G71" i="2"/>
  <c r="D73" i="2" l="1"/>
  <c r="G72" i="2"/>
  <c r="D74" i="2" l="1"/>
  <c r="G73" i="2"/>
  <c r="D75" i="2" l="1"/>
  <c r="G74" i="2"/>
  <c r="D76" i="2" l="1"/>
  <c r="G75" i="2"/>
  <c r="D77" i="2" l="1"/>
  <c r="G76" i="2"/>
  <c r="D78" i="2" l="1"/>
  <c r="G77" i="2"/>
  <c r="D79" i="2" l="1"/>
  <c r="G78" i="2"/>
  <c r="D80" i="2" l="1"/>
  <c r="G79" i="2"/>
  <c r="D81" i="2" l="1"/>
  <c r="G80" i="2"/>
  <c r="D82" i="2" l="1"/>
  <c r="G81" i="2"/>
  <c r="D83" i="2" l="1"/>
  <c r="G82" i="2"/>
  <c r="D84" i="2" l="1"/>
  <c r="G84" i="2" s="1"/>
  <c r="G83" i="2"/>
</calcChain>
</file>

<file path=xl/sharedStrings.xml><?xml version="1.0" encoding="utf-8"?>
<sst xmlns="http://schemas.openxmlformats.org/spreadsheetml/2006/main" count="1578" uniqueCount="544">
  <si>
    <t>Character</t>
  </si>
  <si>
    <t>STR</t>
  </si>
  <si>
    <t>TECH</t>
  </si>
  <si>
    <t>MAG</t>
  </si>
  <si>
    <t>SPD</t>
  </si>
  <si>
    <t>PROT</t>
  </si>
  <si>
    <t>MDEF</t>
  </si>
  <si>
    <t>LUCK</t>
  </si>
  <si>
    <t>HP</t>
  </si>
  <si>
    <t>SLOT</t>
  </si>
  <si>
    <t>WPN</t>
  </si>
  <si>
    <t>Armor</t>
  </si>
  <si>
    <t>ATK</t>
  </si>
  <si>
    <t>CRIT</t>
  </si>
  <si>
    <t>Lightning</t>
  </si>
  <si>
    <t>CLMY</t>
  </si>
  <si>
    <t>Abizboah</t>
  </si>
  <si>
    <t>None</t>
  </si>
  <si>
    <t>Amada</t>
  </si>
  <si>
    <t>CVM</t>
  </si>
  <si>
    <t>Anita</t>
  </si>
  <si>
    <t>CLSF</t>
  </si>
  <si>
    <t>Ayda</t>
  </si>
  <si>
    <t>CVFY</t>
  </si>
  <si>
    <t>Badeaux</t>
  </si>
  <si>
    <t>EHM</t>
  </si>
  <si>
    <t>Bob</t>
  </si>
  <si>
    <t>Bolgan</t>
  </si>
  <si>
    <t>EHMY</t>
  </si>
  <si>
    <t>Camus</t>
  </si>
  <si>
    <t>ELSM</t>
  </si>
  <si>
    <t>Chaco</t>
  </si>
  <si>
    <t>CVW</t>
  </si>
  <si>
    <t>Chuchara</t>
  </si>
  <si>
    <t>Clive</t>
  </si>
  <si>
    <t>CLM</t>
  </si>
  <si>
    <t>Eilie</t>
  </si>
  <si>
    <t>Feather</t>
  </si>
  <si>
    <t>Flik</t>
  </si>
  <si>
    <t>CLSM</t>
  </si>
  <si>
    <t>Freed Y</t>
  </si>
  <si>
    <t>Futch</t>
  </si>
  <si>
    <t>ELSMY</t>
  </si>
  <si>
    <t>Gabocha</t>
  </si>
  <si>
    <t>CLKY</t>
  </si>
  <si>
    <t>Gadget</t>
  </si>
  <si>
    <t>Gantetsu</t>
  </si>
  <si>
    <t>Gengen</t>
  </si>
  <si>
    <t>ELSKY</t>
  </si>
  <si>
    <t>Genshu</t>
  </si>
  <si>
    <t>Georg</t>
  </si>
  <si>
    <t>Gijimu</t>
  </si>
  <si>
    <t>Hai Yo</t>
  </si>
  <si>
    <t>Hanna</t>
  </si>
  <si>
    <t>ELSF</t>
  </si>
  <si>
    <t>Hauser</t>
  </si>
  <si>
    <t>ELM</t>
  </si>
  <si>
    <t>Hix</t>
  </si>
  <si>
    <t>Exertion</t>
  </si>
  <si>
    <t>Hoi</t>
  </si>
  <si>
    <t>Technique</t>
  </si>
  <si>
    <t>Humphrey</t>
  </si>
  <si>
    <t>Jowy</t>
  </si>
  <si>
    <t>Kahn</t>
  </si>
  <si>
    <t>Magic Drain</t>
  </si>
  <si>
    <t>Karen</t>
  </si>
  <si>
    <t>Sleep</t>
  </si>
  <si>
    <t>CVF</t>
  </si>
  <si>
    <t>Kasumi</t>
  </si>
  <si>
    <t>Killey</t>
  </si>
  <si>
    <t>Kinnison</t>
  </si>
  <si>
    <t>Koyu</t>
  </si>
  <si>
    <t>L.C.Chan</t>
  </si>
  <si>
    <t>Lo Wen</t>
  </si>
  <si>
    <t>ELF</t>
  </si>
  <si>
    <t>Lorelai</t>
  </si>
  <si>
    <t>Luc</t>
  </si>
  <si>
    <t>CRMY</t>
  </si>
  <si>
    <t>Makumaku</t>
  </si>
  <si>
    <t>Mazus</t>
  </si>
  <si>
    <t>CRM</t>
  </si>
  <si>
    <t>McDohl</t>
  </si>
  <si>
    <t>Meg</t>
  </si>
  <si>
    <t>Mekumeku</t>
  </si>
  <si>
    <t>Miklotov</t>
  </si>
  <si>
    <t>Mikumiku</t>
  </si>
  <si>
    <t>Millie</t>
  </si>
  <si>
    <t>Mokumoku</t>
  </si>
  <si>
    <t>Mondo</t>
  </si>
  <si>
    <t>Mukumuku</t>
  </si>
  <si>
    <t>Nanami</t>
  </si>
  <si>
    <t>Nina</t>
  </si>
  <si>
    <t>Oulan</t>
  </si>
  <si>
    <t>Pesmerga</t>
  </si>
  <si>
    <t>Rage</t>
  </si>
  <si>
    <t>EHSM</t>
  </si>
  <si>
    <t>Rikimaru</t>
  </si>
  <si>
    <t>Rina</t>
  </si>
  <si>
    <t>Rulodia</t>
  </si>
  <si>
    <t>Sasuke</t>
  </si>
  <si>
    <t>CVMY</t>
  </si>
  <si>
    <t>Sheena</t>
  </si>
  <si>
    <t>Shilo</t>
  </si>
  <si>
    <t>Shin</t>
  </si>
  <si>
    <t>Shiro</t>
  </si>
  <si>
    <t>Sid</t>
  </si>
  <si>
    <t>Siegfried</t>
  </si>
  <si>
    <t>Sierra</t>
  </si>
  <si>
    <t>Thunder</t>
  </si>
  <si>
    <t>Simone</t>
  </si>
  <si>
    <t>CLN</t>
  </si>
  <si>
    <t>Stallion</t>
  </si>
  <si>
    <t>Tai Ho</t>
  </si>
  <si>
    <t>Tengaar</t>
  </si>
  <si>
    <t>CRF</t>
  </si>
  <si>
    <t>Tomo</t>
  </si>
  <si>
    <t>Tsai</t>
  </si>
  <si>
    <t>Tuta</t>
  </si>
  <si>
    <t>Valeria</t>
  </si>
  <si>
    <t>Viki</t>
  </si>
  <si>
    <t>Viktor</t>
  </si>
  <si>
    <t>Vincent</t>
  </si>
  <si>
    <t>CLSN</t>
  </si>
  <si>
    <t>Wakaba</t>
  </si>
  <si>
    <t>Yoshino</t>
  </si>
  <si>
    <t>Zamza</t>
  </si>
  <si>
    <t>Bow</t>
  </si>
  <si>
    <t>Knight</t>
  </si>
  <si>
    <t>Trick</t>
  </si>
  <si>
    <t>Warrior</t>
  </si>
  <si>
    <t>MAX</t>
  </si>
  <si>
    <t>S</t>
  </si>
  <si>
    <t>A</t>
  </si>
  <si>
    <t>A+</t>
  </si>
  <si>
    <t>B</t>
  </si>
  <si>
    <t>B+</t>
  </si>
  <si>
    <t>C+</t>
  </si>
  <si>
    <t>C</t>
  </si>
  <si>
    <t>D</t>
  </si>
  <si>
    <t>E</t>
  </si>
  <si>
    <t>F</t>
  </si>
  <si>
    <t>Head</t>
  </si>
  <si>
    <t>Type</t>
  </si>
  <si>
    <t>Bright Shield</t>
  </si>
  <si>
    <t>Hero</t>
  </si>
  <si>
    <t>Blue Drop</t>
  </si>
  <si>
    <t>Beast</t>
  </si>
  <si>
    <t>Spear</t>
  </si>
  <si>
    <t>Falcon</t>
  </si>
  <si>
    <t>Sword</t>
  </si>
  <si>
    <t>Howling</t>
  </si>
  <si>
    <t>Other</t>
  </si>
  <si>
    <t>Rabid Fang</t>
  </si>
  <si>
    <t>Fire Breath</t>
  </si>
  <si>
    <t>Claws</t>
  </si>
  <si>
    <t>Darts</t>
  </si>
  <si>
    <t>Shining Wind</t>
  </si>
  <si>
    <t>Rod</t>
  </si>
  <si>
    <t>Swallow</t>
  </si>
  <si>
    <t>Great Sword</t>
  </si>
  <si>
    <t>Axe</t>
  </si>
  <si>
    <t>Black Sword</t>
  </si>
  <si>
    <t>Twin Ring</t>
  </si>
  <si>
    <t>Shrike</t>
  </si>
  <si>
    <t>White Tiger</t>
  </si>
  <si>
    <t>Blue Gate</t>
  </si>
  <si>
    <t>Soul Eater</t>
  </si>
  <si>
    <t>Groundhog</t>
  </si>
  <si>
    <t>Mayfly</t>
  </si>
  <si>
    <t>Angry Dragon</t>
  </si>
  <si>
    <t>Flowing</t>
  </si>
  <si>
    <t>Spider Slay</t>
  </si>
  <si>
    <t>White Saint</t>
  </si>
  <si>
    <t>True Holy</t>
  </si>
  <si>
    <t>Medicine</t>
  </si>
  <si>
    <t>Blinking</t>
  </si>
  <si>
    <t>Zodiac</t>
  </si>
  <si>
    <t>Fire Dragon</t>
  </si>
  <si>
    <t>DMG</t>
  </si>
  <si>
    <t>EQP</t>
  </si>
  <si>
    <t>WPN Rune</t>
  </si>
  <si>
    <t>Right Hand</t>
  </si>
  <si>
    <t>Left Hand</t>
  </si>
  <si>
    <t>DB/DS</t>
  </si>
  <si>
    <t>+ Fury</t>
  </si>
  <si>
    <t xml:space="preserve"> + Killer</t>
  </si>
  <si>
    <t>DMG %</t>
  </si>
  <si>
    <t>+ Killer</t>
  </si>
  <si>
    <t>K/DS/F</t>
  </si>
  <si>
    <t>+Warrior</t>
  </si>
  <si>
    <t>Fire</t>
  </si>
  <si>
    <t>&lt;Riou&gt;</t>
  </si>
  <si>
    <t>RAW</t>
  </si>
  <si>
    <t>ADJ</t>
  </si>
  <si>
    <t>MULT</t>
  </si>
  <si>
    <t>SURV</t>
  </si>
  <si>
    <t xml:space="preserve"> +Gale</t>
  </si>
  <si>
    <t xml:space="preserve"> +Killer</t>
  </si>
  <si>
    <t>Average</t>
  </si>
  <si>
    <t>Riou</t>
  </si>
  <si>
    <t>Stalleon</t>
  </si>
  <si>
    <t>Base</t>
  </si>
  <si>
    <t>Tier 1</t>
  </si>
  <si>
    <t>Tier 2</t>
  </si>
  <si>
    <t>prob</t>
  </si>
  <si>
    <t>Min</t>
  </si>
  <si>
    <t>Max</t>
  </si>
  <si>
    <t>Level</t>
  </si>
  <si>
    <t>FOREST</t>
  </si>
  <si>
    <t>J+R</t>
  </si>
  <si>
    <t>J+R+T</t>
  </si>
  <si>
    <t>SINDAR</t>
  </si>
  <si>
    <t>MW: 14</t>
  </si>
  <si>
    <t>C: 12</t>
  </si>
  <si>
    <t>J</t>
  </si>
  <si>
    <t>Sala:15</t>
  </si>
  <si>
    <t>NM:13</t>
  </si>
  <si>
    <t>MV:16</t>
  </si>
  <si>
    <t>P6</t>
  </si>
  <si>
    <t>2MW3C</t>
  </si>
  <si>
    <t>5MW</t>
  </si>
  <si>
    <t>4Sala</t>
  </si>
  <si>
    <t>3Sala</t>
  </si>
  <si>
    <t>3NMMV</t>
  </si>
  <si>
    <t>3C</t>
  </si>
  <si>
    <t>2C</t>
  </si>
  <si>
    <t>Bd:5</t>
  </si>
  <si>
    <t>Sn:8</t>
  </si>
  <si>
    <t>5Bd</t>
  </si>
  <si>
    <t>3Sn</t>
  </si>
  <si>
    <t>2Sn</t>
  </si>
  <si>
    <t>Br: 10</t>
  </si>
  <si>
    <t>Sp: 7</t>
  </si>
  <si>
    <t>3Sp</t>
  </si>
  <si>
    <t>5Sp</t>
  </si>
  <si>
    <t>Br</t>
  </si>
  <si>
    <t>Luc: ~140 MAG @ 37</t>
  </si>
  <si>
    <t>Lion Rune to lower MDEF?</t>
  </si>
  <si>
    <t>Wizard Rune also lowers</t>
  </si>
  <si>
    <t>Nanami: 105 MDEF, 322 HP @ 39</t>
  </si>
  <si>
    <t>y=126+(90.5+2.75x)-((151+8.5x)/2+(65.2+1.9x))</t>
  </si>
  <si>
    <t>Nanami vs Luc</t>
  </si>
  <si>
    <t>ex levels</t>
  </si>
  <si>
    <t>growth</t>
  </si>
  <si>
    <t>const</t>
  </si>
  <si>
    <t>mdef growth</t>
  </si>
  <si>
    <t>HP Growth</t>
  </si>
  <si>
    <t>Nanami:</t>
  </si>
  <si>
    <t>Tech</t>
  </si>
  <si>
    <t>Luca</t>
  </si>
  <si>
    <t>Nanami starting:</t>
  </si>
  <si>
    <t>Kyaro guards:</t>
  </si>
  <si>
    <t>lvl4x5/2</t>
  </si>
  <si>
    <t>Muse Battle</t>
  </si>
  <si>
    <t>lvl19x2/2</t>
  </si>
  <si>
    <t>lvl19x3/2</t>
  </si>
  <si>
    <t>lvl19x4/2</t>
  </si>
  <si>
    <t>SDS</t>
  </si>
  <si>
    <t>lvl32x1/6</t>
  </si>
  <si>
    <t>lvl32x6/1</t>
  </si>
  <si>
    <t>Abom</t>
  </si>
  <si>
    <t>lvl34x1/6</t>
  </si>
  <si>
    <t>Pest Rat</t>
  </si>
  <si>
    <t>lvl40x1/2</t>
  </si>
  <si>
    <t>Soldiers</t>
  </si>
  <si>
    <t>lvl32x5+34/2</t>
  </si>
  <si>
    <t>lvl40x1/3</t>
  </si>
  <si>
    <t>lvl32x5+34/3</t>
  </si>
  <si>
    <t>Elves:</t>
  </si>
  <si>
    <t>Muse path:</t>
  </si>
  <si>
    <t>DoReMi Elves</t>
  </si>
  <si>
    <t>lvl33x6/2</t>
  </si>
  <si>
    <t>lvl33x6/5</t>
  </si>
  <si>
    <t>No Muse:</t>
  </si>
  <si>
    <t>Options:</t>
  </si>
  <si>
    <t>Muse x2 battle:</t>
  </si>
  <si>
    <t>Muse x3 battle:</t>
  </si>
  <si>
    <t xml:space="preserve"> -Go through normally, 2 chars on pest rat</t>
  </si>
  <si>
    <t xml:space="preserve"> -ALT: Encounter DoReMi for instant 45, no coronet skip</t>
  </si>
  <si>
    <t xml:space="preserve"> -Look for DoReMi, no coronet skip</t>
  </si>
  <si>
    <t>Muse x4 battle:</t>
  </si>
  <si>
    <t xml:space="preserve"> -Still high level, but not terrible</t>
  </si>
  <si>
    <t>lvl19x3+22/2</t>
  </si>
  <si>
    <t xml:space="preserve"> -Bulk up on Jizos for SDS, Abom, Rat. Take 2 on rat, do coronet skip</t>
  </si>
  <si>
    <t>Elves, no muse:</t>
  </si>
  <si>
    <t>Elves</t>
  </si>
  <si>
    <t xml:space="preserve"> -Hunt DoReMi in Kindness Early w/Circus, coronet skip, take 2 to Rat</t>
  </si>
  <si>
    <t>Luc:</t>
  </si>
  <si>
    <t>Muse pt2</t>
  </si>
  <si>
    <t>lvl36x5/3</t>
  </si>
  <si>
    <t>lvl36x5/2</t>
  </si>
  <si>
    <t>QUESTION:</t>
  </si>
  <si>
    <t>Buff Luc to preserve Violence @ rockaxe, or leave him with lower to not force gregminster?</t>
  </si>
  <si>
    <t>If going to gregminster anyway, why not just get thunder amulet w/ lower level Nanami?</t>
  </si>
  <si>
    <t xml:space="preserve">No muse, Elves route is +20s on battle, then wait until Radat Kiba scene to apply violence. </t>
  </si>
  <si>
    <t>But what about other chars to swap magic on?</t>
  </si>
  <si>
    <t xml:space="preserve">Necessary magic stuff: </t>
  </si>
  <si>
    <t>Riou: Fire after Double Head, Lightning not necessary before Luca (later?)</t>
  </si>
  <si>
    <t>Nanami: Double beat, Violence, Kindness early on</t>
  </si>
  <si>
    <t>Flik: Starts with lightning, only needs lightning</t>
  </si>
  <si>
    <t>Viki: Needs water at some point. Pick up in Sindar/Two River</t>
  </si>
  <si>
    <t>Luc: Needs Lightning, Blue Gate. Lightning bought in SW, Blue Gate from cave. When does Blue Gate go on?</t>
  </si>
  <si>
    <t>Place Blue Gate in Rockaxe?</t>
  </si>
  <si>
    <t>Stallion:  Spark when possible. Not until Tinto?</t>
  </si>
  <si>
    <t>START</t>
  </si>
  <si>
    <t>4+2x3</t>
  </si>
  <si>
    <t>Rabbits</t>
  </si>
  <si>
    <t>Mist</t>
  </si>
  <si>
    <t>Possible Values:</t>
  </si>
  <si>
    <t>Level 6</t>
  </si>
  <si>
    <t>Level 7</t>
  </si>
  <si>
    <t>Level 8</t>
  </si>
  <si>
    <t>End ranges:</t>
  </si>
  <si>
    <t>0-9</t>
  </si>
  <si>
    <t>100-409</t>
  </si>
  <si>
    <t>0-209</t>
  </si>
  <si>
    <t>Level 4</t>
  </si>
  <si>
    <t>Norm</t>
  </si>
  <si>
    <t xml:space="preserve"> +Tsai</t>
  </si>
  <si>
    <t>Exp Range</t>
  </si>
  <si>
    <t>Desired Battle</t>
  </si>
  <si>
    <t>Birdsx5</t>
  </si>
  <si>
    <t>Spiderx3</t>
  </si>
  <si>
    <t>Spiderx5</t>
  </si>
  <si>
    <t>210-432</t>
  </si>
  <si>
    <t>Birdx5</t>
  </si>
  <si>
    <t>433-742</t>
  </si>
  <si>
    <t>Spiderx5+T</t>
  </si>
  <si>
    <t>700-999</t>
  </si>
  <si>
    <t>Level 5</t>
  </si>
  <si>
    <t>0-159</t>
  </si>
  <si>
    <t>160-499</t>
  </si>
  <si>
    <t>500-599</t>
  </si>
  <si>
    <t>600-909</t>
  </si>
  <si>
    <t>Spiderx5 +T</t>
  </si>
  <si>
    <t>750-999</t>
  </si>
  <si>
    <t>10 - 99</t>
  </si>
  <si>
    <t>Birdx5+T or Spiderx5 followed by Birds or Spiderx3</t>
  </si>
  <si>
    <t>500-809</t>
  </si>
  <si>
    <t>810-999</t>
  </si>
  <si>
    <t>0-99</t>
  </si>
  <si>
    <t>Spiderx3 or Birdx5</t>
  </si>
  <si>
    <t>410-709</t>
  </si>
  <si>
    <t>Any</t>
  </si>
  <si>
    <t>EXP</t>
  </si>
  <si>
    <t>Boarx1</t>
  </si>
  <si>
    <t>Snailx2</t>
  </si>
  <si>
    <t>Snailx3</t>
  </si>
  <si>
    <t>Boar</t>
  </si>
  <si>
    <t>710-999</t>
  </si>
  <si>
    <t>H</t>
  </si>
  <si>
    <t>R</t>
  </si>
  <si>
    <t>L</t>
  </si>
  <si>
    <t>Shield</t>
  </si>
  <si>
    <t>Potentials</t>
  </si>
  <si>
    <t>Slots</t>
  </si>
  <si>
    <t>Mag</t>
  </si>
  <si>
    <t>1*</t>
  </si>
  <si>
    <t>Earth</t>
  </si>
  <si>
    <t>x</t>
  </si>
  <si>
    <t>Beast Rune:</t>
  </si>
  <si>
    <t>Rune:</t>
  </si>
  <si>
    <t>Assuming all people have x1 lvl 4 mp, and luc has x2</t>
  </si>
  <si>
    <t>Right Head:</t>
  </si>
  <si>
    <t>Left Head</t>
  </si>
  <si>
    <t>Speed</t>
  </si>
  <si>
    <t>D+</t>
  </si>
  <si>
    <t>Zamza?</t>
  </si>
  <si>
    <t>Mother Earth</t>
  </si>
  <si>
    <t>Water</t>
  </si>
  <si>
    <t>Thor</t>
  </si>
  <si>
    <t>Blow (item)</t>
  </si>
  <si>
    <t>Blow (magic)</t>
  </si>
  <si>
    <t>EQ:</t>
  </si>
  <si>
    <t>Campx2</t>
  </si>
  <si>
    <t>EQ</t>
  </si>
  <si>
    <t>Scorched</t>
  </si>
  <si>
    <t>Camp splashx2</t>
  </si>
  <si>
    <t>S&amp;C</t>
  </si>
  <si>
    <t>Seed 4200</t>
  </si>
  <si>
    <t>Culgan 3800</t>
  </si>
  <si>
    <t>Scorched x3</t>
  </si>
  <si>
    <t>Bone Dragon:</t>
  </si>
  <si>
    <t>Shreddingx2</t>
  </si>
  <si>
    <t>Shreddingx2 (item?)</t>
  </si>
  <si>
    <t>Riou?</t>
  </si>
  <si>
    <t>Rina?</t>
  </si>
  <si>
    <t>Pale Gate?</t>
  </si>
  <si>
    <t>JP Method:</t>
  </si>
  <si>
    <t>Phase 1</t>
  </si>
  <si>
    <t>Charm Arrow</t>
  </si>
  <si>
    <t>Blow</t>
  </si>
  <si>
    <t>Explosion</t>
  </si>
  <si>
    <t>Fire Wall</t>
  </si>
  <si>
    <t>Rd 2</t>
  </si>
  <si>
    <t>Phase 3</t>
  </si>
  <si>
    <t>Wrath</t>
  </si>
  <si>
    <t>Rd 3</t>
  </si>
  <si>
    <t>Needed:</t>
  </si>
  <si>
    <t>lvl 4 Flik</t>
  </si>
  <si>
    <t>1x Resurrection</t>
  </si>
  <si>
    <t>Needed 2:</t>
  </si>
  <si>
    <t>Lvl 4 Zamza</t>
  </si>
  <si>
    <t>Lvl 4 Rina</t>
  </si>
  <si>
    <t>4x Lightning</t>
  </si>
  <si>
    <t>3x Lightning</t>
  </si>
  <si>
    <t>My Method:</t>
  </si>
  <si>
    <t>Viki…</t>
  </si>
  <si>
    <t>Levelling plan:</t>
  </si>
  <si>
    <t>Rina:</t>
  </si>
  <si>
    <t>Zamza:</t>
  </si>
  <si>
    <t>Nina:</t>
  </si>
  <si>
    <t>Rockaxe</t>
  </si>
  <si>
    <t>Rockaxe, Worm</t>
  </si>
  <si>
    <t>Sewer Sharks?</t>
  </si>
  <si>
    <t>?</t>
  </si>
  <si>
    <t>Miklotov?</t>
  </si>
  <si>
    <t>lvl 4 Rina</t>
  </si>
  <si>
    <t>lvl 4 Nina</t>
  </si>
  <si>
    <t>lvl 4 Zamza</t>
  </si>
  <si>
    <t>7x Lightning</t>
  </si>
  <si>
    <t>1x Blow</t>
  </si>
  <si>
    <t>Hope</t>
  </si>
  <si>
    <t>Zamza: Use Final Flame? Expl?</t>
  </si>
  <si>
    <t>JP:</t>
  </si>
  <si>
    <t>3T</t>
  </si>
  <si>
    <t>Oulan HP:</t>
  </si>
  <si>
    <t>Party Ideas:</t>
  </si>
  <si>
    <t>Kindness</t>
  </si>
  <si>
    <t>A Fire</t>
  </si>
  <si>
    <t>B Earth</t>
  </si>
  <si>
    <t>Good Groups:</t>
  </si>
  <si>
    <t>Spi x3</t>
  </si>
  <si>
    <t>Bi x5</t>
  </si>
  <si>
    <t>3x8+11</t>
  </si>
  <si>
    <t>lvl</t>
  </si>
  <si>
    <t>C (base*10)</t>
  </si>
  <si>
    <t>lvl 36x5</t>
  </si>
  <si>
    <t>lvl 38x6</t>
  </si>
  <si>
    <t>Luc Mag</t>
  </si>
  <si>
    <t>HP Const</t>
  </si>
  <si>
    <t>Mdef</t>
  </si>
  <si>
    <t>Potch plan</t>
  </si>
  <si>
    <t>Event</t>
  </si>
  <si>
    <t>Total</t>
  </si>
  <si>
    <t>Change</t>
  </si>
  <si>
    <t>Start</t>
  </si>
  <si>
    <t>Soldier Battle</t>
  </si>
  <si>
    <t>Kyaro Soldiers</t>
  </si>
  <si>
    <t>Pilika</t>
  </si>
  <si>
    <t>Muse</t>
  </si>
  <si>
    <t>Famous Vase</t>
  </si>
  <si>
    <t>Weapon Leveling</t>
  </si>
  <si>
    <t>Exp Conditioning</t>
  </si>
  <si>
    <t>Fort Soldiers</t>
  </si>
  <si>
    <t>Sindar Grind</t>
  </si>
  <si>
    <t>Double Head</t>
  </si>
  <si>
    <t>Border Soldiers</t>
  </si>
  <si>
    <t>Muse Soldiers</t>
  </si>
  <si>
    <t>Abomination</t>
  </si>
  <si>
    <t>Two River Soldiers</t>
  </si>
  <si>
    <t>Chinchirorin</t>
  </si>
  <si>
    <t>Cave Chest</t>
  </si>
  <si>
    <t>Buy</t>
  </si>
  <si>
    <t>Rune</t>
  </si>
  <si>
    <t>Where</t>
  </si>
  <si>
    <t>Cost</t>
  </si>
  <si>
    <t>Lightning x2</t>
  </si>
  <si>
    <t>Camp</t>
  </si>
  <si>
    <t>ATT</t>
  </si>
  <si>
    <t>Jowy Blow</t>
  </si>
  <si>
    <t>Rina Fire</t>
  </si>
  <si>
    <t>Eilie Wall</t>
  </si>
  <si>
    <t>Bolgan Attack</t>
  </si>
  <si>
    <t>Riou Fire</t>
  </si>
  <si>
    <t>Circus Attack</t>
  </si>
  <si>
    <t>Riou Attack</t>
  </si>
  <si>
    <t>*</t>
  </si>
  <si>
    <t>6?</t>
  </si>
  <si>
    <t>Rina Unite</t>
  </si>
  <si>
    <t>lvl19x6</t>
  </si>
  <si>
    <t>Start w/2</t>
  </si>
  <si>
    <t>vs2</t>
  </si>
  <si>
    <t>vs3</t>
  </si>
  <si>
    <t>vs4</t>
  </si>
  <si>
    <t>vs6</t>
  </si>
  <si>
    <t>Round 2</t>
  </si>
  <si>
    <t>Holly6</t>
  </si>
  <si>
    <t>P3H3</t>
  </si>
  <si>
    <t>P1H3</t>
  </si>
  <si>
    <t>Start w/5</t>
  </si>
  <si>
    <t>vs6 phantom</t>
  </si>
  <si>
    <t>Fight anything in Muse, then fight Elves</t>
  </si>
  <si>
    <t>Fight vs any 6 with 5</t>
  </si>
  <si>
    <t>Fight vs 2 with just Nanami, optionally fight elves</t>
  </si>
  <si>
    <t>TODO:</t>
  </si>
  <si>
    <t>Check effectiveness of level 15,17,45 Nanami vs Pest Rat</t>
  </si>
  <si>
    <t>Luc Check</t>
  </si>
  <si>
    <t>Golem</t>
  </si>
  <si>
    <t>Neclord</t>
  </si>
  <si>
    <t>1 or 2</t>
  </si>
  <si>
    <t>Lucia</t>
  </si>
  <si>
    <t>BR</t>
  </si>
  <si>
    <t>2 or 3</t>
  </si>
  <si>
    <t>7870 in Coronet</t>
  </si>
  <si>
    <t>First</t>
  </si>
  <si>
    <t>Second</t>
  </si>
  <si>
    <t>Third</t>
  </si>
  <si>
    <t>13120 after Elves</t>
  </si>
  <si>
    <t>500 Gear</t>
  </si>
  <si>
    <t>200 Kindness</t>
  </si>
  <si>
    <t>300 Violence</t>
  </si>
  <si>
    <t>15s for Fire Wall</t>
  </si>
  <si>
    <t>Fire Lizard</t>
  </si>
  <si>
    <t>Spark</t>
  </si>
  <si>
    <t>Misc</t>
  </si>
  <si>
    <t>Wind</t>
  </si>
  <si>
    <t>Jizo</t>
  </si>
  <si>
    <t>Dragon Armor</t>
  </si>
  <si>
    <t>Guard Ring</t>
  </si>
  <si>
    <t>Lightnings</t>
  </si>
  <si>
    <t>Jizos x2</t>
  </si>
  <si>
    <t>Claw</t>
  </si>
  <si>
    <t>Jump</t>
  </si>
  <si>
    <t>Flame</t>
  </si>
  <si>
    <t>Freed</t>
  </si>
  <si>
    <t>unguarded</t>
  </si>
  <si>
    <t>Triple</t>
  </si>
  <si>
    <t>Cross</t>
  </si>
  <si>
    <t>Through</t>
  </si>
  <si>
    <t>161 from Empty</t>
  </si>
  <si>
    <t>Blessing heals 203</t>
  </si>
  <si>
    <t>medicine</t>
  </si>
  <si>
    <t>boots</t>
  </si>
  <si>
    <t>all can OHKO @ 46 HP</t>
  </si>
  <si>
    <t>arrows:</t>
  </si>
  <si>
    <t>Staff</t>
  </si>
  <si>
    <t>Survived</t>
  </si>
  <si>
    <t>Didn't</t>
  </si>
  <si>
    <t>Both</t>
  </si>
  <si>
    <t>Nanami Defense</t>
  </si>
  <si>
    <t>Arrows</t>
  </si>
  <si>
    <t>50?</t>
  </si>
  <si>
    <t>no boots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</si>
</sst>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3" fillId="11" borderId="0" applyNumberFormat="0" applyBorder="0" applyAlignment="0" applyProtection="0"/>
    <xf numFmtId="0" fontId="4" fillId="12" borderId="0" applyNumberFormat="0" applyBorder="0" applyAlignment="0" applyProtection="0"/>
    <xf numFmtId="0" fontId="5" fillId="13" borderId="0" applyNumberFormat="0" applyBorder="0" applyAlignment="0" applyProtection="0"/>
  </cellStyleXfs>
  <cellXfs count="47">
    <xf numFmtId="0" fontId="0" fillId="0" borderId="0" xfId="0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0" fillId="0" borderId="1" xfId="0" applyFont="1" applyBorder="1" applyAlignment="1">
      <alignment horizontal="left"/>
    </xf>
    <xf numFmtId="0" fontId="0" fillId="0" borderId="1" xfId="0" applyFont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0" fontId="1" fillId="0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0" fillId="0" borderId="0" xfId="0" applyFont="1" applyFill="1"/>
    <xf numFmtId="0" fontId="1" fillId="5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0" fillId="8" borderId="1" xfId="0" applyFont="1" applyFill="1" applyBorder="1" applyAlignment="1">
      <alignment horizontal="center"/>
    </xf>
    <xf numFmtId="0" fontId="1" fillId="7" borderId="1" xfId="0" quotePrefix="1" applyFont="1" applyFill="1" applyBorder="1" applyAlignment="1">
      <alignment horizontal="center"/>
    </xf>
    <xf numFmtId="2" fontId="0" fillId="7" borderId="1" xfId="0" applyNumberFormat="1" applyFont="1" applyFill="1" applyBorder="1" applyAlignment="1">
      <alignment horizontal="center"/>
    </xf>
    <xf numFmtId="0" fontId="0" fillId="0" borderId="0" xfId="0" applyFill="1"/>
    <xf numFmtId="0" fontId="1" fillId="9" borderId="1" xfId="0" applyFont="1" applyFill="1" applyBorder="1" applyAlignment="1">
      <alignment horizontal="center"/>
    </xf>
    <xf numFmtId="0" fontId="0" fillId="9" borderId="1" xfId="0" applyFont="1" applyFill="1" applyBorder="1" applyAlignment="1">
      <alignment horizontal="center"/>
    </xf>
    <xf numFmtId="2" fontId="0" fillId="9" borderId="1" xfId="0" applyNumberFormat="1" applyFont="1" applyFill="1" applyBorder="1" applyAlignment="1">
      <alignment horizontal="center"/>
    </xf>
    <xf numFmtId="0" fontId="1" fillId="8" borderId="1" xfId="0" quotePrefix="1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0" fillId="10" borderId="1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0" xfId="0" applyAlignment="1">
      <alignment horizontal="right"/>
    </xf>
    <xf numFmtId="0" fontId="0" fillId="0" borderId="0" xfId="0" applyFont="1" applyFill="1" applyBorder="1" applyAlignment="1">
      <alignment horizontal="right"/>
    </xf>
    <xf numFmtId="1" fontId="0" fillId="0" borderId="0" xfId="0" applyNumberFormat="1"/>
    <xf numFmtId="49" fontId="0" fillId="0" borderId="0" xfId="0" applyNumberFormat="1"/>
    <xf numFmtId="0" fontId="3" fillId="11" borderId="0" xfId="1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4" fillId="12" borderId="0" xfId="2"/>
    <xf numFmtId="0" fontId="5" fillId="13" borderId="0" xfId="3"/>
    <xf numFmtId="21" fontId="0" fillId="0" borderId="0" xfId="0" applyNumberFormat="1"/>
    <xf numFmtId="46" fontId="0" fillId="0" borderId="0" xfId="0" applyNumberFormat="1"/>
  </cellXfs>
  <cellStyles count="4">
    <cellStyle name="Bad" xfId="3" builtinId="27"/>
    <cellStyle name="Good" xfId="2" builtinId="26"/>
    <cellStyle name="Neutral" xfId="1" builtinId="28"/>
    <cellStyle name="Normal" xfId="0" builtinId="0"/>
  </cellStyles>
  <dxfs count="8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7643379683922497E-2"/>
          <c:y val="4.1894547354242591E-2"/>
          <c:w val="0.79227662366672247"/>
          <c:h val="0.88439912636819673"/>
        </c:manualLayout>
      </c:layout>
      <c:scatterChart>
        <c:scatterStyle val="smoothMarker"/>
        <c:varyColors val="0"/>
        <c:ser>
          <c:idx val="0"/>
          <c:order val="0"/>
          <c:tx>
            <c:v>Nanami</c:v>
          </c:tx>
          <c:marker>
            <c:symbol val="none"/>
          </c:marker>
          <c:trendline>
            <c:spPr>
              <a:ln>
                <a:noFill/>
              </a:ln>
            </c:spPr>
            <c:trendlineType val="linear"/>
            <c:dispRSqr val="0"/>
            <c:dispEq val="0"/>
          </c:trendline>
          <c:xVal>
            <c:numRef>
              <c:f>Sheet3!$C$10:$C$50</c:f>
              <c:numCache>
                <c:formatCode>General</c:formatCode>
                <c:ptCount val="41"/>
                <c:pt idx="0">
                  <c:v>19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  <c:pt idx="6">
                  <c:v>25</c:v>
                </c:pt>
                <c:pt idx="7">
                  <c:v>26</c:v>
                </c:pt>
                <c:pt idx="8">
                  <c:v>27</c:v>
                </c:pt>
                <c:pt idx="9">
                  <c:v>28</c:v>
                </c:pt>
                <c:pt idx="10">
                  <c:v>29</c:v>
                </c:pt>
                <c:pt idx="11">
                  <c:v>30</c:v>
                </c:pt>
                <c:pt idx="12">
                  <c:v>31</c:v>
                </c:pt>
                <c:pt idx="13">
                  <c:v>32</c:v>
                </c:pt>
                <c:pt idx="14">
                  <c:v>33</c:v>
                </c:pt>
                <c:pt idx="15">
                  <c:v>34</c:v>
                </c:pt>
                <c:pt idx="16">
                  <c:v>35</c:v>
                </c:pt>
                <c:pt idx="17">
                  <c:v>36</c:v>
                </c:pt>
                <c:pt idx="18">
                  <c:v>37</c:v>
                </c:pt>
                <c:pt idx="19">
                  <c:v>38</c:v>
                </c:pt>
                <c:pt idx="20">
                  <c:v>39</c:v>
                </c:pt>
                <c:pt idx="21">
                  <c:v>40</c:v>
                </c:pt>
                <c:pt idx="22">
                  <c:v>41</c:v>
                </c:pt>
                <c:pt idx="23">
                  <c:v>42</c:v>
                </c:pt>
                <c:pt idx="24">
                  <c:v>43</c:v>
                </c:pt>
                <c:pt idx="25">
                  <c:v>44</c:v>
                </c:pt>
                <c:pt idx="26">
                  <c:v>45</c:v>
                </c:pt>
                <c:pt idx="27">
                  <c:v>46</c:v>
                </c:pt>
                <c:pt idx="28">
                  <c:v>47</c:v>
                </c:pt>
                <c:pt idx="29">
                  <c:v>48</c:v>
                </c:pt>
                <c:pt idx="30">
                  <c:v>49</c:v>
                </c:pt>
                <c:pt idx="31">
                  <c:v>50</c:v>
                </c:pt>
                <c:pt idx="32">
                  <c:v>51</c:v>
                </c:pt>
                <c:pt idx="33">
                  <c:v>52</c:v>
                </c:pt>
                <c:pt idx="34">
                  <c:v>53</c:v>
                </c:pt>
                <c:pt idx="35">
                  <c:v>54</c:v>
                </c:pt>
                <c:pt idx="36">
                  <c:v>55</c:v>
                </c:pt>
                <c:pt idx="37">
                  <c:v>56</c:v>
                </c:pt>
                <c:pt idx="38">
                  <c:v>57</c:v>
                </c:pt>
                <c:pt idx="39">
                  <c:v>58</c:v>
                </c:pt>
                <c:pt idx="40">
                  <c:v>59</c:v>
                </c:pt>
              </c:numCache>
            </c:numRef>
          </c:xVal>
          <c:yVal>
            <c:numRef>
              <c:f>Sheet3!$F$10:$F$50</c:f>
              <c:numCache>
                <c:formatCode>General</c:formatCode>
                <c:ptCount val="41"/>
                <c:pt idx="0">
                  <c:v>1.114569536423841</c:v>
                </c:pt>
                <c:pt idx="1">
                  <c:v>1.0605015673981191</c:v>
                </c:pt>
                <c:pt idx="2">
                  <c:v>1.0119047619047619</c:v>
                </c:pt>
                <c:pt idx="3">
                  <c:v>0.96798866855524079</c:v>
                </c:pt>
                <c:pt idx="4">
                  <c:v>0.92810810810810807</c:v>
                </c:pt>
                <c:pt idx="5">
                  <c:v>0.89173126614987075</c:v>
                </c:pt>
                <c:pt idx="6">
                  <c:v>0.85841584158415829</c:v>
                </c:pt>
                <c:pt idx="7">
                  <c:v>0.82779097387173384</c:v>
                </c:pt>
                <c:pt idx="8">
                  <c:v>0.7995433789954336</c:v>
                </c:pt>
                <c:pt idx="9">
                  <c:v>0.77340659340659323</c:v>
                </c:pt>
                <c:pt idx="10">
                  <c:v>0.7491525423728812</c:v>
                </c:pt>
                <c:pt idx="11">
                  <c:v>0.72658486707566439</c:v>
                </c:pt>
                <c:pt idx="12">
                  <c:v>0.70553359683794448</c:v>
                </c:pt>
                <c:pt idx="13">
                  <c:v>0.68585086042064991</c:v>
                </c:pt>
                <c:pt idx="14">
                  <c:v>0.66740740740740712</c:v>
                </c:pt>
                <c:pt idx="15">
                  <c:v>0.65008976660682205</c:v>
                </c:pt>
                <c:pt idx="16">
                  <c:v>0.63379790940766523</c:v>
                </c:pt>
                <c:pt idx="17">
                  <c:v>0.61844331641285932</c:v>
                </c:pt>
                <c:pt idx="18">
                  <c:v>0.60394736842105234</c:v>
                </c:pt>
                <c:pt idx="19">
                  <c:v>0.59023999999999965</c:v>
                </c:pt>
                <c:pt idx="20">
                  <c:v>0.57725856697819278</c:v>
                </c:pt>
                <c:pt idx="21">
                  <c:v>0.56494688922609981</c:v>
                </c:pt>
                <c:pt idx="22">
                  <c:v>0.5532544378698222</c:v>
                </c:pt>
                <c:pt idx="23">
                  <c:v>0.5421356421356418</c:v>
                </c:pt>
                <c:pt idx="24">
                  <c:v>0.53154929577464749</c:v>
                </c:pt>
                <c:pt idx="25">
                  <c:v>0.52145804676753749</c:v>
                </c:pt>
                <c:pt idx="26">
                  <c:v>0.51182795698924699</c:v>
                </c:pt>
                <c:pt idx="27">
                  <c:v>0.50262812089356068</c:v>
                </c:pt>
                <c:pt idx="28">
                  <c:v>0.49383033419023098</c:v>
                </c:pt>
                <c:pt idx="29">
                  <c:v>0.48540880503144618</c:v>
                </c:pt>
                <c:pt idx="30">
                  <c:v>0.47733990147783212</c:v>
                </c:pt>
                <c:pt idx="31">
                  <c:v>0.46960193003618778</c:v>
                </c:pt>
                <c:pt idx="32">
                  <c:v>0.46217494089834477</c:v>
                </c:pt>
                <c:pt idx="33">
                  <c:v>0.45504055619930434</c:v>
                </c:pt>
                <c:pt idx="34">
                  <c:v>0.44818181818181779</c:v>
                </c:pt>
                <c:pt idx="35">
                  <c:v>0.44158305462653247</c:v>
                </c:pt>
                <c:pt idx="36">
                  <c:v>0.43522975929978075</c:v>
                </c:pt>
                <c:pt idx="37">
                  <c:v>0.42910848549946251</c:v>
                </c:pt>
                <c:pt idx="38">
                  <c:v>0.42320675105485189</c:v>
                </c:pt>
                <c:pt idx="39">
                  <c:v>0.41751295336787519</c:v>
                </c:pt>
                <c:pt idx="40">
                  <c:v>0.41201629327902195</c:v>
                </c:pt>
              </c:numCache>
            </c:numRef>
          </c:yVal>
          <c:smooth val="1"/>
        </c:ser>
        <c:ser>
          <c:idx val="1"/>
          <c:order val="1"/>
          <c:tx>
            <c:v>Nanami+1</c:v>
          </c:tx>
          <c:marker>
            <c:symbol val="none"/>
          </c:marker>
          <c:xVal>
            <c:numRef>
              <c:f>Sheet3!$M$10:$M$50</c:f>
              <c:numCache>
                <c:formatCode>General</c:formatCode>
                <c:ptCount val="41"/>
                <c:pt idx="0">
                  <c:v>19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  <c:pt idx="6">
                  <c:v>25</c:v>
                </c:pt>
                <c:pt idx="7">
                  <c:v>26</c:v>
                </c:pt>
                <c:pt idx="8">
                  <c:v>27</c:v>
                </c:pt>
                <c:pt idx="9">
                  <c:v>28</c:v>
                </c:pt>
                <c:pt idx="10">
                  <c:v>29</c:v>
                </c:pt>
                <c:pt idx="11">
                  <c:v>30</c:v>
                </c:pt>
                <c:pt idx="12">
                  <c:v>31</c:v>
                </c:pt>
                <c:pt idx="13">
                  <c:v>32</c:v>
                </c:pt>
                <c:pt idx="14">
                  <c:v>33</c:v>
                </c:pt>
                <c:pt idx="15">
                  <c:v>34</c:v>
                </c:pt>
                <c:pt idx="16">
                  <c:v>35</c:v>
                </c:pt>
                <c:pt idx="17">
                  <c:v>36</c:v>
                </c:pt>
                <c:pt idx="18">
                  <c:v>37</c:v>
                </c:pt>
                <c:pt idx="19">
                  <c:v>38</c:v>
                </c:pt>
                <c:pt idx="20">
                  <c:v>39</c:v>
                </c:pt>
                <c:pt idx="21">
                  <c:v>40</c:v>
                </c:pt>
                <c:pt idx="22">
                  <c:v>41</c:v>
                </c:pt>
                <c:pt idx="23">
                  <c:v>42</c:v>
                </c:pt>
                <c:pt idx="24">
                  <c:v>43</c:v>
                </c:pt>
                <c:pt idx="25">
                  <c:v>44</c:v>
                </c:pt>
                <c:pt idx="26">
                  <c:v>45</c:v>
                </c:pt>
                <c:pt idx="27">
                  <c:v>46</c:v>
                </c:pt>
                <c:pt idx="28">
                  <c:v>47</c:v>
                </c:pt>
                <c:pt idx="29">
                  <c:v>48</c:v>
                </c:pt>
                <c:pt idx="30">
                  <c:v>49</c:v>
                </c:pt>
                <c:pt idx="31">
                  <c:v>50</c:v>
                </c:pt>
                <c:pt idx="32">
                  <c:v>51</c:v>
                </c:pt>
                <c:pt idx="33">
                  <c:v>52</c:v>
                </c:pt>
                <c:pt idx="34">
                  <c:v>53</c:v>
                </c:pt>
                <c:pt idx="35">
                  <c:v>54</c:v>
                </c:pt>
                <c:pt idx="36">
                  <c:v>55</c:v>
                </c:pt>
                <c:pt idx="37">
                  <c:v>56</c:v>
                </c:pt>
                <c:pt idx="38">
                  <c:v>57</c:v>
                </c:pt>
                <c:pt idx="39">
                  <c:v>58</c:v>
                </c:pt>
                <c:pt idx="40">
                  <c:v>59</c:v>
                </c:pt>
              </c:numCache>
            </c:numRef>
          </c:xVal>
          <c:yVal>
            <c:numRef>
              <c:f>Sheet3!$P$10:$P$50</c:f>
              <c:numCache>
                <c:formatCode>General</c:formatCode>
                <c:ptCount val="41"/>
                <c:pt idx="0">
                  <c:v>1.0307210031347962</c:v>
                </c:pt>
                <c:pt idx="1">
                  <c:v>0.98363095238095233</c:v>
                </c:pt>
                <c:pt idx="2">
                  <c:v>0.94107648725212456</c:v>
                </c:pt>
                <c:pt idx="3">
                  <c:v>0.90243243243243232</c:v>
                </c:pt>
                <c:pt idx="4">
                  <c:v>0.86718346253229961</c:v>
                </c:pt>
                <c:pt idx="5">
                  <c:v>0.83490099009900975</c:v>
                </c:pt>
                <c:pt idx="6">
                  <c:v>0.80522565320665074</c:v>
                </c:pt>
                <c:pt idx="7">
                  <c:v>0.77785388127853861</c:v>
                </c:pt>
                <c:pt idx="8">
                  <c:v>0.75252747252747232</c:v>
                </c:pt>
                <c:pt idx="9">
                  <c:v>0.7290254237288134</c:v>
                </c:pt>
                <c:pt idx="10">
                  <c:v>0.70715746421267878</c:v>
                </c:pt>
                <c:pt idx="11">
                  <c:v>0.68675889328063222</c:v>
                </c:pt>
                <c:pt idx="12">
                  <c:v>0.66768642447418713</c:v>
                </c:pt>
                <c:pt idx="13">
                  <c:v>0.64981481481481451</c:v>
                </c:pt>
                <c:pt idx="14">
                  <c:v>0.63303411131059217</c:v>
                </c:pt>
                <c:pt idx="15">
                  <c:v>0.61724738675958157</c:v>
                </c:pt>
                <c:pt idx="16">
                  <c:v>0.60236886632825692</c:v>
                </c:pt>
                <c:pt idx="17">
                  <c:v>0.58832236842105234</c:v>
                </c:pt>
                <c:pt idx="18">
                  <c:v>0.57503999999999966</c:v>
                </c:pt>
                <c:pt idx="19">
                  <c:v>0.56246105919003087</c:v>
                </c:pt>
                <c:pt idx="20">
                  <c:v>0.55053110773899816</c:v>
                </c:pt>
                <c:pt idx="21">
                  <c:v>0.53920118343195234</c:v>
                </c:pt>
                <c:pt idx="22">
                  <c:v>0.52842712842712813</c:v>
                </c:pt>
                <c:pt idx="23">
                  <c:v>0.51816901408450666</c:v>
                </c:pt>
                <c:pt idx="24">
                  <c:v>0.50839064649243426</c:v>
                </c:pt>
                <c:pt idx="25">
                  <c:v>0.49905913978494587</c:v>
                </c:pt>
                <c:pt idx="26">
                  <c:v>0.49014454664914547</c:v>
                </c:pt>
                <c:pt idx="27">
                  <c:v>0.4816195372750639</c:v>
                </c:pt>
                <c:pt idx="28">
                  <c:v>0.47345911949685499</c:v>
                </c:pt>
                <c:pt idx="29">
                  <c:v>0.46564039408866958</c:v>
                </c:pt>
                <c:pt idx="30">
                  <c:v>0.45814234016887778</c:v>
                </c:pt>
                <c:pt idx="31">
                  <c:v>0.450945626477541</c:v>
                </c:pt>
                <c:pt idx="32">
                  <c:v>0.44403244495944338</c:v>
                </c:pt>
                <c:pt idx="33">
                  <c:v>0.43738636363636324</c:v>
                </c:pt>
                <c:pt idx="34">
                  <c:v>0.43099219620958712</c:v>
                </c:pt>
                <c:pt idx="35">
                  <c:v>0.42483588621444157</c:v>
                </c:pt>
                <c:pt idx="36">
                  <c:v>0.41890440386680944</c:v>
                </c:pt>
                <c:pt idx="37">
                  <c:v>0.41318565400843837</c:v>
                </c:pt>
                <c:pt idx="38">
                  <c:v>0.40766839378238301</c:v>
                </c:pt>
                <c:pt idx="39">
                  <c:v>0.40234215885947006</c:v>
                </c:pt>
                <c:pt idx="40">
                  <c:v>0.39719719719719676</c:v>
                </c:pt>
              </c:numCache>
            </c:numRef>
          </c:yVal>
          <c:smooth val="1"/>
        </c:ser>
        <c:ser>
          <c:idx val="2"/>
          <c:order val="2"/>
          <c:tx>
            <c:v>Nanami+2</c:v>
          </c:tx>
          <c:marker>
            <c:symbol val="none"/>
          </c:marker>
          <c:xVal>
            <c:numRef>
              <c:f>Sheet3!$R$10:$R$50</c:f>
              <c:numCache>
                <c:formatCode>General</c:formatCode>
                <c:ptCount val="41"/>
                <c:pt idx="0">
                  <c:v>19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  <c:pt idx="6">
                  <c:v>25</c:v>
                </c:pt>
                <c:pt idx="7">
                  <c:v>26</c:v>
                </c:pt>
                <c:pt idx="8">
                  <c:v>27</c:v>
                </c:pt>
                <c:pt idx="9">
                  <c:v>28</c:v>
                </c:pt>
                <c:pt idx="10">
                  <c:v>29</c:v>
                </c:pt>
                <c:pt idx="11">
                  <c:v>30</c:v>
                </c:pt>
                <c:pt idx="12">
                  <c:v>31</c:v>
                </c:pt>
                <c:pt idx="13">
                  <c:v>32</c:v>
                </c:pt>
                <c:pt idx="14">
                  <c:v>33</c:v>
                </c:pt>
                <c:pt idx="15">
                  <c:v>34</c:v>
                </c:pt>
                <c:pt idx="16">
                  <c:v>35</c:v>
                </c:pt>
                <c:pt idx="17">
                  <c:v>36</c:v>
                </c:pt>
                <c:pt idx="18">
                  <c:v>37</c:v>
                </c:pt>
                <c:pt idx="19">
                  <c:v>38</c:v>
                </c:pt>
                <c:pt idx="20">
                  <c:v>39</c:v>
                </c:pt>
                <c:pt idx="21">
                  <c:v>40</c:v>
                </c:pt>
                <c:pt idx="22">
                  <c:v>41</c:v>
                </c:pt>
                <c:pt idx="23">
                  <c:v>42</c:v>
                </c:pt>
                <c:pt idx="24">
                  <c:v>43</c:v>
                </c:pt>
                <c:pt idx="25">
                  <c:v>44</c:v>
                </c:pt>
                <c:pt idx="26">
                  <c:v>45</c:v>
                </c:pt>
                <c:pt idx="27">
                  <c:v>46</c:v>
                </c:pt>
                <c:pt idx="28">
                  <c:v>47</c:v>
                </c:pt>
                <c:pt idx="29">
                  <c:v>48</c:v>
                </c:pt>
                <c:pt idx="30">
                  <c:v>49</c:v>
                </c:pt>
                <c:pt idx="31">
                  <c:v>50</c:v>
                </c:pt>
                <c:pt idx="32">
                  <c:v>51</c:v>
                </c:pt>
                <c:pt idx="33">
                  <c:v>52</c:v>
                </c:pt>
                <c:pt idx="34">
                  <c:v>53</c:v>
                </c:pt>
                <c:pt idx="35">
                  <c:v>54</c:v>
                </c:pt>
                <c:pt idx="36">
                  <c:v>55</c:v>
                </c:pt>
                <c:pt idx="37">
                  <c:v>56</c:v>
                </c:pt>
                <c:pt idx="38">
                  <c:v>57</c:v>
                </c:pt>
                <c:pt idx="39">
                  <c:v>58</c:v>
                </c:pt>
                <c:pt idx="40">
                  <c:v>59</c:v>
                </c:pt>
              </c:numCache>
            </c:numRef>
          </c:xVal>
          <c:yVal>
            <c:numRef>
              <c:f>Sheet3!$U$10:$U$50</c:f>
              <c:numCache>
                <c:formatCode>General</c:formatCode>
                <c:ptCount val="41"/>
                <c:pt idx="0">
                  <c:v>1.8463576158940398</c:v>
                </c:pt>
                <c:pt idx="1">
                  <c:v>1.7360501567398121</c:v>
                </c:pt>
                <c:pt idx="2">
                  <c:v>1.6369047619047623</c:v>
                </c:pt>
                <c:pt idx="3">
                  <c:v>1.5473087818696889</c:v>
                </c:pt>
                <c:pt idx="4">
                  <c:v>1.4659459459459465</c:v>
                </c:pt>
                <c:pt idx="5">
                  <c:v>1.3917312661498715</c:v>
                </c:pt>
                <c:pt idx="6">
                  <c:v>1.3237623762376245</c:v>
                </c:pt>
                <c:pt idx="7">
                  <c:v>1.2612826603325424</c:v>
                </c:pt>
                <c:pt idx="8">
                  <c:v>1.2036529680365307</c:v>
                </c:pt>
                <c:pt idx="9">
                  <c:v>1.1503296703296713</c:v>
                </c:pt>
                <c:pt idx="10">
                  <c:v>1.1008474576271197</c:v>
                </c:pt>
                <c:pt idx="11">
                  <c:v>1.0548057259713712</c:v>
                </c:pt>
                <c:pt idx="12">
                  <c:v>1.0118577075098825</c:v>
                </c:pt>
                <c:pt idx="13">
                  <c:v>0.97170172084130124</c:v>
                </c:pt>
                <c:pt idx="14">
                  <c:v>0.93407407407407506</c:v>
                </c:pt>
                <c:pt idx="15">
                  <c:v>0.8987432675044893</c:v>
                </c:pt>
                <c:pt idx="16">
                  <c:v>0.86550522648083716</c:v>
                </c:pt>
                <c:pt idx="17">
                  <c:v>0.83417935702199753</c:v>
                </c:pt>
                <c:pt idx="18">
                  <c:v>0.8046052631578956</c:v>
                </c:pt>
                <c:pt idx="19">
                  <c:v>0.77664000000000077</c:v>
                </c:pt>
                <c:pt idx="20">
                  <c:v>0.75015576323987609</c:v>
                </c:pt>
                <c:pt idx="21">
                  <c:v>0.72503793626707203</c:v>
                </c:pt>
                <c:pt idx="22">
                  <c:v>0.70118343195266342</c:v>
                </c:pt>
                <c:pt idx="23">
                  <c:v>0.67849927849927916</c:v>
                </c:pt>
                <c:pt idx="24">
                  <c:v>0.65690140845070488</c:v>
                </c:pt>
                <c:pt idx="25">
                  <c:v>0.6363136176066031</c:v>
                </c:pt>
                <c:pt idx="26">
                  <c:v>0.61666666666666725</c:v>
                </c:pt>
                <c:pt idx="27">
                  <c:v>0.59789750328515168</c:v>
                </c:pt>
                <c:pt idx="28">
                  <c:v>0.5799485861182524</c:v>
                </c:pt>
                <c:pt idx="29">
                  <c:v>0.56276729559748473</c:v>
                </c:pt>
                <c:pt idx="30">
                  <c:v>0.54630541871921223</c:v>
                </c:pt>
                <c:pt idx="31">
                  <c:v>0.53051869722557343</c:v>
                </c:pt>
                <c:pt idx="32">
                  <c:v>0.51536643026004769</c:v>
                </c:pt>
                <c:pt idx="33">
                  <c:v>0.5008111239860954</c:v>
                </c:pt>
                <c:pt idx="34">
                  <c:v>0.48681818181818221</c:v>
                </c:pt>
                <c:pt idx="35">
                  <c:v>0.47335562987736934</c:v>
                </c:pt>
                <c:pt idx="36">
                  <c:v>0.46039387308533947</c:v>
                </c:pt>
                <c:pt idx="37">
                  <c:v>0.44790547798066627</c:v>
                </c:pt>
                <c:pt idx="38">
                  <c:v>0.43586497890295389</c:v>
                </c:pt>
                <c:pt idx="39">
                  <c:v>0.42424870466321268</c:v>
                </c:pt>
                <c:pt idx="40">
                  <c:v>0.41303462321792284</c:v>
                </c:pt>
              </c:numCache>
            </c:numRef>
          </c:yVal>
          <c:smooth val="1"/>
        </c:ser>
        <c:ser>
          <c:idx val="3"/>
          <c:order val="3"/>
          <c:tx>
            <c:v>Nanami-1</c:v>
          </c:tx>
          <c:marker>
            <c:symbol val="none"/>
          </c:marker>
          <c:xVal>
            <c:numRef>
              <c:f>Sheet3!$H$10:$H$50</c:f>
              <c:numCache>
                <c:formatCode>General</c:formatCode>
                <c:ptCount val="41"/>
                <c:pt idx="0">
                  <c:v>19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  <c:pt idx="6">
                  <c:v>25</c:v>
                </c:pt>
                <c:pt idx="7">
                  <c:v>26</c:v>
                </c:pt>
                <c:pt idx="8">
                  <c:v>27</c:v>
                </c:pt>
                <c:pt idx="9">
                  <c:v>28</c:v>
                </c:pt>
                <c:pt idx="10">
                  <c:v>29</c:v>
                </c:pt>
                <c:pt idx="11">
                  <c:v>30</c:v>
                </c:pt>
                <c:pt idx="12">
                  <c:v>31</c:v>
                </c:pt>
                <c:pt idx="13">
                  <c:v>32</c:v>
                </c:pt>
                <c:pt idx="14">
                  <c:v>33</c:v>
                </c:pt>
                <c:pt idx="15">
                  <c:v>34</c:v>
                </c:pt>
                <c:pt idx="16">
                  <c:v>35</c:v>
                </c:pt>
                <c:pt idx="17">
                  <c:v>36</c:v>
                </c:pt>
                <c:pt idx="18">
                  <c:v>37</c:v>
                </c:pt>
                <c:pt idx="19">
                  <c:v>38</c:v>
                </c:pt>
                <c:pt idx="20">
                  <c:v>39</c:v>
                </c:pt>
                <c:pt idx="21">
                  <c:v>40</c:v>
                </c:pt>
                <c:pt idx="22">
                  <c:v>41</c:v>
                </c:pt>
                <c:pt idx="23">
                  <c:v>42</c:v>
                </c:pt>
                <c:pt idx="24">
                  <c:v>43</c:v>
                </c:pt>
                <c:pt idx="25">
                  <c:v>44</c:v>
                </c:pt>
                <c:pt idx="26">
                  <c:v>45</c:v>
                </c:pt>
                <c:pt idx="27">
                  <c:v>46</c:v>
                </c:pt>
                <c:pt idx="28">
                  <c:v>47</c:v>
                </c:pt>
                <c:pt idx="29">
                  <c:v>48</c:v>
                </c:pt>
                <c:pt idx="30">
                  <c:v>49</c:v>
                </c:pt>
                <c:pt idx="31">
                  <c:v>50</c:v>
                </c:pt>
                <c:pt idx="32">
                  <c:v>51</c:v>
                </c:pt>
                <c:pt idx="33">
                  <c:v>52</c:v>
                </c:pt>
                <c:pt idx="34">
                  <c:v>53</c:v>
                </c:pt>
                <c:pt idx="35">
                  <c:v>54</c:v>
                </c:pt>
                <c:pt idx="36">
                  <c:v>55</c:v>
                </c:pt>
                <c:pt idx="37">
                  <c:v>56</c:v>
                </c:pt>
                <c:pt idx="38">
                  <c:v>57</c:v>
                </c:pt>
                <c:pt idx="39">
                  <c:v>58</c:v>
                </c:pt>
                <c:pt idx="40">
                  <c:v>59</c:v>
                </c:pt>
              </c:numCache>
            </c:numRef>
          </c:xVal>
          <c:yVal>
            <c:numRef>
              <c:f>Sheet3!$K$10:$K$50</c:f>
              <c:numCache>
                <c:formatCode>General</c:formatCode>
                <c:ptCount val="41"/>
                <c:pt idx="0">
                  <c:v>1.1803508771929825</c:v>
                </c:pt>
                <c:pt idx="1">
                  <c:v>1.1195364238410597</c:v>
                </c:pt>
                <c:pt idx="2">
                  <c:v>1.0652037617554859</c:v>
                </c:pt>
                <c:pt idx="3">
                  <c:v>1.0163690476190477</c:v>
                </c:pt>
                <c:pt idx="4">
                  <c:v>0.97223796033994336</c:v>
                </c:pt>
                <c:pt idx="5">
                  <c:v>0.93216216216216208</c:v>
                </c:pt>
                <c:pt idx="6">
                  <c:v>0.89560723514211882</c:v>
                </c:pt>
                <c:pt idx="7">
                  <c:v>0.86212871287128701</c:v>
                </c:pt>
                <c:pt idx="8">
                  <c:v>0.83135391923990487</c:v>
                </c:pt>
                <c:pt idx="9">
                  <c:v>0.80296803652968018</c:v>
                </c:pt>
                <c:pt idx="10">
                  <c:v>0.77670329670329652</c:v>
                </c:pt>
                <c:pt idx="11">
                  <c:v>0.75233050847457605</c:v>
                </c:pt>
                <c:pt idx="12">
                  <c:v>0.72965235173824106</c:v>
                </c:pt>
                <c:pt idx="13">
                  <c:v>0.70849802371541482</c:v>
                </c:pt>
                <c:pt idx="14">
                  <c:v>0.68871892925430189</c:v>
                </c:pt>
                <c:pt idx="15">
                  <c:v>0.67018518518518488</c:v>
                </c:pt>
                <c:pt idx="16">
                  <c:v>0.65278276481148989</c:v>
                </c:pt>
                <c:pt idx="17">
                  <c:v>0.63641114982578373</c:v>
                </c:pt>
                <c:pt idx="18">
                  <c:v>0.62098138747884912</c:v>
                </c:pt>
                <c:pt idx="19">
                  <c:v>0.6064144736842102</c:v>
                </c:pt>
                <c:pt idx="20">
                  <c:v>0.59263999999999972</c:v>
                </c:pt>
                <c:pt idx="21">
                  <c:v>0.57959501557632365</c:v>
                </c:pt>
                <c:pt idx="22">
                  <c:v>0.56722306525037902</c:v>
                </c:pt>
                <c:pt idx="23">
                  <c:v>0.55547337278106479</c:v>
                </c:pt>
                <c:pt idx="24">
                  <c:v>0.54430014430014395</c:v>
                </c:pt>
                <c:pt idx="25">
                  <c:v>0.53366197183098552</c:v>
                </c:pt>
                <c:pt idx="26">
                  <c:v>0.52352132049518529</c:v>
                </c:pt>
                <c:pt idx="27">
                  <c:v>0.513844086021505</c:v>
                </c:pt>
                <c:pt idx="28">
                  <c:v>0.50459921156373155</c:v>
                </c:pt>
                <c:pt idx="29">
                  <c:v>0.49575835475578367</c:v>
                </c:pt>
                <c:pt idx="30">
                  <c:v>0.48729559748427637</c:v>
                </c:pt>
                <c:pt idx="31">
                  <c:v>0.47918719211822619</c:v>
                </c:pt>
                <c:pt idx="32">
                  <c:v>0.47141133896260518</c:v>
                </c:pt>
                <c:pt idx="33">
                  <c:v>0.46394799054373481</c:v>
                </c:pt>
                <c:pt idx="34">
                  <c:v>0.45677867902665081</c:v>
                </c:pt>
                <c:pt idx="35">
                  <c:v>0.4498863636363632</c:v>
                </c:pt>
                <c:pt idx="36">
                  <c:v>0.44325529542920805</c:v>
                </c:pt>
                <c:pt idx="37">
                  <c:v>0.43687089715536065</c:v>
                </c:pt>
                <c:pt idx="38">
                  <c:v>0.43071965628356562</c:v>
                </c:pt>
                <c:pt idx="39">
                  <c:v>0.42478902953586456</c:v>
                </c:pt>
                <c:pt idx="40">
                  <c:v>0.41906735751295293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851064"/>
        <c:axId val="468846360"/>
      </c:scatterChart>
      <c:valAx>
        <c:axId val="468851064"/>
        <c:scaling>
          <c:orientation val="minMax"/>
          <c:max val="60"/>
          <c:min val="30"/>
        </c:scaling>
        <c:delete val="0"/>
        <c:axPos val="b"/>
        <c:majorGridlines>
          <c:spPr>
            <a:ln>
              <a:prstDash val="dash"/>
            </a:ln>
          </c:spPr>
        </c:majorGridlines>
        <c:numFmt formatCode="General" sourceLinked="1"/>
        <c:majorTickMark val="out"/>
        <c:minorTickMark val="none"/>
        <c:tickLblPos val="nextTo"/>
        <c:crossAx val="468846360"/>
        <c:crosses val="autoZero"/>
        <c:crossBetween val="midCat"/>
      </c:valAx>
      <c:valAx>
        <c:axId val="468846360"/>
        <c:scaling>
          <c:orientation val="minMax"/>
          <c:max val="0.60000000000000009"/>
          <c:min val="0.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68851064"/>
        <c:crosses val="autoZero"/>
        <c:crossBetween val="midCat"/>
        <c:majorUnit val="5.000000000000001E-2"/>
      </c:valAx>
    </c:plotArea>
    <c:legend>
      <c:legendPos val="r"/>
      <c:legendEntry>
        <c:idx val="4"/>
        <c:delete val="1"/>
      </c:legendEntry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53</xdr:row>
      <xdr:rowOff>28574</xdr:rowOff>
    </xdr:from>
    <xdr:to>
      <xdr:col>17</xdr:col>
      <xdr:colOff>457200</xdr:colOff>
      <xdr:row>73</xdr:row>
      <xdr:rowOff>190499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82"/>
  <sheetViews>
    <sheetView workbookViewId="0">
      <pane xSplit="1" topLeftCell="B1" activePane="topRight" state="frozen"/>
      <selection pane="topRight" activeCell="D21" sqref="D21"/>
    </sheetView>
  </sheetViews>
  <sheetFormatPr defaultRowHeight="15" x14ac:dyDescent="0.25"/>
  <cols>
    <col min="1" max="1" width="11" bestFit="1" customWidth="1"/>
    <col min="2" max="2" width="12.5703125" customWidth="1"/>
    <col min="3" max="3" width="9.140625" customWidth="1"/>
    <col min="4" max="4" width="8.7109375" customWidth="1"/>
    <col min="5" max="5" width="9.140625" customWidth="1"/>
    <col min="6" max="7" width="9.140625" hidden="1" customWidth="1"/>
    <col min="8" max="8" width="9.140625" customWidth="1"/>
    <col min="9" max="9" width="11.5703125" customWidth="1"/>
    <col min="10" max="10" width="9.140625" customWidth="1"/>
    <col min="11" max="11" width="12.7109375" style="10" hidden="1" customWidth="1"/>
    <col min="12" max="12" width="12.28515625" style="10" hidden="1" customWidth="1"/>
    <col min="13" max="13" width="12.85546875" style="10" hidden="1" customWidth="1"/>
    <col min="14" max="14" width="11.28515625" style="11" hidden="1" customWidth="1"/>
    <col min="15" max="15" width="11.85546875" style="18" hidden="1" customWidth="1"/>
    <col min="16" max="17" width="6.7109375" style="18" customWidth="1"/>
    <col min="18" max="18" width="10.85546875" customWidth="1"/>
    <col min="19" max="19" width="11.28515625" customWidth="1"/>
    <col min="20" max="20" width="9.140625" customWidth="1"/>
    <col min="21" max="21" width="9" customWidth="1"/>
    <col min="22" max="22" width="9.140625" customWidth="1"/>
    <col min="24" max="24" width="0" hidden="1" customWidth="1"/>
    <col min="25" max="32" width="0" style="27" hidden="1" customWidth="1"/>
    <col min="33" max="33" width="9.140625" style="27"/>
    <col min="35" max="35" width="9.140625" customWidth="1"/>
    <col min="38" max="38" width="11.28515625" hidden="1" customWidth="1"/>
    <col min="39" max="39" width="0" hidden="1" customWidth="1"/>
  </cols>
  <sheetData>
    <row r="1" spans="1:39" ht="15.75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141</v>
      </c>
      <c r="L1" s="2" t="s">
        <v>181</v>
      </c>
      <c r="M1" s="2" t="s">
        <v>182</v>
      </c>
      <c r="N1" s="2" t="s">
        <v>10</v>
      </c>
      <c r="O1" s="12" t="s">
        <v>142</v>
      </c>
      <c r="P1" s="12" t="s">
        <v>10</v>
      </c>
      <c r="Q1" s="12" t="s">
        <v>179</v>
      </c>
      <c r="R1" s="2" t="s">
        <v>180</v>
      </c>
      <c r="S1" s="2" t="s">
        <v>11</v>
      </c>
      <c r="T1" s="32" t="s">
        <v>12</v>
      </c>
      <c r="U1" s="22" t="s">
        <v>13</v>
      </c>
      <c r="V1" s="25" t="s">
        <v>187</v>
      </c>
      <c r="W1" s="19" t="s">
        <v>178</v>
      </c>
      <c r="X1" s="25" t="s">
        <v>187</v>
      </c>
      <c r="Y1" s="28" t="s">
        <v>129</v>
      </c>
      <c r="Z1" s="28" t="s">
        <v>178</v>
      </c>
      <c r="AA1" s="28" t="s">
        <v>186</v>
      </c>
      <c r="AB1" s="23" t="s">
        <v>183</v>
      </c>
      <c r="AC1" s="31" t="s">
        <v>184</v>
      </c>
      <c r="AD1" s="31" t="s">
        <v>185</v>
      </c>
      <c r="AE1" s="31" t="s">
        <v>189</v>
      </c>
      <c r="AF1" s="23" t="s">
        <v>188</v>
      </c>
      <c r="AG1" s="20" t="s">
        <v>130</v>
      </c>
      <c r="AH1" s="2" t="s">
        <v>178</v>
      </c>
      <c r="AI1" s="2" t="s">
        <v>130</v>
      </c>
      <c r="AJ1" s="2" t="s">
        <v>13</v>
      </c>
    </row>
    <row r="2" spans="1:39" ht="15.75" thickBot="1" x14ac:dyDescent="0.3">
      <c r="A2" s="3" t="s">
        <v>76</v>
      </c>
      <c r="B2" s="4">
        <v>60</v>
      </c>
      <c r="C2" s="4">
        <v>150</v>
      </c>
      <c r="D2" s="4">
        <v>210</v>
      </c>
      <c r="E2" s="4">
        <v>175</v>
      </c>
      <c r="F2" s="4">
        <v>60</v>
      </c>
      <c r="G2" s="4">
        <v>195</v>
      </c>
      <c r="H2" s="4">
        <v>60</v>
      </c>
      <c r="I2" s="4">
        <v>600</v>
      </c>
      <c r="J2" s="4">
        <v>3</v>
      </c>
      <c r="K2" s="6"/>
      <c r="L2" s="6"/>
      <c r="M2" s="6"/>
      <c r="N2" s="4"/>
      <c r="O2" s="14" t="s">
        <v>157</v>
      </c>
      <c r="P2" s="14">
        <v>100</v>
      </c>
      <c r="Q2" s="8">
        <v>40</v>
      </c>
      <c r="R2" s="4"/>
      <c r="S2" s="4" t="s">
        <v>77</v>
      </c>
      <c r="T2" s="33">
        <f t="shared" ref="T2:T33" si="0">P2+Q2+B2</f>
        <v>200</v>
      </c>
      <c r="U2" s="26">
        <f t="shared" ref="U2:U33" si="1">(C2+(H2/2))/16</f>
        <v>11.25</v>
      </c>
      <c r="V2" s="26">
        <f t="shared" ref="V2:V33" si="2">U2*IF(J2&gt;=1,1.5,1)</f>
        <v>16.875</v>
      </c>
      <c r="W2" s="19">
        <f t="shared" ref="W2:W33" si="3">INT(T2*IF(R2="",1.5,VLOOKUP(R2,$AL$2:$AM$10,2,FALSE))*(U2*2+100)/100)</f>
        <v>367</v>
      </c>
      <c r="X2" s="22">
        <f t="shared" ref="X2:X33" si="4">INT(T2*IF(R2="",1.5,VLOOKUP(R2,$AL$2:$AM$10,2,FALSE))*(U2*3+100)/100)</f>
        <v>401</v>
      </c>
      <c r="Y2" s="29">
        <f t="shared" ref="Y2:Y33" si="5">INT((T2+IF(J2&gt;=1,F2/4,0)))</f>
        <v>215</v>
      </c>
      <c r="Z2" s="29">
        <f t="shared" ref="Z2:Z33" si="6">INT(Y2*(U2*2+100)/100)</f>
        <v>263</v>
      </c>
      <c r="AA2" s="30">
        <f t="shared" ref="AA2:AA33" si="7">Z2/W2</f>
        <v>0.71662125340599458</v>
      </c>
      <c r="AB2" s="24">
        <f t="shared" ref="AB2:AB33" si="8">W2*IF(J2&lt;1,1,IF(J2=1,2,IF(J2&gt;=2,3)))</f>
        <v>1101</v>
      </c>
      <c r="AC2" s="24">
        <f t="shared" ref="AC2:AC33" si="9">INT(AB2*IF(J2&gt;=3,1.5,1.15))</f>
        <v>1651</v>
      </c>
      <c r="AD2" s="24">
        <f t="shared" ref="AD2:AD33" si="10">INT(IF(J2&gt;=3,X2,W2)*IF(J2&lt;1,1,IF(J2=1,2,IF(J2&gt;=2,3,1)))*1.15)</f>
        <v>1383</v>
      </c>
      <c r="AE2" s="24">
        <f t="shared" ref="AE2:AE33" si="11">INT(IF(J2=3,Z2*3,AB2)*1.15)</f>
        <v>907</v>
      </c>
      <c r="AF2" s="24">
        <f t="shared" ref="AF2:AF33" si="12">INT(W2*IF(J2=0,1,IF(J2&gt;=2,1.5,1)*IF(J2&gt;=3,1.5,1.15)))</f>
        <v>825</v>
      </c>
      <c r="AG2" s="21">
        <f t="shared" ref="AG2:AG33" si="13">MAX(A2:AF2)</f>
        <v>1651</v>
      </c>
      <c r="AH2" s="9" t="s">
        <v>139</v>
      </c>
      <c r="AI2" s="9" t="s">
        <v>136</v>
      </c>
      <c r="AJ2" s="9" t="s">
        <v>140</v>
      </c>
      <c r="AL2" t="s">
        <v>17</v>
      </c>
      <c r="AM2">
        <v>1</v>
      </c>
    </row>
    <row r="3" spans="1:39" ht="15.75" thickBot="1" x14ac:dyDescent="0.3">
      <c r="A3" s="3" t="s">
        <v>62</v>
      </c>
      <c r="B3" s="4">
        <v>150</v>
      </c>
      <c r="C3" s="4">
        <v>195</v>
      </c>
      <c r="D3" s="4">
        <v>195</v>
      </c>
      <c r="E3" s="4">
        <v>175</v>
      </c>
      <c r="F3" s="4">
        <v>150</v>
      </c>
      <c r="G3" s="4">
        <v>175</v>
      </c>
      <c r="H3" s="4">
        <v>175</v>
      </c>
      <c r="I3" s="4">
        <v>660</v>
      </c>
      <c r="J3" s="4">
        <v>2</v>
      </c>
      <c r="K3" s="6"/>
      <c r="L3" s="13" t="s">
        <v>161</v>
      </c>
      <c r="M3" s="6"/>
      <c r="N3" s="4"/>
      <c r="O3" s="14" t="s">
        <v>144</v>
      </c>
      <c r="P3" s="14">
        <v>170</v>
      </c>
      <c r="Q3" s="8">
        <v>60</v>
      </c>
      <c r="R3" s="4"/>
      <c r="S3" s="4" t="s">
        <v>35</v>
      </c>
      <c r="T3" s="33">
        <f t="shared" si="0"/>
        <v>380</v>
      </c>
      <c r="U3" s="26">
        <f t="shared" si="1"/>
        <v>17.65625</v>
      </c>
      <c r="V3" s="26">
        <f t="shared" si="2"/>
        <v>26.484375</v>
      </c>
      <c r="W3" s="19">
        <f t="shared" si="3"/>
        <v>771</v>
      </c>
      <c r="X3" s="22">
        <f t="shared" si="4"/>
        <v>871</v>
      </c>
      <c r="Y3" s="29">
        <f t="shared" si="5"/>
        <v>417</v>
      </c>
      <c r="Z3" s="29">
        <f t="shared" si="6"/>
        <v>564</v>
      </c>
      <c r="AA3" s="30">
        <f t="shared" si="7"/>
        <v>0.73151750972762641</v>
      </c>
      <c r="AB3" s="24">
        <f t="shared" si="8"/>
        <v>2313</v>
      </c>
      <c r="AC3" s="24">
        <f t="shared" si="9"/>
        <v>2659</v>
      </c>
      <c r="AD3" s="24">
        <f t="shared" si="10"/>
        <v>2659</v>
      </c>
      <c r="AE3" s="24">
        <f t="shared" si="11"/>
        <v>2659</v>
      </c>
      <c r="AF3" s="24">
        <f t="shared" si="12"/>
        <v>1329</v>
      </c>
      <c r="AG3" s="21">
        <f t="shared" si="13"/>
        <v>2659</v>
      </c>
      <c r="AH3" s="9" t="s">
        <v>132</v>
      </c>
      <c r="AI3" s="9" t="s">
        <v>132</v>
      </c>
      <c r="AJ3" s="9" t="s">
        <v>133</v>
      </c>
      <c r="AL3" t="s">
        <v>64</v>
      </c>
      <c r="AM3">
        <v>1</v>
      </c>
    </row>
    <row r="4" spans="1:39" ht="15.75" thickBot="1" x14ac:dyDescent="0.3">
      <c r="A4" s="3" t="s">
        <v>81</v>
      </c>
      <c r="B4" s="4">
        <v>175</v>
      </c>
      <c r="C4" s="4">
        <v>195</v>
      </c>
      <c r="D4" s="4">
        <v>195</v>
      </c>
      <c r="E4" s="4">
        <v>150</v>
      </c>
      <c r="F4" s="4">
        <v>175</v>
      </c>
      <c r="G4" s="4">
        <v>175</v>
      </c>
      <c r="H4" s="4">
        <v>175</v>
      </c>
      <c r="I4" s="4">
        <v>720</v>
      </c>
      <c r="J4" s="4">
        <v>2</v>
      </c>
      <c r="K4" s="6"/>
      <c r="L4" s="13" t="s">
        <v>166</v>
      </c>
      <c r="M4" s="6"/>
      <c r="N4" s="4"/>
      <c r="O4" s="14" t="s">
        <v>151</v>
      </c>
      <c r="P4" s="14">
        <v>165</v>
      </c>
      <c r="Q4" s="8">
        <v>75</v>
      </c>
      <c r="R4" s="4"/>
      <c r="S4" s="4" t="s">
        <v>35</v>
      </c>
      <c r="T4" s="33">
        <f t="shared" si="0"/>
        <v>415</v>
      </c>
      <c r="U4" s="26">
        <f t="shared" si="1"/>
        <v>17.65625</v>
      </c>
      <c r="V4" s="26">
        <f t="shared" si="2"/>
        <v>26.484375</v>
      </c>
      <c r="W4" s="19">
        <f t="shared" si="3"/>
        <v>842</v>
      </c>
      <c r="X4" s="22">
        <f t="shared" si="4"/>
        <v>952</v>
      </c>
      <c r="Y4" s="29">
        <f t="shared" si="5"/>
        <v>458</v>
      </c>
      <c r="Z4" s="29">
        <f t="shared" si="6"/>
        <v>619</v>
      </c>
      <c r="AA4" s="30">
        <f t="shared" si="7"/>
        <v>0.73515439429928742</v>
      </c>
      <c r="AB4" s="24">
        <f t="shared" si="8"/>
        <v>2526</v>
      </c>
      <c r="AC4" s="24">
        <f t="shared" si="9"/>
        <v>2904</v>
      </c>
      <c r="AD4" s="24">
        <f t="shared" si="10"/>
        <v>2904</v>
      </c>
      <c r="AE4" s="24">
        <f t="shared" si="11"/>
        <v>2904</v>
      </c>
      <c r="AF4" s="24">
        <f t="shared" si="12"/>
        <v>1452</v>
      </c>
      <c r="AG4" s="21">
        <f t="shared" si="13"/>
        <v>2904</v>
      </c>
      <c r="AH4" s="9" t="s">
        <v>133</v>
      </c>
      <c r="AI4" s="9" t="s">
        <v>133</v>
      </c>
      <c r="AJ4" s="9" t="s">
        <v>133</v>
      </c>
      <c r="AL4" t="s">
        <v>190</v>
      </c>
      <c r="AM4">
        <v>1.25</v>
      </c>
    </row>
    <row r="5" spans="1:39" ht="15.75" thickBot="1" x14ac:dyDescent="0.3">
      <c r="A5" s="3" t="s">
        <v>79</v>
      </c>
      <c r="B5" s="4">
        <v>110</v>
      </c>
      <c r="C5" s="4">
        <v>135</v>
      </c>
      <c r="D5" s="4">
        <v>195</v>
      </c>
      <c r="E5" s="4">
        <v>135</v>
      </c>
      <c r="F5" s="4">
        <v>95</v>
      </c>
      <c r="G5" s="4">
        <v>210</v>
      </c>
      <c r="H5" s="4">
        <v>75</v>
      </c>
      <c r="I5" s="4">
        <v>660</v>
      </c>
      <c r="J5" s="4">
        <v>1</v>
      </c>
      <c r="K5" s="13" t="s">
        <v>165</v>
      </c>
      <c r="L5" s="13" t="s">
        <v>108</v>
      </c>
      <c r="M5" s="6"/>
      <c r="N5" s="4"/>
      <c r="O5" s="14" t="s">
        <v>157</v>
      </c>
      <c r="P5" s="14">
        <v>100</v>
      </c>
      <c r="Q5" s="8">
        <v>60</v>
      </c>
      <c r="R5" s="4"/>
      <c r="S5" s="4" t="s">
        <v>80</v>
      </c>
      <c r="T5" s="33">
        <f t="shared" si="0"/>
        <v>270</v>
      </c>
      <c r="U5" s="26">
        <f t="shared" si="1"/>
        <v>10.78125</v>
      </c>
      <c r="V5" s="26">
        <f t="shared" si="2"/>
        <v>16.171875</v>
      </c>
      <c r="W5" s="19">
        <f t="shared" si="3"/>
        <v>492</v>
      </c>
      <c r="X5" s="22">
        <f t="shared" si="4"/>
        <v>535</v>
      </c>
      <c r="Y5" s="29">
        <f t="shared" si="5"/>
        <v>293</v>
      </c>
      <c r="Z5" s="29">
        <f t="shared" si="6"/>
        <v>356</v>
      </c>
      <c r="AA5" s="30">
        <f t="shared" si="7"/>
        <v>0.72357723577235777</v>
      </c>
      <c r="AB5" s="24">
        <f t="shared" si="8"/>
        <v>984</v>
      </c>
      <c r="AC5" s="24">
        <f t="shared" si="9"/>
        <v>1131</v>
      </c>
      <c r="AD5" s="24">
        <f t="shared" si="10"/>
        <v>1131</v>
      </c>
      <c r="AE5" s="24">
        <f t="shared" si="11"/>
        <v>1131</v>
      </c>
      <c r="AF5" s="24">
        <f t="shared" si="12"/>
        <v>565</v>
      </c>
      <c r="AG5" s="21">
        <f t="shared" si="13"/>
        <v>1131</v>
      </c>
      <c r="AH5" s="9" t="s">
        <v>138</v>
      </c>
      <c r="AI5" s="9" t="s">
        <v>138</v>
      </c>
      <c r="AJ5" s="9" t="s">
        <v>140</v>
      </c>
      <c r="AL5" t="s">
        <v>14</v>
      </c>
      <c r="AM5">
        <v>1.25</v>
      </c>
    </row>
    <row r="6" spans="1:39" ht="15.75" thickBot="1" x14ac:dyDescent="0.3">
      <c r="A6" s="3" t="s">
        <v>38</v>
      </c>
      <c r="B6" s="4">
        <v>175</v>
      </c>
      <c r="C6" s="4">
        <v>175</v>
      </c>
      <c r="D6" s="4">
        <v>175</v>
      </c>
      <c r="E6" s="4">
        <v>150</v>
      </c>
      <c r="F6" s="4">
        <v>150</v>
      </c>
      <c r="G6" s="4">
        <v>135</v>
      </c>
      <c r="H6" s="4">
        <v>95</v>
      </c>
      <c r="I6" s="4">
        <v>720</v>
      </c>
      <c r="J6" s="4">
        <v>2</v>
      </c>
      <c r="K6" s="15"/>
      <c r="L6" s="6"/>
      <c r="M6" s="6"/>
      <c r="N6" s="4"/>
      <c r="O6" s="14" t="s">
        <v>149</v>
      </c>
      <c r="P6" s="14">
        <v>150</v>
      </c>
      <c r="Q6" s="8">
        <v>75</v>
      </c>
      <c r="R6" s="4"/>
      <c r="S6" s="4" t="s">
        <v>39</v>
      </c>
      <c r="T6" s="33">
        <f t="shared" si="0"/>
        <v>400</v>
      </c>
      <c r="U6" s="26">
        <f t="shared" si="1"/>
        <v>13.90625</v>
      </c>
      <c r="V6" s="26">
        <f t="shared" si="2"/>
        <v>20.859375</v>
      </c>
      <c r="W6" s="19">
        <f t="shared" si="3"/>
        <v>766</v>
      </c>
      <c r="X6" s="22">
        <f t="shared" si="4"/>
        <v>850</v>
      </c>
      <c r="Y6" s="29">
        <f t="shared" si="5"/>
        <v>437</v>
      </c>
      <c r="Z6" s="29">
        <f t="shared" si="6"/>
        <v>558</v>
      </c>
      <c r="AA6" s="30">
        <f t="shared" si="7"/>
        <v>0.72845953002610964</v>
      </c>
      <c r="AB6" s="24">
        <f t="shared" si="8"/>
        <v>2298</v>
      </c>
      <c r="AC6" s="24">
        <f t="shared" si="9"/>
        <v>2642</v>
      </c>
      <c r="AD6" s="24">
        <f t="shared" si="10"/>
        <v>2642</v>
      </c>
      <c r="AE6" s="24">
        <f t="shared" si="11"/>
        <v>2642</v>
      </c>
      <c r="AF6" s="24">
        <f t="shared" si="12"/>
        <v>1321</v>
      </c>
      <c r="AG6" s="21">
        <f t="shared" si="13"/>
        <v>2642</v>
      </c>
      <c r="AH6" s="9" t="s">
        <v>132</v>
      </c>
      <c r="AI6" s="9" t="s">
        <v>132</v>
      </c>
      <c r="AJ6" s="9" t="s">
        <v>137</v>
      </c>
      <c r="AL6" t="s">
        <v>94</v>
      </c>
      <c r="AM6">
        <v>1.5</v>
      </c>
    </row>
    <row r="7" spans="1:39" ht="15.75" thickBot="1" x14ac:dyDescent="0.3">
      <c r="A7" s="3" t="s">
        <v>113</v>
      </c>
      <c r="B7" s="4">
        <v>110</v>
      </c>
      <c r="C7" s="4">
        <v>135</v>
      </c>
      <c r="D7" s="4">
        <v>175</v>
      </c>
      <c r="E7" s="4">
        <v>150</v>
      </c>
      <c r="F7" s="4">
        <v>110</v>
      </c>
      <c r="G7" s="4">
        <v>150</v>
      </c>
      <c r="H7" s="4">
        <v>150</v>
      </c>
      <c r="I7" s="4">
        <v>660</v>
      </c>
      <c r="J7" s="4">
        <v>2</v>
      </c>
      <c r="K7" s="15"/>
      <c r="L7" s="6"/>
      <c r="M7" s="6"/>
      <c r="N7" s="4"/>
      <c r="O7" s="14" t="s">
        <v>155</v>
      </c>
      <c r="P7" s="14">
        <v>140</v>
      </c>
      <c r="Q7" s="8">
        <v>40</v>
      </c>
      <c r="R7" s="4"/>
      <c r="S7" s="4" t="s">
        <v>114</v>
      </c>
      <c r="T7" s="33">
        <f t="shared" si="0"/>
        <v>290</v>
      </c>
      <c r="U7" s="26">
        <f t="shared" si="1"/>
        <v>13.125</v>
      </c>
      <c r="V7" s="26">
        <f t="shared" si="2"/>
        <v>19.6875</v>
      </c>
      <c r="W7" s="19">
        <f t="shared" si="3"/>
        <v>549</v>
      </c>
      <c r="X7" s="22">
        <f t="shared" si="4"/>
        <v>606</v>
      </c>
      <c r="Y7" s="29">
        <f t="shared" si="5"/>
        <v>317</v>
      </c>
      <c r="Z7" s="29">
        <f t="shared" si="6"/>
        <v>400</v>
      </c>
      <c r="AA7" s="30">
        <f t="shared" si="7"/>
        <v>0.72859744990892528</v>
      </c>
      <c r="AB7" s="24">
        <f t="shared" si="8"/>
        <v>1647</v>
      </c>
      <c r="AC7" s="24">
        <f t="shared" si="9"/>
        <v>1894</v>
      </c>
      <c r="AD7" s="24">
        <f t="shared" si="10"/>
        <v>1894</v>
      </c>
      <c r="AE7" s="24">
        <f t="shared" si="11"/>
        <v>1894</v>
      </c>
      <c r="AF7" s="24">
        <f t="shared" si="12"/>
        <v>947</v>
      </c>
      <c r="AG7" s="21">
        <f t="shared" si="13"/>
        <v>1894</v>
      </c>
      <c r="AH7" s="9" t="s">
        <v>137</v>
      </c>
      <c r="AI7" s="9" t="s">
        <v>134</v>
      </c>
      <c r="AJ7" s="9" t="s">
        <v>136</v>
      </c>
      <c r="AL7" t="s">
        <v>108</v>
      </c>
      <c r="AM7">
        <v>1.5</v>
      </c>
    </row>
    <row r="8" spans="1:39" ht="15.75" thickBot="1" x14ac:dyDescent="0.3">
      <c r="A8" s="3" t="s">
        <v>107</v>
      </c>
      <c r="B8" s="4">
        <v>135</v>
      </c>
      <c r="C8" s="4">
        <v>135</v>
      </c>
      <c r="D8" s="4">
        <v>175</v>
      </c>
      <c r="E8" s="4">
        <v>150</v>
      </c>
      <c r="F8" s="4">
        <v>110</v>
      </c>
      <c r="G8" s="4">
        <v>135</v>
      </c>
      <c r="H8" s="4">
        <v>95</v>
      </c>
      <c r="I8" s="4">
        <v>660</v>
      </c>
      <c r="J8" s="4">
        <v>2</v>
      </c>
      <c r="K8" s="6"/>
      <c r="L8" s="6"/>
      <c r="M8" s="15"/>
      <c r="N8" s="7" t="s">
        <v>108</v>
      </c>
      <c r="O8" s="14" t="s">
        <v>154</v>
      </c>
      <c r="P8" s="14">
        <v>135</v>
      </c>
      <c r="Q8" s="8">
        <v>60</v>
      </c>
      <c r="R8" s="7" t="s">
        <v>108</v>
      </c>
      <c r="S8" s="4" t="s">
        <v>67</v>
      </c>
      <c r="T8" s="33">
        <f t="shared" si="0"/>
        <v>330</v>
      </c>
      <c r="U8" s="26">
        <f t="shared" si="1"/>
        <v>11.40625</v>
      </c>
      <c r="V8" s="26">
        <f t="shared" si="2"/>
        <v>17.109375</v>
      </c>
      <c r="W8" s="19">
        <f t="shared" si="3"/>
        <v>607</v>
      </c>
      <c r="X8" s="22">
        <f t="shared" si="4"/>
        <v>664</v>
      </c>
      <c r="Y8" s="29">
        <f t="shared" si="5"/>
        <v>357</v>
      </c>
      <c r="Z8" s="29">
        <f t="shared" si="6"/>
        <v>438</v>
      </c>
      <c r="AA8" s="30">
        <f t="shared" si="7"/>
        <v>0.7215815485996705</v>
      </c>
      <c r="AB8" s="24">
        <f t="shared" si="8"/>
        <v>1821</v>
      </c>
      <c r="AC8" s="24">
        <f t="shared" si="9"/>
        <v>2094</v>
      </c>
      <c r="AD8" s="24">
        <f t="shared" si="10"/>
        <v>2094</v>
      </c>
      <c r="AE8" s="24">
        <f t="shared" si="11"/>
        <v>2094</v>
      </c>
      <c r="AF8" s="24">
        <f t="shared" si="12"/>
        <v>1047</v>
      </c>
      <c r="AG8" s="21">
        <f t="shared" si="13"/>
        <v>2094</v>
      </c>
      <c r="AH8" s="9" t="s">
        <v>137</v>
      </c>
      <c r="AI8" s="9" t="s">
        <v>134</v>
      </c>
      <c r="AJ8" s="9" t="s">
        <v>139</v>
      </c>
      <c r="AL8" t="s">
        <v>58</v>
      </c>
      <c r="AM8">
        <v>1.2</v>
      </c>
    </row>
    <row r="9" spans="1:39" ht="15.75" thickBot="1" x14ac:dyDescent="0.3">
      <c r="A9" s="3" t="s">
        <v>97</v>
      </c>
      <c r="B9" s="4">
        <v>110</v>
      </c>
      <c r="C9" s="4">
        <v>135</v>
      </c>
      <c r="D9" s="4">
        <v>175</v>
      </c>
      <c r="E9" s="4">
        <v>135</v>
      </c>
      <c r="F9" s="4">
        <v>110</v>
      </c>
      <c r="G9" s="4">
        <v>175</v>
      </c>
      <c r="H9" s="4">
        <v>135</v>
      </c>
      <c r="I9" s="4">
        <v>600</v>
      </c>
      <c r="J9" s="4">
        <v>3</v>
      </c>
      <c r="K9" s="6"/>
      <c r="L9" s="6"/>
      <c r="M9" s="6"/>
      <c r="N9" s="4"/>
      <c r="O9" s="14" t="s">
        <v>155</v>
      </c>
      <c r="P9" s="14">
        <v>140</v>
      </c>
      <c r="Q9" s="8">
        <v>60</v>
      </c>
      <c r="R9" s="4"/>
      <c r="S9" s="4" t="s">
        <v>67</v>
      </c>
      <c r="T9" s="33">
        <f t="shared" si="0"/>
        <v>310</v>
      </c>
      <c r="U9" s="26">
        <f t="shared" si="1"/>
        <v>12.65625</v>
      </c>
      <c r="V9" s="26">
        <f t="shared" si="2"/>
        <v>18.984375</v>
      </c>
      <c r="W9" s="19">
        <f t="shared" si="3"/>
        <v>582</v>
      </c>
      <c r="X9" s="22">
        <f t="shared" si="4"/>
        <v>641</v>
      </c>
      <c r="Y9" s="29">
        <f t="shared" si="5"/>
        <v>337</v>
      </c>
      <c r="Z9" s="29">
        <f t="shared" si="6"/>
        <v>422</v>
      </c>
      <c r="AA9" s="30">
        <f t="shared" si="7"/>
        <v>0.72508591065292094</v>
      </c>
      <c r="AB9" s="24">
        <f t="shared" si="8"/>
        <v>1746</v>
      </c>
      <c r="AC9" s="24">
        <f t="shared" si="9"/>
        <v>2619</v>
      </c>
      <c r="AD9" s="24">
        <f t="shared" si="10"/>
        <v>2211</v>
      </c>
      <c r="AE9" s="24">
        <f t="shared" si="11"/>
        <v>1455</v>
      </c>
      <c r="AF9" s="24">
        <f t="shared" si="12"/>
        <v>1309</v>
      </c>
      <c r="AG9" s="21">
        <f t="shared" si="13"/>
        <v>2619</v>
      </c>
      <c r="AH9" s="9" t="s">
        <v>137</v>
      </c>
      <c r="AI9" s="9" t="s">
        <v>132</v>
      </c>
      <c r="AJ9" s="9" t="s">
        <v>137</v>
      </c>
      <c r="AL9" t="s">
        <v>66</v>
      </c>
      <c r="AM9">
        <v>1</v>
      </c>
    </row>
    <row r="10" spans="1:39" ht="15.75" thickBot="1" x14ac:dyDescent="0.3">
      <c r="A10" s="3" t="s">
        <v>119</v>
      </c>
      <c r="B10" s="4">
        <v>95</v>
      </c>
      <c r="C10" s="4">
        <v>150</v>
      </c>
      <c r="D10" s="4">
        <v>175</v>
      </c>
      <c r="E10" s="4">
        <v>95</v>
      </c>
      <c r="F10" s="4">
        <v>95</v>
      </c>
      <c r="G10" s="4">
        <v>135</v>
      </c>
      <c r="H10" s="4">
        <v>210</v>
      </c>
      <c r="I10" s="4">
        <v>600</v>
      </c>
      <c r="J10" s="4">
        <v>1</v>
      </c>
      <c r="K10" s="6"/>
      <c r="L10" s="13" t="s">
        <v>175</v>
      </c>
      <c r="M10" s="15"/>
      <c r="N10" s="4"/>
      <c r="O10" s="14" t="s">
        <v>157</v>
      </c>
      <c r="P10" s="14">
        <v>100</v>
      </c>
      <c r="Q10" s="8">
        <v>60</v>
      </c>
      <c r="R10" s="4"/>
      <c r="S10" s="4" t="s">
        <v>114</v>
      </c>
      <c r="T10" s="33">
        <f t="shared" si="0"/>
        <v>255</v>
      </c>
      <c r="U10" s="26">
        <f t="shared" si="1"/>
        <v>15.9375</v>
      </c>
      <c r="V10" s="26">
        <f t="shared" si="2"/>
        <v>23.90625</v>
      </c>
      <c r="W10" s="19">
        <f t="shared" si="3"/>
        <v>504</v>
      </c>
      <c r="X10" s="22">
        <f t="shared" si="4"/>
        <v>565</v>
      </c>
      <c r="Y10" s="29">
        <f t="shared" si="5"/>
        <v>278</v>
      </c>
      <c r="Z10" s="29">
        <f t="shared" si="6"/>
        <v>366</v>
      </c>
      <c r="AA10" s="30">
        <f t="shared" si="7"/>
        <v>0.72619047619047616</v>
      </c>
      <c r="AB10" s="24">
        <f t="shared" si="8"/>
        <v>1008</v>
      </c>
      <c r="AC10" s="24">
        <f t="shared" si="9"/>
        <v>1159</v>
      </c>
      <c r="AD10" s="24">
        <f t="shared" si="10"/>
        <v>1159</v>
      </c>
      <c r="AE10" s="24">
        <f t="shared" si="11"/>
        <v>1159</v>
      </c>
      <c r="AF10" s="24">
        <f t="shared" si="12"/>
        <v>579</v>
      </c>
      <c r="AG10" s="21">
        <f t="shared" si="13"/>
        <v>1159</v>
      </c>
      <c r="AH10" s="9" t="s">
        <v>138</v>
      </c>
      <c r="AI10" s="9" t="s">
        <v>138</v>
      </c>
      <c r="AJ10" s="9" t="s">
        <v>133</v>
      </c>
      <c r="AL10" t="s">
        <v>60</v>
      </c>
      <c r="AM10">
        <v>1</v>
      </c>
    </row>
    <row r="11" spans="1:39" ht="15.75" thickBot="1" x14ac:dyDescent="0.3">
      <c r="A11" s="34" t="s">
        <v>191</v>
      </c>
      <c r="B11" s="4">
        <v>175</v>
      </c>
      <c r="C11" s="4">
        <v>195</v>
      </c>
      <c r="D11" s="4">
        <v>150</v>
      </c>
      <c r="E11" s="4">
        <v>175</v>
      </c>
      <c r="F11" s="4">
        <v>135</v>
      </c>
      <c r="G11" s="4">
        <v>150</v>
      </c>
      <c r="H11" s="4">
        <v>195</v>
      </c>
      <c r="I11" s="4">
        <v>720</v>
      </c>
      <c r="J11" s="4">
        <v>2</v>
      </c>
      <c r="K11" s="6"/>
      <c r="L11" s="13" t="s">
        <v>143</v>
      </c>
      <c r="M11" s="6"/>
      <c r="N11" s="4"/>
      <c r="O11" s="14" t="s">
        <v>144</v>
      </c>
      <c r="P11" s="14">
        <v>170</v>
      </c>
      <c r="Q11" s="8">
        <v>75</v>
      </c>
      <c r="R11" s="4"/>
      <c r="S11" s="4" t="s">
        <v>15</v>
      </c>
      <c r="T11" s="33">
        <f t="shared" si="0"/>
        <v>420</v>
      </c>
      <c r="U11" s="26">
        <f t="shared" si="1"/>
        <v>18.28125</v>
      </c>
      <c r="V11" s="26">
        <f t="shared" si="2"/>
        <v>27.421875</v>
      </c>
      <c r="W11" s="19">
        <f t="shared" si="3"/>
        <v>860</v>
      </c>
      <c r="X11" s="22">
        <f t="shared" si="4"/>
        <v>975</v>
      </c>
      <c r="Y11" s="29">
        <f t="shared" si="5"/>
        <v>453</v>
      </c>
      <c r="Z11" s="29">
        <f t="shared" si="6"/>
        <v>618</v>
      </c>
      <c r="AA11" s="30">
        <f t="shared" si="7"/>
        <v>0.71860465116279071</v>
      </c>
      <c r="AB11" s="24">
        <f t="shared" si="8"/>
        <v>2580</v>
      </c>
      <c r="AC11" s="24">
        <f t="shared" si="9"/>
        <v>2967</v>
      </c>
      <c r="AD11" s="24">
        <f t="shared" si="10"/>
        <v>2967</v>
      </c>
      <c r="AE11" s="24">
        <f t="shared" si="11"/>
        <v>2967</v>
      </c>
      <c r="AF11" s="24">
        <f t="shared" si="12"/>
        <v>1483</v>
      </c>
      <c r="AG11" s="21">
        <f t="shared" si="13"/>
        <v>2967</v>
      </c>
      <c r="AH11" s="9" t="s">
        <v>131</v>
      </c>
      <c r="AI11" s="9" t="s">
        <v>133</v>
      </c>
      <c r="AJ11" s="9" t="s">
        <v>131</v>
      </c>
    </row>
    <row r="12" spans="1:39" ht="15.75" thickBot="1" x14ac:dyDescent="0.3">
      <c r="A12" s="3" t="s">
        <v>63</v>
      </c>
      <c r="B12" s="4">
        <v>135</v>
      </c>
      <c r="C12" s="4">
        <v>150</v>
      </c>
      <c r="D12" s="4">
        <v>150</v>
      </c>
      <c r="E12" s="4">
        <v>135</v>
      </c>
      <c r="F12" s="4">
        <v>135</v>
      </c>
      <c r="G12" s="4">
        <v>150</v>
      </c>
      <c r="H12" s="4">
        <v>110</v>
      </c>
      <c r="I12" s="4">
        <v>720</v>
      </c>
      <c r="J12" s="4">
        <v>3</v>
      </c>
      <c r="K12" s="6"/>
      <c r="L12" s="6"/>
      <c r="M12" s="6"/>
      <c r="N12" s="7" t="s">
        <v>64</v>
      </c>
      <c r="O12" s="14" t="s">
        <v>151</v>
      </c>
      <c r="P12" s="14">
        <v>165</v>
      </c>
      <c r="Q12" s="8">
        <v>79</v>
      </c>
      <c r="R12" s="7" t="s">
        <v>64</v>
      </c>
      <c r="S12" s="4" t="s">
        <v>56</v>
      </c>
      <c r="T12" s="33">
        <f t="shared" si="0"/>
        <v>379</v>
      </c>
      <c r="U12" s="26">
        <f t="shared" si="1"/>
        <v>12.8125</v>
      </c>
      <c r="V12" s="26">
        <f t="shared" si="2"/>
        <v>19.21875</v>
      </c>
      <c r="W12" s="19">
        <f t="shared" si="3"/>
        <v>476</v>
      </c>
      <c r="X12" s="22">
        <f t="shared" si="4"/>
        <v>524</v>
      </c>
      <c r="Y12" s="29">
        <f t="shared" si="5"/>
        <v>412</v>
      </c>
      <c r="Z12" s="29">
        <f t="shared" si="6"/>
        <v>517</v>
      </c>
      <c r="AA12" s="30">
        <f t="shared" si="7"/>
        <v>1.0861344537815125</v>
      </c>
      <c r="AB12" s="24">
        <f t="shared" si="8"/>
        <v>1428</v>
      </c>
      <c r="AC12" s="24">
        <f t="shared" si="9"/>
        <v>2142</v>
      </c>
      <c r="AD12" s="24">
        <f t="shared" si="10"/>
        <v>1807</v>
      </c>
      <c r="AE12" s="24">
        <f t="shared" si="11"/>
        <v>1783</v>
      </c>
      <c r="AF12" s="24">
        <f t="shared" si="12"/>
        <v>1071</v>
      </c>
      <c r="AG12" s="21">
        <f t="shared" si="13"/>
        <v>2142</v>
      </c>
      <c r="AH12" s="9" t="s">
        <v>138</v>
      </c>
      <c r="AI12" s="9" t="s">
        <v>134</v>
      </c>
      <c r="AJ12" s="9" t="s">
        <v>137</v>
      </c>
    </row>
    <row r="13" spans="1:39" ht="15.75" thickBot="1" x14ac:dyDescent="0.3">
      <c r="A13" s="3" t="s">
        <v>91</v>
      </c>
      <c r="B13" s="4">
        <v>135</v>
      </c>
      <c r="C13" s="4">
        <v>110</v>
      </c>
      <c r="D13" s="4">
        <v>150</v>
      </c>
      <c r="E13" s="4">
        <v>135</v>
      </c>
      <c r="F13" s="4">
        <v>135</v>
      </c>
      <c r="G13" s="4">
        <v>175</v>
      </c>
      <c r="H13" s="4">
        <v>135</v>
      </c>
      <c r="I13" s="4">
        <v>660</v>
      </c>
      <c r="J13" s="4">
        <v>2</v>
      </c>
      <c r="K13" s="6"/>
      <c r="L13" s="6"/>
      <c r="M13" s="15"/>
      <c r="N13" s="4"/>
      <c r="O13" s="14" t="s">
        <v>151</v>
      </c>
      <c r="P13" s="14">
        <v>165</v>
      </c>
      <c r="Q13" s="8">
        <v>60</v>
      </c>
      <c r="R13" s="4"/>
      <c r="S13" s="4" t="s">
        <v>23</v>
      </c>
      <c r="T13" s="33">
        <f t="shared" si="0"/>
        <v>360</v>
      </c>
      <c r="U13" s="26">
        <f t="shared" si="1"/>
        <v>11.09375</v>
      </c>
      <c r="V13" s="26">
        <f t="shared" si="2"/>
        <v>16.640625</v>
      </c>
      <c r="W13" s="19">
        <f t="shared" si="3"/>
        <v>659</v>
      </c>
      <c r="X13" s="22">
        <f t="shared" si="4"/>
        <v>719</v>
      </c>
      <c r="Y13" s="29">
        <f t="shared" si="5"/>
        <v>393</v>
      </c>
      <c r="Z13" s="29">
        <f t="shared" si="6"/>
        <v>480</v>
      </c>
      <c r="AA13" s="30">
        <f t="shared" si="7"/>
        <v>0.72837632776934746</v>
      </c>
      <c r="AB13" s="24">
        <f t="shared" si="8"/>
        <v>1977</v>
      </c>
      <c r="AC13" s="24">
        <f t="shared" si="9"/>
        <v>2273</v>
      </c>
      <c r="AD13" s="24">
        <f t="shared" si="10"/>
        <v>2273</v>
      </c>
      <c r="AE13" s="24">
        <f t="shared" si="11"/>
        <v>2273</v>
      </c>
      <c r="AF13" s="24">
        <f t="shared" si="12"/>
        <v>1136</v>
      </c>
      <c r="AG13" s="21">
        <f t="shared" si="13"/>
        <v>2273</v>
      </c>
      <c r="AH13" s="9" t="s">
        <v>136</v>
      </c>
      <c r="AI13" s="9" t="s">
        <v>135</v>
      </c>
      <c r="AJ13" s="9" t="s">
        <v>138</v>
      </c>
    </row>
    <row r="14" spans="1:39" ht="15.75" thickBot="1" x14ac:dyDescent="0.3">
      <c r="A14" s="3" t="s">
        <v>106</v>
      </c>
      <c r="B14" s="4">
        <v>542</v>
      </c>
      <c r="C14" s="4">
        <v>135</v>
      </c>
      <c r="D14" s="4">
        <v>150</v>
      </c>
      <c r="E14" s="4">
        <v>110</v>
      </c>
      <c r="F14" s="4">
        <v>202</v>
      </c>
      <c r="G14" s="4">
        <v>175</v>
      </c>
      <c r="H14" s="4">
        <v>95</v>
      </c>
      <c r="I14" s="4">
        <v>860</v>
      </c>
      <c r="J14" s="4">
        <v>2</v>
      </c>
      <c r="K14" s="6"/>
      <c r="L14" s="6"/>
      <c r="M14" s="13" t="s">
        <v>172</v>
      </c>
      <c r="N14" s="5" t="s">
        <v>17</v>
      </c>
      <c r="O14" s="14" t="s">
        <v>146</v>
      </c>
      <c r="P14" s="14">
        <v>0</v>
      </c>
      <c r="Q14" s="14">
        <v>0</v>
      </c>
      <c r="R14" s="5" t="s">
        <v>17</v>
      </c>
      <c r="S14" s="4"/>
      <c r="T14" s="33">
        <f t="shared" si="0"/>
        <v>542</v>
      </c>
      <c r="U14" s="26">
        <f t="shared" si="1"/>
        <v>11.40625</v>
      </c>
      <c r="V14" s="26">
        <f t="shared" si="2"/>
        <v>17.109375</v>
      </c>
      <c r="W14" s="19">
        <f t="shared" si="3"/>
        <v>665</v>
      </c>
      <c r="X14" s="22">
        <f t="shared" si="4"/>
        <v>727</v>
      </c>
      <c r="Y14" s="29">
        <f t="shared" si="5"/>
        <v>592</v>
      </c>
      <c r="Z14" s="29">
        <f t="shared" si="6"/>
        <v>727</v>
      </c>
      <c r="AA14" s="30">
        <f t="shared" si="7"/>
        <v>1.0932330827067669</v>
      </c>
      <c r="AB14" s="24">
        <f t="shared" si="8"/>
        <v>1995</v>
      </c>
      <c r="AC14" s="24">
        <f t="shared" si="9"/>
        <v>2294</v>
      </c>
      <c r="AD14" s="24">
        <f t="shared" si="10"/>
        <v>2294</v>
      </c>
      <c r="AE14" s="24">
        <f t="shared" si="11"/>
        <v>2294</v>
      </c>
      <c r="AF14" s="24">
        <f t="shared" si="12"/>
        <v>1147</v>
      </c>
      <c r="AG14" s="21">
        <f t="shared" si="13"/>
        <v>2294</v>
      </c>
      <c r="AH14" s="9" t="s">
        <v>136</v>
      </c>
      <c r="AI14" s="9" t="s">
        <v>135</v>
      </c>
      <c r="AJ14" s="9" t="s">
        <v>139</v>
      </c>
    </row>
    <row r="15" spans="1:39" ht="15.75" thickBot="1" x14ac:dyDescent="0.3">
      <c r="A15" s="3" t="s">
        <v>125</v>
      </c>
      <c r="B15" s="4">
        <v>150</v>
      </c>
      <c r="C15" s="4">
        <v>135</v>
      </c>
      <c r="D15" s="4">
        <v>150</v>
      </c>
      <c r="E15" s="4">
        <v>110</v>
      </c>
      <c r="F15" s="4">
        <v>135</v>
      </c>
      <c r="G15" s="4">
        <v>135</v>
      </c>
      <c r="H15" s="4">
        <v>95</v>
      </c>
      <c r="I15" s="4">
        <v>720</v>
      </c>
      <c r="J15" s="4">
        <v>1</v>
      </c>
      <c r="K15" s="15"/>
      <c r="L15" s="13" t="s">
        <v>177</v>
      </c>
      <c r="M15" s="6"/>
      <c r="N15" s="4"/>
      <c r="O15" s="14" t="s">
        <v>154</v>
      </c>
      <c r="P15" s="14">
        <v>135</v>
      </c>
      <c r="Q15" s="8">
        <v>60</v>
      </c>
      <c r="R15" s="4"/>
      <c r="S15" s="4" t="s">
        <v>80</v>
      </c>
      <c r="T15" s="33">
        <f t="shared" si="0"/>
        <v>345</v>
      </c>
      <c r="U15" s="26">
        <f t="shared" si="1"/>
        <v>11.40625</v>
      </c>
      <c r="V15" s="26">
        <f t="shared" si="2"/>
        <v>17.109375</v>
      </c>
      <c r="W15" s="19">
        <f t="shared" si="3"/>
        <v>635</v>
      </c>
      <c r="X15" s="22">
        <f t="shared" si="4"/>
        <v>694</v>
      </c>
      <c r="Y15" s="29">
        <f t="shared" si="5"/>
        <v>378</v>
      </c>
      <c r="Z15" s="29">
        <f t="shared" si="6"/>
        <v>464</v>
      </c>
      <c r="AA15" s="30">
        <f t="shared" si="7"/>
        <v>0.73070866141732282</v>
      </c>
      <c r="AB15" s="24">
        <f t="shared" si="8"/>
        <v>1270</v>
      </c>
      <c r="AC15" s="24">
        <f t="shared" si="9"/>
        <v>1460</v>
      </c>
      <c r="AD15" s="24">
        <f t="shared" si="10"/>
        <v>1460</v>
      </c>
      <c r="AE15" s="24">
        <f t="shared" si="11"/>
        <v>1460</v>
      </c>
      <c r="AF15" s="24">
        <f t="shared" si="12"/>
        <v>730</v>
      </c>
      <c r="AG15" s="21">
        <f t="shared" si="13"/>
        <v>1460</v>
      </c>
      <c r="AH15" s="9" t="s">
        <v>137</v>
      </c>
      <c r="AI15" s="9" t="s">
        <v>138</v>
      </c>
      <c r="AJ15" s="9" t="s">
        <v>139</v>
      </c>
    </row>
    <row r="16" spans="1:39" ht="15.75" thickBot="1" x14ac:dyDescent="0.3">
      <c r="A16" s="3" t="s">
        <v>75</v>
      </c>
      <c r="B16" s="4">
        <v>135</v>
      </c>
      <c r="C16" s="4">
        <v>175</v>
      </c>
      <c r="D16" s="4">
        <v>135</v>
      </c>
      <c r="E16" s="4">
        <v>150</v>
      </c>
      <c r="F16" s="4">
        <v>135</v>
      </c>
      <c r="G16" s="4">
        <v>175</v>
      </c>
      <c r="H16" s="4">
        <v>135</v>
      </c>
      <c r="I16" s="4">
        <v>660</v>
      </c>
      <c r="J16" s="4">
        <v>2</v>
      </c>
      <c r="K16" s="6"/>
      <c r="L16" s="6"/>
      <c r="M16" s="15"/>
      <c r="N16" s="4"/>
      <c r="O16" s="14" t="s">
        <v>160</v>
      </c>
      <c r="P16" s="14">
        <v>175</v>
      </c>
      <c r="Q16" s="8">
        <v>59</v>
      </c>
      <c r="R16" s="4"/>
      <c r="S16" s="4" t="s">
        <v>74</v>
      </c>
      <c r="T16" s="33">
        <f t="shared" si="0"/>
        <v>369</v>
      </c>
      <c r="U16" s="26">
        <f t="shared" si="1"/>
        <v>15.15625</v>
      </c>
      <c r="V16" s="26">
        <f t="shared" si="2"/>
        <v>22.734375</v>
      </c>
      <c r="W16" s="19">
        <f t="shared" si="3"/>
        <v>721</v>
      </c>
      <c r="X16" s="22">
        <f t="shared" si="4"/>
        <v>805</v>
      </c>
      <c r="Y16" s="29">
        <f t="shared" si="5"/>
        <v>402</v>
      </c>
      <c r="Z16" s="29">
        <f t="shared" si="6"/>
        <v>523</v>
      </c>
      <c r="AA16" s="30">
        <f t="shared" si="7"/>
        <v>0.72538141470180306</v>
      </c>
      <c r="AB16" s="24">
        <f t="shared" si="8"/>
        <v>2163</v>
      </c>
      <c r="AC16" s="24">
        <f t="shared" si="9"/>
        <v>2487</v>
      </c>
      <c r="AD16" s="24">
        <f t="shared" si="10"/>
        <v>2487</v>
      </c>
      <c r="AE16" s="24">
        <f t="shared" si="11"/>
        <v>2487</v>
      </c>
      <c r="AF16" s="24">
        <f t="shared" si="12"/>
        <v>1243</v>
      </c>
      <c r="AG16" s="21">
        <f t="shared" si="13"/>
        <v>2487</v>
      </c>
      <c r="AH16" s="9" t="s">
        <v>135</v>
      </c>
      <c r="AI16" s="9" t="s">
        <v>132</v>
      </c>
      <c r="AJ16" s="9" t="s">
        <v>134</v>
      </c>
    </row>
    <row r="17" spans="1:36" ht="15.75" thickBot="1" x14ac:dyDescent="0.3">
      <c r="A17" s="3" t="s">
        <v>20</v>
      </c>
      <c r="B17" s="4">
        <v>150</v>
      </c>
      <c r="C17" s="4">
        <v>175</v>
      </c>
      <c r="D17" s="4">
        <v>135</v>
      </c>
      <c r="E17" s="4">
        <v>150</v>
      </c>
      <c r="F17" s="4">
        <v>135</v>
      </c>
      <c r="G17" s="4">
        <v>135</v>
      </c>
      <c r="H17" s="4">
        <v>110</v>
      </c>
      <c r="I17" s="4">
        <v>720</v>
      </c>
      <c r="J17" s="4">
        <v>1</v>
      </c>
      <c r="K17" s="15"/>
      <c r="L17" s="13" t="s">
        <v>148</v>
      </c>
      <c r="M17" s="6"/>
      <c r="N17" s="4"/>
      <c r="O17" s="14" t="s">
        <v>149</v>
      </c>
      <c r="P17" s="14">
        <v>150</v>
      </c>
      <c r="Q17" s="8">
        <v>75</v>
      </c>
      <c r="R17" s="4"/>
      <c r="S17" s="4" t="s">
        <v>21</v>
      </c>
      <c r="T17" s="33">
        <f t="shared" si="0"/>
        <v>375</v>
      </c>
      <c r="U17" s="26">
        <f t="shared" si="1"/>
        <v>14.375</v>
      </c>
      <c r="V17" s="26">
        <f t="shared" si="2"/>
        <v>21.5625</v>
      </c>
      <c r="W17" s="19">
        <f t="shared" si="3"/>
        <v>724</v>
      </c>
      <c r="X17" s="22">
        <f t="shared" si="4"/>
        <v>805</v>
      </c>
      <c r="Y17" s="29">
        <f t="shared" si="5"/>
        <v>408</v>
      </c>
      <c r="Z17" s="29">
        <f t="shared" si="6"/>
        <v>525</v>
      </c>
      <c r="AA17" s="30">
        <f t="shared" si="7"/>
        <v>0.72513812154696133</v>
      </c>
      <c r="AB17" s="24">
        <f t="shared" si="8"/>
        <v>1448</v>
      </c>
      <c r="AC17" s="24">
        <f t="shared" si="9"/>
        <v>1665</v>
      </c>
      <c r="AD17" s="24">
        <f t="shared" si="10"/>
        <v>1665</v>
      </c>
      <c r="AE17" s="24">
        <f t="shared" si="11"/>
        <v>1665</v>
      </c>
      <c r="AF17" s="24">
        <f t="shared" si="12"/>
        <v>832</v>
      </c>
      <c r="AG17" s="21">
        <f t="shared" si="13"/>
        <v>1665</v>
      </c>
      <c r="AH17" s="9" t="s">
        <v>135</v>
      </c>
      <c r="AI17" s="9" t="s">
        <v>136</v>
      </c>
      <c r="AJ17" s="9" t="s">
        <v>136</v>
      </c>
    </row>
    <row r="18" spans="1:36" ht="15.75" thickBot="1" x14ac:dyDescent="0.3">
      <c r="A18" s="3" t="s">
        <v>36</v>
      </c>
      <c r="B18" s="4">
        <v>135</v>
      </c>
      <c r="C18" s="4">
        <v>150</v>
      </c>
      <c r="D18" s="4">
        <v>135</v>
      </c>
      <c r="E18" s="4">
        <v>150</v>
      </c>
      <c r="F18" s="4">
        <v>135</v>
      </c>
      <c r="G18" s="4">
        <v>150</v>
      </c>
      <c r="H18" s="4">
        <v>135</v>
      </c>
      <c r="I18" s="4">
        <v>660</v>
      </c>
      <c r="J18" s="4">
        <v>2</v>
      </c>
      <c r="K18" s="15"/>
      <c r="L18" s="6"/>
      <c r="M18" s="6"/>
      <c r="N18" s="4"/>
      <c r="O18" s="14" t="s">
        <v>155</v>
      </c>
      <c r="P18" s="14">
        <v>140</v>
      </c>
      <c r="Q18" s="8">
        <v>60</v>
      </c>
      <c r="R18" s="4"/>
      <c r="S18" s="4" t="s">
        <v>23</v>
      </c>
      <c r="T18" s="33">
        <f t="shared" si="0"/>
        <v>335</v>
      </c>
      <c r="U18" s="26">
        <f t="shared" si="1"/>
        <v>13.59375</v>
      </c>
      <c r="V18" s="26">
        <f t="shared" si="2"/>
        <v>20.390625</v>
      </c>
      <c r="W18" s="19">
        <f t="shared" si="3"/>
        <v>639</v>
      </c>
      <c r="X18" s="22">
        <f t="shared" si="4"/>
        <v>707</v>
      </c>
      <c r="Y18" s="29">
        <f t="shared" si="5"/>
        <v>368</v>
      </c>
      <c r="Z18" s="29">
        <f t="shared" si="6"/>
        <v>468</v>
      </c>
      <c r="AA18" s="30">
        <f t="shared" si="7"/>
        <v>0.73239436619718312</v>
      </c>
      <c r="AB18" s="24">
        <f t="shared" si="8"/>
        <v>1917</v>
      </c>
      <c r="AC18" s="24">
        <f t="shared" si="9"/>
        <v>2204</v>
      </c>
      <c r="AD18" s="24">
        <f t="shared" si="10"/>
        <v>2204</v>
      </c>
      <c r="AE18" s="24">
        <f t="shared" si="11"/>
        <v>2204</v>
      </c>
      <c r="AF18" s="24">
        <f t="shared" si="12"/>
        <v>1102</v>
      </c>
      <c r="AG18" s="21">
        <f t="shared" si="13"/>
        <v>2204</v>
      </c>
      <c r="AH18" s="9" t="s">
        <v>137</v>
      </c>
      <c r="AI18" s="9" t="s">
        <v>135</v>
      </c>
      <c r="AJ18" s="9" t="s">
        <v>136</v>
      </c>
    </row>
    <row r="19" spans="1:36" ht="15.75" thickBot="1" x14ac:dyDescent="0.3">
      <c r="A19" s="3" t="s">
        <v>29</v>
      </c>
      <c r="B19" s="4">
        <v>150</v>
      </c>
      <c r="C19" s="4">
        <v>150</v>
      </c>
      <c r="D19" s="4">
        <v>135</v>
      </c>
      <c r="E19" s="4">
        <v>150</v>
      </c>
      <c r="F19" s="4">
        <v>150</v>
      </c>
      <c r="G19" s="4">
        <v>135</v>
      </c>
      <c r="H19" s="4">
        <v>135</v>
      </c>
      <c r="I19" s="4">
        <v>660</v>
      </c>
      <c r="J19" s="4">
        <v>1</v>
      </c>
      <c r="K19" s="15"/>
      <c r="L19" s="13" t="s">
        <v>94</v>
      </c>
      <c r="M19" s="6"/>
      <c r="N19" s="4"/>
      <c r="O19" s="14" t="s">
        <v>149</v>
      </c>
      <c r="P19" s="14">
        <v>150</v>
      </c>
      <c r="Q19" s="8">
        <v>59</v>
      </c>
      <c r="R19" s="4"/>
      <c r="S19" s="4" t="s">
        <v>30</v>
      </c>
      <c r="T19" s="33">
        <f t="shared" si="0"/>
        <v>359</v>
      </c>
      <c r="U19" s="26">
        <f t="shared" si="1"/>
        <v>13.59375</v>
      </c>
      <c r="V19" s="26">
        <f t="shared" si="2"/>
        <v>20.390625</v>
      </c>
      <c r="W19" s="19">
        <f t="shared" si="3"/>
        <v>684</v>
      </c>
      <c r="X19" s="22">
        <f t="shared" si="4"/>
        <v>758</v>
      </c>
      <c r="Y19" s="29">
        <f t="shared" si="5"/>
        <v>396</v>
      </c>
      <c r="Z19" s="29">
        <f t="shared" si="6"/>
        <v>503</v>
      </c>
      <c r="AA19" s="30">
        <f t="shared" si="7"/>
        <v>0.73538011695906436</v>
      </c>
      <c r="AB19" s="24">
        <f t="shared" si="8"/>
        <v>1368</v>
      </c>
      <c r="AC19" s="24">
        <f t="shared" si="9"/>
        <v>1573</v>
      </c>
      <c r="AD19" s="24">
        <f t="shared" si="10"/>
        <v>1573</v>
      </c>
      <c r="AE19" s="24">
        <f t="shared" si="11"/>
        <v>1573</v>
      </c>
      <c r="AF19" s="24">
        <f t="shared" si="12"/>
        <v>786</v>
      </c>
      <c r="AG19" s="21">
        <f t="shared" si="13"/>
        <v>1573</v>
      </c>
      <c r="AH19" s="9" t="s">
        <v>134</v>
      </c>
      <c r="AI19" s="9" t="s">
        <v>137</v>
      </c>
      <c r="AJ19" s="9" t="s">
        <v>136</v>
      </c>
    </row>
    <row r="20" spans="1:36" ht="15.75" thickBot="1" x14ac:dyDescent="0.3">
      <c r="A20" s="3" t="s">
        <v>78</v>
      </c>
      <c r="B20" s="4">
        <v>165</v>
      </c>
      <c r="C20" s="4">
        <v>110</v>
      </c>
      <c r="D20" s="4">
        <v>135</v>
      </c>
      <c r="E20" s="4">
        <v>150</v>
      </c>
      <c r="F20" s="4">
        <v>209</v>
      </c>
      <c r="G20" s="4">
        <v>135</v>
      </c>
      <c r="H20" s="4">
        <v>110</v>
      </c>
      <c r="I20" s="4">
        <v>490</v>
      </c>
      <c r="J20" s="4">
        <v>2</v>
      </c>
      <c r="K20" s="6"/>
      <c r="L20" s="6"/>
      <c r="M20" s="15"/>
      <c r="N20" s="5" t="s">
        <v>17</v>
      </c>
      <c r="O20" s="14" t="s">
        <v>146</v>
      </c>
      <c r="P20" s="14">
        <v>0</v>
      </c>
      <c r="Q20" s="14">
        <v>0</v>
      </c>
      <c r="R20" s="5" t="s">
        <v>17</v>
      </c>
      <c r="S20" s="4"/>
      <c r="T20" s="33">
        <f t="shared" si="0"/>
        <v>165</v>
      </c>
      <c r="U20" s="26">
        <f t="shared" si="1"/>
        <v>10.3125</v>
      </c>
      <c r="V20" s="26">
        <f t="shared" si="2"/>
        <v>15.46875</v>
      </c>
      <c r="W20" s="19">
        <f t="shared" si="3"/>
        <v>199</v>
      </c>
      <c r="X20" s="22">
        <f t="shared" si="4"/>
        <v>216</v>
      </c>
      <c r="Y20" s="29">
        <f t="shared" si="5"/>
        <v>217</v>
      </c>
      <c r="Z20" s="29">
        <f t="shared" si="6"/>
        <v>261</v>
      </c>
      <c r="AA20" s="30">
        <f t="shared" si="7"/>
        <v>1.3115577889447236</v>
      </c>
      <c r="AB20" s="24">
        <f t="shared" si="8"/>
        <v>597</v>
      </c>
      <c r="AC20" s="24">
        <f t="shared" si="9"/>
        <v>686</v>
      </c>
      <c r="AD20" s="24">
        <f t="shared" si="10"/>
        <v>686</v>
      </c>
      <c r="AE20" s="24">
        <f t="shared" si="11"/>
        <v>686</v>
      </c>
      <c r="AF20" s="24">
        <f t="shared" si="12"/>
        <v>343</v>
      </c>
      <c r="AG20" s="21">
        <f t="shared" si="13"/>
        <v>686</v>
      </c>
      <c r="AH20" s="9" t="s">
        <v>140</v>
      </c>
      <c r="AI20" s="9" t="s">
        <v>140</v>
      </c>
      <c r="AJ20" s="9" t="s">
        <v>139</v>
      </c>
    </row>
    <row r="21" spans="1:36" ht="15.75" thickBot="1" x14ac:dyDescent="0.3">
      <c r="A21" s="3" t="s">
        <v>101</v>
      </c>
      <c r="B21" s="4">
        <v>150</v>
      </c>
      <c r="C21" s="4">
        <v>150</v>
      </c>
      <c r="D21" s="4">
        <v>135</v>
      </c>
      <c r="E21" s="4">
        <v>135</v>
      </c>
      <c r="F21" s="4">
        <v>135</v>
      </c>
      <c r="G21" s="4">
        <v>150</v>
      </c>
      <c r="H21" s="4">
        <v>135</v>
      </c>
      <c r="I21" s="4">
        <v>660</v>
      </c>
      <c r="J21" s="4">
        <v>3</v>
      </c>
      <c r="K21" s="6"/>
      <c r="L21" s="6"/>
      <c r="M21" s="6"/>
      <c r="N21" s="4"/>
      <c r="O21" s="14" t="s">
        <v>149</v>
      </c>
      <c r="P21" s="14">
        <v>150</v>
      </c>
      <c r="Q21" s="8">
        <v>75</v>
      </c>
      <c r="R21" s="4"/>
      <c r="S21" s="4" t="s">
        <v>39</v>
      </c>
      <c r="T21" s="33">
        <f t="shared" si="0"/>
        <v>375</v>
      </c>
      <c r="U21" s="26">
        <f t="shared" si="1"/>
        <v>13.59375</v>
      </c>
      <c r="V21" s="26">
        <f t="shared" si="2"/>
        <v>20.390625</v>
      </c>
      <c r="W21" s="19">
        <f t="shared" si="3"/>
        <v>715</v>
      </c>
      <c r="X21" s="22">
        <f t="shared" si="4"/>
        <v>791</v>
      </c>
      <c r="Y21" s="29">
        <f t="shared" si="5"/>
        <v>408</v>
      </c>
      <c r="Z21" s="29">
        <f t="shared" si="6"/>
        <v>518</v>
      </c>
      <c r="AA21" s="30">
        <f t="shared" si="7"/>
        <v>0.72447552447552443</v>
      </c>
      <c r="AB21" s="24">
        <f t="shared" si="8"/>
        <v>2145</v>
      </c>
      <c r="AC21" s="24">
        <f t="shared" si="9"/>
        <v>3217</v>
      </c>
      <c r="AD21" s="24">
        <f t="shared" si="10"/>
        <v>2728</v>
      </c>
      <c r="AE21" s="24">
        <f t="shared" si="11"/>
        <v>1787</v>
      </c>
      <c r="AF21" s="24">
        <f t="shared" si="12"/>
        <v>1608</v>
      </c>
      <c r="AG21" s="21">
        <f t="shared" si="13"/>
        <v>3217</v>
      </c>
      <c r="AH21" s="9" t="s">
        <v>135</v>
      </c>
      <c r="AI21" s="9" t="s">
        <v>131</v>
      </c>
      <c r="AJ21" s="9" t="s">
        <v>136</v>
      </c>
    </row>
    <row r="22" spans="1:36" ht="15.75" thickBot="1" x14ac:dyDescent="0.3">
      <c r="A22" s="3" t="s">
        <v>124</v>
      </c>
      <c r="B22" s="4">
        <v>110</v>
      </c>
      <c r="C22" s="4">
        <v>135</v>
      </c>
      <c r="D22" s="4">
        <v>135</v>
      </c>
      <c r="E22" s="4">
        <v>135</v>
      </c>
      <c r="F22" s="4">
        <v>110</v>
      </c>
      <c r="G22" s="4">
        <v>135</v>
      </c>
      <c r="H22" s="4">
        <v>150</v>
      </c>
      <c r="I22" s="4">
        <v>660</v>
      </c>
      <c r="J22" s="4">
        <v>2</v>
      </c>
      <c r="K22" s="15"/>
      <c r="L22" s="6"/>
      <c r="M22" s="6"/>
      <c r="N22" s="4"/>
      <c r="O22" s="14" t="s">
        <v>147</v>
      </c>
      <c r="P22" s="14">
        <v>140</v>
      </c>
      <c r="Q22" s="8">
        <v>40</v>
      </c>
      <c r="R22" s="4"/>
      <c r="S22" s="4" t="s">
        <v>67</v>
      </c>
      <c r="T22" s="33">
        <f t="shared" si="0"/>
        <v>290</v>
      </c>
      <c r="U22" s="26">
        <f t="shared" si="1"/>
        <v>13.125</v>
      </c>
      <c r="V22" s="26">
        <f t="shared" si="2"/>
        <v>19.6875</v>
      </c>
      <c r="W22" s="19">
        <f t="shared" si="3"/>
        <v>549</v>
      </c>
      <c r="X22" s="22">
        <f t="shared" si="4"/>
        <v>606</v>
      </c>
      <c r="Y22" s="29">
        <f t="shared" si="5"/>
        <v>317</v>
      </c>
      <c r="Z22" s="29">
        <f t="shared" si="6"/>
        <v>400</v>
      </c>
      <c r="AA22" s="30">
        <f t="shared" si="7"/>
        <v>0.72859744990892528</v>
      </c>
      <c r="AB22" s="24">
        <f t="shared" si="8"/>
        <v>1647</v>
      </c>
      <c r="AC22" s="24">
        <f t="shared" si="9"/>
        <v>1894</v>
      </c>
      <c r="AD22" s="24">
        <f t="shared" si="10"/>
        <v>1894</v>
      </c>
      <c r="AE22" s="24">
        <f t="shared" si="11"/>
        <v>1894</v>
      </c>
      <c r="AF22" s="24">
        <f t="shared" si="12"/>
        <v>947</v>
      </c>
      <c r="AG22" s="21">
        <f t="shared" si="13"/>
        <v>1894</v>
      </c>
      <c r="AH22" s="9" t="s">
        <v>137</v>
      </c>
      <c r="AI22" s="9" t="s">
        <v>134</v>
      </c>
      <c r="AJ22" s="9" t="s">
        <v>136</v>
      </c>
    </row>
    <row r="23" spans="1:36" ht="15.75" thickBot="1" x14ac:dyDescent="0.3">
      <c r="A23" s="3" t="s">
        <v>65</v>
      </c>
      <c r="B23" s="4">
        <v>135</v>
      </c>
      <c r="C23" s="4">
        <v>135</v>
      </c>
      <c r="D23" s="4">
        <v>135</v>
      </c>
      <c r="E23" s="4">
        <v>135</v>
      </c>
      <c r="F23" s="4">
        <v>110</v>
      </c>
      <c r="G23" s="4">
        <v>135</v>
      </c>
      <c r="H23" s="4">
        <v>150</v>
      </c>
      <c r="I23" s="4">
        <v>660</v>
      </c>
      <c r="J23" s="4">
        <v>1</v>
      </c>
      <c r="K23" s="6"/>
      <c r="L23" s="13" t="s">
        <v>162</v>
      </c>
      <c r="M23" s="6"/>
      <c r="N23" s="7" t="s">
        <v>66</v>
      </c>
      <c r="O23" s="14" t="s">
        <v>151</v>
      </c>
      <c r="P23" s="14">
        <v>165</v>
      </c>
      <c r="Q23" s="8">
        <v>60</v>
      </c>
      <c r="R23" s="7" t="s">
        <v>66</v>
      </c>
      <c r="S23" s="4" t="s">
        <v>67</v>
      </c>
      <c r="T23" s="33">
        <f t="shared" si="0"/>
        <v>360</v>
      </c>
      <c r="U23" s="26">
        <f t="shared" si="1"/>
        <v>13.125</v>
      </c>
      <c r="V23" s="26">
        <f t="shared" si="2"/>
        <v>19.6875</v>
      </c>
      <c r="W23" s="19">
        <f t="shared" si="3"/>
        <v>454</v>
      </c>
      <c r="X23" s="22">
        <f t="shared" si="4"/>
        <v>501</v>
      </c>
      <c r="Y23" s="29">
        <f t="shared" si="5"/>
        <v>387</v>
      </c>
      <c r="Z23" s="29">
        <f t="shared" si="6"/>
        <v>488</v>
      </c>
      <c r="AA23" s="30">
        <f t="shared" si="7"/>
        <v>1.0748898678414096</v>
      </c>
      <c r="AB23" s="24">
        <f t="shared" si="8"/>
        <v>908</v>
      </c>
      <c r="AC23" s="24">
        <f t="shared" si="9"/>
        <v>1044</v>
      </c>
      <c r="AD23" s="24">
        <f t="shared" si="10"/>
        <v>1044</v>
      </c>
      <c r="AE23" s="24">
        <f t="shared" si="11"/>
        <v>1044</v>
      </c>
      <c r="AF23" s="24">
        <f t="shared" si="12"/>
        <v>522</v>
      </c>
      <c r="AG23" s="21">
        <f t="shared" si="13"/>
        <v>1044</v>
      </c>
      <c r="AH23" s="9" t="s">
        <v>138</v>
      </c>
      <c r="AI23" s="9" t="s">
        <v>139</v>
      </c>
      <c r="AJ23" s="9" t="s">
        <v>136</v>
      </c>
    </row>
    <row r="24" spans="1:36" ht="15.75" thickBot="1" x14ac:dyDescent="0.3">
      <c r="A24" s="3" t="s">
        <v>86</v>
      </c>
      <c r="B24" s="4">
        <v>95</v>
      </c>
      <c r="C24" s="4">
        <v>110</v>
      </c>
      <c r="D24" s="4">
        <v>135</v>
      </c>
      <c r="E24" s="4">
        <v>135</v>
      </c>
      <c r="F24" s="4">
        <v>110</v>
      </c>
      <c r="G24" s="4">
        <v>175</v>
      </c>
      <c r="H24" s="4">
        <v>195</v>
      </c>
      <c r="I24" s="4">
        <v>600</v>
      </c>
      <c r="J24" s="4">
        <v>2</v>
      </c>
      <c r="K24" s="6"/>
      <c r="L24" s="6"/>
      <c r="M24" s="13" t="s">
        <v>167</v>
      </c>
      <c r="N24" s="4"/>
      <c r="O24" s="14" t="s">
        <v>155</v>
      </c>
      <c r="P24" s="14">
        <v>140</v>
      </c>
      <c r="Q24" s="8">
        <v>60</v>
      </c>
      <c r="R24" s="4"/>
      <c r="S24" s="4" t="s">
        <v>23</v>
      </c>
      <c r="T24" s="33">
        <f t="shared" si="0"/>
        <v>295</v>
      </c>
      <c r="U24" s="26">
        <f t="shared" si="1"/>
        <v>12.96875</v>
      </c>
      <c r="V24" s="26">
        <f t="shared" si="2"/>
        <v>19.453125</v>
      </c>
      <c r="W24" s="19">
        <f t="shared" si="3"/>
        <v>557</v>
      </c>
      <c r="X24" s="22">
        <f t="shared" si="4"/>
        <v>614</v>
      </c>
      <c r="Y24" s="29">
        <f t="shared" si="5"/>
        <v>322</v>
      </c>
      <c r="Z24" s="29">
        <f t="shared" si="6"/>
        <v>405</v>
      </c>
      <c r="AA24" s="30">
        <f t="shared" si="7"/>
        <v>0.72710951526032319</v>
      </c>
      <c r="AB24" s="24">
        <f t="shared" si="8"/>
        <v>1671</v>
      </c>
      <c r="AC24" s="24">
        <f t="shared" si="9"/>
        <v>1921</v>
      </c>
      <c r="AD24" s="24">
        <f t="shared" si="10"/>
        <v>1921</v>
      </c>
      <c r="AE24" s="24">
        <f t="shared" si="11"/>
        <v>1921</v>
      </c>
      <c r="AF24" s="24">
        <f t="shared" si="12"/>
        <v>960</v>
      </c>
      <c r="AG24" s="21">
        <f t="shared" si="13"/>
        <v>1921</v>
      </c>
      <c r="AH24" s="9" t="s">
        <v>137</v>
      </c>
      <c r="AI24" s="9" t="s">
        <v>134</v>
      </c>
      <c r="AJ24" s="9" t="s">
        <v>134</v>
      </c>
    </row>
    <row r="25" spans="1:36" ht="15.75" thickBot="1" x14ac:dyDescent="0.3">
      <c r="A25" s="3" t="s">
        <v>109</v>
      </c>
      <c r="B25" s="4">
        <v>135</v>
      </c>
      <c r="C25" s="4">
        <v>150</v>
      </c>
      <c r="D25" s="4">
        <v>135</v>
      </c>
      <c r="E25" s="4">
        <v>135</v>
      </c>
      <c r="F25" s="4">
        <v>110</v>
      </c>
      <c r="G25" s="4">
        <v>150</v>
      </c>
      <c r="H25" s="4">
        <v>110</v>
      </c>
      <c r="I25" s="4">
        <v>660</v>
      </c>
      <c r="J25" s="4">
        <v>1</v>
      </c>
      <c r="K25" s="15"/>
      <c r="L25" s="6"/>
      <c r="M25" s="15"/>
      <c r="N25" s="4"/>
      <c r="O25" s="14" t="s">
        <v>155</v>
      </c>
      <c r="P25" s="14">
        <v>140</v>
      </c>
      <c r="Q25" s="8">
        <v>35</v>
      </c>
      <c r="R25" s="4"/>
      <c r="S25" s="4" t="s">
        <v>110</v>
      </c>
      <c r="T25" s="33">
        <f t="shared" si="0"/>
        <v>310</v>
      </c>
      <c r="U25" s="26">
        <f t="shared" si="1"/>
        <v>12.8125</v>
      </c>
      <c r="V25" s="26">
        <f t="shared" si="2"/>
        <v>19.21875</v>
      </c>
      <c r="W25" s="19">
        <f t="shared" si="3"/>
        <v>584</v>
      </c>
      <c r="X25" s="22">
        <f t="shared" si="4"/>
        <v>643</v>
      </c>
      <c r="Y25" s="29">
        <f t="shared" si="5"/>
        <v>337</v>
      </c>
      <c r="Z25" s="29">
        <f t="shared" si="6"/>
        <v>423</v>
      </c>
      <c r="AA25" s="30">
        <f t="shared" si="7"/>
        <v>0.72431506849315064</v>
      </c>
      <c r="AB25" s="24">
        <f t="shared" si="8"/>
        <v>1168</v>
      </c>
      <c r="AC25" s="24">
        <f t="shared" si="9"/>
        <v>1343</v>
      </c>
      <c r="AD25" s="24">
        <f t="shared" si="10"/>
        <v>1343</v>
      </c>
      <c r="AE25" s="24">
        <f t="shared" si="11"/>
        <v>1343</v>
      </c>
      <c r="AF25" s="24">
        <f t="shared" si="12"/>
        <v>671</v>
      </c>
      <c r="AG25" s="21">
        <f t="shared" si="13"/>
        <v>1343</v>
      </c>
      <c r="AH25" s="9" t="s">
        <v>137</v>
      </c>
      <c r="AI25" s="9" t="s">
        <v>138</v>
      </c>
      <c r="AJ25" s="9" t="s">
        <v>137</v>
      </c>
    </row>
    <row r="26" spans="1:36" ht="15.75" thickBot="1" x14ac:dyDescent="0.3">
      <c r="A26" s="3" t="s">
        <v>55</v>
      </c>
      <c r="B26" s="4">
        <v>195</v>
      </c>
      <c r="C26" s="4">
        <v>135</v>
      </c>
      <c r="D26" s="4">
        <v>135</v>
      </c>
      <c r="E26" s="4">
        <v>110</v>
      </c>
      <c r="F26" s="4">
        <v>175</v>
      </c>
      <c r="G26" s="4">
        <v>110</v>
      </c>
      <c r="H26" s="4">
        <v>135</v>
      </c>
      <c r="I26" s="4">
        <v>780</v>
      </c>
      <c r="J26" s="4">
        <v>1</v>
      </c>
      <c r="K26" s="15"/>
      <c r="L26" s="15"/>
      <c r="M26" s="6"/>
      <c r="N26" s="4"/>
      <c r="O26" s="14" t="s">
        <v>159</v>
      </c>
      <c r="P26" s="14">
        <v>160</v>
      </c>
      <c r="Q26" s="8">
        <v>79</v>
      </c>
      <c r="R26" s="4"/>
      <c r="S26" s="4" t="s">
        <v>56</v>
      </c>
      <c r="T26" s="33">
        <f t="shared" si="0"/>
        <v>434</v>
      </c>
      <c r="U26" s="26">
        <f t="shared" si="1"/>
        <v>12.65625</v>
      </c>
      <c r="V26" s="26">
        <f t="shared" si="2"/>
        <v>18.984375</v>
      </c>
      <c r="W26" s="19">
        <f t="shared" si="3"/>
        <v>815</v>
      </c>
      <c r="X26" s="22">
        <f t="shared" si="4"/>
        <v>898</v>
      </c>
      <c r="Y26" s="29">
        <f t="shared" si="5"/>
        <v>477</v>
      </c>
      <c r="Z26" s="29">
        <f t="shared" si="6"/>
        <v>597</v>
      </c>
      <c r="AA26" s="30">
        <f t="shared" si="7"/>
        <v>0.73251533742331287</v>
      </c>
      <c r="AB26" s="24">
        <f t="shared" si="8"/>
        <v>1630</v>
      </c>
      <c r="AC26" s="24">
        <f t="shared" si="9"/>
        <v>1874</v>
      </c>
      <c r="AD26" s="24">
        <f t="shared" si="10"/>
        <v>1874</v>
      </c>
      <c r="AE26" s="24">
        <f t="shared" si="11"/>
        <v>1874</v>
      </c>
      <c r="AF26" s="24">
        <f t="shared" si="12"/>
        <v>937</v>
      </c>
      <c r="AG26" s="21">
        <f t="shared" si="13"/>
        <v>1874</v>
      </c>
      <c r="AH26" s="9" t="s">
        <v>133</v>
      </c>
      <c r="AI26" s="9" t="s">
        <v>134</v>
      </c>
      <c r="AJ26" s="9" t="s">
        <v>137</v>
      </c>
    </row>
    <row r="27" spans="1:36" ht="15.75" thickBot="1" x14ac:dyDescent="0.3">
      <c r="A27" s="3" t="s">
        <v>46</v>
      </c>
      <c r="B27" s="4">
        <v>135</v>
      </c>
      <c r="C27" s="4">
        <v>110</v>
      </c>
      <c r="D27" s="4">
        <v>135</v>
      </c>
      <c r="E27" s="4">
        <v>110</v>
      </c>
      <c r="F27" s="4">
        <v>150</v>
      </c>
      <c r="G27" s="4">
        <v>150</v>
      </c>
      <c r="H27" s="4">
        <v>135</v>
      </c>
      <c r="I27" s="4">
        <v>660</v>
      </c>
      <c r="J27" s="4">
        <v>3</v>
      </c>
      <c r="K27" s="6"/>
      <c r="L27" s="6"/>
      <c r="M27" s="6"/>
      <c r="N27" s="4"/>
      <c r="O27" s="14" t="s">
        <v>157</v>
      </c>
      <c r="P27" s="14">
        <v>100</v>
      </c>
      <c r="Q27" s="8">
        <v>60</v>
      </c>
      <c r="R27" s="4"/>
      <c r="S27" s="4" t="s">
        <v>19</v>
      </c>
      <c r="T27" s="33">
        <f t="shared" si="0"/>
        <v>295</v>
      </c>
      <c r="U27" s="26">
        <f t="shared" si="1"/>
        <v>11.09375</v>
      </c>
      <c r="V27" s="26">
        <f t="shared" si="2"/>
        <v>16.640625</v>
      </c>
      <c r="W27" s="19">
        <f t="shared" si="3"/>
        <v>540</v>
      </c>
      <c r="X27" s="22">
        <f t="shared" si="4"/>
        <v>589</v>
      </c>
      <c r="Y27" s="29">
        <f t="shared" si="5"/>
        <v>332</v>
      </c>
      <c r="Z27" s="29">
        <f t="shared" si="6"/>
        <v>405</v>
      </c>
      <c r="AA27" s="30">
        <f t="shared" si="7"/>
        <v>0.75</v>
      </c>
      <c r="AB27" s="24">
        <f t="shared" si="8"/>
        <v>1620</v>
      </c>
      <c r="AC27" s="24">
        <f t="shared" si="9"/>
        <v>2430</v>
      </c>
      <c r="AD27" s="24">
        <f t="shared" si="10"/>
        <v>2032</v>
      </c>
      <c r="AE27" s="24">
        <f t="shared" si="11"/>
        <v>1397</v>
      </c>
      <c r="AF27" s="24">
        <f t="shared" si="12"/>
        <v>1215</v>
      </c>
      <c r="AG27" s="21">
        <f t="shared" si="13"/>
        <v>2430</v>
      </c>
      <c r="AH27" s="9" t="s">
        <v>137</v>
      </c>
      <c r="AI27" s="9" t="s">
        <v>132</v>
      </c>
      <c r="AJ27" s="9" t="s">
        <v>138</v>
      </c>
    </row>
    <row r="28" spans="1:36" ht="15.75" thickBot="1" x14ac:dyDescent="0.3">
      <c r="A28" s="3" t="s">
        <v>68</v>
      </c>
      <c r="B28" s="4">
        <v>135</v>
      </c>
      <c r="C28" s="4">
        <v>175</v>
      </c>
      <c r="D28" s="4">
        <v>110</v>
      </c>
      <c r="E28" s="4">
        <v>210</v>
      </c>
      <c r="F28" s="4">
        <v>110</v>
      </c>
      <c r="G28" s="4">
        <v>150</v>
      </c>
      <c r="H28" s="4">
        <v>150</v>
      </c>
      <c r="I28" s="4">
        <v>660</v>
      </c>
      <c r="J28" s="4">
        <v>1</v>
      </c>
      <c r="K28" s="13" t="s">
        <v>163</v>
      </c>
      <c r="L28" s="6"/>
      <c r="M28" s="15"/>
      <c r="N28" s="4"/>
      <c r="O28" s="14" t="s">
        <v>154</v>
      </c>
      <c r="P28" s="14">
        <v>135</v>
      </c>
      <c r="Q28" s="8">
        <v>60</v>
      </c>
      <c r="R28" s="4"/>
      <c r="S28" s="4" t="s">
        <v>67</v>
      </c>
      <c r="T28" s="33">
        <f t="shared" si="0"/>
        <v>330</v>
      </c>
      <c r="U28" s="26">
        <f t="shared" si="1"/>
        <v>15.625</v>
      </c>
      <c r="V28" s="26">
        <f t="shared" si="2"/>
        <v>23.4375</v>
      </c>
      <c r="W28" s="19">
        <f t="shared" si="3"/>
        <v>649</v>
      </c>
      <c r="X28" s="22">
        <f t="shared" si="4"/>
        <v>727</v>
      </c>
      <c r="Y28" s="29">
        <f t="shared" si="5"/>
        <v>357</v>
      </c>
      <c r="Z28" s="29">
        <f t="shared" si="6"/>
        <v>468</v>
      </c>
      <c r="AA28" s="30">
        <f t="shared" si="7"/>
        <v>0.72110939907550076</v>
      </c>
      <c r="AB28" s="24">
        <f t="shared" si="8"/>
        <v>1298</v>
      </c>
      <c r="AC28" s="24">
        <f t="shared" si="9"/>
        <v>1492</v>
      </c>
      <c r="AD28" s="24">
        <f t="shared" si="10"/>
        <v>1492</v>
      </c>
      <c r="AE28" s="24">
        <f t="shared" si="11"/>
        <v>1492</v>
      </c>
      <c r="AF28" s="24">
        <f t="shared" si="12"/>
        <v>746</v>
      </c>
      <c r="AG28" s="21">
        <f t="shared" si="13"/>
        <v>1492</v>
      </c>
      <c r="AH28" s="9" t="s">
        <v>137</v>
      </c>
      <c r="AI28" s="9" t="s">
        <v>138</v>
      </c>
      <c r="AJ28" s="9" t="s">
        <v>135</v>
      </c>
    </row>
    <row r="29" spans="1:36" ht="15.75" thickBot="1" x14ac:dyDescent="0.3">
      <c r="A29" s="3" t="s">
        <v>111</v>
      </c>
      <c r="B29" s="4">
        <v>135</v>
      </c>
      <c r="C29" s="4">
        <v>150</v>
      </c>
      <c r="D29" s="4">
        <v>110</v>
      </c>
      <c r="E29" s="4">
        <v>210</v>
      </c>
      <c r="F29" s="4">
        <v>110</v>
      </c>
      <c r="G29" s="4">
        <v>150</v>
      </c>
      <c r="H29" s="4">
        <v>110</v>
      </c>
      <c r="I29" s="4">
        <v>660</v>
      </c>
      <c r="J29" s="4">
        <v>1</v>
      </c>
      <c r="K29" s="13" t="s">
        <v>173</v>
      </c>
      <c r="L29" s="6"/>
      <c r="M29" s="15"/>
      <c r="N29" s="4"/>
      <c r="O29" s="14" t="s">
        <v>126</v>
      </c>
      <c r="P29" s="14">
        <v>147</v>
      </c>
      <c r="Q29" s="8">
        <v>75</v>
      </c>
      <c r="R29" s="4"/>
      <c r="S29" s="4" t="s">
        <v>35</v>
      </c>
      <c r="T29" s="33">
        <f t="shared" si="0"/>
        <v>357</v>
      </c>
      <c r="U29" s="26">
        <f t="shared" si="1"/>
        <v>12.8125</v>
      </c>
      <c r="V29" s="26">
        <f t="shared" si="2"/>
        <v>19.21875</v>
      </c>
      <c r="W29" s="19">
        <f t="shared" si="3"/>
        <v>672</v>
      </c>
      <c r="X29" s="22">
        <f t="shared" si="4"/>
        <v>741</v>
      </c>
      <c r="Y29" s="29">
        <f t="shared" si="5"/>
        <v>384</v>
      </c>
      <c r="Z29" s="29">
        <f t="shared" si="6"/>
        <v>482</v>
      </c>
      <c r="AA29" s="30">
        <f t="shared" si="7"/>
        <v>0.71726190476190477</v>
      </c>
      <c r="AB29" s="24">
        <f t="shared" si="8"/>
        <v>1344</v>
      </c>
      <c r="AC29" s="24">
        <f t="shared" si="9"/>
        <v>1545</v>
      </c>
      <c r="AD29" s="24">
        <f t="shared" si="10"/>
        <v>1545</v>
      </c>
      <c r="AE29" s="24">
        <f t="shared" si="11"/>
        <v>1545</v>
      </c>
      <c r="AF29" s="24">
        <f t="shared" si="12"/>
        <v>772</v>
      </c>
      <c r="AG29" s="21">
        <f t="shared" si="13"/>
        <v>1545</v>
      </c>
      <c r="AH29" s="9" t="s">
        <v>136</v>
      </c>
      <c r="AI29" s="9" t="s">
        <v>137</v>
      </c>
      <c r="AJ29" s="9" t="s">
        <v>137</v>
      </c>
    </row>
    <row r="30" spans="1:36" ht="15.75" thickBot="1" x14ac:dyDescent="0.3">
      <c r="A30" s="3" t="s">
        <v>90</v>
      </c>
      <c r="B30" s="4">
        <v>135</v>
      </c>
      <c r="C30" s="4">
        <v>175</v>
      </c>
      <c r="D30" s="4">
        <v>110</v>
      </c>
      <c r="E30" s="4">
        <v>195</v>
      </c>
      <c r="F30" s="4">
        <v>135</v>
      </c>
      <c r="G30" s="4">
        <v>150</v>
      </c>
      <c r="H30" s="4">
        <v>150</v>
      </c>
      <c r="I30" s="4">
        <v>600</v>
      </c>
      <c r="J30" s="4">
        <v>2</v>
      </c>
      <c r="K30" s="15"/>
      <c r="L30" s="6"/>
      <c r="M30" s="6"/>
      <c r="N30" s="4"/>
      <c r="O30" s="14" t="s">
        <v>151</v>
      </c>
      <c r="P30" s="14">
        <v>165</v>
      </c>
      <c r="Q30" s="8">
        <v>60</v>
      </c>
      <c r="R30" s="4"/>
      <c r="S30" s="4" t="s">
        <v>67</v>
      </c>
      <c r="T30" s="33">
        <f t="shared" si="0"/>
        <v>360</v>
      </c>
      <c r="U30" s="26">
        <f t="shared" si="1"/>
        <v>15.625</v>
      </c>
      <c r="V30" s="26">
        <f t="shared" si="2"/>
        <v>23.4375</v>
      </c>
      <c r="W30" s="19">
        <f t="shared" si="3"/>
        <v>708</v>
      </c>
      <c r="X30" s="22">
        <f t="shared" si="4"/>
        <v>793</v>
      </c>
      <c r="Y30" s="29">
        <f t="shared" si="5"/>
        <v>393</v>
      </c>
      <c r="Z30" s="29">
        <f t="shared" si="6"/>
        <v>515</v>
      </c>
      <c r="AA30" s="30">
        <f t="shared" si="7"/>
        <v>0.72740112994350281</v>
      </c>
      <c r="AB30" s="24">
        <f t="shared" si="8"/>
        <v>2124</v>
      </c>
      <c r="AC30" s="24">
        <f t="shared" si="9"/>
        <v>2442</v>
      </c>
      <c r="AD30" s="24">
        <f t="shared" si="10"/>
        <v>2442</v>
      </c>
      <c r="AE30" s="24">
        <f t="shared" si="11"/>
        <v>2442</v>
      </c>
      <c r="AF30" s="24">
        <f t="shared" si="12"/>
        <v>1221</v>
      </c>
      <c r="AG30" s="21">
        <f t="shared" si="13"/>
        <v>2442</v>
      </c>
      <c r="AH30" s="9" t="s">
        <v>134</v>
      </c>
      <c r="AI30" s="9" t="s">
        <v>132</v>
      </c>
      <c r="AJ30" s="9" t="s">
        <v>135</v>
      </c>
    </row>
    <row r="31" spans="1:36" ht="15.75" thickBot="1" x14ac:dyDescent="0.3">
      <c r="A31" s="3" t="s">
        <v>99</v>
      </c>
      <c r="B31" s="4">
        <v>135</v>
      </c>
      <c r="C31" s="4">
        <v>175</v>
      </c>
      <c r="D31" s="4">
        <v>110</v>
      </c>
      <c r="E31" s="4">
        <v>195</v>
      </c>
      <c r="F31" s="4">
        <v>135</v>
      </c>
      <c r="G31" s="4">
        <v>110</v>
      </c>
      <c r="H31" s="4">
        <v>135</v>
      </c>
      <c r="I31" s="4">
        <v>660</v>
      </c>
      <c r="J31" s="4">
        <v>1</v>
      </c>
      <c r="K31" s="15"/>
      <c r="L31" s="6"/>
      <c r="M31" s="15"/>
      <c r="N31" s="4"/>
      <c r="O31" s="14" t="s">
        <v>155</v>
      </c>
      <c r="P31" s="14">
        <v>140</v>
      </c>
      <c r="Q31" s="8">
        <v>60</v>
      </c>
      <c r="R31" s="4"/>
      <c r="S31" s="4" t="s">
        <v>100</v>
      </c>
      <c r="T31" s="33">
        <f t="shared" si="0"/>
        <v>335</v>
      </c>
      <c r="U31" s="26">
        <f t="shared" si="1"/>
        <v>15.15625</v>
      </c>
      <c r="V31" s="26">
        <f t="shared" si="2"/>
        <v>22.734375</v>
      </c>
      <c r="W31" s="19">
        <f t="shared" si="3"/>
        <v>654</v>
      </c>
      <c r="X31" s="22">
        <f t="shared" si="4"/>
        <v>730</v>
      </c>
      <c r="Y31" s="29">
        <f t="shared" si="5"/>
        <v>368</v>
      </c>
      <c r="Z31" s="29">
        <f t="shared" si="6"/>
        <v>479</v>
      </c>
      <c r="AA31" s="30">
        <f t="shared" si="7"/>
        <v>0.73241590214067276</v>
      </c>
      <c r="AB31" s="24">
        <f t="shared" si="8"/>
        <v>1308</v>
      </c>
      <c r="AC31" s="24">
        <f t="shared" si="9"/>
        <v>1504</v>
      </c>
      <c r="AD31" s="24">
        <f t="shared" si="10"/>
        <v>1504</v>
      </c>
      <c r="AE31" s="24">
        <f t="shared" si="11"/>
        <v>1504</v>
      </c>
      <c r="AF31" s="24">
        <f t="shared" si="12"/>
        <v>752</v>
      </c>
      <c r="AG31" s="21">
        <f t="shared" si="13"/>
        <v>1504</v>
      </c>
      <c r="AH31" s="9" t="s">
        <v>137</v>
      </c>
      <c r="AI31" s="9" t="s">
        <v>138</v>
      </c>
      <c r="AJ31" s="9" t="s">
        <v>134</v>
      </c>
    </row>
    <row r="32" spans="1:36" ht="15.75" thickBot="1" x14ac:dyDescent="0.3">
      <c r="A32" s="3" t="s">
        <v>104</v>
      </c>
      <c r="B32" s="4">
        <v>297</v>
      </c>
      <c r="C32" s="4">
        <v>150</v>
      </c>
      <c r="D32" s="4">
        <v>110</v>
      </c>
      <c r="E32" s="4">
        <v>195</v>
      </c>
      <c r="F32" s="4">
        <v>242</v>
      </c>
      <c r="G32" s="4">
        <v>150</v>
      </c>
      <c r="H32" s="4">
        <v>150</v>
      </c>
      <c r="I32" s="4">
        <v>660</v>
      </c>
      <c r="J32" s="4">
        <v>1</v>
      </c>
      <c r="K32" s="15"/>
      <c r="L32" s="6"/>
      <c r="M32" s="15"/>
      <c r="N32" s="5" t="s">
        <v>17</v>
      </c>
      <c r="O32" s="14" t="s">
        <v>146</v>
      </c>
      <c r="P32" s="14">
        <v>0</v>
      </c>
      <c r="Q32" s="14">
        <v>0</v>
      </c>
      <c r="R32" s="5" t="s">
        <v>17</v>
      </c>
      <c r="S32" s="4"/>
      <c r="T32" s="33">
        <f t="shared" si="0"/>
        <v>297</v>
      </c>
      <c r="U32" s="26">
        <f t="shared" si="1"/>
        <v>14.0625</v>
      </c>
      <c r="V32" s="26">
        <f t="shared" si="2"/>
        <v>21.09375</v>
      </c>
      <c r="W32" s="19">
        <f t="shared" si="3"/>
        <v>380</v>
      </c>
      <c r="X32" s="22">
        <f t="shared" si="4"/>
        <v>422</v>
      </c>
      <c r="Y32" s="29">
        <f t="shared" si="5"/>
        <v>357</v>
      </c>
      <c r="Z32" s="29">
        <f t="shared" si="6"/>
        <v>457</v>
      </c>
      <c r="AA32" s="30">
        <f t="shared" si="7"/>
        <v>1.2026315789473685</v>
      </c>
      <c r="AB32" s="24">
        <f t="shared" si="8"/>
        <v>760</v>
      </c>
      <c r="AC32" s="24">
        <f t="shared" si="9"/>
        <v>874</v>
      </c>
      <c r="AD32" s="24">
        <f t="shared" si="10"/>
        <v>874</v>
      </c>
      <c r="AE32" s="24">
        <f t="shared" si="11"/>
        <v>874</v>
      </c>
      <c r="AF32" s="24">
        <f t="shared" si="12"/>
        <v>437</v>
      </c>
      <c r="AG32" s="21">
        <f t="shared" si="13"/>
        <v>874</v>
      </c>
      <c r="AH32" s="9" t="s">
        <v>139</v>
      </c>
      <c r="AI32" s="9" t="s">
        <v>139</v>
      </c>
      <c r="AJ32" s="9" t="s">
        <v>134</v>
      </c>
    </row>
    <row r="33" spans="1:36" ht="15.75" thickBot="1" x14ac:dyDescent="0.3">
      <c r="A33" s="3" t="s">
        <v>72</v>
      </c>
      <c r="B33" s="4">
        <v>150</v>
      </c>
      <c r="C33" s="4">
        <v>195</v>
      </c>
      <c r="D33" s="4">
        <v>110</v>
      </c>
      <c r="E33" s="4">
        <v>175</v>
      </c>
      <c r="F33" s="4">
        <v>135</v>
      </c>
      <c r="G33" s="4">
        <v>135</v>
      </c>
      <c r="H33" s="4">
        <v>175</v>
      </c>
      <c r="I33" s="4">
        <v>940</v>
      </c>
      <c r="J33" s="4">
        <v>1</v>
      </c>
      <c r="K33" s="15"/>
      <c r="L33" s="13" t="s">
        <v>164</v>
      </c>
      <c r="M33" s="6"/>
      <c r="N33" s="4"/>
      <c r="O33" s="14" t="s">
        <v>154</v>
      </c>
      <c r="P33" s="14">
        <v>135</v>
      </c>
      <c r="Q33" s="8">
        <v>60</v>
      </c>
      <c r="R33" s="4"/>
      <c r="S33" s="4" t="s">
        <v>19</v>
      </c>
      <c r="T33" s="33">
        <f t="shared" si="0"/>
        <v>345</v>
      </c>
      <c r="U33" s="26">
        <f t="shared" si="1"/>
        <v>17.65625</v>
      </c>
      <c r="V33" s="26">
        <f t="shared" si="2"/>
        <v>26.484375</v>
      </c>
      <c r="W33" s="19">
        <f t="shared" si="3"/>
        <v>700</v>
      </c>
      <c r="X33" s="22">
        <f t="shared" si="4"/>
        <v>791</v>
      </c>
      <c r="Y33" s="29">
        <f t="shared" si="5"/>
        <v>378</v>
      </c>
      <c r="Z33" s="29">
        <f t="shared" si="6"/>
        <v>511</v>
      </c>
      <c r="AA33" s="30">
        <f t="shared" si="7"/>
        <v>0.73</v>
      </c>
      <c r="AB33" s="24">
        <f t="shared" si="8"/>
        <v>1400</v>
      </c>
      <c r="AC33" s="24">
        <f t="shared" si="9"/>
        <v>1610</v>
      </c>
      <c r="AD33" s="24">
        <f t="shared" si="10"/>
        <v>1610</v>
      </c>
      <c r="AE33" s="24">
        <f t="shared" si="11"/>
        <v>1610</v>
      </c>
      <c r="AF33" s="24">
        <f t="shared" si="12"/>
        <v>805</v>
      </c>
      <c r="AG33" s="21">
        <f t="shared" si="13"/>
        <v>1610</v>
      </c>
      <c r="AH33" s="9" t="s">
        <v>134</v>
      </c>
      <c r="AI33" s="9" t="s">
        <v>137</v>
      </c>
      <c r="AJ33" s="9" t="s">
        <v>133</v>
      </c>
    </row>
    <row r="34" spans="1:36" ht="15.75" thickBot="1" x14ac:dyDescent="0.3">
      <c r="A34" s="3" t="s">
        <v>123</v>
      </c>
      <c r="B34" s="4">
        <v>150</v>
      </c>
      <c r="C34" s="4">
        <v>175</v>
      </c>
      <c r="D34" s="4">
        <v>110</v>
      </c>
      <c r="E34" s="4">
        <v>175</v>
      </c>
      <c r="F34" s="4">
        <v>135</v>
      </c>
      <c r="G34" s="4">
        <v>135</v>
      </c>
      <c r="H34" s="4">
        <v>175</v>
      </c>
      <c r="I34" s="4">
        <v>840</v>
      </c>
      <c r="J34" s="4">
        <v>1</v>
      </c>
      <c r="K34" s="15"/>
      <c r="L34" s="13" t="s">
        <v>164</v>
      </c>
      <c r="M34" s="6"/>
      <c r="N34" s="4"/>
      <c r="O34" s="14" t="s">
        <v>154</v>
      </c>
      <c r="P34" s="14">
        <v>135</v>
      </c>
      <c r="Q34" s="8">
        <v>60</v>
      </c>
      <c r="R34" s="4"/>
      <c r="S34" s="4" t="s">
        <v>67</v>
      </c>
      <c r="T34" s="33">
        <f t="shared" ref="T34:T65" si="14">P34+Q34+B34</f>
        <v>345</v>
      </c>
      <c r="U34" s="26">
        <f t="shared" ref="U34:U65" si="15">(C34+(H34/2))/16</f>
        <v>16.40625</v>
      </c>
      <c r="V34" s="26">
        <f t="shared" ref="V34:V65" si="16">U34*IF(J34&gt;=1,1.5,1)</f>
        <v>24.609375</v>
      </c>
      <c r="W34" s="19">
        <f t="shared" ref="W34:W65" si="17">INT(T34*IF(R34="",1.5,VLOOKUP(R34,$AL$2:$AM$10,2,FALSE))*(U34*2+100)/100)</f>
        <v>687</v>
      </c>
      <c r="X34" s="22">
        <f t="shared" ref="X34:X65" si="18">INT(T34*IF(R34="",1.5,VLOOKUP(R34,$AL$2:$AM$10,2,FALSE))*(U34*3+100)/100)</f>
        <v>772</v>
      </c>
      <c r="Y34" s="29">
        <f t="shared" ref="Y34:Y65" si="19">INT((T34+IF(J34&gt;=1,F34/4,0)))</f>
        <v>378</v>
      </c>
      <c r="Z34" s="29">
        <f t="shared" ref="Z34:Z65" si="20">INT(Y34*(U34*2+100)/100)</f>
        <v>502</v>
      </c>
      <c r="AA34" s="30">
        <f t="shared" ref="AA34:AA65" si="21">Z34/W34</f>
        <v>0.73071324599708876</v>
      </c>
      <c r="AB34" s="24">
        <f t="shared" ref="AB34:AB65" si="22">W34*IF(J34&lt;1,1,IF(J34=1,2,IF(J34&gt;=2,3)))</f>
        <v>1374</v>
      </c>
      <c r="AC34" s="24">
        <f t="shared" ref="AC34:AC65" si="23">INT(AB34*IF(J34&gt;=3,1.5,1.15))</f>
        <v>1580</v>
      </c>
      <c r="AD34" s="24">
        <f t="shared" ref="AD34:AD65" si="24">INT(IF(J34&gt;=3,X34,W34)*IF(J34&lt;1,1,IF(J34=1,2,IF(J34&gt;=2,3,1)))*1.15)</f>
        <v>1580</v>
      </c>
      <c r="AE34" s="24">
        <f t="shared" ref="AE34:AE65" si="25">INT(IF(J34=3,Z34*3,AB34)*1.15)</f>
        <v>1580</v>
      </c>
      <c r="AF34" s="24">
        <f t="shared" ref="AF34:AF65" si="26">INT(W34*IF(J34=0,1,IF(J34&gt;=2,1.5,1)*IF(J34&gt;=3,1.5,1.15)))</f>
        <v>790</v>
      </c>
      <c r="AG34" s="21">
        <f t="shared" ref="AG34:AG65" si="27">MAX(A34:AF34)</f>
        <v>1580</v>
      </c>
      <c r="AH34" s="9" t="s">
        <v>134</v>
      </c>
      <c r="AI34" s="9" t="s">
        <v>137</v>
      </c>
      <c r="AJ34" s="9" t="s">
        <v>132</v>
      </c>
    </row>
    <row r="35" spans="1:36" ht="15.75" thickBot="1" x14ac:dyDescent="0.3">
      <c r="A35" s="3" t="s">
        <v>118</v>
      </c>
      <c r="B35" s="4">
        <v>175</v>
      </c>
      <c r="C35" s="4">
        <v>175</v>
      </c>
      <c r="D35" s="4">
        <v>110</v>
      </c>
      <c r="E35" s="4">
        <v>175</v>
      </c>
      <c r="F35" s="4">
        <v>135</v>
      </c>
      <c r="G35" s="4">
        <v>135</v>
      </c>
      <c r="H35" s="4">
        <v>150</v>
      </c>
      <c r="I35" s="4">
        <v>720</v>
      </c>
      <c r="J35" s="4">
        <v>1</v>
      </c>
      <c r="K35" s="15"/>
      <c r="L35" s="13" t="s">
        <v>148</v>
      </c>
      <c r="M35" s="6"/>
      <c r="N35" s="4"/>
      <c r="O35" s="14" t="s">
        <v>149</v>
      </c>
      <c r="P35" s="14">
        <v>150</v>
      </c>
      <c r="Q35" s="8">
        <v>75</v>
      </c>
      <c r="R35" s="4"/>
      <c r="S35" s="4" t="s">
        <v>21</v>
      </c>
      <c r="T35" s="33">
        <f t="shared" si="14"/>
        <v>400</v>
      </c>
      <c r="U35" s="26">
        <f t="shared" si="15"/>
        <v>15.625</v>
      </c>
      <c r="V35" s="26">
        <f t="shared" si="16"/>
        <v>23.4375</v>
      </c>
      <c r="W35" s="19">
        <f t="shared" si="17"/>
        <v>787</v>
      </c>
      <c r="X35" s="22">
        <f t="shared" si="18"/>
        <v>881</v>
      </c>
      <c r="Y35" s="29">
        <f t="shared" si="19"/>
        <v>433</v>
      </c>
      <c r="Z35" s="29">
        <f t="shared" si="20"/>
        <v>568</v>
      </c>
      <c r="AA35" s="30">
        <f t="shared" si="21"/>
        <v>0.72172808132147392</v>
      </c>
      <c r="AB35" s="24">
        <f t="shared" si="22"/>
        <v>1574</v>
      </c>
      <c r="AC35" s="24">
        <f t="shared" si="23"/>
        <v>1810</v>
      </c>
      <c r="AD35" s="24">
        <f t="shared" si="24"/>
        <v>1810</v>
      </c>
      <c r="AE35" s="24">
        <f t="shared" si="25"/>
        <v>1810</v>
      </c>
      <c r="AF35" s="24">
        <f t="shared" si="26"/>
        <v>905</v>
      </c>
      <c r="AG35" s="21">
        <f t="shared" si="27"/>
        <v>1810</v>
      </c>
      <c r="AH35" s="9" t="s">
        <v>132</v>
      </c>
      <c r="AI35" s="9" t="s">
        <v>134</v>
      </c>
      <c r="AJ35" s="9" t="s">
        <v>135</v>
      </c>
    </row>
    <row r="36" spans="1:36" ht="15.75" thickBot="1" x14ac:dyDescent="0.3">
      <c r="A36" s="3" t="s">
        <v>22</v>
      </c>
      <c r="B36" s="4">
        <v>135</v>
      </c>
      <c r="C36" s="4">
        <v>150</v>
      </c>
      <c r="D36" s="4">
        <v>110</v>
      </c>
      <c r="E36" s="4">
        <v>175</v>
      </c>
      <c r="F36" s="4">
        <v>135</v>
      </c>
      <c r="G36" s="4">
        <v>135</v>
      </c>
      <c r="H36" s="4">
        <v>175</v>
      </c>
      <c r="I36" s="4">
        <v>660</v>
      </c>
      <c r="J36" s="4">
        <v>2</v>
      </c>
      <c r="K36" s="15"/>
      <c r="L36" s="6"/>
      <c r="M36" s="6"/>
      <c r="N36" s="4"/>
      <c r="O36" s="14" t="s">
        <v>126</v>
      </c>
      <c r="P36" s="14">
        <v>147</v>
      </c>
      <c r="Q36" s="8">
        <v>60</v>
      </c>
      <c r="R36" s="4"/>
      <c r="S36" s="4" t="s">
        <v>23</v>
      </c>
      <c r="T36" s="33">
        <f t="shared" si="14"/>
        <v>342</v>
      </c>
      <c r="U36" s="26">
        <f t="shared" si="15"/>
        <v>14.84375</v>
      </c>
      <c r="V36" s="26">
        <f t="shared" si="16"/>
        <v>22.265625</v>
      </c>
      <c r="W36" s="19">
        <f t="shared" si="17"/>
        <v>665</v>
      </c>
      <c r="X36" s="22">
        <f t="shared" si="18"/>
        <v>741</v>
      </c>
      <c r="Y36" s="29">
        <f t="shared" si="19"/>
        <v>375</v>
      </c>
      <c r="Z36" s="29">
        <f t="shared" si="20"/>
        <v>486</v>
      </c>
      <c r="AA36" s="30">
        <f t="shared" si="21"/>
        <v>0.73082706766917294</v>
      </c>
      <c r="AB36" s="24">
        <f t="shared" si="22"/>
        <v>1995</v>
      </c>
      <c r="AC36" s="24">
        <f t="shared" si="23"/>
        <v>2294</v>
      </c>
      <c r="AD36" s="24">
        <f t="shared" si="24"/>
        <v>2294</v>
      </c>
      <c r="AE36" s="24">
        <f t="shared" si="25"/>
        <v>2294</v>
      </c>
      <c r="AF36" s="24">
        <f t="shared" si="26"/>
        <v>1147</v>
      </c>
      <c r="AG36" s="21">
        <f t="shared" si="27"/>
        <v>2294</v>
      </c>
      <c r="AH36" s="9" t="s">
        <v>136</v>
      </c>
      <c r="AI36" s="9" t="s">
        <v>135</v>
      </c>
      <c r="AJ36" s="9" t="s">
        <v>135</v>
      </c>
    </row>
    <row r="37" spans="1:36" ht="15.75" thickBot="1" x14ac:dyDescent="0.3">
      <c r="A37" s="3" t="s">
        <v>41</v>
      </c>
      <c r="B37" s="4">
        <v>135</v>
      </c>
      <c r="C37" s="4">
        <v>150</v>
      </c>
      <c r="D37" s="4">
        <v>110</v>
      </c>
      <c r="E37" s="4">
        <v>175</v>
      </c>
      <c r="F37" s="4">
        <v>110</v>
      </c>
      <c r="G37" s="4">
        <v>110</v>
      </c>
      <c r="H37" s="4">
        <v>175</v>
      </c>
      <c r="I37" s="4">
        <v>660</v>
      </c>
      <c r="J37" s="4">
        <v>1</v>
      </c>
      <c r="K37" s="15"/>
      <c r="L37" s="6"/>
      <c r="M37" s="15"/>
      <c r="N37" s="4"/>
      <c r="O37" s="14" t="s">
        <v>147</v>
      </c>
      <c r="P37" s="14">
        <v>140</v>
      </c>
      <c r="Q37" s="8">
        <v>79</v>
      </c>
      <c r="R37" s="4"/>
      <c r="S37" s="4" t="s">
        <v>42</v>
      </c>
      <c r="T37" s="33">
        <f t="shared" si="14"/>
        <v>354</v>
      </c>
      <c r="U37" s="26">
        <f t="shared" si="15"/>
        <v>14.84375</v>
      </c>
      <c r="V37" s="26">
        <f t="shared" si="16"/>
        <v>22.265625</v>
      </c>
      <c r="W37" s="19">
        <f t="shared" si="17"/>
        <v>688</v>
      </c>
      <c r="X37" s="22">
        <f t="shared" si="18"/>
        <v>767</v>
      </c>
      <c r="Y37" s="29">
        <f t="shared" si="19"/>
        <v>381</v>
      </c>
      <c r="Z37" s="29">
        <f t="shared" si="20"/>
        <v>494</v>
      </c>
      <c r="AA37" s="30">
        <f t="shared" si="21"/>
        <v>0.71802325581395354</v>
      </c>
      <c r="AB37" s="24">
        <f t="shared" si="22"/>
        <v>1376</v>
      </c>
      <c r="AC37" s="24">
        <f t="shared" si="23"/>
        <v>1582</v>
      </c>
      <c r="AD37" s="24">
        <f t="shared" si="24"/>
        <v>1582</v>
      </c>
      <c r="AE37" s="24">
        <f t="shared" si="25"/>
        <v>1582</v>
      </c>
      <c r="AF37" s="24">
        <f t="shared" si="26"/>
        <v>791</v>
      </c>
      <c r="AG37" s="21">
        <f t="shared" si="27"/>
        <v>1582</v>
      </c>
      <c r="AH37" s="9" t="s">
        <v>134</v>
      </c>
      <c r="AI37" s="9" t="s">
        <v>137</v>
      </c>
      <c r="AJ37" s="9" t="s">
        <v>135</v>
      </c>
    </row>
    <row r="38" spans="1:36" ht="15.75" thickBot="1" x14ac:dyDescent="0.3">
      <c r="A38" s="3" t="s">
        <v>43</v>
      </c>
      <c r="B38" s="4">
        <v>110</v>
      </c>
      <c r="C38" s="4">
        <v>175</v>
      </c>
      <c r="D38" s="4">
        <v>110</v>
      </c>
      <c r="E38" s="4">
        <v>150</v>
      </c>
      <c r="F38" s="4">
        <v>110</v>
      </c>
      <c r="G38" s="4">
        <v>110</v>
      </c>
      <c r="H38" s="4">
        <v>175</v>
      </c>
      <c r="I38" s="4">
        <v>600</v>
      </c>
      <c r="J38" s="4">
        <v>1</v>
      </c>
      <c r="K38" s="15"/>
      <c r="L38" s="6"/>
      <c r="M38" s="6"/>
      <c r="N38" s="4"/>
      <c r="O38" s="14" t="s">
        <v>155</v>
      </c>
      <c r="P38" s="14">
        <v>140</v>
      </c>
      <c r="Q38" s="8"/>
      <c r="R38" s="4"/>
      <c r="S38" s="4" t="s">
        <v>44</v>
      </c>
      <c r="T38" s="33">
        <f t="shared" si="14"/>
        <v>250</v>
      </c>
      <c r="U38" s="26">
        <f t="shared" si="15"/>
        <v>16.40625</v>
      </c>
      <c r="V38" s="26">
        <f t="shared" si="16"/>
        <v>24.609375</v>
      </c>
      <c r="W38" s="19">
        <f t="shared" si="17"/>
        <v>498</v>
      </c>
      <c r="X38" s="22">
        <f t="shared" si="18"/>
        <v>559</v>
      </c>
      <c r="Y38" s="29">
        <f t="shared" si="19"/>
        <v>277</v>
      </c>
      <c r="Z38" s="29">
        <f t="shared" si="20"/>
        <v>367</v>
      </c>
      <c r="AA38" s="30">
        <f t="shared" si="21"/>
        <v>0.73694779116465858</v>
      </c>
      <c r="AB38" s="24">
        <f t="shared" si="22"/>
        <v>996</v>
      </c>
      <c r="AC38" s="24">
        <f t="shared" si="23"/>
        <v>1145</v>
      </c>
      <c r="AD38" s="24">
        <f t="shared" si="24"/>
        <v>1145</v>
      </c>
      <c r="AE38" s="24">
        <f t="shared" si="25"/>
        <v>1145</v>
      </c>
      <c r="AF38" s="24">
        <f t="shared" si="26"/>
        <v>572</v>
      </c>
      <c r="AG38" s="21">
        <f t="shared" si="27"/>
        <v>1145</v>
      </c>
      <c r="AH38" s="9" t="s">
        <v>138</v>
      </c>
      <c r="AI38" s="9" t="s">
        <v>138</v>
      </c>
      <c r="AJ38" s="9" t="s">
        <v>132</v>
      </c>
    </row>
    <row r="39" spans="1:36" ht="15.75" thickBot="1" x14ac:dyDescent="0.3">
      <c r="A39" s="3" t="s">
        <v>70</v>
      </c>
      <c r="B39" s="4">
        <v>135</v>
      </c>
      <c r="C39" s="4">
        <v>175</v>
      </c>
      <c r="D39" s="4">
        <v>110</v>
      </c>
      <c r="E39" s="4">
        <v>150</v>
      </c>
      <c r="F39" s="4">
        <v>135</v>
      </c>
      <c r="G39" s="4">
        <v>150</v>
      </c>
      <c r="H39" s="4">
        <v>150</v>
      </c>
      <c r="I39" s="4">
        <v>660</v>
      </c>
      <c r="J39" s="4">
        <v>1</v>
      </c>
      <c r="K39" s="15"/>
      <c r="L39" s="15"/>
      <c r="M39" s="6"/>
      <c r="N39" s="4"/>
      <c r="O39" s="14" t="s">
        <v>126</v>
      </c>
      <c r="P39" s="14">
        <v>147</v>
      </c>
      <c r="Q39" s="8">
        <v>75</v>
      </c>
      <c r="R39" s="4"/>
      <c r="S39" s="4" t="s">
        <v>35</v>
      </c>
      <c r="T39" s="33">
        <f t="shared" si="14"/>
        <v>357</v>
      </c>
      <c r="U39" s="26">
        <f t="shared" si="15"/>
        <v>15.625</v>
      </c>
      <c r="V39" s="26">
        <f t="shared" si="16"/>
        <v>23.4375</v>
      </c>
      <c r="W39" s="19">
        <f t="shared" si="17"/>
        <v>702</v>
      </c>
      <c r="X39" s="22">
        <f t="shared" si="18"/>
        <v>786</v>
      </c>
      <c r="Y39" s="29">
        <f t="shared" si="19"/>
        <v>390</v>
      </c>
      <c r="Z39" s="29">
        <f t="shared" si="20"/>
        <v>511</v>
      </c>
      <c r="AA39" s="30">
        <f t="shared" si="21"/>
        <v>0.72792022792022792</v>
      </c>
      <c r="AB39" s="24">
        <f t="shared" si="22"/>
        <v>1404</v>
      </c>
      <c r="AC39" s="24">
        <f t="shared" si="23"/>
        <v>1614</v>
      </c>
      <c r="AD39" s="24">
        <f t="shared" si="24"/>
        <v>1614</v>
      </c>
      <c r="AE39" s="24">
        <f t="shared" si="25"/>
        <v>1614</v>
      </c>
      <c r="AF39" s="24">
        <f t="shared" si="26"/>
        <v>807</v>
      </c>
      <c r="AG39" s="21">
        <f t="shared" si="27"/>
        <v>1614</v>
      </c>
      <c r="AH39" s="9" t="s">
        <v>134</v>
      </c>
      <c r="AI39" s="9" t="s">
        <v>137</v>
      </c>
      <c r="AJ39" s="9" t="s">
        <v>135</v>
      </c>
    </row>
    <row r="40" spans="1:36" ht="15.75" thickBot="1" x14ac:dyDescent="0.3">
      <c r="A40" s="3" t="s">
        <v>115</v>
      </c>
      <c r="B40" s="4">
        <v>150</v>
      </c>
      <c r="C40" s="4">
        <v>175</v>
      </c>
      <c r="D40" s="4">
        <v>110</v>
      </c>
      <c r="E40" s="4">
        <v>150</v>
      </c>
      <c r="F40" s="4">
        <v>135</v>
      </c>
      <c r="G40" s="4">
        <v>135</v>
      </c>
      <c r="H40" s="4">
        <v>135</v>
      </c>
      <c r="I40" s="4">
        <v>660</v>
      </c>
      <c r="J40" s="4">
        <v>2</v>
      </c>
      <c r="K40" s="15"/>
      <c r="L40" s="6"/>
      <c r="M40" s="6"/>
      <c r="N40" s="4"/>
      <c r="O40" s="14" t="s">
        <v>147</v>
      </c>
      <c r="P40" s="14">
        <v>140</v>
      </c>
      <c r="Q40" s="8">
        <v>60</v>
      </c>
      <c r="R40" s="4"/>
      <c r="S40" s="4" t="s">
        <v>23</v>
      </c>
      <c r="T40" s="33">
        <f t="shared" si="14"/>
        <v>350</v>
      </c>
      <c r="U40" s="26">
        <f t="shared" si="15"/>
        <v>15.15625</v>
      </c>
      <c r="V40" s="26">
        <f t="shared" si="16"/>
        <v>22.734375</v>
      </c>
      <c r="W40" s="19">
        <f t="shared" si="17"/>
        <v>684</v>
      </c>
      <c r="X40" s="22">
        <f t="shared" si="18"/>
        <v>763</v>
      </c>
      <c r="Y40" s="29">
        <f t="shared" si="19"/>
        <v>383</v>
      </c>
      <c r="Z40" s="29">
        <f t="shared" si="20"/>
        <v>499</v>
      </c>
      <c r="AA40" s="30">
        <f t="shared" si="21"/>
        <v>0.72953216374269003</v>
      </c>
      <c r="AB40" s="24">
        <f t="shared" si="22"/>
        <v>2052</v>
      </c>
      <c r="AC40" s="24">
        <f t="shared" si="23"/>
        <v>2359</v>
      </c>
      <c r="AD40" s="24">
        <f t="shared" si="24"/>
        <v>2359</v>
      </c>
      <c r="AE40" s="24">
        <f t="shared" si="25"/>
        <v>2359</v>
      </c>
      <c r="AF40" s="24">
        <f t="shared" si="26"/>
        <v>1179</v>
      </c>
      <c r="AG40" s="21">
        <f t="shared" si="27"/>
        <v>2359</v>
      </c>
      <c r="AH40" s="9" t="s">
        <v>136</v>
      </c>
      <c r="AI40" s="9" t="s">
        <v>135</v>
      </c>
      <c r="AJ40" s="9" t="s">
        <v>134</v>
      </c>
    </row>
    <row r="41" spans="1:36" ht="15.75" thickBot="1" x14ac:dyDescent="0.3">
      <c r="A41" s="3" t="s">
        <v>57</v>
      </c>
      <c r="B41" s="4">
        <v>135</v>
      </c>
      <c r="C41" s="4">
        <v>150</v>
      </c>
      <c r="D41" s="4">
        <v>110</v>
      </c>
      <c r="E41" s="4">
        <v>150</v>
      </c>
      <c r="F41" s="4">
        <v>135</v>
      </c>
      <c r="G41" s="4">
        <v>135</v>
      </c>
      <c r="H41" s="4">
        <v>175</v>
      </c>
      <c r="I41" s="4">
        <v>660</v>
      </c>
      <c r="J41" s="4">
        <v>1</v>
      </c>
      <c r="K41" s="15"/>
      <c r="L41" s="6"/>
      <c r="M41" s="15"/>
      <c r="N41" s="7" t="s">
        <v>58</v>
      </c>
      <c r="O41" s="14" t="s">
        <v>149</v>
      </c>
      <c r="P41" s="14">
        <v>150</v>
      </c>
      <c r="Q41" s="8">
        <v>75</v>
      </c>
      <c r="R41" s="7" t="s">
        <v>58</v>
      </c>
      <c r="S41" s="4" t="s">
        <v>39</v>
      </c>
      <c r="T41" s="33">
        <f t="shared" si="14"/>
        <v>360</v>
      </c>
      <c r="U41" s="26">
        <f t="shared" si="15"/>
        <v>14.84375</v>
      </c>
      <c r="V41" s="26">
        <f t="shared" si="16"/>
        <v>22.265625</v>
      </c>
      <c r="W41" s="19">
        <f t="shared" si="17"/>
        <v>560</v>
      </c>
      <c r="X41" s="22">
        <f t="shared" si="18"/>
        <v>624</v>
      </c>
      <c r="Y41" s="29">
        <f t="shared" si="19"/>
        <v>393</v>
      </c>
      <c r="Z41" s="29">
        <f t="shared" si="20"/>
        <v>509</v>
      </c>
      <c r="AA41" s="30">
        <f t="shared" si="21"/>
        <v>0.90892857142857142</v>
      </c>
      <c r="AB41" s="24">
        <f t="shared" si="22"/>
        <v>1120</v>
      </c>
      <c r="AC41" s="24">
        <f t="shared" si="23"/>
        <v>1288</v>
      </c>
      <c r="AD41" s="24">
        <f t="shared" si="24"/>
        <v>1288</v>
      </c>
      <c r="AE41" s="24">
        <f t="shared" si="25"/>
        <v>1288</v>
      </c>
      <c r="AF41" s="24">
        <f t="shared" si="26"/>
        <v>644</v>
      </c>
      <c r="AG41" s="21">
        <f t="shared" si="27"/>
        <v>1288</v>
      </c>
      <c r="AH41" s="9" t="s">
        <v>137</v>
      </c>
      <c r="AI41" s="9" t="s">
        <v>138</v>
      </c>
      <c r="AJ41" s="9" t="s">
        <v>135</v>
      </c>
    </row>
    <row r="42" spans="1:36" ht="15.75" thickBot="1" x14ac:dyDescent="0.3">
      <c r="A42" s="3" t="s">
        <v>49</v>
      </c>
      <c r="B42" s="4">
        <v>150</v>
      </c>
      <c r="C42" s="4">
        <v>150</v>
      </c>
      <c r="D42" s="4">
        <v>110</v>
      </c>
      <c r="E42" s="4">
        <v>150</v>
      </c>
      <c r="F42" s="4">
        <v>135</v>
      </c>
      <c r="G42" s="4">
        <v>110</v>
      </c>
      <c r="H42" s="4">
        <v>150</v>
      </c>
      <c r="I42" s="4">
        <v>660</v>
      </c>
      <c r="J42" s="4">
        <v>0</v>
      </c>
      <c r="K42" s="15"/>
      <c r="L42" s="13" t="s">
        <v>158</v>
      </c>
      <c r="M42" s="15"/>
      <c r="N42" s="4"/>
      <c r="O42" s="14" t="s">
        <v>159</v>
      </c>
      <c r="P42" s="14">
        <v>160</v>
      </c>
      <c r="Q42" s="8">
        <v>60</v>
      </c>
      <c r="R42" s="4"/>
      <c r="S42" s="4" t="s">
        <v>19</v>
      </c>
      <c r="T42" s="33">
        <f t="shared" si="14"/>
        <v>370</v>
      </c>
      <c r="U42" s="26">
        <f t="shared" si="15"/>
        <v>14.0625</v>
      </c>
      <c r="V42" s="26">
        <f t="shared" si="16"/>
        <v>14.0625</v>
      </c>
      <c r="W42" s="19">
        <f t="shared" si="17"/>
        <v>711</v>
      </c>
      <c r="X42" s="22">
        <f t="shared" si="18"/>
        <v>789</v>
      </c>
      <c r="Y42" s="29">
        <f t="shared" si="19"/>
        <v>370</v>
      </c>
      <c r="Z42" s="29">
        <f t="shared" si="20"/>
        <v>474</v>
      </c>
      <c r="AA42" s="30">
        <f t="shared" si="21"/>
        <v>0.66666666666666663</v>
      </c>
      <c r="AB42" s="24">
        <f t="shared" si="22"/>
        <v>711</v>
      </c>
      <c r="AC42" s="24">
        <f t="shared" si="23"/>
        <v>817</v>
      </c>
      <c r="AD42" s="24">
        <f t="shared" si="24"/>
        <v>817</v>
      </c>
      <c r="AE42" s="24">
        <f t="shared" si="25"/>
        <v>817</v>
      </c>
      <c r="AF42" s="24">
        <f t="shared" si="26"/>
        <v>711</v>
      </c>
      <c r="AG42" s="21">
        <f t="shared" si="27"/>
        <v>817</v>
      </c>
      <c r="AH42" s="9" t="s">
        <v>134</v>
      </c>
      <c r="AI42" s="9" t="s">
        <v>139</v>
      </c>
      <c r="AJ42" s="9" t="s">
        <v>134</v>
      </c>
    </row>
    <row r="43" spans="1:36" ht="15.75" thickBot="1" x14ac:dyDescent="0.3">
      <c r="A43" s="3" t="s">
        <v>31</v>
      </c>
      <c r="B43" s="4">
        <v>135</v>
      </c>
      <c r="C43" s="4">
        <v>135</v>
      </c>
      <c r="D43" s="4">
        <v>110</v>
      </c>
      <c r="E43" s="4">
        <v>150</v>
      </c>
      <c r="F43" s="4">
        <v>135</v>
      </c>
      <c r="G43" s="4">
        <v>175</v>
      </c>
      <c r="H43" s="4">
        <v>175</v>
      </c>
      <c r="I43" s="4">
        <v>600</v>
      </c>
      <c r="J43" s="4">
        <v>3</v>
      </c>
      <c r="K43" s="6"/>
      <c r="L43" s="6"/>
      <c r="M43" s="6"/>
      <c r="N43" s="4"/>
      <c r="O43" s="14" t="s">
        <v>147</v>
      </c>
      <c r="P43" s="14">
        <v>140</v>
      </c>
      <c r="Q43" s="8">
        <v>60</v>
      </c>
      <c r="R43" s="4"/>
      <c r="S43" s="4" t="s">
        <v>32</v>
      </c>
      <c r="T43" s="33">
        <f t="shared" si="14"/>
        <v>335</v>
      </c>
      <c r="U43" s="26">
        <f t="shared" si="15"/>
        <v>13.90625</v>
      </c>
      <c r="V43" s="26">
        <f t="shared" si="16"/>
        <v>20.859375</v>
      </c>
      <c r="W43" s="19">
        <f t="shared" si="17"/>
        <v>642</v>
      </c>
      <c r="X43" s="22">
        <f t="shared" si="18"/>
        <v>712</v>
      </c>
      <c r="Y43" s="29">
        <f t="shared" si="19"/>
        <v>368</v>
      </c>
      <c r="Z43" s="29">
        <f t="shared" si="20"/>
        <v>470</v>
      </c>
      <c r="AA43" s="30">
        <f t="shared" si="21"/>
        <v>0.73208722741433019</v>
      </c>
      <c r="AB43" s="24">
        <f t="shared" si="22"/>
        <v>1926</v>
      </c>
      <c r="AC43" s="24">
        <f t="shared" si="23"/>
        <v>2889</v>
      </c>
      <c r="AD43" s="24">
        <f t="shared" si="24"/>
        <v>2456</v>
      </c>
      <c r="AE43" s="24">
        <f t="shared" si="25"/>
        <v>1621</v>
      </c>
      <c r="AF43" s="24">
        <f t="shared" si="26"/>
        <v>1444</v>
      </c>
      <c r="AG43" s="21">
        <f t="shared" si="27"/>
        <v>2889</v>
      </c>
      <c r="AH43" s="9" t="s">
        <v>137</v>
      </c>
      <c r="AI43" s="9" t="s">
        <v>133</v>
      </c>
      <c r="AJ43" s="9" t="s">
        <v>134</v>
      </c>
    </row>
    <row r="44" spans="1:36" ht="15.75" thickBot="1" x14ac:dyDescent="0.3">
      <c r="A44" s="3" t="s">
        <v>37</v>
      </c>
      <c r="B44" s="4">
        <v>465</v>
      </c>
      <c r="C44" s="4">
        <v>150</v>
      </c>
      <c r="D44" s="4">
        <v>110</v>
      </c>
      <c r="E44" s="4">
        <v>150</v>
      </c>
      <c r="F44" s="4">
        <v>202</v>
      </c>
      <c r="G44" s="4">
        <v>110</v>
      </c>
      <c r="H44" s="4">
        <v>135</v>
      </c>
      <c r="I44" s="4">
        <v>860</v>
      </c>
      <c r="J44" s="4">
        <v>1</v>
      </c>
      <c r="K44" s="13" t="s">
        <v>156</v>
      </c>
      <c r="L44" s="13"/>
      <c r="M44" s="15"/>
      <c r="N44" s="5" t="s">
        <v>17</v>
      </c>
      <c r="O44" s="14" t="s">
        <v>146</v>
      </c>
      <c r="P44" s="14">
        <v>0</v>
      </c>
      <c r="Q44" s="14">
        <v>0</v>
      </c>
      <c r="R44" s="5" t="s">
        <v>17</v>
      </c>
      <c r="S44" s="4"/>
      <c r="T44" s="33">
        <f t="shared" si="14"/>
        <v>465</v>
      </c>
      <c r="U44" s="26">
        <f t="shared" si="15"/>
        <v>13.59375</v>
      </c>
      <c r="V44" s="26">
        <f t="shared" si="16"/>
        <v>20.390625</v>
      </c>
      <c r="W44" s="19">
        <f t="shared" si="17"/>
        <v>591</v>
      </c>
      <c r="X44" s="22">
        <f t="shared" si="18"/>
        <v>654</v>
      </c>
      <c r="Y44" s="29">
        <f t="shared" si="19"/>
        <v>515</v>
      </c>
      <c r="Z44" s="29">
        <f t="shared" si="20"/>
        <v>655</v>
      </c>
      <c r="AA44" s="30">
        <f t="shared" si="21"/>
        <v>1.1082910321489001</v>
      </c>
      <c r="AB44" s="24">
        <f t="shared" si="22"/>
        <v>1182</v>
      </c>
      <c r="AC44" s="24">
        <f t="shared" si="23"/>
        <v>1359</v>
      </c>
      <c r="AD44" s="24">
        <f t="shared" si="24"/>
        <v>1359</v>
      </c>
      <c r="AE44" s="24">
        <f t="shared" si="25"/>
        <v>1359</v>
      </c>
      <c r="AF44" s="24">
        <f t="shared" si="26"/>
        <v>679</v>
      </c>
      <c r="AG44" s="21">
        <f t="shared" si="27"/>
        <v>1359</v>
      </c>
      <c r="AH44" s="9" t="s">
        <v>137</v>
      </c>
      <c r="AI44" s="9" t="s">
        <v>138</v>
      </c>
      <c r="AJ44" s="9" t="s">
        <v>136</v>
      </c>
    </row>
    <row r="45" spans="1:36" ht="15.75" thickBot="1" x14ac:dyDescent="0.3">
      <c r="A45" s="3" t="s">
        <v>88</v>
      </c>
      <c r="B45" s="4">
        <v>150</v>
      </c>
      <c r="C45" s="4">
        <v>150</v>
      </c>
      <c r="D45" s="4">
        <v>110</v>
      </c>
      <c r="E45" s="4">
        <v>150</v>
      </c>
      <c r="F45" s="4">
        <v>150</v>
      </c>
      <c r="G45" s="4">
        <v>135</v>
      </c>
      <c r="H45" s="4">
        <v>135</v>
      </c>
      <c r="I45" s="4">
        <v>720</v>
      </c>
      <c r="J45" s="4">
        <v>1</v>
      </c>
      <c r="K45" s="13" t="s">
        <v>168</v>
      </c>
      <c r="L45" s="6"/>
      <c r="M45" s="17"/>
      <c r="N45" s="8"/>
      <c r="O45" s="14" t="s">
        <v>154</v>
      </c>
      <c r="P45" s="14">
        <v>135</v>
      </c>
      <c r="Q45" s="8">
        <v>60</v>
      </c>
      <c r="R45" s="8"/>
      <c r="S45" s="4" t="s">
        <v>19</v>
      </c>
      <c r="T45" s="33">
        <f t="shared" si="14"/>
        <v>345</v>
      </c>
      <c r="U45" s="26">
        <f t="shared" si="15"/>
        <v>13.59375</v>
      </c>
      <c r="V45" s="26">
        <f t="shared" si="16"/>
        <v>20.390625</v>
      </c>
      <c r="W45" s="19">
        <f t="shared" si="17"/>
        <v>658</v>
      </c>
      <c r="X45" s="22">
        <f t="shared" si="18"/>
        <v>728</v>
      </c>
      <c r="Y45" s="29">
        <f t="shared" si="19"/>
        <v>382</v>
      </c>
      <c r="Z45" s="29">
        <f t="shared" si="20"/>
        <v>485</v>
      </c>
      <c r="AA45" s="30">
        <f t="shared" si="21"/>
        <v>0.73708206686930089</v>
      </c>
      <c r="AB45" s="24">
        <f t="shared" si="22"/>
        <v>1316</v>
      </c>
      <c r="AC45" s="24">
        <f t="shared" si="23"/>
        <v>1513</v>
      </c>
      <c r="AD45" s="24">
        <f t="shared" si="24"/>
        <v>1513</v>
      </c>
      <c r="AE45" s="24">
        <f t="shared" si="25"/>
        <v>1513</v>
      </c>
      <c r="AF45" s="24">
        <f t="shared" si="26"/>
        <v>756</v>
      </c>
      <c r="AG45" s="21">
        <f t="shared" si="27"/>
        <v>1513</v>
      </c>
      <c r="AH45" s="9" t="s">
        <v>136</v>
      </c>
      <c r="AI45" s="9" t="s">
        <v>137</v>
      </c>
      <c r="AJ45" s="9" t="s">
        <v>136</v>
      </c>
    </row>
    <row r="46" spans="1:36" ht="15.75" thickBot="1" x14ac:dyDescent="0.3">
      <c r="A46" s="3" t="s">
        <v>105</v>
      </c>
      <c r="B46" s="4">
        <v>135</v>
      </c>
      <c r="C46" s="4">
        <v>135</v>
      </c>
      <c r="D46" s="4">
        <v>110</v>
      </c>
      <c r="E46" s="4">
        <v>150</v>
      </c>
      <c r="F46" s="4">
        <v>150</v>
      </c>
      <c r="G46" s="4">
        <v>150</v>
      </c>
      <c r="H46" s="4">
        <v>150</v>
      </c>
      <c r="I46" s="4">
        <v>660</v>
      </c>
      <c r="J46" s="4">
        <v>3</v>
      </c>
      <c r="K46" s="6"/>
      <c r="L46" s="6"/>
      <c r="M46" s="6"/>
      <c r="N46" s="4"/>
      <c r="O46" s="14" t="s">
        <v>147</v>
      </c>
      <c r="P46" s="14">
        <v>140</v>
      </c>
      <c r="Q46" s="8">
        <v>60</v>
      </c>
      <c r="R46" s="4"/>
      <c r="S46" s="4" t="s">
        <v>32</v>
      </c>
      <c r="T46" s="33">
        <f t="shared" si="14"/>
        <v>335</v>
      </c>
      <c r="U46" s="26">
        <f t="shared" si="15"/>
        <v>13.125</v>
      </c>
      <c r="V46" s="26">
        <f t="shared" si="16"/>
        <v>19.6875</v>
      </c>
      <c r="W46" s="19">
        <f t="shared" si="17"/>
        <v>634</v>
      </c>
      <c r="X46" s="22">
        <f t="shared" si="18"/>
        <v>700</v>
      </c>
      <c r="Y46" s="29">
        <f t="shared" si="19"/>
        <v>372</v>
      </c>
      <c r="Z46" s="29">
        <f t="shared" si="20"/>
        <v>469</v>
      </c>
      <c r="AA46" s="30">
        <f t="shared" si="21"/>
        <v>0.73974763406940058</v>
      </c>
      <c r="AB46" s="24">
        <f t="shared" si="22"/>
        <v>1902</v>
      </c>
      <c r="AC46" s="24">
        <f t="shared" si="23"/>
        <v>2853</v>
      </c>
      <c r="AD46" s="24">
        <f t="shared" si="24"/>
        <v>2415</v>
      </c>
      <c r="AE46" s="24">
        <f t="shared" si="25"/>
        <v>1618</v>
      </c>
      <c r="AF46" s="24">
        <f t="shared" si="26"/>
        <v>1426</v>
      </c>
      <c r="AG46" s="21">
        <f t="shared" si="27"/>
        <v>2853</v>
      </c>
      <c r="AH46" s="9" t="s">
        <v>137</v>
      </c>
      <c r="AI46" s="9" t="s">
        <v>133</v>
      </c>
      <c r="AJ46" s="9" t="s">
        <v>136</v>
      </c>
    </row>
    <row r="47" spans="1:36" ht="15.75" thickBot="1" x14ac:dyDescent="0.3">
      <c r="A47" s="3" t="s">
        <v>69</v>
      </c>
      <c r="B47" s="4">
        <v>135</v>
      </c>
      <c r="C47" s="4">
        <v>135</v>
      </c>
      <c r="D47" s="4">
        <v>110</v>
      </c>
      <c r="E47" s="4">
        <v>150</v>
      </c>
      <c r="F47" s="4">
        <v>150</v>
      </c>
      <c r="G47" s="4">
        <v>150</v>
      </c>
      <c r="H47" s="4">
        <v>135</v>
      </c>
      <c r="I47" s="4">
        <v>660</v>
      </c>
      <c r="J47" s="4">
        <v>3</v>
      </c>
      <c r="K47" s="6"/>
      <c r="L47" s="6"/>
      <c r="M47" s="6"/>
      <c r="N47" s="4"/>
      <c r="O47" s="14" t="s">
        <v>151</v>
      </c>
      <c r="P47" s="14">
        <v>165</v>
      </c>
      <c r="Q47" s="8">
        <v>75</v>
      </c>
      <c r="R47" s="4"/>
      <c r="S47" s="4" t="s">
        <v>35</v>
      </c>
      <c r="T47" s="33">
        <f t="shared" si="14"/>
        <v>375</v>
      </c>
      <c r="U47" s="26">
        <f t="shared" si="15"/>
        <v>12.65625</v>
      </c>
      <c r="V47" s="26">
        <f t="shared" si="16"/>
        <v>18.984375</v>
      </c>
      <c r="W47" s="19">
        <f t="shared" si="17"/>
        <v>704</v>
      </c>
      <c r="X47" s="22">
        <f t="shared" si="18"/>
        <v>776</v>
      </c>
      <c r="Y47" s="29">
        <f t="shared" si="19"/>
        <v>412</v>
      </c>
      <c r="Z47" s="29">
        <f t="shared" si="20"/>
        <v>516</v>
      </c>
      <c r="AA47" s="30">
        <f t="shared" si="21"/>
        <v>0.73295454545454541</v>
      </c>
      <c r="AB47" s="24">
        <f t="shared" si="22"/>
        <v>2112</v>
      </c>
      <c r="AC47" s="24">
        <f t="shared" si="23"/>
        <v>3168</v>
      </c>
      <c r="AD47" s="24">
        <f t="shared" si="24"/>
        <v>2677</v>
      </c>
      <c r="AE47" s="24">
        <f t="shared" si="25"/>
        <v>1780</v>
      </c>
      <c r="AF47" s="24">
        <f t="shared" si="26"/>
        <v>1584</v>
      </c>
      <c r="AG47" s="21">
        <f t="shared" si="27"/>
        <v>3168</v>
      </c>
      <c r="AH47" s="9" t="s">
        <v>134</v>
      </c>
      <c r="AI47" s="9" t="s">
        <v>131</v>
      </c>
      <c r="AJ47" s="9" t="s">
        <v>137</v>
      </c>
    </row>
    <row r="48" spans="1:36" ht="15.75" thickBot="1" x14ac:dyDescent="0.3">
      <c r="A48" s="3" t="s">
        <v>71</v>
      </c>
      <c r="B48" s="4">
        <v>110</v>
      </c>
      <c r="C48" s="4">
        <v>135</v>
      </c>
      <c r="D48" s="4">
        <v>110</v>
      </c>
      <c r="E48" s="4">
        <v>150</v>
      </c>
      <c r="F48" s="4">
        <v>110</v>
      </c>
      <c r="G48" s="4">
        <v>150</v>
      </c>
      <c r="H48" s="4">
        <v>135</v>
      </c>
      <c r="I48" s="4">
        <v>660</v>
      </c>
      <c r="J48" s="4">
        <v>1</v>
      </c>
      <c r="K48" s="15"/>
      <c r="L48" s="6"/>
      <c r="M48" s="15"/>
      <c r="N48" s="4"/>
      <c r="O48" s="14" t="s">
        <v>160</v>
      </c>
      <c r="P48" s="14">
        <v>175</v>
      </c>
      <c r="Q48" s="8">
        <v>75</v>
      </c>
      <c r="R48" s="4"/>
      <c r="S48" s="4" t="s">
        <v>15</v>
      </c>
      <c r="T48" s="33">
        <f t="shared" si="14"/>
        <v>360</v>
      </c>
      <c r="U48" s="26">
        <f t="shared" si="15"/>
        <v>12.65625</v>
      </c>
      <c r="V48" s="26">
        <f t="shared" si="16"/>
        <v>18.984375</v>
      </c>
      <c r="W48" s="19">
        <f t="shared" si="17"/>
        <v>676</v>
      </c>
      <c r="X48" s="22">
        <f t="shared" si="18"/>
        <v>745</v>
      </c>
      <c r="Y48" s="29">
        <f t="shared" si="19"/>
        <v>387</v>
      </c>
      <c r="Z48" s="29">
        <f t="shared" si="20"/>
        <v>484</v>
      </c>
      <c r="AA48" s="30">
        <f t="shared" si="21"/>
        <v>0.71597633136094674</v>
      </c>
      <c r="AB48" s="24">
        <f t="shared" si="22"/>
        <v>1352</v>
      </c>
      <c r="AC48" s="24">
        <f t="shared" si="23"/>
        <v>1554</v>
      </c>
      <c r="AD48" s="24">
        <f t="shared" si="24"/>
        <v>1554</v>
      </c>
      <c r="AE48" s="24">
        <f t="shared" si="25"/>
        <v>1554</v>
      </c>
      <c r="AF48" s="24">
        <f t="shared" si="26"/>
        <v>777</v>
      </c>
      <c r="AG48" s="21">
        <f t="shared" si="27"/>
        <v>1554</v>
      </c>
      <c r="AH48" s="9" t="s">
        <v>134</v>
      </c>
      <c r="AI48" s="9" t="s">
        <v>137</v>
      </c>
      <c r="AJ48" s="9" t="s">
        <v>137</v>
      </c>
    </row>
    <row r="49" spans="1:36" ht="15.75" thickBot="1" x14ac:dyDescent="0.3">
      <c r="A49" s="3" t="s">
        <v>26</v>
      </c>
      <c r="B49" s="4">
        <v>135</v>
      </c>
      <c r="C49" s="4">
        <v>135</v>
      </c>
      <c r="D49" s="4">
        <v>110</v>
      </c>
      <c r="E49" s="4">
        <v>150</v>
      </c>
      <c r="F49" s="4">
        <v>150</v>
      </c>
      <c r="G49" s="4">
        <v>175</v>
      </c>
      <c r="H49" s="4">
        <v>95</v>
      </c>
      <c r="I49" s="4">
        <v>780</v>
      </c>
      <c r="J49" s="4">
        <v>1</v>
      </c>
      <c r="K49" s="13" t="s">
        <v>152</v>
      </c>
      <c r="L49" s="6"/>
      <c r="M49" s="15"/>
      <c r="N49" s="4"/>
      <c r="O49" s="14" t="s">
        <v>151</v>
      </c>
      <c r="P49" s="14">
        <v>165</v>
      </c>
      <c r="Q49" s="8">
        <v>60</v>
      </c>
      <c r="R49" s="4"/>
      <c r="S49" s="4" t="s">
        <v>19</v>
      </c>
      <c r="T49" s="33">
        <f t="shared" si="14"/>
        <v>360</v>
      </c>
      <c r="U49" s="26">
        <f t="shared" si="15"/>
        <v>11.40625</v>
      </c>
      <c r="V49" s="26">
        <f t="shared" si="16"/>
        <v>17.109375</v>
      </c>
      <c r="W49" s="19">
        <f t="shared" si="17"/>
        <v>663</v>
      </c>
      <c r="X49" s="22">
        <f t="shared" si="18"/>
        <v>724</v>
      </c>
      <c r="Y49" s="29">
        <f t="shared" si="19"/>
        <v>397</v>
      </c>
      <c r="Z49" s="29">
        <f t="shared" si="20"/>
        <v>487</v>
      </c>
      <c r="AA49" s="30">
        <f t="shared" si="21"/>
        <v>0.73453996983408754</v>
      </c>
      <c r="AB49" s="24">
        <f t="shared" si="22"/>
        <v>1326</v>
      </c>
      <c r="AC49" s="24">
        <f t="shared" si="23"/>
        <v>1524</v>
      </c>
      <c r="AD49" s="24">
        <f t="shared" si="24"/>
        <v>1524</v>
      </c>
      <c r="AE49" s="24">
        <f t="shared" si="25"/>
        <v>1524</v>
      </c>
      <c r="AF49" s="24">
        <f t="shared" si="26"/>
        <v>762</v>
      </c>
      <c r="AG49" s="21">
        <f t="shared" si="27"/>
        <v>1524</v>
      </c>
      <c r="AH49" s="9" t="s">
        <v>136</v>
      </c>
      <c r="AI49" s="9" t="s">
        <v>137</v>
      </c>
      <c r="AJ49" s="9" t="s">
        <v>139</v>
      </c>
    </row>
    <row r="50" spans="1:36" ht="15.75" thickBot="1" x14ac:dyDescent="0.3">
      <c r="A50" s="3" t="s">
        <v>102</v>
      </c>
      <c r="B50" s="4">
        <v>135</v>
      </c>
      <c r="C50" s="4">
        <v>210</v>
      </c>
      <c r="D50" s="4">
        <v>110</v>
      </c>
      <c r="E50" s="4">
        <v>135</v>
      </c>
      <c r="F50" s="4">
        <v>110</v>
      </c>
      <c r="G50" s="4">
        <v>110</v>
      </c>
      <c r="H50" s="4">
        <v>175</v>
      </c>
      <c r="I50" s="4">
        <v>660</v>
      </c>
      <c r="J50" s="4">
        <v>1</v>
      </c>
      <c r="K50" s="15"/>
      <c r="L50" s="6"/>
      <c r="M50" s="15"/>
      <c r="N50" s="4"/>
      <c r="O50" s="14" t="s">
        <v>155</v>
      </c>
      <c r="P50" s="14">
        <v>140</v>
      </c>
      <c r="Q50" s="8">
        <v>60</v>
      </c>
      <c r="R50" s="4"/>
      <c r="S50" s="4" t="s">
        <v>19</v>
      </c>
      <c r="T50" s="33">
        <f t="shared" si="14"/>
        <v>335</v>
      </c>
      <c r="U50" s="26">
        <f t="shared" si="15"/>
        <v>18.59375</v>
      </c>
      <c r="V50" s="26">
        <f t="shared" si="16"/>
        <v>27.890625</v>
      </c>
      <c r="W50" s="19">
        <f t="shared" si="17"/>
        <v>689</v>
      </c>
      <c r="X50" s="22">
        <f t="shared" si="18"/>
        <v>782</v>
      </c>
      <c r="Y50" s="29">
        <f t="shared" si="19"/>
        <v>362</v>
      </c>
      <c r="Z50" s="29">
        <f t="shared" si="20"/>
        <v>496</v>
      </c>
      <c r="AA50" s="30">
        <f t="shared" si="21"/>
        <v>0.71988388969521044</v>
      </c>
      <c r="AB50" s="24">
        <f t="shared" si="22"/>
        <v>1378</v>
      </c>
      <c r="AC50" s="24">
        <f t="shared" si="23"/>
        <v>1584</v>
      </c>
      <c r="AD50" s="24">
        <f t="shared" si="24"/>
        <v>1584</v>
      </c>
      <c r="AE50" s="24">
        <f t="shared" si="25"/>
        <v>1584</v>
      </c>
      <c r="AF50" s="24">
        <f t="shared" si="26"/>
        <v>792</v>
      </c>
      <c r="AG50" s="21">
        <f t="shared" si="27"/>
        <v>1584</v>
      </c>
      <c r="AH50" s="9" t="s">
        <v>136</v>
      </c>
      <c r="AI50" s="9" t="s">
        <v>137</v>
      </c>
      <c r="AJ50" s="9" t="s">
        <v>131</v>
      </c>
    </row>
    <row r="51" spans="1:36" ht="15.75" thickBot="1" x14ac:dyDescent="0.3">
      <c r="A51" s="3" t="s">
        <v>103</v>
      </c>
      <c r="B51" s="4">
        <v>150</v>
      </c>
      <c r="C51" s="4">
        <v>195</v>
      </c>
      <c r="D51" s="4">
        <v>110</v>
      </c>
      <c r="E51" s="4">
        <v>135</v>
      </c>
      <c r="F51" s="4">
        <v>110</v>
      </c>
      <c r="G51" s="4">
        <v>95</v>
      </c>
      <c r="H51" s="4">
        <v>195</v>
      </c>
      <c r="I51" s="4">
        <v>660</v>
      </c>
      <c r="J51" s="4">
        <v>0</v>
      </c>
      <c r="K51" s="15"/>
      <c r="L51" s="13" t="s">
        <v>171</v>
      </c>
      <c r="M51" s="15"/>
      <c r="N51" s="4"/>
      <c r="O51" s="14" t="s">
        <v>159</v>
      </c>
      <c r="P51" s="14">
        <v>160</v>
      </c>
      <c r="Q51" s="8">
        <v>75</v>
      </c>
      <c r="R51" s="4"/>
      <c r="S51" s="4" t="s">
        <v>35</v>
      </c>
      <c r="T51" s="33">
        <f t="shared" si="14"/>
        <v>385</v>
      </c>
      <c r="U51" s="26">
        <f t="shared" si="15"/>
        <v>18.28125</v>
      </c>
      <c r="V51" s="26">
        <f t="shared" si="16"/>
        <v>18.28125</v>
      </c>
      <c r="W51" s="19">
        <f t="shared" si="17"/>
        <v>788</v>
      </c>
      <c r="X51" s="22">
        <f t="shared" si="18"/>
        <v>894</v>
      </c>
      <c r="Y51" s="29">
        <f t="shared" si="19"/>
        <v>385</v>
      </c>
      <c r="Z51" s="29">
        <f t="shared" si="20"/>
        <v>525</v>
      </c>
      <c r="AA51" s="30">
        <f t="shared" si="21"/>
        <v>0.66624365482233505</v>
      </c>
      <c r="AB51" s="24">
        <f t="shared" si="22"/>
        <v>788</v>
      </c>
      <c r="AC51" s="24">
        <f t="shared" si="23"/>
        <v>906</v>
      </c>
      <c r="AD51" s="24">
        <f t="shared" si="24"/>
        <v>906</v>
      </c>
      <c r="AE51" s="24">
        <f t="shared" si="25"/>
        <v>906</v>
      </c>
      <c r="AF51" s="24">
        <f t="shared" si="26"/>
        <v>788</v>
      </c>
      <c r="AG51" s="21">
        <f t="shared" si="27"/>
        <v>906</v>
      </c>
      <c r="AH51" s="9" t="s">
        <v>132</v>
      </c>
      <c r="AI51" s="9" t="s">
        <v>139</v>
      </c>
      <c r="AJ51" s="9" t="s">
        <v>131</v>
      </c>
    </row>
    <row r="52" spans="1:36" ht="15.75" thickBot="1" x14ac:dyDescent="0.3">
      <c r="A52" s="3" t="s">
        <v>116</v>
      </c>
      <c r="B52" s="4">
        <v>135</v>
      </c>
      <c r="C52" s="4">
        <v>195</v>
      </c>
      <c r="D52" s="4">
        <v>110</v>
      </c>
      <c r="E52" s="4">
        <v>135</v>
      </c>
      <c r="F52" s="4">
        <v>150</v>
      </c>
      <c r="G52" s="4">
        <v>135</v>
      </c>
      <c r="H52" s="4">
        <v>175</v>
      </c>
      <c r="I52" s="4">
        <v>660</v>
      </c>
      <c r="J52" s="4">
        <v>2</v>
      </c>
      <c r="K52" s="15"/>
      <c r="L52" s="6"/>
      <c r="M52" s="6"/>
      <c r="N52" s="4"/>
      <c r="O52" s="14" t="s">
        <v>147</v>
      </c>
      <c r="P52" s="14">
        <v>140</v>
      </c>
      <c r="Q52" s="8">
        <v>60</v>
      </c>
      <c r="R52" s="4"/>
      <c r="S52" s="4" t="s">
        <v>19</v>
      </c>
      <c r="T52" s="33">
        <f t="shared" si="14"/>
        <v>335</v>
      </c>
      <c r="U52" s="26">
        <f t="shared" si="15"/>
        <v>17.65625</v>
      </c>
      <c r="V52" s="26">
        <f t="shared" si="16"/>
        <v>26.484375</v>
      </c>
      <c r="W52" s="19">
        <f t="shared" si="17"/>
        <v>679</v>
      </c>
      <c r="X52" s="22">
        <f t="shared" si="18"/>
        <v>768</v>
      </c>
      <c r="Y52" s="29">
        <f t="shared" si="19"/>
        <v>372</v>
      </c>
      <c r="Z52" s="29">
        <f t="shared" si="20"/>
        <v>503</v>
      </c>
      <c r="AA52" s="30">
        <f t="shared" si="21"/>
        <v>0.7407952871870398</v>
      </c>
      <c r="AB52" s="24">
        <f t="shared" si="22"/>
        <v>2037</v>
      </c>
      <c r="AC52" s="24">
        <f t="shared" si="23"/>
        <v>2342</v>
      </c>
      <c r="AD52" s="24">
        <f t="shared" si="24"/>
        <v>2342</v>
      </c>
      <c r="AE52" s="24">
        <f t="shared" si="25"/>
        <v>2342</v>
      </c>
      <c r="AF52" s="24">
        <f t="shared" si="26"/>
        <v>1171</v>
      </c>
      <c r="AG52" s="21">
        <f t="shared" si="27"/>
        <v>2342</v>
      </c>
      <c r="AH52" s="9" t="s">
        <v>136</v>
      </c>
      <c r="AI52" s="9" t="s">
        <v>135</v>
      </c>
      <c r="AJ52" s="9" t="s">
        <v>133</v>
      </c>
    </row>
    <row r="53" spans="1:36" ht="15.75" thickBot="1" x14ac:dyDescent="0.3">
      <c r="A53" s="3" t="s">
        <v>82</v>
      </c>
      <c r="B53" s="4">
        <v>110</v>
      </c>
      <c r="C53" s="4">
        <v>150</v>
      </c>
      <c r="D53" s="4">
        <v>110</v>
      </c>
      <c r="E53" s="4">
        <v>135</v>
      </c>
      <c r="F53" s="4">
        <v>110</v>
      </c>
      <c r="G53" s="4">
        <v>150</v>
      </c>
      <c r="H53" s="4">
        <v>210</v>
      </c>
      <c r="I53" s="4">
        <v>600</v>
      </c>
      <c r="J53" s="4">
        <v>1</v>
      </c>
      <c r="K53" s="5"/>
      <c r="L53" s="4"/>
      <c r="M53" s="13" t="s">
        <v>128</v>
      </c>
      <c r="N53" s="4"/>
      <c r="O53" s="14" t="s">
        <v>155</v>
      </c>
      <c r="P53" s="14">
        <v>140</v>
      </c>
      <c r="Q53" s="8">
        <v>40</v>
      </c>
      <c r="R53" s="4"/>
      <c r="S53" s="4" t="s">
        <v>23</v>
      </c>
      <c r="T53" s="33">
        <f t="shared" si="14"/>
        <v>290</v>
      </c>
      <c r="U53" s="26">
        <f t="shared" si="15"/>
        <v>15.9375</v>
      </c>
      <c r="V53" s="26">
        <f t="shared" si="16"/>
        <v>23.90625</v>
      </c>
      <c r="W53" s="19">
        <f t="shared" si="17"/>
        <v>573</v>
      </c>
      <c r="X53" s="22">
        <f t="shared" si="18"/>
        <v>642</v>
      </c>
      <c r="Y53" s="29">
        <f t="shared" si="19"/>
        <v>317</v>
      </c>
      <c r="Z53" s="29">
        <f t="shared" si="20"/>
        <v>418</v>
      </c>
      <c r="AA53" s="30">
        <f t="shared" si="21"/>
        <v>0.72949389179755675</v>
      </c>
      <c r="AB53" s="24">
        <f t="shared" si="22"/>
        <v>1146</v>
      </c>
      <c r="AC53" s="24">
        <f t="shared" si="23"/>
        <v>1317</v>
      </c>
      <c r="AD53" s="24">
        <f t="shared" si="24"/>
        <v>1317</v>
      </c>
      <c r="AE53" s="24">
        <f t="shared" si="25"/>
        <v>1317</v>
      </c>
      <c r="AF53" s="24">
        <f t="shared" si="26"/>
        <v>658</v>
      </c>
      <c r="AG53" s="21">
        <f t="shared" si="27"/>
        <v>1317</v>
      </c>
      <c r="AH53" s="9" t="s">
        <v>137</v>
      </c>
      <c r="AI53" s="9" t="s">
        <v>138</v>
      </c>
      <c r="AJ53" s="9" t="s">
        <v>133</v>
      </c>
    </row>
    <row r="54" spans="1:36" ht="15.75" thickBot="1" x14ac:dyDescent="0.3">
      <c r="A54" s="3" t="s">
        <v>112</v>
      </c>
      <c r="B54" s="4">
        <v>150</v>
      </c>
      <c r="C54" s="4">
        <v>175</v>
      </c>
      <c r="D54" s="4">
        <v>110</v>
      </c>
      <c r="E54" s="4">
        <v>135</v>
      </c>
      <c r="F54" s="4">
        <v>135</v>
      </c>
      <c r="G54" s="4">
        <v>150</v>
      </c>
      <c r="H54" s="4">
        <v>135</v>
      </c>
      <c r="I54" s="4">
        <v>660</v>
      </c>
      <c r="J54" s="4">
        <v>1</v>
      </c>
      <c r="K54" s="15"/>
      <c r="L54" s="6"/>
      <c r="M54" s="15"/>
      <c r="N54" s="4"/>
      <c r="O54" s="14" t="s">
        <v>147</v>
      </c>
      <c r="P54" s="14">
        <v>140</v>
      </c>
      <c r="Q54" s="8">
        <v>60</v>
      </c>
      <c r="R54" s="4"/>
      <c r="S54" s="4" t="s">
        <v>19</v>
      </c>
      <c r="T54" s="33">
        <f t="shared" si="14"/>
        <v>350</v>
      </c>
      <c r="U54" s="26">
        <f t="shared" si="15"/>
        <v>15.15625</v>
      </c>
      <c r="V54" s="26">
        <f t="shared" si="16"/>
        <v>22.734375</v>
      </c>
      <c r="W54" s="19">
        <f t="shared" si="17"/>
        <v>684</v>
      </c>
      <c r="X54" s="22">
        <f t="shared" si="18"/>
        <v>763</v>
      </c>
      <c r="Y54" s="29">
        <f t="shared" si="19"/>
        <v>383</v>
      </c>
      <c r="Z54" s="29">
        <f t="shared" si="20"/>
        <v>499</v>
      </c>
      <c r="AA54" s="30">
        <f t="shared" si="21"/>
        <v>0.72953216374269003</v>
      </c>
      <c r="AB54" s="24">
        <f t="shared" si="22"/>
        <v>1368</v>
      </c>
      <c r="AC54" s="24">
        <f t="shared" si="23"/>
        <v>1573</v>
      </c>
      <c r="AD54" s="24">
        <f t="shared" si="24"/>
        <v>1573</v>
      </c>
      <c r="AE54" s="24">
        <f t="shared" si="25"/>
        <v>1573</v>
      </c>
      <c r="AF54" s="24">
        <f t="shared" si="26"/>
        <v>786</v>
      </c>
      <c r="AG54" s="21">
        <f t="shared" si="27"/>
        <v>1573</v>
      </c>
      <c r="AH54" s="9" t="s">
        <v>136</v>
      </c>
      <c r="AI54" s="9" t="s">
        <v>137</v>
      </c>
      <c r="AJ54" s="9" t="s">
        <v>134</v>
      </c>
    </row>
    <row r="55" spans="1:36" ht="15.75" thickBot="1" x14ac:dyDescent="0.3">
      <c r="A55" s="3" t="s">
        <v>47</v>
      </c>
      <c r="B55" s="4">
        <v>135</v>
      </c>
      <c r="C55" s="4">
        <v>150</v>
      </c>
      <c r="D55" s="4">
        <v>110</v>
      </c>
      <c r="E55" s="4">
        <v>135</v>
      </c>
      <c r="F55" s="4">
        <v>135</v>
      </c>
      <c r="G55" s="4">
        <v>95</v>
      </c>
      <c r="H55" s="4">
        <v>175</v>
      </c>
      <c r="I55" s="4">
        <v>660</v>
      </c>
      <c r="J55" s="4">
        <v>1</v>
      </c>
      <c r="K55" s="15"/>
      <c r="L55" s="6"/>
      <c r="M55" s="15"/>
      <c r="N55" s="4"/>
      <c r="O55" s="14" t="s">
        <v>149</v>
      </c>
      <c r="P55" s="14">
        <v>150</v>
      </c>
      <c r="Q55" s="8">
        <v>79</v>
      </c>
      <c r="R55" s="4"/>
      <c r="S55" s="4" t="s">
        <v>48</v>
      </c>
      <c r="T55" s="33">
        <f t="shared" si="14"/>
        <v>364</v>
      </c>
      <c r="U55" s="26">
        <f t="shared" si="15"/>
        <v>14.84375</v>
      </c>
      <c r="V55" s="26">
        <f t="shared" si="16"/>
        <v>22.265625</v>
      </c>
      <c r="W55" s="19">
        <f t="shared" si="17"/>
        <v>708</v>
      </c>
      <c r="X55" s="22">
        <f t="shared" si="18"/>
        <v>789</v>
      </c>
      <c r="Y55" s="29">
        <f t="shared" si="19"/>
        <v>397</v>
      </c>
      <c r="Z55" s="29">
        <f t="shared" si="20"/>
        <v>514</v>
      </c>
      <c r="AA55" s="30">
        <f t="shared" si="21"/>
        <v>0.72598870056497178</v>
      </c>
      <c r="AB55" s="24">
        <f t="shared" si="22"/>
        <v>1416</v>
      </c>
      <c r="AC55" s="24">
        <f t="shared" si="23"/>
        <v>1628</v>
      </c>
      <c r="AD55" s="24">
        <f t="shared" si="24"/>
        <v>1628</v>
      </c>
      <c r="AE55" s="24">
        <f t="shared" si="25"/>
        <v>1628</v>
      </c>
      <c r="AF55" s="24">
        <f t="shared" si="26"/>
        <v>814</v>
      </c>
      <c r="AG55" s="21">
        <f t="shared" si="27"/>
        <v>1628</v>
      </c>
      <c r="AH55" s="9" t="s">
        <v>134</v>
      </c>
      <c r="AI55" s="9" t="s">
        <v>136</v>
      </c>
      <c r="AJ55" s="9" t="s">
        <v>135</v>
      </c>
    </row>
    <row r="56" spans="1:36" ht="15.75" thickBot="1" x14ac:dyDescent="0.3">
      <c r="A56" s="3" t="s">
        <v>40</v>
      </c>
      <c r="B56" s="4">
        <v>135</v>
      </c>
      <c r="C56" s="4">
        <v>135</v>
      </c>
      <c r="D56" s="4">
        <v>110</v>
      </c>
      <c r="E56" s="4">
        <v>135</v>
      </c>
      <c r="F56" s="4">
        <v>135</v>
      </c>
      <c r="G56" s="4">
        <v>135</v>
      </c>
      <c r="H56" s="4">
        <v>195</v>
      </c>
      <c r="I56" s="4">
        <v>660</v>
      </c>
      <c r="J56" s="4">
        <v>2</v>
      </c>
      <c r="K56" s="15"/>
      <c r="L56" s="6"/>
      <c r="M56" s="6"/>
      <c r="N56" s="7" t="s">
        <v>14</v>
      </c>
      <c r="O56" s="14" t="s">
        <v>149</v>
      </c>
      <c r="P56" s="14">
        <v>150</v>
      </c>
      <c r="Q56" s="8">
        <v>59</v>
      </c>
      <c r="R56" s="7" t="s">
        <v>14</v>
      </c>
      <c r="S56" s="4" t="s">
        <v>30</v>
      </c>
      <c r="T56" s="33">
        <f t="shared" si="14"/>
        <v>344</v>
      </c>
      <c r="U56" s="26">
        <f t="shared" si="15"/>
        <v>14.53125</v>
      </c>
      <c r="V56" s="26">
        <f t="shared" si="16"/>
        <v>21.796875</v>
      </c>
      <c r="W56" s="19">
        <f t="shared" si="17"/>
        <v>554</v>
      </c>
      <c r="X56" s="22">
        <f t="shared" si="18"/>
        <v>617</v>
      </c>
      <c r="Y56" s="29">
        <f t="shared" si="19"/>
        <v>377</v>
      </c>
      <c r="Z56" s="29">
        <f t="shared" si="20"/>
        <v>486</v>
      </c>
      <c r="AA56" s="30">
        <f t="shared" si="21"/>
        <v>0.87725631768953072</v>
      </c>
      <c r="AB56" s="24">
        <f t="shared" si="22"/>
        <v>1662</v>
      </c>
      <c r="AC56" s="24">
        <f t="shared" si="23"/>
        <v>1911</v>
      </c>
      <c r="AD56" s="24">
        <f t="shared" si="24"/>
        <v>1911</v>
      </c>
      <c r="AE56" s="24">
        <f t="shared" si="25"/>
        <v>1911</v>
      </c>
      <c r="AF56" s="24">
        <f t="shared" si="26"/>
        <v>955</v>
      </c>
      <c r="AG56" s="21">
        <f t="shared" si="27"/>
        <v>1911</v>
      </c>
      <c r="AH56" s="9" t="s">
        <v>137</v>
      </c>
      <c r="AI56" s="9" t="s">
        <v>134</v>
      </c>
      <c r="AJ56" s="9" t="s">
        <v>135</v>
      </c>
    </row>
    <row r="57" spans="1:36" ht="15.75" thickBot="1" x14ac:dyDescent="0.3">
      <c r="A57" s="3" t="s">
        <v>121</v>
      </c>
      <c r="B57" s="4">
        <v>135</v>
      </c>
      <c r="C57" s="4">
        <v>175</v>
      </c>
      <c r="D57" s="4">
        <v>110</v>
      </c>
      <c r="E57" s="4">
        <v>135</v>
      </c>
      <c r="F57" s="4">
        <v>110</v>
      </c>
      <c r="G57" s="4">
        <v>175</v>
      </c>
      <c r="H57" s="4">
        <v>110</v>
      </c>
      <c r="I57" s="4">
        <v>660</v>
      </c>
      <c r="J57" s="4">
        <v>1</v>
      </c>
      <c r="K57" s="15"/>
      <c r="L57" s="6"/>
      <c r="M57" s="15"/>
      <c r="N57" s="4"/>
      <c r="O57" s="14" t="s">
        <v>149</v>
      </c>
      <c r="P57" s="14">
        <v>150</v>
      </c>
      <c r="Q57" s="8">
        <v>55</v>
      </c>
      <c r="R57" s="4"/>
      <c r="S57" s="4" t="s">
        <v>122</v>
      </c>
      <c r="T57" s="33">
        <f t="shared" si="14"/>
        <v>340</v>
      </c>
      <c r="U57" s="26">
        <f t="shared" si="15"/>
        <v>14.375</v>
      </c>
      <c r="V57" s="26">
        <f t="shared" si="16"/>
        <v>21.5625</v>
      </c>
      <c r="W57" s="19">
        <f t="shared" si="17"/>
        <v>656</v>
      </c>
      <c r="X57" s="22">
        <f t="shared" si="18"/>
        <v>729</v>
      </c>
      <c r="Y57" s="29">
        <f t="shared" si="19"/>
        <v>367</v>
      </c>
      <c r="Z57" s="29">
        <f t="shared" si="20"/>
        <v>472</v>
      </c>
      <c r="AA57" s="30">
        <f t="shared" si="21"/>
        <v>0.71951219512195119</v>
      </c>
      <c r="AB57" s="24">
        <f t="shared" si="22"/>
        <v>1312</v>
      </c>
      <c r="AC57" s="24">
        <f t="shared" si="23"/>
        <v>1508</v>
      </c>
      <c r="AD57" s="24">
        <f t="shared" si="24"/>
        <v>1508</v>
      </c>
      <c r="AE57" s="24">
        <f t="shared" si="25"/>
        <v>1508</v>
      </c>
      <c r="AF57" s="24">
        <f t="shared" si="26"/>
        <v>754</v>
      </c>
      <c r="AG57" s="21">
        <f t="shared" si="27"/>
        <v>1508</v>
      </c>
      <c r="AH57" s="9" t="s">
        <v>136</v>
      </c>
      <c r="AI57" s="9" t="s">
        <v>138</v>
      </c>
      <c r="AJ57" s="9" t="s">
        <v>136</v>
      </c>
    </row>
    <row r="58" spans="1:36" ht="15.75" thickBot="1" x14ac:dyDescent="0.3">
      <c r="A58" s="3" t="s">
        <v>73</v>
      </c>
      <c r="B58" s="4">
        <v>150</v>
      </c>
      <c r="C58" s="4">
        <v>135</v>
      </c>
      <c r="D58" s="4">
        <v>110</v>
      </c>
      <c r="E58" s="4">
        <v>135</v>
      </c>
      <c r="F58" s="4">
        <v>135</v>
      </c>
      <c r="G58" s="4">
        <v>135</v>
      </c>
      <c r="H58" s="4">
        <v>150</v>
      </c>
      <c r="I58" s="4">
        <v>720</v>
      </c>
      <c r="J58" s="4">
        <v>1</v>
      </c>
      <c r="K58" s="15"/>
      <c r="L58" s="6"/>
      <c r="M58" s="15"/>
      <c r="N58" s="4"/>
      <c r="O58" s="14" t="s">
        <v>155</v>
      </c>
      <c r="P58" s="14">
        <v>140</v>
      </c>
      <c r="Q58" s="8">
        <v>79</v>
      </c>
      <c r="R58" s="4"/>
      <c r="S58" s="4" t="s">
        <v>74</v>
      </c>
      <c r="T58" s="33">
        <f t="shared" si="14"/>
        <v>369</v>
      </c>
      <c r="U58" s="26">
        <f t="shared" si="15"/>
        <v>13.125</v>
      </c>
      <c r="V58" s="26">
        <f t="shared" si="16"/>
        <v>19.6875</v>
      </c>
      <c r="W58" s="19">
        <f t="shared" si="17"/>
        <v>698</v>
      </c>
      <c r="X58" s="22">
        <f t="shared" si="18"/>
        <v>771</v>
      </c>
      <c r="Y58" s="29">
        <f t="shared" si="19"/>
        <v>402</v>
      </c>
      <c r="Z58" s="29">
        <f t="shared" si="20"/>
        <v>507</v>
      </c>
      <c r="AA58" s="30">
        <f t="shared" si="21"/>
        <v>0.72636103151862463</v>
      </c>
      <c r="AB58" s="24">
        <f t="shared" si="22"/>
        <v>1396</v>
      </c>
      <c r="AC58" s="24">
        <f t="shared" si="23"/>
        <v>1605</v>
      </c>
      <c r="AD58" s="24">
        <f t="shared" si="24"/>
        <v>1605</v>
      </c>
      <c r="AE58" s="24">
        <f t="shared" si="25"/>
        <v>1605</v>
      </c>
      <c r="AF58" s="24">
        <f t="shared" si="26"/>
        <v>802</v>
      </c>
      <c r="AG58" s="21">
        <f t="shared" si="27"/>
        <v>1605</v>
      </c>
      <c r="AH58" s="9" t="s">
        <v>134</v>
      </c>
      <c r="AI58" s="9" t="s">
        <v>137</v>
      </c>
      <c r="AJ58" s="9" t="s">
        <v>136</v>
      </c>
    </row>
    <row r="59" spans="1:36" ht="15.75" thickBot="1" x14ac:dyDescent="0.3">
      <c r="A59" s="3" t="s">
        <v>84</v>
      </c>
      <c r="B59" s="4">
        <v>175</v>
      </c>
      <c r="C59" s="4">
        <v>135</v>
      </c>
      <c r="D59" s="4">
        <v>110</v>
      </c>
      <c r="E59" s="4">
        <v>135</v>
      </c>
      <c r="F59" s="4">
        <v>175</v>
      </c>
      <c r="G59" s="4">
        <v>135</v>
      </c>
      <c r="H59" s="4">
        <v>135</v>
      </c>
      <c r="I59" s="4">
        <v>720</v>
      </c>
      <c r="J59" s="4">
        <v>1</v>
      </c>
      <c r="K59" s="15"/>
      <c r="L59" s="13" t="s">
        <v>127</v>
      </c>
      <c r="M59" s="6"/>
      <c r="N59" s="4"/>
      <c r="O59" s="14" t="s">
        <v>149</v>
      </c>
      <c r="P59" s="14">
        <v>150</v>
      </c>
      <c r="Q59" s="8">
        <v>70</v>
      </c>
      <c r="R59" s="4"/>
      <c r="S59" s="4" t="s">
        <v>25</v>
      </c>
      <c r="T59" s="33">
        <f t="shared" si="14"/>
        <v>395</v>
      </c>
      <c r="U59" s="26">
        <f t="shared" si="15"/>
        <v>12.65625</v>
      </c>
      <c r="V59" s="26">
        <f t="shared" si="16"/>
        <v>18.984375</v>
      </c>
      <c r="W59" s="19">
        <f t="shared" si="17"/>
        <v>742</v>
      </c>
      <c r="X59" s="22">
        <f t="shared" si="18"/>
        <v>817</v>
      </c>
      <c r="Y59" s="29">
        <f t="shared" si="19"/>
        <v>438</v>
      </c>
      <c r="Z59" s="29">
        <f t="shared" si="20"/>
        <v>548</v>
      </c>
      <c r="AA59" s="30">
        <f t="shared" si="21"/>
        <v>0.73854447439353099</v>
      </c>
      <c r="AB59" s="24">
        <f t="shared" si="22"/>
        <v>1484</v>
      </c>
      <c r="AC59" s="24">
        <f t="shared" si="23"/>
        <v>1706</v>
      </c>
      <c r="AD59" s="24">
        <f t="shared" si="24"/>
        <v>1706</v>
      </c>
      <c r="AE59" s="24">
        <f t="shared" si="25"/>
        <v>1706</v>
      </c>
      <c r="AF59" s="24">
        <f t="shared" si="26"/>
        <v>853</v>
      </c>
      <c r="AG59" s="21">
        <f t="shared" si="27"/>
        <v>1706</v>
      </c>
      <c r="AH59" s="9" t="s">
        <v>135</v>
      </c>
      <c r="AI59" s="9" t="s">
        <v>136</v>
      </c>
      <c r="AJ59" s="9" t="s">
        <v>137</v>
      </c>
    </row>
    <row r="60" spans="1:36" ht="15.75" thickBot="1" x14ac:dyDescent="0.3">
      <c r="A60" s="3" t="s">
        <v>24</v>
      </c>
      <c r="B60" s="4">
        <v>135</v>
      </c>
      <c r="C60" s="4">
        <v>135</v>
      </c>
      <c r="D60" s="4">
        <v>110</v>
      </c>
      <c r="E60" s="4">
        <v>135</v>
      </c>
      <c r="F60" s="4">
        <v>135</v>
      </c>
      <c r="G60" s="4">
        <v>135</v>
      </c>
      <c r="H60" s="4">
        <v>110</v>
      </c>
      <c r="I60" s="4">
        <v>720</v>
      </c>
      <c r="J60" s="4">
        <v>1</v>
      </c>
      <c r="K60" s="15"/>
      <c r="L60" s="6"/>
      <c r="M60" s="13" t="s">
        <v>150</v>
      </c>
      <c r="N60" s="4"/>
      <c r="O60" s="14" t="s">
        <v>151</v>
      </c>
      <c r="P60" s="14">
        <v>165</v>
      </c>
      <c r="Q60" s="8">
        <v>79</v>
      </c>
      <c r="R60" s="4"/>
      <c r="S60" s="4" t="s">
        <v>25</v>
      </c>
      <c r="T60" s="33">
        <f t="shared" si="14"/>
        <v>379</v>
      </c>
      <c r="U60" s="26">
        <f t="shared" si="15"/>
        <v>11.875</v>
      </c>
      <c r="V60" s="26">
        <f t="shared" si="16"/>
        <v>17.8125</v>
      </c>
      <c r="W60" s="19">
        <f t="shared" si="17"/>
        <v>703</v>
      </c>
      <c r="X60" s="22">
        <f t="shared" si="18"/>
        <v>771</v>
      </c>
      <c r="Y60" s="29">
        <f t="shared" si="19"/>
        <v>412</v>
      </c>
      <c r="Z60" s="29">
        <f t="shared" si="20"/>
        <v>509</v>
      </c>
      <c r="AA60" s="30">
        <f t="shared" si="21"/>
        <v>0.72403982930298716</v>
      </c>
      <c r="AB60" s="24">
        <f t="shared" si="22"/>
        <v>1406</v>
      </c>
      <c r="AC60" s="24">
        <f t="shared" si="23"/>
        <v>1616</v>
      </c>
      <c r="AD60" s="24">
        <f t="shared" si="24"/>
        <v>1616</v>
      </c>
      <c r="AE60" s="24">
        <f t="shared" si="25"/>
        <v>1616</v>
      </c>
      <c r="AF60" s="24">
        <f t="shared" si="26"/>
        <v>808</v>
      </c>
      <c r="AG60" s="21">
        <f t="shared" si="27"/>
        <v>1616</v>
      </c>
      <c r="AH60" s="9" t="s">
        <v>134</v>
      </c>
      <c r="AI60" s="9" t="s">
        <v>136</v>
      </c>
      <c r="AJ60" s="9" t="s">
        <v>138</v>
      </c>
    </row>
    <row r="61" spans="1:36" ht="15.75" thickBot="1" x14ac:dyDescent="0.3">
      <c r="A61" s="3" t="s">
        <v>52</v>
      </c>
      <c r="B61" s="4">
        <v>110</v>
      </c>
      <c r="C61" s="4">
        <v>110</v>
      </c>
      <c r="D61" s="4">
        <v>110</v>
      </c>
      <c r="E61" s="4">
        <v>135</v>
      </c>
      <c r="F61" s="4">
        <v>135</v>
      </c>
      <c r="G61" s="4">
        <v>110</v>
      </c>
      <c r="H61" s="4">
        <v>135</v>
      </c>
      <c r="I61" s="4">
        <v>660</v>
      </c>
      <c r="J61" s="4">
        <v>3</v>
      </c>
      <c r="K61" s="6"/>
      <c r="L61" s="6"/>
      <c r="M61" s="6"/>
      <c r="N61" s="4"/>
      <c r="O61" s="14" t="s">
        <v>151</v>
      </c>
      <c r="P61" s="14">
        <v>165</v>
      </c>
      <c r="Q61" s="8">
        <v>75</v>
      </c>
      <c r="R61" s="4"/>
      <c r="S61" s="4" t="s">
        <v>35</v>
      </c>
      <c r="T61" s="33">
        <f t="shared" si="14"/>
        <v>350</v>
      </c>
      <c r="U61" s="26">
        <f t="shared" si="15"/>
        <v>11.09375</v>
      </c>
      <c r="V61" s="26">
        <f t="shared" si="16"/>
        <v>16.640625</v>
      </c>
      <c r="W61" s="19">
        <f t="shared" si="17"/>
        <v>641</v>
      </c>
      <c r="X61" s="22">
        <f t="shared" si="18"/>
        <v>699</v>
      </c>
      <c r="Y61" s="29">
        <f t="shared" si="19"/>
        <v>383</v>
      </c>
      <c r="Z61" s="29">
        <f t="shared" si="20"/>
        <v>467</v>
      </c>
      <c r="AA61" s="30">
        <f t="shared" si="21"/>
        <v>0.72854914196567866</v>
      </c>
      <c r="AB61" s="24">
        <f t="shared" si="22"/>
        <v>1923</v>
      </c>
      <c r="AC61" s="24">
        <f t="shared" si="23"/>
        <v>2884</v>
      </c>
      <c r="AD61" s="24">
        <f t="shared" si="24"/>
        <v>2411</v>
      </c>
      <c r="AE61" s="24">
        <f t="shared" si="25"/>
        <v>1611</v>
      </c>
      <c r="AF61" s="24">
        <f t="shared" si="26"/>
        <v>1442</v>
      </c>
      <c r="AG61" s="21">
        <f t="shared" si="27"/>
        <v>2884</v>
      </c>
      <c r="AH61" s="9" t="s">
        <v>136</v>
      </c>
      <c r="AI61" s="9" t="s">
        <v>133</v>
      </c>
      <c r="AJ61" s="9" t="s">
        <v>138</v>
      </c>
    </row>
    <row r="62" spans="1:36" ht="15.75" thickBot="1" x14ac:dyDescent="0.3">
      <c r="A62" s="3" t="s">
        <v>93</v>
      </c>
      <c r="B62" s="4">
        <v>210</v>
      </c>
      <c r="C62" s="4">
        <v>150</v>
      </c>
      <c r="D62" s="4">
        <v>110</v>
      </c>
      <c r="E62" s="4">
        <v>110</v>
      </c>
      <c r="F62" s="4">
        <v>150</v>
      </c>
      <c r="G62" s="4">
        <v>175</v>
      </c>
      <c r="H62" s="4">
        <v>75</v>
      </c>
      <c r="I62" s="4">
        <v>780</v>
      </c>
      <c r="J62" s="4">
        <v>1</v>
      </c>
      <c r="K62" s="15"/>
      <c r="L62" s="6"/>
      <c r="M62" s="15"/>
      <c r="N62" s="7" t="s">
        <v>94</v>
      </c>
      <c r="O62" s="14" t="s">
        <v>159</v>
      </c>
      <c r="P62" s="14">
        <v>160</v>
      </c>
      <c r="Q62" s="8">
        <v>20</v>
      </c>
      <c r="R62" s="7" t="s">
        <v>94</v>
      </c>
      <c r="S62" s="4" t="s">
        <v>95</v>
      </c>
      <c r="T62" s="33">
        <f t="shared" si="14"/>
        <v>390</v>
      </c>
      <c r="U62" s="26">
        <f t="shared" si="15"/>
        <v>11.71875</v>
      </c>
      <c r="V62" s="26">
        <f t="shared" si="16"/>
        <v>17.578125</v>
      </c>
      <c r="W62" s="19">
        <f t="shared" si="17"/>
        <v>722</v>
      </c>
      <c r="X62" s="22">
        <f t="shared" si="18"/>
        <v>790</v>
      </c>
      <c r="Y62" s="29">
        <f t="shared" si="19"/>
        <v>427</v>
      </c>
      <c r="Z62" s="29">
        <f t="shared" si="20"/>
        <v>527</v>
      </c>
      <c r="AA62" s="30">
        <f t="shared" si="21"/>
        <v>0.72991689750692523</v>
      </c>
      <c r="AB62" s="24">
        <f t="shared" si="22"/>
        <v>1444</v>
      </c>
      <c r="AC62" s="24">
        <f t="shared" si="23"/>
        <v>1660</v>
      </c>
      <c r="AD62" s="24">
        <f t="shared" si="24"/>
        <v>1660</v>
      </c>
      <c r="AE62" s="24">
        <f t="shared" si="25"/>
        <v>1660</v>
      </c>
      <c r="AF62" s="24">
        <f t="shared" si="26"/>
        <v>830</v>
      </c>
      <c r="AG62" s="21">
        <f t="shared" si="27"/>
        <v>1660</v>
      </c>
      <c r="AH62" s="9" t="s">
        <v>135</v>
      </c>
      <c r="AI62" s="9" t="s">
        <v>136</v>
      </c>
      <c r="AJ62" s="9" t="s">
        <v>139</v>
      </c>
    </row>
    <row r="63" spans="1:36" ht="15.75" thickBot="1" x14ac:dyDescent="0.3">
      <c r="A63" s="3" t="s">
        <v>98</v>
      </c>
      <c r="B63" s="4">
        <v>465</v>
      </c>
      <c r="C63" s="4">
        <v>110</v>
      </c>
      <c r="D63" s="4">
        <v>110</v>
      </c>
      <c r="E63" s="4">
        <v>95</v>
      </c>
      <c r="F63" s="4">
        <v>225</v>
      </c>
      <c r="G63" s="4">
        <v>110</v>
      </c>
      <c r="H63" s="4">
        <v>135</v>
      </c>
      <c r="I63" s="4">
        <v>980</v>
      </c>
      <c r="J63" s="4">
        <v>0</v>
      </c>
      <c r="K63" s="13" t="s">
        <v>145</v>
      </c>
      <c r="L63" s="13" t="s">
        <v>170</v>
      </c>
      <c r="M63" s="15"/>
      <c r="N63" s="5" t="s">
        <v>17</v>
      </c>
      <c r="O63" s="14" t="s">
        <v>146</v>
      </c>
      <c r="P63" s="14">
        <v>0</v>
      </c>
      <c r="Q63" s="14">
        <v>0</v>
      </c>
      <c r="R63" s="5" t="s">
        <v>17</v>
      </c>
      <c r="S63" s="4"/>
      <c r="T63" s="33">
        <f t="shared" si="14"/>
        <v>465</v>
      </c>
      <c r="U63" s="26">
        <f t="shared" si="15"/>
        <v>11.09375</v>
      </c>
      <c r="V63" s="26">
        <f t="shared" si="16"/>
        <v>11.09375</v>
      </c>
      <c r="W63" s="19">
        <f t="shared" si="17"/>
        <v>568</v>
      </c>
      <c r="X63" s="22">
        <f t="shared" si="18"/>
        <v>619</v>
      </c>
      <c r="Y63" s="29">
        <f t="shared" si="19"/>
        <v>465</v>
      </c>
      <c r="Z63" s="29">
        <f t="shared" si="20"/>
        <v>568</v>
      </c>
      <c r="AA63" s="30">
        <f t="shared" si="21"/>
        <v>1</v>
      </c>
      <c r="AB63" s="24">
        <f t="shared" si="22"/>
        <v>568</v>
      </c>
      <c r="AC63" s="24">
        <f t="shared" si="23"/>
        <v>653</v>
      </c>
      <c r="AD63" s="24">
        <f t="shared" si="24"/>
        <v>653</v>
      </c>
      <c r="AE63" s="24">
        <f t="shared" si="25"/>
        <v>653</v>
      </c>
      <c r="AF63" s="24">
        <f t="shared" si="26"/>
        <v>568</v>
      </c>
      <c r="AG63" s="21">
        <f t="shared" si="27"/>
        <v>980</v>
      </c>
      <c r="AH63" s="9" t="s">
        <v>137</v>
      </c>
      <c r="AI63" s="9" t="s">
        <v>139</v>
      </c>
      <c r="AJ63" s="9" t="s">
        <v>138</v>
      </c>
    </row>
    <row r="64" spans="1:36" ht="15.75" thickBot="1" x14ac:dyDescent="0.3">
      <c r="A64" s="3" t="s">
        <v>85</v>
      </c>
      <c r="B64" s="4">
        <v>209</v>
      </c>
      <c r="C64" s="4">
        <v>110</v>
      </c>
      <c r="D64" s="4">
        <v>95</v>
      </c>
      <c r="E64" s="4">
        <v>195</v>
      </c>
      <c r="F64" s="4">
        <v>209</v>
      </c>
      <c r="G64" s="4">
        <v>95</v>
      </c>
      <c r="H64" s="4">
        <v>110</v>
      </c>
      <c r="I64" s="4">
        <v>550</v>
      </c>
      <c r="J64" s="4">
        <v>1</v>
      </c>
      <c r="K64" s="15"/>
      <c r="L64" s="6"/>
      <c r="M64" s="15"/>
      <c r="N64" s="5" t="s">
        <v>17</v>
      </c>
      <c r="O64" s="14" t="s">
        <v>146</v>
      </c>
      <c r="P64" s="14">
        <v>0</v>
      </c>
      <c r="Q64" s="14">
        <v>0</v>
      </c>
      <c r="R64" s="5" t="s">
        <v>17</v>
      </c>
      <c r="S64" s="4"/>
      <c r="T64" s="33">
        <f t="shared" si="14"/>
        <v>209</v>
      </c>
      <c r="U64" s="26">
        <f t="shared" si="15"/>
        <v>10.3125</v>
      </c>
      <c r="V64" s="26">
        <f t="shared" si="16"/>
        <v>15.46875</v>
      </c>
      <c r="W64" s="19">
        <f t="shared" si="17"/>
        <v>252</v>
      </c>
      <c r="X64" s="22">
        <f t="shared" si="18"/>
        <v>273</v>
      </c>
      <c r="Y64" s="29">
        <f t="shared" si="19"/>
        <v>261</v>
      </c>
      <c r="Z64" s="29">
        <f t="shared" si="20"/>
        <v>314</v>
      </c>
      <c r="AA64" s="30">
        <f t="shared" si="21"/>
        <v>1.246031746031746</v>
      </c>
      <c r="AB64" s="24">
        <f t="shared" si="22"/>
        <v>504</v>
      </c>
      <c r="AC64" s="24">
        <f t="shared" si="23"/>
        <v>579</v>
      </c>
      <c r="AD64" s="24">
        <f t="shared" si="24"/>
        <v>579</v>
      </c>
      <c r="AE64" s="24">
        <f t="shared" si="25"/>
        <v>579</v>
      </c>
      <c r="AF64" s="24">
        <f t="shared" si="26"/>
        <v>289</v>
      </c>
      <c r="AG64" s="21">
        <f t="shared" si="27"/>
        <v>579</v>
      </c>
      <c r="AH64" s="9" t="s">
        <v>140</v>
      </c>
      <c r="AI64" s="9" t="s">
        <v>140</v>
      </c>
      <c r="AJ64" s="9" t="s">
        <v>139</v>
      </c>
    </row>
    <row r="65" spans="1:36" ht="15.75" thickBot="1" x14ac:dyDescent="0.3">
      <c r="A65" s="3" t="s">
        <v>34</v>
      </c>
      <c r="B65" s="4">
        <v>135</v>
      </c>
      <c r="C65" s="4">
        <v>210</v>
      </c>
      <c r="D65" s="4">
        <v>95</v>
      </c>
      <c r="E65" s="4">
        <v>175</v>
      </c>
      <c r="F65" s="4">
        <v>110</v>
      </c>
      <c r="G65" s="4">
        <v>135</v>
      </c>
      <c r="H65" s="4">
        <v>95</v>
      </c>
      <c r="I65" s="4">
        <v>660</v>
      </c>
      <c r="J65" s="4">
        <v>1</v>
      </c>
      <c r="K65" s="15"/>
      <c r="L65" s="6"/>
      <c r="M65" s="15"/>
      <c r="N65" s="4"/>
      <c r="O65" s="14" t="s">
        <v>155</v>
      </c>
      <c r="P65" s="14">
        <v>140</v>
      </c>
      <c r="Q65" s="8">
        <v>75</v>
      </c>
      <c r="R65" s="4"/>
      <c r="S65" s="4" t="s">
        <v>35</v>
      </c>
      <c r="T65" s="33">
        <f t="shared" si="14"/>
        <v>350</v>
      </c>
      <c r="U65" s="26">
        <f t="shared" si="15"/>
        <v>16.09375</v>
      </c>
      <c r="V65" s="26">
        <f t="shared" si="16"/>
        <v>24.140625</v>
      </c>
      <c r="W65" s="19">
        <f t="shared" si="17"/>
        <v>693</v>
      </c>
      <c r="X65" s="22">
        <f t="shared" si="18"/>
        <v>778</v>
      </c>
      <c r="Y65" s="29">
        <f t="shared" si="19"/>
        <v>377</v>
      </c>
      <c r="Z65" s="29">
        <f t="shared" si="20"/>
        <v>498</v>
      </c>
      <c r="AA65" s="30">
        <f t="shared" si="21"/>
        <v>0.7186147186147186</v>
      </c>
      <c r="AB65" s="24">
        <f t="shared" si="22"/>
        <v>1386</v>
      </c>
      <c r="AC65" s="24">
        <f t="shared" si="23"/>
        <v>1593</v>
      </c>
      <c r="AD65" s="24">
        <f t="shared" si="24"/>
        <v>1593</v>
      </c>
      <c r="AE65" s="24">
        <f t="shared" si="25"/>
        <v>1593</v>
      </c>
      <c r="AF65" s="24">
        <f t="shared" si="26"/>
        <v>796</v>
      </c>
      <c r="AG65" s="21">
        <f t="shared" si="27"/>
        <v>1593</v>
      </c>
      <c r="AH65" s="9" t="s">
        <v>136</v>
      </c>
      <c r="AI65" s="9" t="s">
        <v>137</v>
      </c>
      <c r="AJ65" s="9" t="s">
        <v>134</v>
      </c>
    </row>
    <row r="66" spans="1:36" ht="15.75" thickBot="1" x14ac:dyDescent="0.3">
      <c r="A66" s="3" t="s">
        <v>59</v>
      </c>
      <c r="B66" s="4">
        <v>110</v>
      </c>
      <c r="C66" s="4">
        <v>150</v>
      </c>
      <c r="D66" s="4">
        <v>95</v>
      </c>
      <c r="E66" s="4">
        <v>175</v>
      </c>
      <c r="F66" s="4">
        <v>110</v>
      </c>
      <c r="G66" s="4">
        <v>95</v>
      </c>
      <c r="H66" s="4">
        <v>195</v>
      </c>
      <c r="I66" s="4">
        <v>600</v>
      </c>
      <c r="J66" s="4">
        <v>2</v>
      </c>
      <c r="K66" s="6"/>
      <c r="L66" s="6"/>
      <c r="M66" s="16"/>
      <c r="N66" s="7" t="s">
        <v>60</v>
      </c>
      <c r="O66" s="14" t="s">
        <v>151</v>
      </c>
      <c r="P66" s="14">
        <v>165</v>
      </c>
      <c r="Q66" s="8">
        <v>75</v>
      </c>
      <c r="R66" s="7" t="s">
        <v>60</v>
      </c>
      <c r="S66" s="4" t="s">
        <v>35</v>
      </c>
      <c r="T66" s="33">
        <f t="shared" ref="T66:T82" si="28">P66+Q66+B66</f>
        <v>350</v>
      </c>
      <c r="U66" s="26">
        <f t="shared" ref="U66:U82" si="29">(C66+(H66/2))/16</f>
        <v>15.46875</v>
      </c>
      <c r="V66" s="26">
        <f t="shared" ref="V66:V82" si="30">U66*IF(J66&gt;=1,1.5,1)</f>
        <v>23.203125</v>
      </c>
      <c r="W66" s="19">
        <f t="shared" ref="W66:W82" si="31">INT(T66*IF(R66="",1.5,VLOOKUP(R66,$AL$2:$AM$10,2,FALSE))*(U66*2+100)/100)</f>
        <v>458</v>
      </c>
      <c r="X66" s="22">
        <f t="shared" ref="X66:X82" si="32">INT(T66*IF(R66="",1.5,VLOOKUP(R66,$AL$2:$AM$10,2,FALSE))*(U66*3+100)/100)</f>
        <v>512</v>
      </c>
      <c r="Y66" s="29">
        <f t="shared" ref="Y66:Y82" si="33">INT((T66+IF(J66&gt;=1,F66/4,0)))</f>
        <v>377</v>
      </c>
      <c r="Z66" s="29">
        <f t="shared" ref="Z66:Z82" si="34">INT(Y66*(U66*2+100)/100)</f>
        <v>493</v>
      </c>
      <c r="AA66" s="30">
        <f t="shared" ref="AA66:AA82" si="35">Z66/W66</f>
        <v>1.0764192139737991</v>
      </c>
      <c r="AB66" s="24">
        <f t="shared" ref="AB66:AB82" si="36">W66*IF(J66&lt;1,1,IF(J66=1,2,IF(J66&gt;=2,3)))</f>
        <v>1374</v>
      </c>
      <c r="AC66" s="24">
        <f t="shared" ref="AC66:AC82" si="37">INT(AB66*IF(J66&gt;=3,1.5,1.15))</f>
        <v>1580</v>
      </c>
      <c r="AD66" s="24">
        <f t="shared" ref="AD66:AD82" si="38">INT(IF(J66&gt;=3,X66,W66)*IF(J66&lt;1,1,IF(J66=1,2,IF(J66&gt;=2,3,1)))*1.15)</f>
        <v>1580</v>
      </c>
      <c r="AE66" s="24">
        <f t="shared" ref="AE66:AE82" si="39">INT(IF(J66=3,Z66*3,AB66)*1.15)</f>
        <v>1580</v>
      </c>
      <c r="AF66" s="24">
        <f t="shared" ref="AF66:AF82" si="40">INT(W66*IF(J66=0,1,IF(J66&gt;=2,1.5,1)*IF(J66&gt;=3,1.5,1.15)))</f>
        <v>790</v>
      </c>
      <c r="AG66" s="21">
        <f t="shared" ref="AG66:AG82" si="41">MAX(A66:AF66)</f>
        <v>1580</v>
      </c>
      <c r="AH66" s="9" t="s">
        <v>138</v>
      </c>
      <c r="AI66" s="9" t="s">
        <v>137</v>
      </c>
      <c r="AJ66" s="9" t="s">
        <v>132</v>
      </c>
    </row>
    <row r="67" spans="1:36" ht="15.75" thickBot="1" x14ac:dyDescent="0.3">
      <c r="A67" s="3" t="s">
        <v>117</v>
      </c>
      <c r="B67" s="4">
        <v>95</v>
      </c>
      <c r="C67" s="4">
        <v>110</v>
      </c>
      <c r="D67" s="4">
        <v>95</v>
      </c>
      <c r="E67" s="4">
        <v>150</v>
      </c>
      <c r="F67" s="4">
        <v>75</v>
      </c>
      <c r="G67" s="4">
        <v>110</v>
      </c>
      <c r="H67" s="4">
        <v>150</v>
      </c>
      <c r="I67" s="4">
        <v>420</v>
      </c>
      <c r="J67" s="4">
        <v>1</v>
      </c>
      <c r="K67" s="6"/>
      <c r="L67" s="13" t="s">
        <v>174</v>
      </c>
      <c r="M67" s="15"/>
      <c r="N67" s="4"/>
      <c r="O67" s="14" t="s">
        <v>155</v>
      </c>
      <c r="P67" s="14">
        <v>140</v>
      </c>
      <c r="Q67" s="8">
        <v>60</v>
      </c>
      <c r="R67" s="4"/>
      <c r="S67" s="4" t="s">
        <v>77</v>
      </c>
      <c r="T67" s="33">
        <f t="shared" si="28"/>
        <v>295</v>
      </c>
      <c r="U67" s="26">
        <f t="shared" si="29"/>
        <v>11.5625</v>
      </c>
      <c r="V67" s="26">
        <f t="shared" si="30"/>
        <v>17.34375</v>
      </c>
      <c r="W67" s="19">
        <f t="shared" si="31"/>
        <v>544</v>
      </c>
      <c r="X67" s="22">
        <f t="shared" si="32"/>
        <v>595</v>
      </c>
      <c r="Y67" s="29">
        <f t="shared" si="33"/>
        <v>313</v>
      </c>
      <c r="Z67" s="29">
        <f t="shared" si="34"/>
        <v>385</v>
      </c>
      <c r="AA67" s="30">
        <f t="shared" si="35"/>
        <v>0.70772058823529416</v>
      </c>
      <c r="AB67" s="24">
        <f t="shared" si="36"/>
        <v>1088</v>
      </c>
      <c r="AC67" s="24">
        <f t="shared" si="37"/>
        <v>1251</v>
      </c>
      <c r="AD67" s="24">
        <f t="shared" si="38"/>
        <v>1251</v>
      </c>
      <c r="AE67" s="24">
        <f t="shared" si="39"/>
        <v>1251</v>
      </c>
      <c r="AF67" s="24">
        <f t="shared" si="40"/>
        <v>625</v>
      </c>
      <c r="AG67" s="21">
        <f t="shared" si="41"/>
        <v>1251</v>
      </c>
      <c r="AH67" s="9" t="s">
        <v>137</v>
      </c>
      <c r="AI67" s="9" t="s">
        <v>138</v>
      </c>
      <c r="AJ67" s="9" t="s">
        <v>137</v>
      </c>
    </row>
    <row r="68" spans="1:36" ht="15.75" thickBot="1" x14ac:dyDescent="0.3">
      <c r="A68" s="3" t="s">
        <v>83</v>
      </c>
      <c r="B68" s="4">
        <v>209</v>
      </c>
      <c r="C68" s="4">
        <v>110</v>
      </c>
      <c r="D68" s="4">
        <v>95</v>
      </c>
      <c r="E68" s="4">
        <v>135</v>
      </c>
      <c r="F68" s="4">
        <v>209</v>
      </c>
      <c r="G68" s="4">
        <v>95</v>
      </c>
      <c r="H68" s="4">
        <v>150</v>
      </c>
      <c r="I68" s="4">
        <v>550</v>
      </c>
      <c r="J68" s="4">
        <v>1</v>
      </c>
      <c r="K68" s="15"/>
      <c r="L68" s="6"/>
      <c r="M68" s="15"/>
      <c r="N68" s="5" t="s">
        <v>17</v>
      </c>
      <c r="O68" s="14" t="s">
        <v>146</v>
      </c>
      <c r="P68" s="14">
        <v>0</v>
      </c>
      <c r="Q68" s="14">
        <v>0</v>
      </c>
      <c r="R68" s="5" t="s">
        <v>17</v>
      </c>
      <c r="S68" s="4"/>
      <c r="T68" s="33">
        <f t="shared" si="28"/>
        <v>209</v>
      </c>
      <c r="U68" s="26">
        <f t="shared" si="29"/>
        <v>11.5625</v>
      </c>
      <c r="V68" s="26">
        <f t="shared" si="30"/>
        <v>17.34375</v>
      </c>
      <c r="W68" s="19">
        <f t="shared" si="31"/>
        <v>257</v>
      </c>
      <c r="X68" s="22">
        <f t="shared" si="32"/>
        <v>281</v>
      </c>
      <c r="Y68" s="29">
        <f t="shared" si="33"/>
        <v>261</v>
      </c>
      <c r="Z68" s="29">
        <f t="shared" si="34"/>
        <v>321</v>
      </c>
      <c r="AA68" s="30">
        <f t="shared" si="35"/>
        <v>1.2490272373540856</v>
      </c>
      <c r="AB68" s="24">
        <f t="shared" si="36"/>
        <v>514</v>
      </c>
      <c r="AC68" s="24">
        <f t="shared" si="37"/>
        <v>591</v>
      </c>
      <c r="AD68" s="24">
        <f t="shared" si="38"/>
        <v>591</v>
      </c>
      <c r="AE68" s="24">
        <f t="shared" si="39"/>
        <v>591</v>
      </c>
      <c r="AF68" s="24">
        <f t="shared" si="40"/>
        <v>295</v>
      </c>
      <c r="AG68" s="21">
        <f t="shared" si="41"/>
        <v>591</v>
      </c>
      <c r="AH68" s="9" t="s">
        <v>140</v>
      </c>
      <c r="AI68" s="9" t="s">
        <v>140</v>
      </c>
      <c r="AJ68" s="9" t="s">
        <v>137</v>
      </c>
    </row>
    <row r="69" spans="1:36" ht="15.75" thickBot="1" x14ac:dyDescent="0.3">
      <c r="A69" s="3" t="s">
        <v>51</v>
      </c>
      <c r="B69" s="4">
        <v>175</v>
      </c>
      <c r="C69" s="4">
        <v>110</v>
      </c>
      <c r="D69" s="4">
        <v>95</v>
      </c>
      <c r="E69" s="4">
        <v>135</v>
      </c>
      <c r="F69" s="4">
        <v>150</v>
      </c>
      <c r="G69" s="4">
        <v>110</v>
      </c>
      <c r="H69" s="4">
        <v>135</v>
      </c>
      <c r="I69" s="4">
        <v>780</v>
      </c>
      <c r="J69" s="4">
        <v>1</v>
      </c>
      <c r="K69" s="15"/>
      <c r="L69" s="6"/>
      <c r="M69" s="15"/>
      <c r="N69" s="4"/>
      <c r="O69" s="14" t="s">
        <v>160</v>
      </c>
      <c r="P69" s="14">
        <v>175</v>
      </c>
      <c r="Q69" s="8">
        <v>79</v>
      </c>
      <c r="R69" s="4"/>
      <c r="S69" s="4" t="s">
        <v>25</v>
      </c>
      <c r="T69" s="33">
        <f t="shared" si="28"/>
        <v>429</v>
      </c>
      <c r="U69" s="26">
        <f t="shared" si="29"/>
        <v>11.09375</v>
      </c>
      <c r="V69" s="26">
        <f t="shared" si="30"/>
        <v>16.640625</v>
      </c>
      <c r="W69" s="19">
        <f t="shared" si="31"/>
        <v>786</v>
      </c>
      <c r="X69" s="22">
        <f t="shared" si="32"/>
        <v>857</v>
      </c>
      <c r="Y69" s="29">
        <f t="shared" si="33"/>
        <v>466</v>
      </c>
      <c r="Z69" s="29">
        <f t="shared" si="34"/>
        <v>569</v>
      </c>
      <c r="AA69" s="30">
        <f t="shared" si="35"/>
        <v>0.72391857506361323</v>
      </c>
      <c r="AB69" s="24">
        <f t="shared" si="36"/>
        <v>1572</v>
      </c>
      <c r="AC69" s="24">
        <f t="shared" si="37"/>
        <v>1807</v>
      </c>
      <c r="AD69" s="24">
        <f t="shared" si="38"/>
        <v>1807</v>
      </c>
      <c r="AE69" s="24">
        <f t="shared" si="39"/>
        <v>1807</v>
      </c>
      <c r="AF69" s="24">
        <f t="shared" si="40"/>
        <v>903</v>
      </c>
      <c r="AG69" s="21">
        <f t="shared" si="41"/>
        <v>1807</v>
      </c>
      <c r="AH69" s="9" t="s">
        <v>133</v>
      </c>
      <c r="AI69" s="9" t="s">
        <v>134</v>
      </c>
      <c r="AJ69" s="9" t="s">
        <v>138</v>
      </c>
    </row>
    <row r="70" spans="1:36" ht="15.75" thickBot="1" x14ac:dyDescent="0.3">
      <c r="A70" s="3" t="s">
        <v>89</v>
      </c>
      <c r="B70" s="4">
        <v>242</v>
      </c>
      <c r="C70" s="4">
        <v>110</v>
      </c>
      <c r="D70" s="4">
        <v>95</v>
      </c>
      <c r="E70" s="4">
        <v>135</v>
      </c>
      <c r="F70" s="4">
        <v>132</v>
      </c>
      <c r="G70" s="4">
        <v>110</v>
      </c>
      <c r="H70" s="4">
        <v>110</v>
      </c>
      <c r="I70" s="4">
        <v>550</v>
      </c>
      <c r="J70" s="4">
        <v>1</v>
      </c>
      <c r="K70" s="15"/>
      <c r="L70" s="15"/>
      <c r="M70" s="6"/>
      <c r="N70" s="5" t="s">
        <v>17</v>
      </c>
      <c r="O70" s="14" t="s">
        <v>146</v>
      </c>
      <c r="P70" s="14">
        <v>0</v>
      </c>
      <c r="Q70" s="14">
        <v>0</v>
      </c>
      <c r="R70" s="5" t="s">
        <v>17</v>
      </c>
      <c r="S70" s="4"/>
      <c r="T70" s="33">
        <f t="shared" si="28"/>
        <v>242</v>
      </c>
      <c r="U70" s="26">
        <f t="shared" si="29"/>
        <v>10.3125</v>
      </c>
      <c r="V70" s="26">
        <f t="shared" si="30"/>
        <v>15.46875</v>
      </c>
      <c r="W70" s="19">
        <f t="shared" si="31"/>
        <v>291</v>
      </c>
      <c r="X70" s="22">
        <f t="shared" si="32"/>
        <v>316</v>
      </c>
      <c r="Y70" s="29">
        <f t="shared" si="33"/>
        <v>275</v>
      </c>
      <c r="Z70" s="29">
        <f t="shared" si="34"/>
        <v>331</v>
      </c>
      <c r="AA70" s="30">
        <f t="shared" si="35"/>
        <v>1.1374570446735395</v>
      </c>
      <c r="AB70" s="24">
        <f t="shared" si="36"/>
        <v>582</v>
      </c>
      <c r="AC70" s="24">
        <f t="shared" si="37"/>
        <v>669</v>
      </c>
      <c r="AD70" s="24">
        <f t="shared" si="38"/>
        <v>669</v>
      </c>
      <c r="AE70" s="24">
        <f t="shared" si="39"/>
        <v>669</v>
      </c>
      <c r="AF70" s="24">
        <f t="shared" si="40"/>
        <v>334</v>
      </c>
      <c r="AG70" s="21">
        <f t="shared" si="41"/>
        <v>669</v>
      </c>
      <c r="AH70" s="9" t="s">
        <v>140</v>
      </c>
      <c r="AI70" s="9" t="s">
        <v>140</v>
      </c>
      <c r="AJ70" s="9" t="s">
        <v>139</v>
      </c>
    </row>
    <row r="71" spans="1:36" ht="15.75" thickBot="1" x14ac:dyDescent="0.3">
      <c r="A71" s="3" t="s">
        <v>33</v>
      </c>
      <c r="B71" s="4">
        <v>132</v>
      </c>
      <c r="C71" s="4">
        <v>150</v>
      </c>
      <c r="D71" s="4">
        <v>95</v>
      </c>
      <c r="E71" s="4">
        <v>110</v>
      </c>
      <c r="F71" s="4">
        <v>330</v>
      </c>
      <c r="G71" s="4">
        <v>95</v>
      </c>
      <c r="H71" s="4">
        <v>175</v>
      </c>
      <c r="I71" s="4">
        <v>390</v>
      </c>
      <c r="J71" s="4">
        <v>1</v>
      </c>
      <c r="K71" s="15"/>
      <c r="L71" s="6"/>
      <c r="M71" s="15"/>
      <c r="N71" s="5" t="s">
        <v>17</v>
      </c>
      <c r="O71" s="14" t="s">
        <v>146</v>
      </c>
      <c r="P71" s="14">
        <v>0</v>
      </c>
      <c r="Q71" s="14">
        <v>0</v>
      </c>
      <c r="R71" s="5" t="s">
        <v>17</v>
      </c>
      <c r="S71" s="4"/>
      <c r="T71" s="33">
        <f t="shared" si="28"/>
        <v>132</v>
      </c>
      <c r="U71" s="26">
        <f t="shared" si="29"/>
        <v>14.84375</v>
      </c>
      <c r="V71" s="26">
        <f t="shared" si="30"/>
        <v>22.265625</v>
      </c>
      <c r="W71" s="19">
        <f t="shared" si="31"/>
        <v>171</v>
      </c>
      <c r="X71" s="22">
        <f t="shared" si="32"/>
        <v>190</v>
      </c>
      <c r="Y71" s="29">
        <f t="shared" si="33"/>
        <v>214</v>
      </c>
      <c r="Z71" s="29">
        <f t="shared" si="34"/>
        <v>277</v>
      </c>
      <c r="AA71" s="30">
        <f t="shared" si="35"/>
        <v>1.6198830409356726</v>
      </c>
      <c r="AB71" s="24">
        <f t="shared" si="36"/>
        <v>342</v>
      </c>
      <c r="AC71" s="24">
        <f t="shared" si="37"/>
        <v>393</v>
      </c>
      <c r="AD71" s="24">
        <f t="shared" si="38"/>
        <v>393</v>
      </c>
      <c r="AE71" s="24">
        <f t="shared" si="39"/>
        <v>393</v>
      </c>
      <c r="AF71" s="24">
        <f t="shared" si="40"/>
        <v>196</v>
      </c>
      <c r="AG71" s="21">
        <f t="shared" si="41"/>
        <v>393</v>
      </c>
      <c r="AH71" s="9" t="s">
        <v>140</v>
      </c>
      <c r="AI71" s="9" t="s">
        <v>140</v>
      </c>
      <c r="AJ71" s="9" t="s">
        <v>135</v>
      </c>
    </row>
    <row r="72" spans="1:36" ht="15.75" thickBot="1" x14ac:dyDescent="0.3">
      <c r="A72" s="3" t="s">
        <v>53</v>
      </c>
      <c r="B72" s="4">
        <v>150</v>
      </c>
      <c r="C72" s="4">
        <v>150</v>
      </c>
      <c r="D72" s="4">
        <v>95</v>
      </c>
      <c r="E72" s="4">
        <v>110</v>
      </c>
      <c r="F72" s="4">
        <v>175</v>
      </c>
      <c r="G72" s="4">
        <v>110</v>
      </c>
      <c r="H72" s="4">
        <v>135</v>
      </c>
      <c r="I72" s="4">
        <v>720</v>
      </c>
      <c r="J72" s="4">
        <v>1</v>
      </c>
      <c r="K72" s="15"/>
      <c r="L72" s="6"/>
      <c r="M72" s="15"/>
      <c r="N72" s="4"/>
      <c r="O72" s="14" t="s">
        <v>149</v>
      </c>
      <c r="P72" s="14">
        <v>150</v>
      </c>
      <c r="Q72" s="8">
        <v>79</v>
      </c>
      <c r="R72" s="4"/>
      <c r="S72" s="4" t="s">
        <v>54</v>
      </c>
      <c r="T72" s="33">
        <f t="shared" si="28"/>
        <v>379</v>
      </c>
      <c r="U72" s="26">
        <f t="shared" si="29"/>
        <v>13.59375</v>
      </c>
      <c r="V72" s="26">
        <f t="shared" si="30"/>
        <v>20.390625</v>
      </c>
      <c r="W72" s="19">
        <f t="shared" si="31"/>
        <v>723</v>
      </c>
      <c r="X72" s="22">
        <f t="shared" si="32"/>
        <v>800</v>
      </c>
      <c r="Y72" s="29">
        <f t="shared" si="33"/>
        <v>422</v>
      </c>
      <c r="Z72" s="29">
        <f t="shared" si="34"/>
        <v>536</v>
      </c>
      <c r="AA72" s="30">
        <f t="shared" si="35"/>
        <v>0.74135546334716462</v>
      </c>
      <c r="AB72" s="24">
        <f t="shared" si="36"/>
        <v>1446</v>
      </c>
      <c r="AC72" s="24">
        <f t="shared" si="37"/>
        <v>1662</v>
      </c>
      <c r="AD72" s="24">
        <f t="shared" si="38"/>
        <v>1662</v>
      </c>
      <c r="AE72" s="24">
        <f t="shared" si="39"/>
        <v>1662</v>
      </c>
      <c r="AF72" s="24">
        <f t="shared" si="40"/>
        <v>831</v>
      </c>
      <c r="AG72" s="21">
        <f t="shared" si="41"/>
        <v>1662</v>
      </c>
      <c r="AH72" s="9" t="s">
        <v>135</v>
      </c>
      <c r="AI72" s="9" t="s">
        <v>136</v>
      </c>
      <c r="AJ72" s="9" t="s">
        <v>136</v>
      </c>
    </row>
    <row r="73" spans="1:36" ht="15.75" thickBot="1" x14ac:dyDescent="0.3">
      <c r="A73" s="3" t="s">
        <v>96</v>
      </c>
      <c r="B73" s="4">
        <v>150</v>
      </c>
      <c r="C73" s="4">
        <v>135</v>
      </c>
      <c r="D73" s="4">
        <v>95</v>
      </c>
      <c r="E73" s="4">
        <v>110</v>
      </c>
      <c r="F73" s="4">
        <v>150</v>
      </c>
      <c r="G73" s="4">
        <v>75</v>
      </c>
      <c r="H73" s="4">
        <v>110</v>
      </c>
      <c r="I73" s="4">
        <v>950</v>
      </c>
      <c r="J73" s="4">
        <v>1</v>
      </c>
      <c r="K73" s="15"/>
      <c r="L73" s="6"/>
      <c r="M73" s="15"/>
      <c r="N73" s="4"/>
      <c r="O73" s="14" t="s">
        <v>159</v>
      </c>
      <c r="P73" s="14">
        <v>160</v>
      </c>
      <c r="Q73" s="8">
        <v>79</v>
      </c>
      <c r="R73" s="4"/>
      <c r="S73" s="4" t="s">
        <v>56</v>
      </c>
      <c r="T73" s="33">
        <f t="shared" si="28"/>
        <v>389</v>
      </c>
      <c r="U73" s="26">
        <f t="shared" si="29"/>
        <v>11.875</v>
      </c>
      <c r="V73" s="26">
        <f t="shared" si="30"/>
        <v>17.8125</v>
      </c>
      <c r="W73" s="19">
        <f t="shared" si="31"/>
        <v>722</v>
      </c>
      <c r="X73" s="22">
        <f t="shared" si="32"/>
        <v>791</v>
      </c>
      <c r="Y73" s="29">
        <f t="shared" si="33"/>
        <v>426</v>
      </c>
      <c r="Z73" s="29">
        <f t="shared" si="34"/>
        <v>527</v>
      </c>
      <c r="AA73" s="30">
        <f t="shared" si="35"/>
        <v>0.72991689750692523</v>
      </c>
      <c r="AB73" s="24">
        <f t="shared" si="36"/>
        <v>1444</v>
      </c>
      <c r="AC73" s="24">
        <f t="shared" si="37"/>
        <v>1660</v>
      </c>
      <c r="AD73" s="24">
        <f t="shared" si="38"/>
        <v>1660</v>
      </c>
      <c r="AE73" s="24">
        <f t="shared" si="39"/>
        <v>1660</v>
      </c>
      <c r="AF73" s="24">
        <f t="shared" si="40"/>
        <v>830</v>
      </c>
      <c r="AG73" s="21">
        <f t="shared" si="41"/>
        <v>1660</v>
      </c>
      <c r="AH73" s="9" t="s">
        <v>135</v>
      </c>
      <c r="AI73" s="9" t="s">
        <v>136</v>
      </c>
      <c r="AJ73" s="9" t="s">
        <v>138</v>
      </c>
    </row>
    <row r="74" spans="1:36" ht="15.75" thickBot="1" x14ac:dyDescent="0.3">
      <c r="A74" s="3" t="s">
        <v>18</v>
      </c>
      <c r="B74" s="4">
        <v>150</v>
      </c>
      <c r="C74" s="4">
        <v>110</v>
      </c>
      <c r="D74" s="4">
        <v>95</v>
      </c>
      <c r="E74" s="4">
        <v>110</v>
      </c>
      <c r="F74" s="4">
        <v>150</v>
      </c>
      <c r="G74" s="4">
        <v>110</v>
      </c>
      <c r="H74" s="4">
        <v>135</v>
      </c>
      <c r="I74" s="4">
        <v>850</v>
      </c>
      <c r="J74" s="4">
        <v>1</v>
      </c>
      <c r="K74" s="15"/>
      <c r="L74" s="6"/>
      <c r="M74" s="15"/>
      <c r="N74" s="4"/>
      <c r="O74" s="14" t="s">
        <v>147</v>
      </c>
      <c r="P74" s="14">
        <v>140</v>
      </c>
      <c r="Q74" s="8">
        <v>60</v>
      </c>
      <c r="R74" s="4"/>
      <c r="S74" s="6" t="s">
        <v>19</v>
      </c>
      <c r="T74" s="33">
        <f t="shared" si="28"/>
        <v>350</v>
      </c>
      <c r="U74" s="26">
        <f t="shared" si="29"/>
        <v>11.09375</v>
      </c>
      <c r="V74" s="26">
        <f t="shared" si="30"/>
        <v>16.640625</v>
      </c>
      <c r="W74" s="19">
        <f t="shared" si="31"/>
        <v>641</v>
      </c>
      <c r="X74" s="22">
        <f t="shared" si="32"/>
        <v>699</v>
      </c>
      <c r="Y74" s="29">
        <f t="shared" si="33"/>
        <v>387</v>
      </c>
      <c r="Z74" s="29">
        <f t="shared" si="34"/>
        <v>472</v>
      </c>
      <c r="AA74" s="30">
        <f t="shared" si="35"/>
        <v>0.7363494539781591</v>
      </c>
      <c r="AB74" s="24">
        <f t="shared" si="36"/>
        <v>1282</v>
      </c>
      <c r="AC74" s="24">
        <f t="shared" si="37"/>
        <v>1474</v>
      </c>
      <c r="AD74" s="24">
        <f t="shared" si="38"/>
        <v>1474</v>
      </c>
      <c r="AE74" s="24">
        <f t="shared" si="39"/>
        <v>1474</v>
      </c>
      <c r="AF74" s="24">
        <f t="shared" si="40"/>
        <v>737</v>
      </c>
      <c r="AG74" s="21">
        <f t="shared" si="41"/>
        <v>1474</v>
      </c>
      <c r="AH74" s="9" t="s">
        <v>136</v>
      </c>
      <c r="AI74" s="9" t="s">
        <v>138</v>
      </c>
      <c r="AJ74" s="9" t="s">
        <v>138</v>
      </c>
    </row>
    <row r="75" spans="1:36" ht="15.75" thickBot="1" x14ac:dyDescent="0.3">
      <c r="A75" s="3" t="s">
        <v>120</v>
      </c>
      <c r="B75" s="4">
        <v>190</v>
      </c>
      <c r="C75" s="4">
        <v>135</v>
      </c>
      <c r="D75" s="4">
        <v>75</v>
      </c>
      <c r="E75" s="4">
        <v>135</v>
      </c>
      <c r="F75" s="4">
        <v>195</v>
      </c>
      <c r="G75" s="4">
        <v>135</v>
      </c>
      <c r="H75" s="4">
        <v>150</v>
      </c>
      <c r="I75" s="4">
        <v>780</v>
      </c>
      <c r="J75" s="4">
        <v>2</v>
      </c>
      <c r="K75" s="15"/>
      <c r="L75" s="6"/>
      <c r="M75" s="6"/>
      <c r="N75" s="4"/>
      <c r="O75" s="14" t="s">
        <v>176</v>
      </c>
      <c r="P75" s="14">
        <v>170</v>
      </c>
      <c r="Q75" s="8">
        <v>75</v>
      </c>
      <c r="R75" s="4"/>
      <c r="S75" s="4" t="s">
        <v>35</v>
      </c>
      <c r="T75" s="33">
        <f t="shared" si="28"/>
        <v>435</v>
      </c>
      <c r="U75" s="26">
        <f t="shared" si="29"/>
        <v>13.125</v>
      </c>
      <c r="V75" s="26">
        <f t="shared" si="30"/>
        <v>19.6875</v>
      </c>
      <c r="W75" s="19">
        <f t="shared" si="31"/>
        <v>823</v>
      </c>
      <c r="X75" s="22">
        <f t="shared" si="32"/>
        <v>909</v>
      </c>
      <c r="Y75" s="29">
        <f t="shared" si="33"/>
        <v>483</v>
      </c>
      <c r="Z75" s="29">
        <f t="shared" si="34"/>
        <v>609</v>
      </c>
      <c r="AA75" s="30">
        <f t="shared" si="35"/>
        <v>0.7399756986634265</v>
      </c>
      <c r="AB75" s="24">
        <f t="shared" si="36"/>
        <v>2469</v>
      </c>
      <c r="AC75" s="24">
        <f t="shared" si="37"/>
        <v>2839</v>
      </c>
      <c r="AD75" s="24">
        <f t="shared" si="38"/>
        <v>2839</v>
      </c>
      <c r="AE75" s="24">
        <f t="shared" si="39"/>
        <v>2839</v>
      </c>
      <c r="AF75" s="24">
        <f t="shared" si="40"/>
        <v>1419</v>
      </c>
      <c r="AG75" s="21">
        <f t="shared" si="41"/>
        <v>2839</v>
      </c>
      <c r="AH75" s="9" t="s">
        <v>133</v>
      </c>
      <c r="AI75" s="9" t="s">
        <v>133</v>
      </c>
      <c r="AJ75" s="9" t="s">
        <v>136</v>
      </c>
    </row>
    <row r="76" spans="1:36" ht="15.75" thickBot="1" x14ac:dyDescent="0.3">
      <c r="A76" s="3" t="s">
        <v>92</v>
      </c>
      <c r="B76" s="4">
        <v>150</v>
      </c>
      <c r="C76" s="4">
        <v>135</v>
      </c>
      <c r="D76" s="4">
        <v>75</v>
      </c>
      <c r="E76" s="4">
        <v>110</v>
      </c>
      <c r="F76" s="4">
        <v>195</v>
      </c>
      <c r="G76" s="4">
        <v>195</v>
      </c>
      <c r="H76" s="4">
        <v>75</v>
      </c>
      <c r="I76" s="4">
        <v>850</v>
      </c>
      <c r="J76" s="4">
        <v>1</v>
      </c>
      <c r="K76" s="15"/>
      <c r="L76" s="6"/>
      <c r="M76" s="13" t="s">
        <v>169</v>
      </c>
      <c r="N76" s="4"/>
      <c r="O76" s="14" t="s">
        <v>154</v>
      </c>
      <c r="P76" s="14">
        <v>135</v>
      </c>
      <c r="Q76" s="8">
        <v>79</v>
      </c>
      <c r="R76" s="4"/>
      <c r="S76" s="4" t="s">
        <v>74</v>
      </c>
      <c r="T76" s="33">
        <f t="shared" si="28"/>
        <v>364</v>
      </c>
      <c r="U76" s="26">
        <f t="shared" si="29"/>
        <v>10.78125</v>
      </c>
      <c r="V76" s="26">
        <f t="shared" si="30"/>
        <v>16.171875</v>
      </c>
      <c r="W76" s="19">
        <f t="shared" si="31"/>
        <v>663</v>
      </c>
      <c r="X76" s="22">
        <f t="shared" si="32"/>
        <v>722</v>
      </c>
      <c r="Y76" s="29">
        <f t="shared" si="33"/>
        <v>412</v>
      </c>
      <c r="Z76" s="29">
        <f t="shared" si="34"/>
        <v>500</v>
      </c>
      <c r="AA76" s="30">
        <f t="shared" si="35"/>
        <v>0.75414781297134237</v>
      </c>
      <c r="AB76" s="24">
        <f t="shared" si="36"/>
        <v>1326</v>
      </c>
      <c r="AC76" s="24">
        <f t="shared" si="37"/>
        <v>1524</v>
      </c>
      <c r="AD76" s="24">
        <f t="shared" si="38"/>
        <v>1524</v>
      </c>
      <c r="AE76" s="24">
        <f t="shared" si="39"/>
        <v>1524</v>
      </c>
      <c r="AF76" s="24">
        <f t="shared" si="40"/>
        <v>762</v>
      </c>
      <c r="AG76" s="21">
        <f t="shared" si="41"/>
        <v>1524</v>
      </c>
      <c r="AH76" s="9" t="s">
        <v>136</v>
      </c>
      <c r="AI76" s="9" t="s">
        <v>137</v>
      </c>
      <c r="AJ76" s="9" t="s">
        <v>140</v>
      </c>
    </row>
    <row r="77" spans="1:36" ht="15.75" thickBot="1" x14ac:dyDescent="0.3">
      <c r="A77" s="3" t="s">
        <v>87</v>
      </c>
      <c r="B77" s="4">
        <v>297</v>
      </c>
      <c r="C77" s="4">
        <v>75</v>
      </c>
      <c r="D77" s="4">
        <v>75</v>
      </c>
      <c r="E77" s="4">
        <v>110</v>
      </c>
      <c r="F77" s="4">
        <v>297</v>
      </c>
      <c r="G77" s="4">
        <v>110</v>
      </c>
      <c r="H77" s="4">
        <v>110</v>
      </c>
      <c r="I77" s="4">
        <v>660</v>
      </c>
      <c r="J77" s="4">
        <v>1</v>
      </c>
      <c r="K77" s="15"/>
      <c r="L77" s="15"/>
      <c r="M77" s="6"/>
      <c r="N77" s="5" t="s">
        <v>17</v>
      </c>
      <c r="O77" s="14" t="s">
        <v>146</v>
      </c>
      <c r="P77" s="14">
        <v>0</v>
      </c>
      <c r="Q77" s="14">
        <v>0</v>
      </c>
      <c r="R77" s="5" t="s">
        <v>17</v>
      </c>
      <c r="S77" s="4"/>
      <c r="T77" s="33">
        <f t="shared" si="28"/>
        <v>297</v>
      </c>
      <c r="U77" s="26">
        <f t="shared" si="29"/>
        <v>8.125</v>
      </c>
      <c r="V77" s="26">
        <f t="shared" si="30"/>
        <v>12.1875</v>
      </c>
      <c r="W77" s="19">
        <f t="shared" si="31"/>
        <v>345</v>
      </c>
      <c r="X77" s="22">
        <f t="shared" si="32"/>
        <v>369</v>
      </c>
      <c r="Y77" s="29">
        <f t="shared" si="33"/>
        <v>371</v>
      </c>
      <c r="Z77" s="29">
        <f t="shared" si="34"/>
        <v>431</v>
      </c>
      <c r="AA77" s="30">
        <f t="shared" si="35"/>
        <v>1.2492753623188406</v>
      </c>
      <c r="AB77" s="24">
        <f t="shared" si="36"/>
        <v>690</v>
      </c>
      <c r="AC77" s="24">
        <f t="shared" si="37"/>
        <v>793</v>
      </c>
      <c r="AD77" s="24">
        <f t="shared" si="38"/>
        <v>793</v>
      </c>
      <c r="AE77" s="24">
        <f t="shared" si="39"/>
        <v>793</v>
      </c>
      <c r="AF77" s="24">
        <f t="shared" si="40"/>
        <v>396</v>
      </c>
      <c r="AG77" s="21">
        <f t="shared" si="41"/>
        <v>793</v>
      </c>
      <c r="AH77" s="9" t="s">
        <v>139</v>
      </c>
      <c r="AI77" s="9" t="s">
        <v>139</v>
      </c>
      <c r="AJ77" s="9" t="s">
        <v>140</v>
      </c>
    </row>
    <row r="78" spans="1:36" ht="15.75" thickBot="1" x14ac:dyDescent="0.3">
      <c r="A78" s="3" t="s">
        <v>61</v>
      </c>
      <c r="B78" s="4">
        <v>195</v>
      </c>
      <c r="C78" s="4">
        <v>135</v>
      </c>
      <c r="D78" s="4">
        <v>75</v>
      </c>
      <c r="E78" s="4">
        <v>95</v>
      </c>
      <c r="F78" s="4">
        <v>210</v>
      </c>
      <c r="G78" s="4">
        <v>110</v>
      </c>
      <c r="H78" s="4">
        <v>95</v>
      </c>
      <c r="I78" s="4">
        <v>850</v>
      </c>
      <c r="J78" s="4">
        <v>1</v>
      </c>
      <c r="K78" s="15"/>
      <c r="L78" s="15"/>
      <c r="M78" s="6"/>
      <c r="N78" s="4"/>
      <c r="O78" s="14" t="s">
        <v>159</v>
      </c>
      <c r="P78" s="14">
        <v>160</v>
      </c>
      <c r="Q78" s="8">
        <v>64</v>
      </c>
      <c r="R78" s="4"/>
      <c r="S78" s="4" t="s">
        <v>25</v>
      </c>
      <c r="T78" s="33">
        <f t="shared" si="28"/>
        <v>419</v>
      </c>
      <c r="U78" s="26">
        <f t="shared" si="29"/>
        <v>11.40625</v>
      </c>
      <c r="V78" s="26">
        <f t="shared" si="30"/>
        <v>17.109375</v>
      </c>
      <c r="W78" s="19">
        <f t="shared" si="31"/>
        <v>771</v>
      </c>
      <c r="X78" s="22">
        <f t="shared" si="32"/>
        <v>843</v>
      </c>
      <c r="Y78" s="29">
        <f t="shared" si="33"/>
        <v>471</v>
      </c>
      <c r="Z78" s="29">
        <f t="shared" si="34"/>
        <v>578</v>
      </c>
      <c r="AA78" s="30">
        <f t="shared" si="35"/>
        <v>0.7496757457846952</v>
      </c>
      <c r="AB78" s="24">
        <f t="shared" si="36"/>
        <v>1542</v>
      </c>
      <c r="AC78" s="24">
        <f t="shared" si="37"/>
        <v>1773</v>
      </c>
      <c r="AD78" s="24">
        <f t="shared" si="38"/>
        <v>1773</v>
      </c>
      <c r="AE78" s="24">
        <f t="shared" si="39"/>
        <v>1773</v>
      </c>
      <c r="AF78" s="24">
        <f t="shared" si="40"/>
        <v>886</v>
      </c>
      <c r="AG78" s="21">
        <f t="shared" si="41"/>
        <v>1773</v>
      </c>
      <c r="AH78" s="9" t="s">
        <v>132</v>
      </c>
      <c r="AI78" s="9" t="s">
        <v>134</v>
      </c>
      <c r="AJ78" s="9" t="s">
        <v>139</v>
      </c>
    </row>
    <row r="79" spans="1:36" ht="15.75" thickBot="1" x14ac:dyDescent="0.3">
      <c r="A79" s="3" t="s">
        <v>16</v>
      </c>
      <c r="B79" s="4">
        <v>604</v>
      </c>
      <c r="C79" s="4">
        <v>95</v>
      </c>
      <c r="D79" s="4">
        <v>75</v>
      </c>
      <c r="E79" s="4">
        <v>60</v>
      </c>
      <c r="F79" s="4">
        <v>262</v>
      </c>
      <c r="G79" s="4">
        <v>75</v>
      </c>
      <c r="H79" s="4">
        <v>150</v>
      </c>
      <c r="I79" s="4">
        <v>980</v>
      </c>
      <c r="J79" s="4">
        <v>0</v>
      </c>
      <c r="K79" s="13" t="s">
        <v>145</v>
      </c>
      <c r="L79" s="15"/>
      <c r="M79" s="15"/>
      <c r="N79" s="5" t="s">
        <v>17</v>
      </c>
      <c r="O79" s="14" t="s">
        <v>146</v>
      </c>
      <c r="P79" s="14">
        <v>0</v>
      </c>
      <c r="Q79" s="14">
        <v>0</v>
      </c>
      <c r="R79" s="5" t="s">
        <v>17</v>
      </c>
      <c r="S79" s="4"/>
      <c r="T79" s="33">
        <f t="shared" si="28"/>
        <v>604</v>
      </c>
      <c r="U79" s="26">
        <f t="shared" si="29"/>
        <v>10.625</v>
      </c>
      <c r="V79" s="26">
        <f t="shared" si="30"/>
        <v>10.625</v>
      </c>
      <c r="W79" s="19">
        <f t="shared" si="31"/>
        <v>732</v>
      </c>
      <c r="X79" s="22">
        <f t="shared" si="32"/>
        <v>796</v>
      </c>
      <c r="Y79" s="29">
        <f t="shared" si="33"/>
        <v>604</v>
      </c>
      <c r="Z79" s="29">
        <f t="shared" si="34"/>
        <v>732</v>
      </c>
      <c r="AA79" s="30">
        <f t="shared" si="35"/>
        <v>1</v>
      </c>
      <c r="AB79" s="24">
        <f t="shared" si="36"/>
        <v>732</v>
      </c>
      <c r="AC79" s="24">
        <f t="shared" si="37"/>
        <v>841</v>
      </c>
      <c r="AD79" s="24">
        <f t="shared" si="38"/>
        <v>841</v>
      </c>
      <c r="AE79" s="24">
        <f t="shared" si="39"/>
        <v>841</v>
      </c>
      <c r="AF79" s="24">
        <f t="shared" si="40"/>
        <v>732</v>
      </c>
      <c r="AG79" s="21">
        <f t="shared" si="41"/>
        <v>980</v>
      </c>
      <c r="AH79" s="9" t="s">
        <v>135</v>
      </c>
      <c r="AI79" s="9" t="s">
        <v>139</v>
      </c>
      <c r="AJ79" s="9" t="s">
        <v>138</v>
      </c>
    </row>
    <row r="80" spans="1:36" ht="15.75" thickBot="1" x14ac:dyDescent="0.3">
      <c r="A80" s="3" t="s">
        <v>50</v>
      </c>
      <c r="B80" s="4">
        <v>210</v>
      </c>
      <c r="C80" s="4">
        <v>195</v>
      </c>
      <c r="D80" s="4">
        <v>60</v>
      </c>
      <c r="E80" s="4">
        <v>175</v>
      </c>
      <c r="F80" s="4">
        <v>175</v>
      </c>
      <c r="G80" s="4">
        <v>60</v>
      </c>
      <c r="H80" s="4">
        <v>150</v>
      </c>
      <c r="I80" s="4">
        <v>780</v>
      </c>
      <c r="J80" s="4">
        <v>1</v>
      </c>
      <c r="K80" s="15"/>
      <c r="L80" s="6"/>
      <c r="M80" s="15"/>
      <c r="N80" s="4"/>
      <c r="O80" s="14" t="s">
        <v>159</v>
      </c>
      <c r="P80" s="14">
        <v>160</v>
      </c>
      <c r="Q80" s="8">
        <v>60</v>
      </c>
      <c r="R80" s="4"/>
      <c r="S80" s="4" t="s">
        <v>35</v>
      </c>
      <c r="T80" s="33">
        <f t="shared" si="28"/>
        <v>430</v>
      </c>
      <c r="U80" s="26">
        <f t="shared" si="29"/>
        <v>16.875</v>
      </c>
      <c r="V80" s="26">
        <f t="shared" si="30"/>
        <v>25.3125</v>
      </c>
      <c r="W80" s="19">
        <f t="shared" si="31"/>
        <v>862</v>
      </c>
      <c r="X80" s="22">
        <f t="shared" si="32"/>
        <v>971</v>
      </c>
      <c r="Y80" s="29">
        <f t="shared" si="33"/>
        <v>473</v>
      </c>
      <c r="Z80" s="29">
        <f t="shared" si="34"/>
        <v>632</v>
      </c>
      <c r="AA80" s="30">
        <f t="shared" si="35"/>
        <v>0.73317865429234341</v>
      </c>
      <c r="AB80" s="24">
        <f t="shared" si="36"/>
        <v>1724</v>
      </c>
      <c r="AC80" s="24">
        <f t="shared" si="37"/>
        <v>1982</v>
      </c>
      <c r="AD80" s="24">
        <f t="shared" si="38"/>
        <v>1982</v>
      </c>
      <c r="AE80" s="24">
        <f t="shared" si="39"/>
        <v>1982</v>
      </c>
      <c r="AF80" s="24">
        <f t="shared" si="40"/>
        <v>991</v>
      </c>
      <c r="AG80" s="21">
        <f t="shared" si="41"/>
        <v>1982</v>
      </c>
      <c r="AH80" s="9" t="s">
        <v>131</v>
      </c>
      <c r="AI80" s="9" t="s">
        <v>134</v>
      </c>
      <c r="AJ80" s="9" t="s">
        <v>132</v>
      </c>
    </row>
    <row r="81" spans="1:36" ht="15.75" thickBot="1" x14ac:dyDescent="0.3">
      <c r="A81" s="3" t="s">
        <v>45</v>
      </c>
      <c r="B81" s="4">
        <v>297</v>
      </c>
      <c r="C81" s="4">
        <v>150</v>
      </c>
      <c r="D81" s="4">
        <v>60</v>
      </c>
      <c r="E81" s="4">
        <v>135</v>
      </c>
      <c r="F81" s="4">
        <v>429</v>
      </c>
      <c r="G81" s="4">
        <v>135</v>
      </c>
      <c r="H81" s="4">
        <v>110</v>
      </c>
      <c r="I81" s="4">
        <v>660</v>
      </c>
      <c r="J81" s="4">
        <v>0</v>
      </c>
      <c r="K81" s="15"/>
      <c r="L81" s="15"/>
      <c r="M81" s="15"/>
      <c r="N81" s="5" t="s">
        <v>17</v>
      </c>
      <c r="O81" s="14" t="s">
        <v>146</v>
      </c>
      <c r="P81" s="14">
        <v>0</v>
      </c>
      <c r="Q81" s="14">
        <v>0</v>
      </c>
      <c r="R81" s="5" t="s">
        <v>17</v>
      </c>
      <c r="S81" s="4"/>
      <c r="T81" s="33">
        <f t="shared" si="28"/>
        <v>297</v>
      </c>
      <c r="U81" s="26">
        <f t="shared" si="29"/>
        <v>12.8125</v>
      </c>
      <c r="V81" s="26">
        <f t="shared" si="30"/>
        <v>12.8125</v>
      </c>
      <c r="W81" s="19">
        <f t="shared" si="31"/>
        <v>373</v>
      </c>
      <c r="X81" s="22">
        <f t="shared" si="32"/>
        <v>411</v>
      </c>
      <c r="Y81" s="29">
        <f t="shared" si="33"/>
        <v>297</v>
      </c>
      <c r="Z81" s="29">
        <f t="shared" si="34"/>
        <v>373</v>
      </c>
      <c r="AA81" s="30">
        <f t="shared" si="35"/>
        <v>1</v>
      </c>
      <c r="AB81" s="24">
        <f t="shared" si="36"/>
        <v>373</v>
      </c>
      <c r="AC81" s="24">
        <f t="shared" si="37"/>
        <v>428</v>
      </c>
      <c r="AD81" s="24">
        <f t="shared" si="38"/>
        <v>428</v>
      </c>
      <c r="AE81" s="24">
        <f t="shared" si="39"/>
        <v>428</v>
      </c>
      <c r="AF81" s="24">
        <f t="shared" si="40"/>
        <v>373</v>
      </c>
      <c r="AG81" s="21">
        <f t="shared" si="41"/>
        <v>660</v>
      </c>
      <c r="AH81" s="9" t="s">
        <v>139</v>
      </c>
      <c r="AI81" s="9" t="s">
        <v>140</v>
      </c>
      <c r="AJ81" s="9" t="s">
        <v>137</v>
      </c>
    </row>
    <row r="82" spans="1:36" ht="15.75" thickBot="1" x14ac:dyDescent="0.3">
      <c r="A82" s="3" t="s">
        <v>27</v>
      </c>
      <c r="B82" s="4">
        <v>195</v>
      </c>
      <c r="C82" s="4">
        <v>95</v>
      </c>
      <c r="D82" s="4">
        <v>60</v>
      </c>
      <c r="E82" s="4">
        <v>75</v>
      </c>
      <c r="F82" s="4">
        <v>150</v>
      </c>
      <c r="G82" s="4">
        <v>110</v>
      </c>
      <c r="H82" s="4">
        <v>175</v>
      </c>
      <c r="I82" s="4">
        <v>780</v>
      </c>
      <c r="J82" s="4">
        <v>0</v>
      </c>
      <c r="K82" s="15"/>
      <c r="L82" s="13" t="s">
        <v>153</v>
      </c>
      <c r="M82" s="15"/>
      <c r="N82" s="4"/>
      <c r="O82" s="14" t="s">
        <v>154</v>
      </c>
      <c r="P82" s="14">
        <v>135</v>
      </c>
      <c r="Q82" s="8">
        <v>79</v>
      </c>
      <c r="R82" s="4"/>
      <c r="S82" s="4" t="s">
        <v>28</v>
      </c>
      <c r="T82" s="33">
        <f t="shared" si="28"/>
        <v>409</v>
      </c>
      <c r="U82" s="26">
        <f t="shared" si="29"/>
        <v>11.40625</v>
      </c>
      <c r="V82" s="26">
        <f t="shared" si="30"/>
        <v>11.40625</v>
      </c>
      <c r="W82" s="19">
        <f t="shared" si="31"/>
        <v>753</v>
      </c>
      <c r="X82" s="22">
        <f t="shared" si="32"/>
        <v>823</v>
      </c>
      <c r="Y82" s="29">
        <f t="shared" si="33"/>
        <v>409</v>
      </c>
      <c r="Z82" s="29">
        <f t="shared" si="34"/>
        <v>502</v>
      </c>
      <c r="AA82" s="30">
        <f t="shared" si="35"/>
        <v>0.66666666666666663</v>
      </c>
      <c r="AB82" s="24">
        <f t="shared" si="36"/>
        <v>753</v>
      </c>
      <c r="AC82" s="24">
        <f t="shared" si="37"/>
        <v>865</v>
      </c>
      <c r="AD82" s="24">
        <f t="shared" si="38"/>
        <v>865</v>
      </c>
      <c r="AE82" s="24">
        <f t="shared" si="39"/>
        <v>865</v>
      </c>
      <c r="AF82" s="24">
        <f t="shared" si="40"/>
        <v>753</v>
      </c>
      <c r="AG82" s="21">
        <f t="shared" si="41"/>
        <v>865</v>
      </c>
      <c r="AH82" s="9" t="s">
        <v>132</v>
      </c>
      <c r="AI82" s="9" t="s">
        <v>139</v>
      </c>
      <c r="AJ82" s="9" t="s">
        <v>137</v>
      </c>
    </row>
  </sheetData>
  <autoFilter ref="A1:AJ1">
    <sortState ref="A2:AJ82">
      <sortCondition descending="1" ref="D1"/>
    </sortState>
  </autoFilter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8:V35"/>
  <sheetViews>
    <sheetView workbookViewId="0">
      <selection activeCell="K21" sqref="K21"/>
    </sheetView>
  </sheetViews>
  <sheetFormatPr defaultRowHeight="15" x14ac:dyDescent="0.25"/>
  <sheetData>
    <row r="8" spans="6:22" x14ac:dyDescent="0.25">
      <c r="N8" t="s">
        <v>307</v>
      </c>
    </row>
    <row r="9" spans="6:22" x14ac:dyDescent="0.25">
      <c r="N9">
        <v>10</v>
      </c>
      <c r="O9" t="s">
        <v>478</v>
      </c>
    </row>
    <row r="10" spans="6:22" x14ac:dyDescent="0.25">
      <c r="N10">
        <v>6</v>
      </c>
    </row>
    <row r="13" spans="6:22" x14ac:dyDescent="0.25">
      <c r="F13" t="s">
        <v>199</v>
      </c>
      <c r="G13" t="s">
        <v>469</v>
      </c>
      <c r="H13">
        <v>21</v>
      </c>
      <c r="L13" t="s">
        <v>470</v>
      </c>
      <c r="N13">
        <f>(100*1.2)+H19-N10</f>
        <v>136</v>
      </c>
      <c r="O13" t="s">
        <v>477</v>
      </c>
    </row>
    <row r="14" spans="6:22" x14ac:dyDescent="0.25">
      <c r="G14" t="s">
        <v>3</v>
      </c>
      <c r="H14">
        <v>16</v>
      </c>
      <c r="L14" t="s">
        <v>471</v>
      </c>
      <c r="N14">
        <f>60+H16-N10</f>
        <v>76</v>
      </c>
      <c r="O14" t="s">
        <v>477</v>
      </c>
    </row>
    <row r="15" spans="6:22" x14ac:dyDescent="0.25">
      <c r="F15" t="s">
        <v>97</v>
      </c>
      <c r="G15" t="s">
        <v>469</v>
      </c>
      <c r="H15">
        <v>24</v>
      </c>
      <c r="I15">
        <v>14</v>
      </c>
      <c r="J15">
        <f>(I15+3)*2</f>
        <v>34</v>
      </c>
      <c r="K15">
        <f>(I15+9)*2</f>
        <v>46</v>
      </c>
      <c r="L15" t="s">
        <v>472</v>
      </c>
      <c r="N15">
        <f>(150*1.2)+H18-N10</f>
        <v>192</v>
      </c>
      <c r="O15" t="s">
        <v>477</v>
      </c>
    </row>
    <row r="16" spans="6:22" x14ac:dyDescent="0.25">
      <c r="G16" t="s">
        <v>3</v>
      </c>
      <c r="H16">
        <v>22</v>
      </c>
      <c r="L16" t="s">
        <v>473</v>
      </c>
      <c r="N16">
        <f>H20-N9</f>
        <v>22</v>
      </c>
      <c r="O16">
        <v>29</v>
      </c>
      <c r="P16">
        <v>28</v>
      </c>
      <c r="Q16">
        <v>30</v>
      </c>
      <c r="R16">
        <v>30</v>
      </c>
      <c r="S16">
        <v>27</v>
      </c>
      <c r="T16">
        <v>28</v>
      </c>
      <c r="U16">
        <v>25</v>
      </c>
      <c r="V16">
        <v>29</v>
      </c>
    </row>
    <row r="17" spans="6:20" x14ac:dyDescent="0.25">
      <c r="F17" t="s">
        <v>36</v>
      </c>
      <c r="G17" t="s">
        <v>469</v>
      </c>
      <c r="H17">
        <v>31</v>
      </c>
      <c r="I17">
        <v>21</v>
      </c>
      <c r="J17">
        <f>(I17+3)*2</f>
        <v>48</v>
      </c>
      <c r="K17">
        <f>(I17+9)*2</f>
        <v>60</v>
      </c>
      <c r="L17" t="s">
        <v>474</v>
      </c>
      <c r="N17">
        <f>60+H14-N10</f>
        <v>70</v>
      </c>
      <c r="O17" t="s">
        <v>477</v>
      </c>
    </row>
    <row r="18" spans="6:20" x14ac:dyDescent="0.25">
      <c r="G18" t="s">
        <v>3</v>
      </c>
      <c r="H18">
        <v>18</v>
      </c>
      <c r="L18" t="s">
        <v>470</v>
      </c>
      <c r="N18">
        <f>N13</f>
        <v>136</v>
      </c>
    </row>
    <row r="19" spans="6:20" x14ac:dyDescent="0.25">
      <c r="F19" t="s">
        <v>62</v>
      </c>
      <c r="G19" t="s">
        <v>3</v>
      </c>
      <c r="H19">
        <v>22</v>
      </c>
      <c r="L19" t="s">
        <v>475</v>
      </c>
      <c r="N19">
        <v>132</v>
      </c>
      <c r="O19">
        <v>132</v>
      </c>
      <c r="P19">
        <v>158</v>
      </c>
      <c r="Q19">
        <v>164</v>
      </c>
    </row>
    <row r="20" spans="6:20" x14ac:dyDescent="0.25">
      <c r="F20" t="s">
        <v>27</v>
      </c>
      <c r="G20" t="s">
        <v>469</v>
      </c>
      <c r="H20">
        <v>32</v>
      </c>
      <c r="I20">
        <v>22</v>
      </c>
      <c r="J20">
        <f>(I20+3)*2</f>
        <v>50</v>
      </c>
      <c r="K20">
        <f>(I20+9)*2</f>
        <v>62</v>
      </c>
      <c r="L20" t="s">
        <v>476</v>
      </c>
      <c r="N20">
        <f>H13-N9</f>
        <v>11</v>
      </c>
      <c r="O20">
        <v>16</v>
      </c>
      <c r="P20">
        <v>14</v>
      </c>
      <c r="Q20">
        <v>17</v>
      </c>
      <c r="R20">
        <v>14</v>
      </c>
      <c r="S20">
        <v>14</v>
      </c>
      <c r="T20">
        <v>15</v>
      </c>
    </row>
    <row r="21" spans="6:20" x14ac:dyDescent="0.25">
      <c r="J21">
        <f>SUM(J15:J20)</f>
        <v>132</v>
      </c>
      <c r="K21">
        <f>SUM(K15:K20)</f>
        <v>168</v>
      </c>
      <c r="N21">
        <f>SUM(N13:N20)</f>
        <v>775</v>
      </c>
    </row>
    <row r="25" spans="6:20" x14ac:dyDescent="0.25">
      <c r="M25">
        <f>(32-10)*2</f>
        <v>44</v>
      </c>
    </row>
    <row r="34" spans="9:15" x14ac:dyDescent="0.25">
      <c r="I34" t="s">
        <v>27</v>
      </c>
      <c r="K34">
        <v>150</v>
      </c>
      <c r="L34">
        <v>152</v>
      </c>
      <c r="M34">
        <v>136</v>
      </c>
      <c r="N34">
        <v>140</v>
      </c>
      <c r="O34">
        <v>154</v>
      </c>
    </row>
    <row r="35" spans="9:15" x14ac:dyDescent="0.25">
      <c r="I35" t="s">
        <v>479</v>
      </c>
      <c r="K35">
        <v>158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0"/>
  <sheetViews>
    <sheetView workbookViewId="0">
      <selection activeCell="C91" sqref="C91"/>
    </sheetView>
  </sheetViews>
  <sheetFormatPr defaultRowHeight="15" x14ac:dyDescent="0.25"/>
  <cols>
    <col min="9" max="9" width="12.140625" customWidth="1"/>
  </cols>
  <sheetData>
    <row r="1" spans="2:27" x14ac:dyDescent="0.25">
      <c r="B1">
        <v>15</v>
      </c>
      <c r="C1">
        <v>10000</v>
      </c>
      <c r="H1">
        <v>10000</v>
      </c>
      <c r="I1">
        <v>9700</v>
      </c>
      <c r="J1">
        <v>9300</v>
      </c>
      <c r="K1">
        <v>9000</v>
      </c>
      <c r="L1">
        <v>8500</v>
      </c>
      <c r="M1">
        <v>8000</v>
      </c>
      <c r="N1">
        <v>7500</v>
      </c>
      <c r="O1">
        <v>6900</v>
      </c>
      <c r="P1">
        <v>6000</v>
      </c>
      <c r="Q1">
        <v>5100</v>
      </c>
      <c r="R1">
        <v>3900</v>
      </c>
      <c r="S1">
        <v>2600</v>
      </c>
      <c r="T1">
        <v>1600</v>
      </c>
      <c r="U1">
        <v>900</v>
      </c>
      <c r="V1">
        <v>400</v>
      </c>
      <c r="W1">
        <v>200</v>
      </c>
      <c r="X1">
        <v>160</v>
      </c>
      <c r="Y1">
        <v>120</v>
      </c>
      <c r="Z1">
        <v>90</v>
      </c>
      <c r="AA1">
        <v>70</v>
      </c>
    </row>
    <row r="2" spans="2:27" x14ac:dyDescent="0.25">
      <c r="B2">
        <v>14</v>
      </c>
      <c r="C2">
        <v>9700</v>
      </c>
      <c r="H2">
        <v>15</v>
      </c>
      <c r="I2">
        <v>14</v>
      </c>
      <c r="J2">
        <v>13</v>
      </c>
      <c r="K2">
        <v>12</v>
      </c>
      <c r="L2">
        <v>11</v>
      </c>
      <c r="M2">
        <v>10</v>
      </c>
      <c r="N2">
        <v>9</v>
      </c>
      <c r="O2">
        <v>8</v>
      </c>
      <c r="P2">
        <v>7</v>
      </c>
      <c r="Q2">
        <v>6</v>
      </c>
      <c r="R2">
        <v>5</v>
      </c>
      <c r="S2">
        <v>4</v>
      </c>
      <c r="T2">
        <v>3</v>
      </c>
      <c r="U2">
        <v>2</v>
      </c>
      <c r="V2">
        <v>1</v>
      </c>
      <c r="W2">
        <v>0</v>
      </c>
      <c r="X2">
        <v>-1</v>
      </c>
      <c r="Y2">
        <v>-2</v>
      </c>
      <c r="Z2">
        <v>-3</v>
      </c>
      <c r="AA2">
        <v>-4</v>
      </c>
    </row>
    <row r="3" spans="2:27" x14ac:dyDescent="0.25">
      <c r="B3">
        <v>13</v>
      </c>
      <c r="C3">
        <v>9300</v>
      </c>
    </row>
    <row r="4" spans="2:27" x14ac:dyDescent="0.25">
      <c r="B4">
        <v>12</v>
      </c>
      <c r="C4">
        <v>9000</v>
      </c>
      <c r="J4">
        <f>32-15</f>
        <v>17</v>
      </c>
      <c r="K4">
        <v>18</v>
      </c>
      <c r="L4">
        <v>19</v>
      </c>
      <c r="M4">
        <v>20</v>
      </c>
      <c r="N4">
        <v>21</v>
      </c>
      <c r="O4">
        <v>22</v>
      </c>
      <c r="P4">
        <v>23</v>
      </c>
      <c r="Q4">
        <v>24</v>
      </c>
      <c r="R4">
        <v>25</v>
      </c>
      <c r="S4">
        <v>26</v>
      </c>
      <c r="T4">
        <v>27</v>
      </c>
      <c r="U4">
        <v>28</v>
      </c>
      <c r="V4">
        <v>29</v>
      </c>
      <c r="W4">
        <v>30</v>
      </c>
    </row>
    <row r="5" spans="2:27" x14ac:dyDescent="0.25">
      <c r="B5">
        <v>11</v>
      </c>
      <c r="C5">
        <v>8500</v>
      </c>
      <c r="H5" t="s">
        <v>257</v>
      </c>
      <c r="I5" t="s">
        <v>258</v>
      </c>
      <c r="J5">
        <f>10000/6</f>
        <v>1666.6666666666667</v>
      </c>
      <c r="K5">
        <f>C2/6</f>
        <v>1616.6666666666667</v>
      </c>
      <c r="L5">
        <f>C3/6</f>
        <v>1550</v>
      </c>
      <c r="M5">
        <f>C4/6</f>
        <v>1500</v>
      </c>
      <c r="N5">
        <f>C5/6</f>
        <v>1416.6666666666667</v>
      </c>
      <c r="O5">
        <f t="shared" ref="O5:W5" si="0">M1/6</f>
        <v>1333.3333333333333</v>
      </c>
      <c r="P5">
        <f t="shared" si="0"/>
        <v>1250</v>
      </c>
      <c r="Q5">
        <f t="shared" si="0"/>
        <v>1150</v>
      </c>
      <c r="R5">
        <f t="shared" si="0"/>
        <v>1000</v>
      </c>
      <c r="S5">
        <f t="shared" si="0"/>
        <v>850</v>
      </c>
      <c r="T5">
        <f t="shared" si="0"/>
        <v>650</v>
      </c>
      <c r="U5">
        <f t="shared" si="0"/>
        <v>433.33333333333331</v>
      </c>
      <c r="V5">
        <f t="shared" si="0"/>
        <v>266.66666666666669</v>
      </c>
      <c r="W5">
        <f t="shared" si="0"/>
        <v>150</v>
      </c>
    </row>
    <row r="6" spans="2:27" x14ac:dyDescent="0.25">
      <c r="B6">
        <v>10</v>
      </c>
      <c r="C6">
        <v>8000</v>
      </c>
      <c r="H6" t="s">
        <v>260</v>
      </c>
      <c r="I6" t="s">
        <v>261</v>
      </c>
      <c r="J6">
        <f>H1/6</f>
        <v>1666.6666666666667</v>
      </c>
      <c r="K6">
        <f>H1/6</f>
        <v>1666.6666666666667</v>
      </c>
      <c r="L6">
        <f t="shared" ref="L6:W6" si="1">H1/6</f>
        <v>1666.6666666666667</v>
      </c>
      <c r="M6">
        <f t="shared" si="1"/>
        <v>1616.6666666666667</v>
      </c>
      <c r="N6">
        <f t="shared" si="1"/>
        <v>1550</v>
      </c>
      <c r="O6">
        <f t="shared" si="1"/>
        <v>1500</v>
      </c>
      <c r="P6">
        <f t="shared" si="1"/>
        <v>1416.6666666666667</v>
      </c>
      <c r="Q6">
        <f t="shared" si="1"/>
        <v>1333.3333333333333</v>
      </c>
      <c r="R6">
        <f t="shared" si="1"/>
        <v>1250</v>
      </c>
      <c r="S6">
        <f t="shared" si="1"/>
        <v>1150</v>
      </c>
      <c r="T6">
        <f t="shared" si="1"/>
        <v>1000</v>
      </c>
      <c r="U6">
        <f t="shared" si="1"/>
        <v>850</v>
      </c>
      <c r="V6">
        <f t="shared" si="1"/>
        <v>650</v>
      </c>
      <c r="W6">
        <f t="shared" si="1"/>
        <v>433.33333333333331</v>
      </c>
    </row>
    <row r="7" spans="2:27" x14ac:dyDescent="0.25">
      <c r="B7">
        <v>9</v>
      </c>
      <c r="C7">
        <v>7500</v>
      </c>
      <c r="H7" t="s">
        <v>262</v>
      </c>
      <c r="I7" t="s">
        <v>263</v>
      </c>
      <c r="J7">
        <f>5000</f>
        <v>5000</v>
      </c>
      <c r="K7">
        <f>5000</f>
        <v>5000</v>
      </c>
      <c r="L7">
        <f>5000</f>
        <v>5000</v>
      </c>
      <c r="M7">
        <f>5000</f>
        <v>5000</v>
      </c>
      <c r="N7">
        <f>5000</f>
        <v>5000</v>
      </c>
      <c r="O7">
        <f>5000</f>
        <v>5000</v>
      </c>
      <c r="P7">
        <f>5000</f>
        <v>5000</v>
      </c>
      <c r="Q7">
        <f>5000</f>
        <v>5000</v>
      </c>
      <c r="R7">
        <f>5000</f>
        <v>5000</v>
      </c>
      <c r="S7">
        <f>I1/2</f>
        <v>4850</v>
      </c>
      <c r="T7">
        <f>J1/2</f>
        <v>4650</v>
      </c>
      <c r="U7">
        <f>K1/2</f>
        <v>4500</v>
      </c>
      <c r="V7">
        <f>L1/2</f>
        <v>4250</v>
      </c>
      <c r="W7">
        <f>M1/2</f>
        <v>4000</v>
      </c>
    </row>
    <row r="8" spans="2:27" x14ac:dyDescent="0.25">
      <c r="B8">
        <v>8</v>
      </c>
      <c r="C8">
        <v>6900</v>
      </c>
      <c r="H8" t="s">
        <v>264</v>
      </c>
      <c r="I8" t="s">
        <v>265</v>
      </c>
      <c r="J8">
        <f>(H1*5+H1)/2</f>
        <v>30000</v>
      </c>
      <c r="K8">
        <f>(I1*5+H1)/2</f>
        <v>29250</v>
      </c>
      <c r="L8">
        <f t="shared" ref="L8:W8" si="2">(J1*5+H1)/2</f>
        <v>28250</v>
      </c>
      <c r="M8">
        <f t="shared" si="2"/>
        <v>27350</v>
      </c>
      <c r="N8">
        <f t="shared" si="2"/>
        <v>25900</v>
      </c>
      <c r="O8">
        <f t="shared" si="2"/>
        <v>24500</v>
      </c>
      <c r="P8">
        <f t="shared" si="2"/>
        <v>23000</v>
      </c>
      <c r="Q8">
        <f t="shared" si="2"/>
        <v>21250</v>
      </c>
      <c r="R8">
        <f t="shared" si="2"/>
        <v>18750</v>
      </c>
      <c r="S8">
        <f t="shared" si="2"/>
        <v>16200</v>
      </c>
      <c r="T8">
        <f t="shared" si="2"/>
        <v>12750</v>
      </c>
      <c r="U8">
        <f t="shared" si="2"/>
        <v>9050</v>
      </c>
      <c r="V8">
        <f t="shared" si="2"/>
        <v>5950</v>
      </c>
      <c r="W8">
        <f t="shared" si="2"/>
        <v>3550</v>
      </c>
    </row>
    <row r="9" spans="2:27" x14ac:dyDescent="0.25">
      <c r="B9">
        <v>7</v>
      </c>
      <c r="C9">
        <v>6000</v>
      </c>
      <c r="J9">
        <f t="shared" ref="J9:W9" si="3">J8+J4*1000</f>
        <v>47000</v>
      </c>
      <c r="K9">
        <f t="shared" si="3"/>
        <v>47250</v>
      </c>
      <c r="L9">
        <f t="shared" si="3"/>
        <v>47250</v>
      </c>
      <c r="M9">
        <f t="shared" si="3"/>
        <v>47350</v>
      </c>
      <c r="N9">
        <f t="shared" si="3"/>
        <v>46900</v>
      </c>
      <c r="O9">
        <f t="shared" si="3"/>
        <v>46500</v>
      </c>
      <c r="P9">
        <f t="shared" si="3"/>
        <v>46000</v>
      </c>
      <c r="Q9">
        <f t="shared" si="3"/>
        <v>45250</v>
      </c>
      <c r="R9">
        <f t="shared" si="3"/>
        <v>43750</v>
      </c>
      <c r="S9">
        <f t="shared" si="3"/>
        <v>42200</v>
      </c>
      <c r="T9">
        <f t="shared" si="3"/>
        <v>39750</v>
      </c>
      <c r="U9">
        <f t="shared" si="3"/>
        <v>37050</v>
      </c>
      <c r="V9">
        <f t="shared" si="3"/>
        <v>34950</v>
      </c>
      <c r="W9">
        <f t="shared" si="3"/>
        <v>33550</v>
      </c>
    </row>
    <row r="10" spans="2:27" x14ac:dyDescent="0.25">
      <c r="B10">
        <v>6</v>
      </c>
      <c r="C10">
        <v>5100</v>
      </c>
    </row>
    <row r="11" spans="2:27" x14ac:dyDescent="0.25">
      <c r="B11">
        <v>5</v>
      </c>
      <c r="C11">
        <v>3900</v>
      </c>
    </row>
    <row r="12" spans="2:27" x14ac:dyDescent="0.25">
      <c r="B12">
        <v>4</v>
      </c>
      <c r="C12">
        <v>2600</v>
      </c>
    </row>
    <row r="13" spans="2:27" x14ac:dyDescent="0.25">
      <c r="B13">
        <v>3</v>
      </c>
      <c r="C13">
        <v>1600</v>
      </c>
    </row>
    <row r="14" spans="2:27" x14ac:dyDescent="0.25">
      <c r="B14">
        <v>2</v>
      </c>
      <c r="C14">
        <v>900</v>
      </c>
      <c r="H14" t="s">
        <v>481</v>
      </c>
      <c r="I14">
        <v>5000</v>
      </c>
      <c r="K14" t="s">
        <v>486</v>
      </c>
      <c r="L14">
        <v>15000</v>
      </c>
      <c r="N14" t="s">
        <v>486</v>
      </c>
      <c r="O14">
        <v>20000</v>
      </c>
      <c r="Q14" t="s">
        <v>486</v>
      </c>
      <c r="R14">
        <v>25000</v>
      </c>
    </row>
    <row r="15" spans="2:27" x14ac:dyDescent="0.25">
      <c r="B15">
        <v>1</v>
      </c>
      <c r="C15">
        <v>400</v>
      </c>
      <c r="H15" t="s">
        <v>482</v>
      </c>
      <c r="I15">
        <f>15000</f>
        <v>15000</v>
      </c>
      <c r="K15" t="s">
        <v>482</v>
      </c>
      <c r="L15">
        <v>25000</v>
      </c>
      <c r="N15" t="s">
        <v>485</v>
      </c>
      <c r="O15">
        <f>(9300*3)+O14</f>
        <v>47900</v>
      </c>
      <c r="Q15" t="s">
        <v>485</v>
      </c>
      <c r="R15">
        <f>(6900*3)+R14</f>
        <v>45700</v>
      </c>
    </row>
    <row r="16" spans="2:27" x14ac:dyDescent="0.25">
      <c r="B16">
        <v>0</v>
      </c>
      <c r="C16">
        <v>200</v>
      </c>
      <c r="H16" t="s">
        <v>483</v>
      </c>
      <c r="I16">
        <f>20000</f>
        <v>20000</v>
      </c>
      <c r="K16" t="s">
        <v>483</v>
      </c>
      <c r="L16">
        <v>30000</v>
      </c>
    </row>
    <row r="17" spans="2:22" x14ac:dyDescent="0.25">
      <c r="B17">
        <v>-1</v>
      </c>
      <c r="C17">
        <v>160</v>
      </c>
      <c r="H17" t="s">
        <v>484</v>
      </c>
      <c r="I17">
        <v>25000</v>
      </c>
      <c r="K17" t="s">
        <v>484</v>
      </c>
      <c r="L17">
        <v>35000</v>
      </c>
      <c r="O17">
        <f>20000+M5</f>
        <v>21500</v>
      </c>
    </row>
    <row r="18" spans="2:22" x14ac:dyDescent="0.25">
      <c r="B18">
        <v>-2</v>
      </c>
      <c r="C18">
        <v>120</v>
      </c>
      <c r="H18" t="s">
        <v>485</v>
      </c>
      <c r="I18" s="44">
        <v>35000</v>
      </c>
      <c r="K18" t="s">
        <v>485</v>
      </c>
      <c r="L18">
        <v>45000</v>
      </c>
      <c r="O18">
        <f>O17+N6</f>
        <v>23050</v>
      </c>
    </row>
    <row r="19" spans="2:22" x14ac:dyDescent="0.25">
      <c r="B19">
        <v>-3</v>
      </c>
      <c r="C19">
        <v>90</v>
      </c>
      <c r="H19" t="s">
        <v>487</v>
      </c>
      <c r="I19">
        <f>(8000*6)/2 + I14</f>
        <v>29000</v>
      </c>
      <c r="O19">
        <f>O18+P7</f>
        <v>28050</v>
      </c>
    </row>
    <row r="20" spans="2:22" x14ac:dyDescent="0.25">
      <c r="B20">
        <v>-4</v>
      </c>
      <c r="C20">
        <v>70</v>
      </c>
      <c r="H20" t="s">
        <v>488</v>
      </c>
      <c r="I20">
        <f>(10000*3+8000*3)/2+I14</f>
        <v>32000</v>
      </c>
    </row>
    <row r="21" spans="2:22" x14ac:dyDescent="0.25">
      <c r="H21" t="s">
        <v>489</v>
      </c>
      <c r="I21">
        <f>(8000*3+10000)/2+5000</f>
        <v>22000</v>
      </c>
    </row>
    <row r="25" spans="2:22" x14ac:dyDescent="0.25">
      <c r="H25" t="s">
        <v>490</v>
      </c>
      <c r="I25">
        <v>5000</v>
      </c>
      <c r="L25" t="s">
        <v>490</v>
      </c>
      <c r="M25">
        <v>15000</v>
      </c>
      <c r="O25" t="s">
        <v>486</v>
      </c>
      <c r="P25">
        <v>9000</v>
      </c>
      <c r="R25" t="s">
        <v>486</v>
      </c>
      <c r="S25">
        <v>11000</v>
      </c>
      <c r="U25" t="s">
        <v>486</v>
      </c>
      <c r="V25">
        <v>13000</v>
      </c>
    </row>
    <row r="26" spans="2:22" x14ac:dyDescent="0.25">
      <c r="H26" t="s">
        <v>482</v>
      </c>
      <c r="I26">
        <f>I25+20000/5</f>
        <v>9000</v>
      </c>
      <c r="L26" t="s">
        <v>482</v>
      </c>
      <c r="M26" s="44">
        <f>M25+(20000/5)</f>
        <v>19000</v>
      </c>
      <c r="O26" t="s">
        <v>482</v>
      </c>
      <c r="P26">
        <f>P25+4000</f>
        <v>13000</v>
      </c>
      <c r="R26" t="s">
        <v>482</v>
      </c>
      <c r="S26">
        <f>S25+4000</f>
        <v>15000</v>
      </c>
      <c r="U26" t="s">
        <v>482</v>
      </c>
    </row>
    <row r="27" spans="2:22" x14ac:dyDescent="0.25">
      <c r="H27" t="s">
        <v>483</v>
      </c>
      <c r="I27">
        <f>I25+30000/5</f>
        <v>11000</v>
      </c>
      <c r="L27" t="s">
        <v>483</v>
      </c>
      <c r="M27" s="44">
        <v>21000</v>
      </c>
      <c r="O27" t="s">
        <v>483</v>
      </c>
      <c r="P27">
        <f>P25+6000</f>
        <v>15000</v>
      </c>
      <c r="R27" t="s">
        <v>483</v>
      </c>
      <c r="S27">
        <f>S25+6000</f>
        <v>17000</v>
      </c>
      <c r="U27" t="s">
        <v>483</v>
      </c>
    </row>
    <row r="28" spans="2:22" x14ac:dyDescent="0.25">
      <c r="H28" t="s">
        <v>484</v>
      </c>
      <c r="I28">
        <f>I25+40000/5</f>
        <v>13000</v>
      </c>
      <c r="L28" t="s">
        <v>484</v>
      </c>
      <c r="M28" s="44">
        <v>23000</v>
      </c>
      <c r="O28" t="s">
        <v>484</v>
      </c>
      <c r="P28">
        <f>P25+8000</f>
        <v>17000</v>
      </c>
      <c r="R28" t="s">
        <v>484</v>
      </c>
      <c r="S28">
        <f>S25+8000</f>
        <v>19000</v>
      </c>
      <c r="U28" t="s">
        <v>484</v>
      </c>
    </row>
    <row r="29" spans="2:22" x14ac:dyDescent="0.25">
      <c r="H29" t="s">
        <v>485</v>
      </c>
      <c r="I29">
        <f>I25+60000/5</f>
        <v>17000</v>
      </c>
      <c r="L29" t="s">
        <v>485</v>
      </c>
      <c r="M29" s="44">
        <f>27000</f>
        <v>27000</v>
      </c>
      <c r="O29" t="s">
        <v>485</v>
      </c>
      <c r="P29" s="44">
        <f>P25+12000</f>
        <v>21000</v>
      </c>
      <c r="R29" t="s">
        <v>485</v>
      </c>
      <c r="S29">
        <f>S25+12000</f>
        <v>23000</v>
      </c>
      <c r="U29" t="s">
        <v>485</v>
      </c>
    </row>
    <row r="30" spans="2:22" x14ac:dyDescent="0.25">
      <c r="H30" t="s">
        <v>487</v>
      </c>
      <c r="I30">
        <f>(8000*6)/5+5000</f>
        <v>14600</v>
      </c>
      <c r="L30" t="s">
        <v>487</v>
      </c>
      <c r="M30">
        <f>15000+(200*6)/5</f>
        <v>15240</v>
      </c>
      <c r="O30" t="s">
        <v>487</v>
      </c>
      <c r="P30">
        <f>P25+(6*Q1)/5</f>
        <v>15120</v>
      </c>
      <c r="R30" t="s">
        <v>487</v>
      </c>
      <c r="U30" t="s">
        <v>487</v>
      </c>
    </row>
    <row r="31" spans="2:22" x14ac:dyDescent="0.25">
      <c r="H31" t="s">
        <v>488</v>
      </c>
      <c r="I31">
        <f>(30000+24000)/5+I25</f>
        <v>15800</v>
      </c>
      <c r="L31" t="s">
        <v>488</v>
      </c>
      <c r="M31" s="44">
        <f>15000+(30000+600)/5</f>
        <v>21120</v>
      </c>
      <c r="O31" t="s">
        <v>488</v>
      </c>
      <c r="P31">
        <f>(10000*3+Q1*3)/5+P25</f>
        <v>18060</v>
      </c>
      <c r="R31" t="s">
        <v>488</v>
      </c>
      <c r="U31" t="s">
        <v>488</v>
      </c>
    </row>
    <row r="32" spans="2:22" x14ac:dyDescent="0.25">
      <c r="H32" t="s">
        <v>489</v>
      </c>
      <c r="I32">
        <f>(10000+24000)/5+5000</f>
        <v>11800</v>
      </c>
      <c r="L32" t="s">
        <v>489</v>
      </c>
      <c r="M32" s="43">
        <f>15000+(10600)/5</f>
        <v>17120</v>
      </c>
      <c r="O32" t="s">
        <v>489</v>
      </c>
      <c r="P32">
        <f>(10000+3*Q1)/5+P25</f>
        <v>14060</v>
      </c>
      <c r="R32" t="s">
        <v>489</v>
      </c>
      <c r="U32" t="s">
        <v>489</v>
      </c>
    </row>
    <row r="36" spans="1:21" x14ac:dyDescent="0.25">
      <c r="M36">
        <f>M26+L5</f>
        <v>20550</v>
      </c>
      <c r="P36">
        <f>17000+J5</f>
        <v>18666.666666666668</v>
      </c>
    </row>
    <row r="37" spans="1:21" x14ac:dyDescent="0.25">
      <c r="M37">
        <f>M36+M6</f>
        <v>22166.666666666668</v>
      </c>
      <c r="P37">
        <f>P36+K6</f>
        <v>20333.333333333336</v>
      </c>
    </row>
    <row r="38" spans="1:21" x14ac:dyDescent="0.25">
      <c r="M38">
        <f>M37+O7</f>
        <v>27166.666666666668</v>
      </c>
      <c r="P38">
        <f>P37+M7</f>
        <v>25333.333333333336</v>
      </c>
    </row>
    <row r="39" spans="1:21" x14ac:dyDescent="0.25">
      <c r="B39">
        <v>15100</v>
      </c>
      <c r="C39">
        <v>19950</v>
      </c>
      <c r="D39">
        <v>24800</v>
      </c>
      <c r="E39">
        <v>24950</v>
      </c>
    </row>
    <row r="40" spans="1:21" x14ac:dyDescent="0.25">
      <c r="A40" t="s">
        <v>485</v>
      </c>
      <c r="B40">
        <f>B39+(10000*6)/2</f>
        <v>45100</v>
      </c>
      <c r="C40">
        <f>C39+(9700*6)/2</f>
        <v>49050</v>
      </c>
      <c r="D40">
        <f>D39+(N1*6)/2</f>
        <v>47300</v>
      </c>
      <c r="E40">
        <f>D40+150</f>
        <v>47450</v>
      </c>
    </row>
    <row r="41" spans="1:21" x14ac:dyDescent="0.25">
      <c r="A41" t="s">
        <v>491</v>
      </c>
      <c r="C41">
        <f>C39+(H1*6)/2</f>
        <v>49950</v>
      </c>
      <c r="D41">
        <f>D39+(L1*6)/2</f>
        <v>50300</v>
      </c>
      <c r="E41">
        <v>50450</v>
      </c>
      <c r="P41">
        <f>18060+K5</f>
        <v>19676.666666666668</v>
      </c>
    </row>
    <row r="42" spans="1:21" x14ac:dyDescent="0.25">
      <c r="P42">
        <f>P41+L6</f>
        <v>21343.333333333336</v>
      </c>
    </row>
    <row r="43" spans="1:21" x14ac:dyDescent="0.25">
      <c r="P43">
        <f>P42+N7</f>
        <v>26343.333333333336</v>
      </c>
    </row>
    <row r="45" spans="1:21" x14ac:dyDescent="0.25">
      <c r="U45">
        <v>600</v>
      </c>
    </row>
    <row r="46" spans="1:21" x14ac:dyDescent="0.25">
      <c r="T46">
        <v>1800</v>
      </c>
      <c r="U46">
        <f>999-39</f>
        <v>960</v>
      </c>
    </row>
    <row r="47" spans="1:21" x14ac:dyDescent="0.25">
      <c r="K47" t="s">
        <v>495</v>
      </c>
      <c r="T47">
        <v>3000</v>
      </c>
      <c r="U47">
        <f>900+110-36</f>
        <v>974</v>
      </c>
    </row>
    <row r="48" spans="1:21" x14ac:dyDescent="0.25">
      <c r="E48" t="s">
        <v>274</v>
      </c>
      <c r="K48" t="s">
        <v>496</v>
      </c>
      <c r="T48">
        <f>T46+T47</f>
        <v>4800</v>
      </c>
      <c r="U48">
        <f>U46*3</f>
        <v>2880</v>
      </c>
    </row>
    <row r="49" spans="5:21" x14ac:dyDescent="0.25">
      <c r="E49" t="s">
        <v>492</v>
      </c>
      <c r="U49">
        <f>SUM(U45:U48)</f>
        <v>5414</v>
      </c>
    </row>
    <row r="50" spans="5:21" x14ac:dyDescent="0.25">
      <c r="E50" t="s">
        <v>494</v>
      </c>
    </row>
    <row r="51" spans="5:21" x14ac:dyDescent="0.25">
      <c r="E51" t="s">
        <v>493</v>
      </c>
    </row>
    <row r="60" spans="5:21" x14ac:dyDescent="0.25">
      <c r="H60" t="s">
        <v>497</v>
      </c>
    </row>
    <row r="61" spans="5:21" x14ac:dyDescent="0.25">
      <c r="H61" t="s">
        <v>249</v>
      </c>
      <c r="I61" t="s">
        <v>503</v>
      </c>
      <c r="S61">
        <v>2700</v>
      </c>
    </row>
    <row r="62" spans="5:21" x14ac:dyDescent="0.25">
      <c r="H62" t="s">
        <v>107</v>
      </c>
      <c r="I62" t="s">
        <v>17</v>
      </c>
      <c r="S62">
        <v>2600</v>
      </c>
    </row>
    <row r="63" spans="5:21" x14ac:dyDescent="0.25">
      <c r="H63" t="s">
        <v>498</v>
      </c>
      <c r="I63">
        <v>1</v>
      </c>
      <c r="S63">
        <v>2100</v>
      </c>
    </row>
    <row r="64" spans="5:21" x14ac:dyDescent="0.25">
      <c r="H64" t="s">
        <v>499</v>
      </c>
      <c r="I64" t="s">
        <v>500</v>
      </c>
      <c r="S64">
        <f>SUM(S61:S63)</f>
        <v>7400</v>
      </c>
    </row>
    <row r="65" spans="2:9" x14ac:dyDescent="0.25">
      <c r="H65" t="s">
        <v>501</v>
      </c>
      <c r="I65">
        <v>2</v>
      </c>
    </row>
    <row r="66" spans="2:9" x14ac:dyDescent="0.25">
      <c r="C66" t="s">
        <v>199</v>
      </c>
      <c r="D66" t="s">
        <v>63</v>
      </c>
      <c r="E66" t="s">
        <v>120</v>
      </c>
      <c r="H66" t="s">
        <v>378</v>
      </c>
      <c r="I66">
        <v>2</v>
      </c>
    </row>
    <row r="67" spans="2:9" x14ac:dyDescent="0.25">
      <c r="B67" t="s">
        <v>522</v>
      </c>
      <c r="E67">
        <v>46</v>
      </c>
      <c r="H67" t="s">
        <v>502</v>
      </c>
      <c r="I67">
        <v>2</v>
      </c>
    </row>
    <row r="68" spans="2:9" x14ac:dyDescent="0.25">
      <c r="B68" t="s">
        <v>523</v>
      </c>
      <c r="D68">
        <v>21</v>
      </c>
      <c r="E68">
        <v>33</v>
      </c>
    </row>
    <row r="69" spans="2:9" x14ac:dyDescent="0.25">
      <c r="B69" t="s">
        <v>524</v>
      </c>
      <c r="D69">
        <v>74</v>
      </c>
      <c r="E69">
        <v>66</v>
      </c>
    </row>
    <row r="71" spans="2:9" x14ac:dyDescent="0.25">
      <c r="C71" t="s">
        <v>90</v>
      </c>
      <c r="D71" t="s">
        <v>36</v>
      </c>
      <c r="E71" t="s">
        <v>525</v>
      </c>
    </row>
    <row r="72" spans="2:9" x14ac:dyDescent="0.25">
      <c r="B72" t="s">
        <v>523</v>
      </c>
      <c r="C72">
        <v>90</v>
      </c>
      <c r="D72">
        <v>44</v>
      </c>
      <c r="E72">
        <v>40</v>
      </c>
    </row>
    <row r="73" spans="2:9" x14ac:dyDescent="0.25">
      <c r="B73" t="s">
        <v>524</v>
      </c>
      <c r="C73">
        <v>92</v>
      </c>
      <c r="D73">
        <v>48</v>
      </c>
      <c r="E73">
        <v>62</v>
      </c>
    </row>
    <row r="74" spans="2:9" x14ac:dyDescent="0.25">
      <c r="C74" t="s">
        <v>526</v>
      </c>
    </row>
    <row r="80" spans="2:9" x14ac:dyDescent="0.25">
      <c r="B80" t="s">
        <v>249</v>
      </c>
      <c r="C80" t="s">
        <v>76</v>
      </c>
      <c r="E80" t="s">
        <v>530</v>
      </c>
    </row>
    <row r="81" spans="2:5" x14ac:dyDescent="0.25">
      <c r="B81" t="s">
        <v>527</v>
      </c>
      <c r="C81">
        <f>123*3</f>
        <v>369</v>
      </c>
    </row>
    <row r="82" spans="2:5" x14ac:dyDescent="0.25">
      <c r="B82" t="s">
        <v>528</v>
      </c>
      <c r="C82">
        <v>61</v>
      </c>
    </row>
    <row r="83" spans="2:5" x14ac:dyDescent="0.25">
      <c r="B83" t="s">
        <v>529</v>
      </c>
      <c r="C83">
        <f>C82*1.5</f>
        <v>91.5</v>
      </c>
    </row>
    <row r="90" spans="2:5" x14ac:dyDescent="0.25">
      <c r="E90" t="s">
        <v>531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B7" sqref="B7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AA107"/>
  <sheetViews>
    <sheetView topLeftCell="A43" workbookViewId="0">
      <selection activeCell="E24" sqref="E24"/>
    </sheetView>
  </sheetViews>
  <sheetFormatPr defaultRowHeight="15" x14ac:dyDescent="0.25"/>
  <sheetData>
    <row r="5" spans="2:20" ht="15.75" thickBot="1" x14ac:dyDescent="0.3"/>
    <row r="6" spans="2:20" ht="15.75" thickBot="1" x14ac:dyDescent="0.3">
      <c r="C6" s="1" t="s">
        <v>0</v>
      </c>
      <c r="D6" s="2" t="s">
        <v>1</v>
      </c>
      <c r="E6" s="2" t="s">
        <v>2</v>
      </c>
      <c r="F6" s="2" t="s">
        <v>3</v>
      </c>
      <c r="G6" s="2" t="s">
        <v>4</v>
      </c>
      <c r="H6" s="2" t="s">
        <v>5</v>
      </c>
      <c r="I6" s="2" t="s">
        <v>6</v>
      </c>
      <c r="J6" s="2" t="s">
        <v>7</v>
      </c>
      <c r="K6" s="2" t="s">
        <v>8</v>
      </c>
      <c r="L6" s="2" t="s">
        <v>9</v>
      </c>
      <c r="M6" t="s">
        <v>192</v>
      </c>
      <c r="N6" t="s">
        <v>193</v>
      </c>
      <c r="O6" t="s">
        <v>196</v>
      </c>
      <c r="P6" t="s">
        <v>13</v>
      </c>
      <c r="Q6" t="s">
        <v>197</v>
      </c>
      <c r="R6" t="s">
        <v>194</v>
      </c>
      <c r="S6" t="s">
        <v>196</v>
      </c>
      <c r="T6" t="s">
        <v>195</v>
      </c>
    </row>
    <row r="7" spans="2:20" ht="15.75" thickBot="1" x14ac:dyDescent="0.3">
      <c r="B7" t="s">
        <v>32</v>
      </c>
      <c r="C7" s="3" t="s">
        <v>31</v>
      </c>
      <c r="D7" s="4">
        <v>135</v>
      </c>
      <c r="E7" s="4">
        <v>135</v>
      </c>
      <c r="F7" s="4">
        <v>110</v>
      </c>
      <c r="G7" s="4">
        <v>150</v>
      </c>
      <c r="H7" s="4">
        <v>135</v>
      </c>
      <c r="I7" s="4">
        <v>175</v>
      </c>
      <c r="J7" s="4">
        <v>175</v>
      </c>
      <c r="K7" s="4">
        <v>600</v>
      </c>
      <c r="L7" s="4">
        <v>3</v>
      </c>
      <c r="M7">
        <f t="shared" ref="M7:M15" si="0">SUM(D7:J7)</f>
        <v>1015</v>
      </c>
      <c r="N7">
        <f t="shared" ref="N7:N15" si="1">SUM(E7,G7,H7,I7,J7)</f>
        <v>770</v>
      </c>
      <c r="O7" s="35">
        <f>SUM(E7,G7*1.5,H7,I7,J7)</f>
        <v>845</v>
      </c>
      <c r="P7">
        <f>SUM(E7,J7)/32</f>
        <v>9.6875</v>
      </c>
      <c r="Q7">
        <f>P7*1.5</f>
        <v>14.53125</v>
      </c>
      <c r="R7">
        <f>G7+J7</f>
        <v>325</v>
      </c>
      <c r="S7">
        <f>G7*1.5+J7</f>
        <v>400</v>
      </c>
      <c r="T7">
        <f t="shared" ref="T7:T15" si="2">SUM(H7,I7,K7/4)</f>
        <v>460</v>
      </c>
    </row>
    <row r="8" spans="2:20" ht="15.75" thickBot="1" x14ac:dyDescent="0.3">
      <c r="B8" t="s">
        <v>23</v>
      </c>
      <c r="C8" s="3" t="s">
        <v>36</v>
      </c>
      <c r="D8" s="4">
        <v>135</v>
      </c>
      <c r="E8" s="4">
        <v>150</v>
      </c>
      <c r="F8" s="4">
        <v>135</v>
      </c>
      <c r="G8" s="4">
        <v>150</v>
      </c>
      <c r="H8" s="4">
        <v>135</v>
      </c>
      <c r="I8" s="4">
        <v>150</v>
      </c>
      <c r="J8" s="4">
        <v>135</v>
      </c>
      <c r="K8" s="4">
        <v>660</v>
      </c>
      <c r="L8" s="4">
        <v>2</v>
      </c>
      <c r="M8">
        <f t="shared" si="0"/>
        <v>990</v>
      </c>
      <c r="N8">
        <f t="shared" si="1"/>
        <v>720</v>
      </c>
      <c r="O8" s="36">
        <v>720</v>
      </c>
      <c r="P8">
        <f t="shared" ref="P8:P13" si="3">SUM(E8,J8)/32</f>
        <v>8.90625</v>
      </c>
      <c r="Q8">
        <v>8.90625</v>
      </c>
      <c r="R8">
        <f t="shared" ref="R8:R14" si="4">G8+J8</f>
        <v>285</v>
      </c>
      <c r="S8">
        <v>285</v>
      </c>
      <c r="T8">
        <f t="shared" si="2"/>
        <v>450</v>
      </c>
    </row>
    <row r="9" spans="2:20" ht="15.75" thickBot="1" x14ac:dyDescent="0.3">
      <c r="B9" t="s">
        <v>39</v>
      </c>
      <c r="C9" s="3" t="s">
        <v>101</v>
      </c>
      <c r="D9" s="4">
        <v>150</v>
      </c>
      <c r="E9" s="4">
        <v>150</v>
      </c>
      <c r="F9" s="4">
        <v>135</v>
      </c>
      <c r="G9" s="4">
        <v>135</v>
      </c>
      <c r="H9" s="4">
        <v>135</v>
      </c>
      <c r="I9" s="4">
        <v>150</v>
      </c>
      <c r="J9" s="4">
        <v>135</v>
      </c>
      <c r="K9" s="4">
        <v>660</v>
      </c>
      <c r="L9" s="4">
        <v>3</v>
      </c>
      <c r="M9">
        <f t="shared" si="0"/>
        <v>990</v>
      </c>
      <c r="N9">
        <f t="shared" si="1"/>
        <v>705</v>
      </c>
      <c r="O9" s="35">
        <f>SUM(E9,G9*1.5,H9,I9,J9)</f>
        <v>772.5</v>
      </c>
      <c r="P9">
        <f t="shared" si="3"/>
        <v>8.90625</v>
      </c>
      <c r="Q9">
        <f>P9*1.5</f>
        <v>13.359375</v>
      </c>
      <c r="R9">
        <f t="shared" si="4"/>
        <v>270</v>
      </c>
      <c r="S9">
        <f>G9*1.5+J9</f>
        <v>337.5</v>
      </c>
      <c r="T9">
        <f t="shared" si="2"/>
        <v>450</v>
      </c>
    </row>
    <row r="10" spans="2:20" ht="15.75" thickBot="1" x14ac:dyDescent="0.3">
      <c r="B10" t="s">
        <v>35</v>
      </c>
      <c r="C10" s="3" t="s">
        <v>69</v>
      </c>
      <c r="D10" s="4">
        <v>135</v>
      </c>
      <c r="E10" s="4">
        <v>135</v>
      </c>
      <c r="F10" s="4">
        <v>110</v>
      </c>
      <c r="G10" s="4">
        <v>150</v>
      </c>
      <c r="H10" s="4">
        <v>150</v>
      </c>
      <c r="I10" s="4">
        <v>150</v>
      </c>
      <c r="J10" s="4">
        <v>135</v>
      </c>
      <c r="K10" s="4">
        <v>660</v>
      </c>
      <c r="L10" s="4">
        <v>3</v>
      </c>
      <c r="M10">
        <f t="shared" si="0"/>
        <v>965</v>
      </c>
      <c r="N10">
        <f t="shared" si="1"/>
        <v>720</v>
      </c>
      <c r="O10" s="35">
        <f>SUM(E10,G10*1.5,H10,I10,J10)</f>
        <v>795</v>
      </c>
      <c r="P10">
        <f t="shared" si="3"/>
        <v>8.4375</v>
      </c>
      <c r="Q10">
        <f>P10*1.5</f>
        <v>12.65625</v>
      </c>
      <c r="R10">
        <f t="shared" si="4"/>
        <v>285</v>
      </c>
      <c r="S10">
        <f>G10*1.5+J10</f>
        <v>360</v>
      </c>
      <c r="T10">
        <f t="shared" si="2"/>
        <v>465</v>
      </c>
    </row>
    <row r="11" spans="2:20" ht="15.75" thickBot="1" x14ac:dyDescent="0.3">
      <c r="B11" t="s">
        <v>19</v>
      </c>
      <c r="C11" s="3" t="s">
        <v>116</v>
      </c>
      <c r="D11" s="4">
        <v>135</v>
      </c>
      <c r="E11" s="4">
        <v>195</v>
      </c>
      <c r="F11" s="4">
        <v>110</v>
      </c>
      <c r="G11" s="4">
        <v>135</v>
      </c>
      <c r="H11" s="4">
        <v>150</v>
      </c>
      <c r="I11" s="4">
        <v>135</v>
      </c>
      <c r="J11" s="4">
        <v>175</v>
      </c>
      <c r="K11" s="4">
        <v>660</v>
      </c>
      <c r="L11" s="4">
        <v>2</v>
      </c>
      <c r="M11">
        <f t="shared" si="0"/>
        <v>1035</v>
      </c>
      <c r="N11">
        <f t="shared" si="1"/>
        <v>790</v>
      </c>
      <c r="O11" s="36">
        <v>790</v>
      </c>
      <c r="P11">
        <f t="shared" si="3"/>
        <v>11.5625</v>
      </c>
      <c r="Q11">
        <v>11.5625</v>
      </c>
      <c r="R11">
        <f t="shared" si="4"/>
        <v>310</v>
      </c>
      <c r="S11">
        <v>310</v>
      </c>
      <c r="T11">
        <f t="shared" si="2"/>
        <v>450</v>
      </c>
    </row>
    <row r="12" spans="2:20" ht="15.75" thickBot="1" x14ac:dyDescent="0.3">
      <c r="B12" t="s">
        <v>32</v>
      </c>
      <c r="C12" s="3" t="s">
        <v>105</v>
      </c>
      <c r="D12" s="4">
        <v>135</v>
      </c>
      <c r="E12" s="4">
        <v>135</v>
      </c>
      <c r="F12" s="4">
        <v>110</v>
      </c>
      <c r="G12" s="4">
        <v>150</v>
      </c>
      <c r="H12" s="4">
        <v>150</v>
      </c>
      <c r="I12" s="4">
        <v>150</v>
      </c>
      <c r="J12" s="4">
        <v>150</v>
      </c>
      <c r="K12" s="4">
        <v>660</v>
      </c>
      <c r="L12" s="4">
        <v>3</v>
      </c>
      <c r="M12">
        <f t="shared" si="0"/>
        <v>980</v>
      </c>
      <c r="N12">
        <f t="shared" si="1"/>
        <v>735</v>
      </c>
      <c r="O12" s="35">
        <f>SUM(E12,G12*1.5,H12,I12,J12)</f>
        <v>810</v>
      </c>
      <c r="P12">
        <f t="shared" si="3"/>
        <v>8.90625</v>
      </c>
      <c r="Q12">
        <f>P12*1.5</f>
        <v>13.359375</v>
      </c>
      <c r="R12">
        <f t="shared" si="4"/>
        <v>300</v>
      </c>
      <c r="S12">
        <f>G12*1.5+J12</f>
        <v>375</v>
      </c>
      <c r="T12">
        <f t="shared" si="2"/>
        <v>465</v>
      </c>
    </row>
    <row r="13" spans="2:20" ht="15.75" thickBot="1" x14ac:dyDescent="0.3">
      <c r="B13" t="s">
        <v>67</v>
      </c>
      <c r="C13" s="3" t="s">
        <v>97</v>
      </c>
      <c r="D13" s="4">
        <v>110</v>
      </c>
      <c r="E13" s="4">
        <v>135</v>
      </c>
      <c r="F13" s="4">
        <v>175</v>
      </c>
      <c r="G13" s="4">
        <v>135</v>
      </c>
      <c r="H13" s="4">
        <v>110</v>
      </c>
      <c r="I13" s="4">
        <v>175</v>
      </c>
      <c r="J13" s="4">
        <v>135</v>
      </c>
      <c r="K13" s="4">
        <v>600</v>
      </c>
      <c r="L13" s="4">
        <v>3</v>
      </c>
      <c r="M13">
        <f t="shared" si="0"/>
        <v>975</v>
      </c>
      <c r="N13">
        <f t="shared" si="1"/>
        <v>690</v>
      </c>
      <c r="O13" s="35">
        <f>SUM(E13,G13*1.5,H13,I13,J13)</f>
        <v>757.5</v>
      </c>
      <c r="P13">
        <f t="shared" si="3"/>
        <v>8.4375</v>
      </c>
      <c r="Q13">
        <f>P13*1.5</f>
        <v>12.65625</v>
      </c>
      <c r="R13">
        <f t="shared" si="4"/>
        <v>270</v>
      </c>
      <c r="S13">
        <f>G13*1.5+J13</f>
        <v>337.5</v>
      </c>
      <c r="T13">
        <f t="shared" si="2"/>
        <v>435</v>
      </c>
    </row>
    <row r="14" spans="2:20" ht="15.75" thickBot="1" x14ac:dyDescent="0.3">
      <c r="B14" t="s">
        <v>67</v>
      </c>
      <c r="C14" s="3" t="s">
        <v>90</v>
      </c>
      <c r="D14" s="4">
        <v>135</v>
      </c>
      <c r="E14" s="4">
        <v>175</v>
      </c>
      <c r="F14" s="4">
        <v>110</v>
      </c>
      <c r="G14" s="4">
        <v>195</v>
      </c>
      <c r="H14" s="4">
        <v>135</v>
      </c>
      <c r="I14" s="4">
        <v>150</v>
      </c>
      <c r="J14" s="4">
        <v>150</v>
      </c>
      <c r="K14" s="4">
        <v>600</v>
      </c>
      <c r="L14" s="4">
        <v>2</v>
      </c>
      <c r="M14">
        <f t="shared" si="0"/>
        <v>1050</v>
      </c>
      <c r="N14">
        <f t="shared" si="1"/>
        <v>805</v>
      </c>
      <c r="O14" s="35">
        <v>805</v>
      </c>
      <c r="P14">
        <f>SUM(E14,J14)/32</f>
        <v>10.15625</v>
      </c>
      <c r="Q14">
        <v>10.15625</v>
      </c>
      <c r="R14">
        <f t="shared" si="4"/>
        <v>345</v>
      </c>
      <c r="S14">
        <v>345</v>
      </c>
      <c r="T14">
        <f t="shared" si="2"/>
        <v>435</v>
      </c>
    </row>
    <row r="15" spans="2:20" ht="15.75" thickBot="1" x14ac:dyDescent="0.3">
      <c r="C15" s="3" t="s">
        <v>70</v>
      </c>
      <c r="D15" s="4">
        <v>135</v>
      </c>
      <c r="E15" s="4">
        <v>175</v>
      </c>
      <c r="F15" s="4">
        <v>110</v>
      </c>
      <c r="G15" s="4">
        <v>150</v>
      </c>
      <c r="H15" s="4">
        <v>135</v>
      </c>
      <c r="I15" s="4">
        <v>150</v>
      </c>
      <c r="J15" s="4">
        <v>150</v>
      </c>
      <c r="K15" s="4">
        <v>660</v>
      </c>
      <c r="M15">
        <f t="shared" si="0"/>
        <v>1005</v>
      </c>
      <c r="N15">
        <f t="shared" si="1"/>
        <v>760</v>
      </c>
      <c r="O15" s="35">
        <f>SUM(E15,G15*1.5,H15,I15,J15)</f>
        <v>835</v>
      </c>
      <c r="P15">
        <f>SUM(E15,J15)/32</f>
        <v>10.15625</v>
      </c>
      <c r="Q15">
        <f>P15*1.5</f>
        <v>15.234375</v>
      </c>
      <c r="R15">
        <f>G15+J15</f>
        <v>300</v>
      </c>
      <c r="S15">
        <f>G15*1.5+J15</f>
        <v>375</v>
      </c>
      <c r="T15">
        <f t="shared" si="2"/>
        <v>450</v>
      </c>
    </row>
    <row r="16" spans="2:20" x14ac:dyDescent="0.25">
      <c r="O16" s="35"/>
    </row>
    <row r="17" spans="2:25" ht="15.75" thickBot="1" x14ac:dyDescent="0.3">
      <c r="O17" s="35"/>
    </row>
    <row r="18" spans="2:25" ht="15.75" thickBot="1" x14ac:dyDescent="0.3">
      <c r="C18" s="3" t="s">
        <v>38</v>
      </c>
      <c r="D18" s="4">
        <v>175</v>
      </c>
      <c r="E18" s="4">
        <v>175</v>
      </c>
      <c r="F18" s="4">
        <v>175</v>
      </c>
      <c r="G18" s="4">
        <v>150</v>
      </c>
      <c r="H18" s="4">
        <v>150</v>
      </c>
      <c r="I18" s="4">
        <v>135</v>
      </c>
      <c r="J18" s="4">
        <v>95</v>
      </c>
      <c r="K18" s="4">
        <v>720</v>
      </c>
      <c r="L18" s="4"/>
      <c r="M18" s="4"/>
      <c r="N18" s="4"/>
      <c r="O18" s="4"/>
      <c r="P18" s="4"/>
      <c r="Q18" s="4"/>
      <c r="R18" s="4"/>
      <c r="S18" s="4"/>
    </row>
    <row r="19" spans="2:25" x14ac:dyDescent="0.25">
      <c r="O19" s="35"/>
    </row>
    <row r="20" spans="2:25" x14ac:dyDescent="0.25">
      <c r="O20" s="35"/>
    </row>
    <row r="21" spans="2:25" x14ac:dyDescent="0.25">
      <c r="D21" t="s">
        <v>202</v>
      </c>
      <c r="E21" t="s">
        <v>203</v>
      </c>
      <c r="W21" t="s">
        <v>6</v>
      </c>
      <c r="X21" t="s">
        <v>8</v>
      </c>
      <c r="Y21" t="s">
        <v>2</v>
      </c>
    </row>
    <row r="22" spans="2:25" x14ac:dyDescent="0.25">
      <c r="B22" t="s">
        <v>201</v>
      </c>
      <c r="D22">
        <v>3</v>
      </c>
      <c r="E22">
        <v>2</v>
      </c>
      <c r="V22" t="s">
        <v>123</v>
      </c>
      <c r="W22" t="s">
        <v>136</v>
      </c>
      <c r="X22" t="s">
        <v>436</v>
      </c>
      <c r="Y22" t="s">
        <v>135</v>
      </c>
    </row>
    <row r="23" spans="2:25" x14ac:dyDescent="0.25">
      <c r="B23">
        <v>13</v>
      </c>
      <c r="C23" t="s">
        <v>204</v>
      </c>
      <c r="D23">
        <v>0.9</v>
      </c>
      <c r="E23">
        <v>0.9</v>
      </c>
      <c r="J23" t="s">
        <v>426</v>
      </c>
      <c r="V23" t="s">
        <v>82</v>
      </c>
      <c r="W23" t="s">
        <v>134</v>
      </c>
      <c r="X23" t="s">
        <v>366</v>
      </c>
      <c r="Y23" t="s">
        <v>134</v>
      </c>
    </row>
    <row r="24" spans="2:25" x14ac:dyDescent="0.25">
      <c r="V24" t="s">
        <v>125</v>
      </c>
      <c r="W24" t="s">
        <v>136</v>
      </c>
      <c r="X24" t="s">
        <v>136</v>
      </c>
      <c r="Y24" t="s">
        <v>136</v>
      </c>
    </row>
    <row r="25" spans="2:25" x14ac:dyDescent="0.25">
      <c r="V25" t="s">
        <v>92</v>
      </c>
      <c r="W25" t="s">
        <v>133</v>
      </c>
      <c r="X25" t="s">
        <v>135</v>
      </c>
      <c r="Y25" t="s">
        <v>136</v>
      </c>
    </row>
    <row r="26" spans="2:25" x14ac:dyDescent="0.25">
      <c r="D26" t="s">
        <v>198</v>
      </c>
      <c r="E26" t="s">
        <v>205</v>
      </c>
      <c r="F26" t="s">
        <v>206</v>
      </c>
      <c r="V26" t="s">
        <v>86</v>
      </c>
      <c r="W26" t="s">
        <v>135</v>
      </c>
      <c r="X26" t="s">
        <v>366</v>
      </c>
      <c r="Y26" t="s">
        <v>136</v>
      </c>
    </row>
    <row r="27" spans="2:25" x14ac:dyDescent="0.25">
      <c r="C27">
        <v>2</v>
      </c>
      <c r="D27">
        <f>$B$23+($D$22*$D$23+($D$22-1)*(1-$D$23))</f>
        <v>15.9</v>
      </c>
      <c r="E27">
        <f>B23+(D22-1)</f>
        <v>15</v>
      </c>
      <c r="F27">
        <f>B23+D22</f>
        <v>16</v>
      </c>
      <c r="G27">
        <f>D27-115+80</f>
        <v>-19.099999999999994</v>
      </c>
    </row>
    <row r="28" spans="2:25" x14ac:dyDescent="0.25">
      <c r="C28">
        <v>3</v>
      </c>
      <c r="D28">
        <f>D27+($D$22*$D$23+($D$22-1)*(1-$D$23))</f>
        <v>18.8</v>
      </c>
      <c r="E28">
        <f>E27+($D$22-1)</f>
        <v>17</v>
      </c>
      <c r="F28">
        <f>F27+$D$22</f>
        <v>19</v>
      </c>
      <c r="G28">
        <f t="shared" ref="G28:G84" si="5">D28-115+80</f>
        <v>-16.200000000000003</v>
      </c>
      <c r="S28">
        <f>1*0.25</f>
        <v>0.25</v>
      </c>
    </row>
    <row r="29" spans="2:25" x14ac:dyDescent="0.25">
      <c r="C29">
        <v>4</v>
      </c>
      <c r="D29">
        <f t="shared" ref="D29:D43" si="6">D28+($D$22*$D$23+($D$22-1)*(1-$D$23))</f>
        <v>21.700000000000003</v>
      </c>
      <c r="E29">
        <f t="shared" ref="E29:E44" si="7">E28+($D$22-1)</f>
        <v>19</v>
      </c>
      <c r="F29">
        <f t="shared" ref="F29:F44" si="8">F28+$D$22</f>
        <v>22</v>
      </c>
      <c r="G29">
        <f t="shared" si="5"/>
        <v>-13.299999999999997</v>
      </c>
    </row>
    <row r="30" spans="2:25" x14ac:dyDescent="0.25">
      <c r="C30">
        <f>C29+1</f>
        <v>5</v>
      </c>
      <c r="D30">
        <f t="shared" si="6"/>
        <v>24.6</v>
      </c>
      <c r="E30">
        <f t="shared" si="7"/>
        <v>21</v>
      </c>
      <c r="F30">
        <f t="shared" si="8"/>
        <v>25</v>
      </c>
      <c r="G30">
        <f t="shared" si="5"/>
        <v>-10.400000000000006</v>
      </c>
    </row>
    <row r="31" spans="2:25" x14ac:dyDescent="0.25">
      <c r="C31">
        <f t="shared" ref="C31:C94" si="9">C30+1</f>
        <v>6</v>
      </c>
      <c r="D31">
        <f t="shared" si="6"/>
        <v>27.5</v>
      </c>
      <c r="E31">
        <f t="shared" si="7"/>
        <v>23</v>
      </c>
      <c r="F31">
        <f t="shared" si="8"/>
        <v>28</v>
      </c>
      <c r="G31">
        <f t="shared" si="5"/>
        <v>-7.5</v>
      </c>
    </row>
    <row r="32" spans="2:25" x14ac:dyDescent="0.25">
      <c r="C32">
        <f t="shared" si="9"/>
        <v>7</v>
      </c>
      <c r="D32">
        <f t="shared" si="6"/>
        <v>30.4</v>
      </c>
      <c r="E32">
        <f t="shared" si="7"/>
        <v>25</v>
      </c>
      <c r="F32">
        <f t="shared" si="8"/>
        <v>31</v>
      </c>
      <c r="G32">
        <f t="shared" si="5"/>
        <v>-4.5999999999999943</v>
      </c>
      <c r="K32" t="s">
        <v>119</v>
      </c>
      <c r="L32" t="s">
        <v>199</v>
      </c>
      <c r="M32" t="s">
        <v>200</v>
      </c>
      <c r="R32" t="s">
        <v>240</v>
      </c>
    </row>
    <row r="33" spans="3:23" x14ac:dyDescent="0.25">
      <c r="C33">
        <f t="shared" si="9"/>
        <v>8</v>
      </c>
      <c r="D33">
        <f t="shared" si="6"/>
        <v>33.299999999999997</v>
      </c>
      <c r="E33">
        <f t="shared" si="7"/>
        <v>27</v>
      </c>
      <c r="F33">
        <f t="shared" si="8"/>
        <v>34</v>
      </c>
      <c r="G33">
        <f t="shared" si="5"/>
        <v>-1.7000000000000028</v>
      </c>
      <c r="K33" t="s">
        <v>36</v>
      </c>
      <c r="L33" t="s">
        <v>76</v>
      </c>
      <c r="M33" t="s">
        <v>38</v>
      </c>
    </row>
    <row r="34" spans="3:23" x14ac:dyDescent="0.25">
      <c r="C34">
        <f t="shared" si="9"/>
        <v>9</v>
      </c>
      <c r="D34">
        <f t="shared" si="6"/>
        <v>36.199999999999996</v>
      </c>
      <c r="E34">
        <f t="shared" si="7"/>
        <v>29</v>
      </c>
      <c r="F34">
        <f t="shared" si="8"/>
        <v>37</v>
      </c>
      <c r="G34">
        <f t="shared" si="5"/>
        <v>1.1999999999999886</v>
      </c>
    </row>
    <row r="35" spans="3:23" x14ac:dyDescent="0.25">
      <c r="C35">
        <f t="shared" si="9"/>
        <v>10</v>
      </c>
      <c r="D35">
        <f t="shared" si="6"/>
        <v>39.099999999999994</v>
      </c>
      <c r="E35">
        <f t="shared" si="7"/>
        <v>31</v>
      </c>
      <c r="F35">
        <f t="shared" si="8"/>
        <v>40</v>
      </c>
      <c r="G35">
        <f t="shared" si="5"/>
        <v>4.0999999999999943</v>
      </c>
    </row>
    <row r="36" spans="3:23" x14ac:dyDescent="0.25">
      <c r="C36">
        <f t="shared" si="9"/>
        <v>11</v>
      </c>
      <c r="D36">
        <f t="shared" si="6"/>
        <v>41.999999999999993</v>
      </c>
      <c r="E36">
        <f t="shared" si="7"/>
        <v>33</v>
      </c>
      <c r="F36">
        <f t="shared" si="8"/>
        <v>43</v>
      </c>
      <c r="G36">
        <f t="shared" si="5"/>
        <v>7</v>
      </c>
    </row>
    <row r="37" spans="3:23" x14ac:dyDescent="0.25">
      <c r="C37">
        <f t="shared" si="9"/>
        <v>12</v>
      </c>
      <c r="D37">
        <f t="shared" si="6"/>
        <v>44.899999999999991</v>
      </c>
      <c r="E37">
        <f t="shared" si="7"/>
        <v>35</v>
      </c>
      <c r="F37">
        <f t="shared" si="8"/>
        <v>46</v>
      </c>
      <c r="G37">
        <f t="shared" si="5"/>
        <v>9.8999999999999915</v>
      </c>
    </row>
    <row r="38" spans="3:23" x14ac:dyDescent="0.25">
      <c r="C38">
        <f t="shared" si="9"/>
        <v>13</v>
      </c>
      <c r="D38">
        <f t="shared" si="6"/>
        <v>47.79999999999999</v>
      </c>
      <c r="E38">
        <f t="shared" si="7"/>
        <v>37</v>
      </c>
      <c r="F38">
        <f t="shared" si="8"/>
        <v>49</v>
      </c>
      <c r="G38">
        <f t="shared" si="5"/>
        <v>12.799999999999983</v>
      </c>
      <c r="T38">
        <v>55.2</v>
      </c>
    </row>
    <row r="39" spans="3:23" x14ac:dyDescent="0.25">
      <c r="C39">
        <f t="shared" si="9"/>
        <v>14</v>
      </c>
      <c r="D39">
        <f t="shared" si="6"/>
        <v>50.699999999999989</v>
      </c>
      <c r="E39">
        <f t="shared" si="7"/>
        <v>39</v>
      </c>
      <c r="F39">
        <f t="shared" si="8"/>
        <v>52</v>
      </c>
      <c r="G39">
        <f t="shared" si="5"/>
        <v>15.699999999999989</v>
      </c>
      <c r="T39">
        <f>(5*0.75)+(5*2)-5</f>
        <v>8.75</v>
      </c>
    </row>
    <row r="40" spans="3:23" x14ac:dyDescent="0.25">
      <c r="C40">
        <f t="shared" si="9"/>
        <v>15</v>
      </c>
      <c r="D40">
        <f t="shared" si="6"/>
        <v>53.599999999999987</v>
      </c>
      <c r="E40">
        <f t="shared" si="7"/>
        <v>41</v>
      </c>
      <c r="F40">
        <f t="shared" si="8"/>
        <v>55</v>
      </c>
      <c r="G40">
        <f t="shared" si="5"/>
        <v>18.599999999999987</v>
      </c>
    </row>
    <row r="41" spans="3:23" x14ac:dyDescent="0.25">
      <c r="C41">
        <f t="shared" si="9"/>
        <v>16</v>
      </c>
      <c r="D41">
        <f t="shared" si="6"/>
        <v>56.499999999999986</v>
      </c>
      <c r="E41">
        <f t="shared" si="7"/>
        <v>43</v>
      </c>
      <c r="F41">
        <f t="shared" si="8"/>
        <v>58</v>
      </c>
      <c r="G41">
        <f t="shared" si="5"/>
        <v>21.499999999999986</v>
      </c>
    </row>
    <row r="42" spans="3:23" x14ac:dyDescent="0.25">
      <c r="C42">
        <f t="shared" si="9"/>
        <v>17</v>
      </c>
      <c r="D42">
        <f t="shared" si="6"/>
        <v>59.399999999999984</v>
      </c>
      <c r="E42">
        <f t="shared" si="7"/>
        <v>45</v>
      </c>
      <c r="F42">
        <f t="shared" si="8"/>
        <v>61</v>
      </c>
      <c r="G42">
        <f t="shared" si="5"/>
        <v>24.399999999999984</v>
      </c>
    </row>
    <row r="43" spans="3:23" x14ac:dyDescent="0.25">
      <c r="C43">
        <f t="shared" si="9"/>
        <v>18</v>
      </c>
      <c r="D43">
        <f t="shared" si="6"/>
        <v>62.299999999999983</v>
      </c>
      <c r="E43">
        <f t="shared" si="7"/>
        <v>47</v>
      </c>
      <c r="F43">
        <f t="shared" si="8"/>
        <v>64</v>
      </c>
      <c r="G43">
        <f t="shared" si="5"/>
        <v>27.299999999999983</v>
      </c>
    </row>
    <row r="44" spans="3:23" x14ac:dyDescent="0.25">
      <c r="C44">
        <f t="shared" si="9"/>
        <v>19</v>
      </c>
      <c r="D44">
        <f>D43+($D$22*$D$23+($D$22-1)*(1-$D$23))</f>
        <v>65.199999999999989</v>
      </c>
      <c r="E44">
        <f t="shared" si="7"/>
        <v>49</v>
      </c>
      <c r="F44">
        <f t="shared" si="8"/>
        <v>67</v>
      </c>
      <c r="G44">
        <f t="shared" si="5"/>
        <v>30.199999999999989</v>
      </c>
    </row>
    <row r="45" spans="3:23" x14ac:dyDescent="0.25">
      <c r="C45">
        <f t="shared" si="9"/>
        <v>20</v>
      </c>
      <c r="D45">
        <f>D44+($E$22*$E$23+($E$22-1)*(1-$E$23))</f>
        <v>67.099999999999994</v>
      </c>
      <c r="E45">
        <f>E44+($E$22-1)</f>
        <v>50</v>
      </c>
      <c r="F45">
        <f>F44+$E$22</f>
        <v>69</v>
      </c>
      <c r="G45">
        <f t="shared" si="5"/>
        <v>32.099999999999994</v>
      </c>
      <c r="V45" t="s">
        <v>437</v>
      </c>
    </row>
    <row r="46" spans="3:23" x14ac:dyDescent="0.25">
      <c r="C46">
        <f t="shared" si="9"/>
        <v>21</v>
      </c>
      <c r="D46">
        <f t="shared" ref="D46:D84" si="10">D45+($E$22*$E$23+($E$22-1)*(1-$E$23))</f>
        <v>69</v>
      </c>
      <c r="E46">
        <f t="shared" ref="E46:E84" si="11">E45+($E$22-1)</f>
        <v>51</v>
      </c>
      <c r="F46">
        <f t="shared" ref="F46:F84" si="12">F45+$E$22</f>
        <v>71</v>
      </c>
      <c r="G46">
        <f t="shared" si="5"/>
        <v>34</v>
      </c>
      <c r="U46">
        <v>31</v>
      </c>
      <c r="V46">
        <f>3900*5</f>
        <v>19500</v>
      </c>
      <c r="W46">
        <f>V46+31000</f>
        <v>50500</v>
      </c>
    </row>
    <row r="47" spans="3:23" x14ac:dyDescent="0.25">
      <c r="C47">
        <f t="shared" si="9"/>
        <v>22</v>
      </c>
      <c r="D47">
        <f t="shared" si="10"/>
        <v>70.900000000000006</v>
      </c>
      <c r="E47">
        <f t="shared" si="11"/>
        <v>52</v>
      </c>
      <c r="F47">
        <f t="shared" si="12"/>
        <v>73</v>
      </c>
      <c r="G47">
        <f t="shared" si="5"/>
        <v>35.900000000000006</v>
      </c>
      <c r="N47" t="s">
        <v>239</v>
      </c>
      <c r="V47">
        <f>V46/2</f>
        <v>9750</v>
      </c>
      <c r="W47">
        <f>V47+31000</f>
        <v>40750</v>
      </c>
    </row>
    <row r="48" spans="3:23" x14ac:dyDescent="0.25">
      <c r="C48">
        <f t="shared" si="9"/>
        <v>23</v>
      </c>
      <c r="D48">
        <f t="shared" si="10"/>
        <v>72.800000000000011</v>
      </c>
      <c r="E48">
        <f t="shared" si="11"/>
        <v>53</v>
      </c>
      <c r="F48">
        <f t="shared" si="12"/>
        <v>75</v>
      </c>
      <c r="G48">
        <f t="shared" si="5"/>
        <v>37.800000000000011</v>
      </c>
      <c r="N48" t="s">
        <v>236</v>
      </c>
      <c r="U48">
        <v>22</v>
      </c>
      <c r="V48">
        <v>25000</v>
      </c>
    </row>
    <row r="49" spans="3:23" x14ac:dyDescent="0.25">
      <c r="C49">
        <f t="shared" si="9"/>
        <v>24</v>
      </c>
      <c r="D49">
        <f t="shared" si="10"/>
        <v>74.700000000000017</v>
      </c>
      <c r="E49">
        <f t="shared" si="11"/>
        <v>54</v>
      </c>
      <c r="F49">
        <f t="shared" si="12"/>
        <v>77</v>
      </c>
      <c r="G49">
        <f t="shared" si="5"/>
        <v>39.700000000000017</v>
      </c>
    </row>
    <row r="50" spans="3:23" x14ac:dyDescent="0.25">
      <c r="C50">
        <f t="shared" si="9"/>
        <v>25</v>
      </c>
      <c r="D50">
        <f t="shared" si="10"/>
        <v>76.600000000000023</v>
      </c>
      <c r="E50">
        <f t="shared" si="11"/>
        <v>55</v>
      </c>
      <c r="F50">
        <f t="shared" si="12"/>
        <v>79</v>
      </c>
      <c r="G50">
        <f t="shared" si="5"/>
        <v>41.600000000000023</v>
      </c>
      <c r="I50" t="s">
        <v>90</v>
      </c>
      <c r="J50">
        <v>19</v>
      </c>
      <c r="N50">
        <v>90</v>
      </c>
      <c r="V50" t="s">
        <v>438</v>
      </c>
    </row>
    <row r="51" spans="3:23" x14ac:dyDescent="0.25">
      <c r="C51">
        <f t="shared" si="9"/>
        <v>26</v>
      </c>
      <c r="D51">
        <f t="shared" si="10"/>
        <v>78.500000000000028</v>
      </c>
      <c r="E51">
        <f t="shared" si="11"/>
        <v>56</v>
      </c>
      <c r="F51">
        <f t="shared" si="12"/>
        <v>81</v>
      </c>
      <c r="G51">
        <f t="shared" si="5"/>
        <v>43.500000000000028</v>
      </c>
      <c r="H51">
        <v>8.5</v>
      </c>
      <c r="I51" t="s">
        <v>8</v>
      </c>
      <c r="J51">
        <v>151</v>
      </c>
      <c r="K51">
        <v>9</v>
      </c>
      <c r="N51">
        <v>373</v>
      </c>
      <c r="V51">
        <f>6000*6</f>
        <v>36000</v>
      </c>
      <c r="W51">
        <f>V51+31000</f>
        <v>67000</v>
      </c>
    </row>
    <row r="52" spans="3:23" x14ac:dyDescent="0.25">
      <c r="C52">
        <f t="shared" si="9"/>
        <v>27</v>
      </c>
      <c r="D52">
        <f t="shared" si="10"/>
        <v>80.400000000000034</v>
      </c>
      <c r="E52">
        <f t="shared" si="11"/>
        <v>57</v>
      </c>
      <c r="F52">
        <f t="shared" si="12"/>
        <v>83</v>
      </c>
      <c r="G52">
        <f t="shared" si="5"/>
        <v>45.400000000000034</v>
      </c>
      <c r="I52" t="s">
        <v>6</v>
      </c>
      <c r="J52">
        <v>65.2</v>
      </c>
      <c r="K52">
        <v>2</v>
      </c>
      <c r="L52">
        <v>0.9</v>
      </c>
      <c r="M52">
        <v>140</v>
      </c>
      <c r="N52">
        <v>148</v>
      </c>
      <c r="V52">
        <f>V51/2</f>
        <v>18000</v>
      </c>
      <c r="W52">
        <f>V52+31000</f>
        <v>49000</v>
      </c>
    </row>
    <row r="53" spans="3:23" x14ac:dyDescent="0.25">
      <c r="C53">
        <f t="shared" si="9"/>
        <v>28</v>
      </c>
      <c r="D53">
        <f t="shared" si="10"/>
        <v>82.30000000000004</v>
      </c>
      <c r="E53">
        <f t="shared" si="11"/>
        <v>58</v>
      </c>
      <c r="F53">
        <f t="shared" si="12"/>
        <v>85</v>
      </c>
      <c r="G53">
        <f t="shared" si="5"/>
        <v>47.30000000000004</v>
      </c>
      <c r="I53" t="s">
        <v>4</v>
      </c>
      <c r="J53">
        <v>78.8</v>
      </c>
      <c r="K53">
        <v>3</v>
      </c>
      <c r="L53">
        <v>0.6</v>
      </c>
      <c r="N53">
        <v>107</v>
      </c>
      <c r="V53">
        <f>V51/3</f>
        <v>12000</v>
      </c>
      <c r="W53">
        <f>V53+31000</f>
        <v>43000</v>
      </c>
    </row>
    <row r="54" spans="3:23" x14ac:dyDescent="0.25">
      <c r="C54">
        <f t="shared" si="9"/>
        <v>29</v>
      </c>
      <c r="D54">
        <f t="shared" si="10"/>
        <v>84.200000000000045</v>
      </c>
      <c r="E54">
        <f t="shared" si="11"/>
        <v>59</v>
      </c>
      <c r="F54">
        <f t="shared" si="12"/>
        <v>87</v>
      </c>
      <c r="G54">
        <f t="shared" si="5"/>
        <v>49.200000000000045</v>
      </c>
      <c r="N54">
        <v>1.4</v>
      </c>
      <c r="O54">
        <f>N50*N54</f>
        <v>125.99999999999999</v>
      </c>
    </row>
    <row r="55" spans="3:23" x14ac:dyDescent="0.25">
      <c r="C55">
        <f t="shared" si="9"/>
        <v>30</v>
      </c>
      <c r="D55">
        <f t="shared" si="10"/>
        <v>86.100000000000051</v>
      </c>
      <c r="E55">
        <f t="shared" si="11"/>
        <v>60</v>
      </c>
      <c r="F55">
        <f t="shared" si="12"/>
        <v>89</v>
      </c>
      <c r="G55">
        <f t="shared" si="5"/>
        <v>51.100000000000051</v>
      </c>
      <c r="I55" t="s">
        <v>101</v>
      </c>
      <c r="J55">
        <v>19</v>
      </c>
    </row>
    <row r="56" spans="3:23" x14ac:dyDescent="0.25">
      <c r="C56">
        <f t="shared" si="9"/>
        <v>31</v>
      </c>
      <c r="D56">
        <f t="shared" si="10"/>
        <v>88.000000000000057</v>
      </c>
      <c r="E56">
        <f t="shared" si="11"/>
        <v>61</v>
      </c>
      <c r="F56">
        <f t="shared" si="12"/>
        <v>91</v>
      </c>
      <c r="G56">
        <f t="shared" si="5"/>
        <v>53.000000000000057</v>
      </c>
      <c r="H56">
        <v>9.5</v>
      </c>
      <c r="I56" t="s">
        <v>8</v>
      </c>
      <c r="J56">
        <v>164</v>
      </c>
      <c r="K56">
        <v>10</v>
      </c>
      <c r="N56">
        <f>((N50*N54)+N52-N53)</f>
        <v>167</v>
      </c>
    </row>
    <row r="57" spans="3:23" x14ac:dyDescent="0.25">
      <c r="C57">
        <f t="shared" si="9"/>
        <v>32</v>
      </c>
      <c r="D57">
        <f t="shared" si="10"/>
        <v>89.900000000000063</v>
      </c>
      <c r="E57">
        <f t="shared" si="11"/>
        <v>62</v>
      </c>
      <c r="F57">
        <f t="shared" si="12"/>
        <v>93</v>
      </c>
      <c r="G57">
        <f t="shared" si="5"/>
        <v>54.900000000000063</v>
      </c>
      <c r="I57" t="s">
        <v>6</v>
      </c>
      <c r="J57">
        <v>65.2</v>
      </c>
      <c r="K57">
        <v>2</v>
      </c>
      <c r="L57">
        <v>0.9</v>
      </c>
      <c r="N57">
        <f>N51-N56</f>
        <v>206</v>
      </c>
    </row>
    <row r="58" spans="3:23" x14ac:dyDescent="0.25">
      <c r="C58">
        <f t="shared" si="9"/>
        <v>33</v>
      </c>
      <c r="D58">
        <f t="shared" si="10"/>
        <v>91.800000000000068</v>
      </c>
      <c r="E58">
        <f t="shared" si="11"/>
        <v>63</v>
      </c>
      <c r="F58">
        <f t="shared" si="12"/>
        <v>95</v>
      </c>
      <c r="G58">
        <f t="shared" si="5"/>
        <v>56.800000000000068</v>
      </c>
      <c r="I58" t="s">
        <v>4</v>
      </c>
      <c r="J58">
        <v>55.2</v>
      </c>
      <c r="K58">
        <v>2</v>
      </c>
      <c r="L58">
        <v>0.75</v>
      </c>
    </row>
    <row r="59" spans="3:23" x14ac:dyDescent="0.25">
      <c r="C59">
        <f t="shared" si="9"/>
        <v>34</v>
      </c>
      <c r="D59">
        <f t="shared" si="10"/>
        <v>93.700000000000074</v>
      </c>
      <c r="E59">
        <f t="shared" si="11"/>
        <v>64</v>
      </c>
      <c r="F59">
        <f t="shared" si="12"/>
        <v>97</v>
      </c>
      <c r="G59">
        <f t="shared" si="5"/>
        <v>58.700000000000074</v>
      </c>
    </row>
    <row r="60" spans="3:23" x14ac:dyDescent="0.25">
      <c r="C60">
        <f t="shared" si="9"/>
        <v>35</v>
      </c>
      <c r="D60">
        <f t="shared" si="10"/>
        <v>95.60000000000008</v>
      </c>
      <c r="E60">
        <f t="shared" si="11"/>
        <v>65</v>
      </c>
      <c r="F60">
        <f t="shared" si="12"/>
        <v>99</v>
      </c>
      <c r="G60">
        <f t="shared" si="5"/>
        <v>60.60000000000008</v>
      </c>
      <c r="I60" t="s">
        <v>76</v>
      </c>
      <c r="J60">
        <v>19</v>
      </c>
      <c r="N60" t="s">
        <v>237</v>
      </c>
    </row>
    <row r="61" spans="3:23" x14ac:dyDescent="0.25">
      <c r="C61">
        <f t="shared" si="9"/>
        <v>36</v>
      </c>
      <c r="D61">
        <f t="shared" si="10"/>
        <v>97.500000000000085</v>
      </c>
      <c r="E61">
        <f t="shared" si="11"/>
        <v>66</v>
      </c>
      <c r="F61">
        <f t="shared" si="12"/>
        <v>101</v>
      </c>
      <c r="G61">
        <f t="shared" si="5"/>
        <v>62.500000000000085</v>
      </c>
      <c r="H61">
        <v>2.75</v>
      </c>
      <c r="I61" t="s">
        <v>3</v>
      </c>
      <c r="J61">
        <v>90.5</v>
      </c>
      <c r="K61">
        <v>3</v>
      </c>
      <c r="L61">
        <v>0.75</v>
      </c>
      <c r="N61" t="s">
        <v>238</v>
      </c>
    </row>
    <row r="62" spans="3:23" x14ac:dyDescent="0.25">
      <c r="C62">
        <f t="shared" si="9"/>
        <v>37</v>
      </c>
      <c r="D62">
        <f t="shared" si="10"/>
        <v>99.400000000000091</v>
      </c>
      <c r="E62">
        <f t="shared" si="11"/>
        <v>67</v>
      </c>
      <c r="F62">
        <f t="shared" si="12"/>
        <v>103</v>
      </c>
      <c r="G62">
        <f t="shared" si="5"/>
        <v>64.400000000000091</v>
      </c>
      <c r="I62" t="s">
        <v>4</v>
      </c>
      <c r="J62">
        <v>71.5</v>
      </c>
      <c r="K62">
        <v>3</v>
      </c>
      <c r="L62">
        <v>0.25</v>
      </c>
    </row>
    <row r="63" spans="3:23" x14ac:dyDescent="0.25">
      <c r="C63">
        <f t="shared" si="9"/>
        <v>38</v>
      </c>
      <c r="D63">
        <f t="shared" si="10"/>
        <v>101.3000000000001</v>
      </c>
      <c r="E63">
        <f t="shared" si="11"/>
        <v>68</v>
      </c>
      <c r="F63">
        <f t="shared" si="12"/>
        <v>105</v>
      </c>
      <c r="G63">
        <f t="shared" si="5"/>
        <v>66.300000000000097</v>
      </c>
    </row>
    <row r="64" spans="3:23" x14ac:dyDescent="0.25">
      <c r="C64">
        <f t="shared" si="9"/>
        <v>39</v>
      </c>
      <c r="D64">
        <f t="shared" si="10"/>
        <v>103.2000000000001</v>
      </c>
      <c r="E64">
        <f t="shared" si="11"/>
        <v>69</v>
      </c>
      <c r="F64">
        <f t="shared" si="12"/>
        <v>107</v>
      </c>
      <c r="G64">
        <f t="shared" si="5"/>
        <v>68.200000000000102</v>
      </c>
    </row>
    <row r="65" spans="3:27" x14ac:dyDescent="0.25">
      <c r="C65">
        <f t="shared" si="9"/>
        <v>40</v>
      </c>
      <c r="D65">
        <f t="shared" si="10"/>
        <v>105.10000000000011</v>
      </c>
      <c r="E65">
        <f t="shared" si="11"/>
        <v>70</v>
      </c>
      <c r="F65">
        <f t="shared" si="12"/>
        <v>109</v>
      </c>
      <c r="G65">
        <f t="shared" si="5"/>
        <v>70.100000000000108</v>
      </c>
    </row>
    <row r="66" spans="3:27" x14ac:dyDescent="0.25">
      <c r="C66">
        <f t="shared" si="9"/>
        <v>41</v>
      </c>
      <c r="D66">
        <f t="shared" si="10"/>
        <v>107.00000000000011</v>
      </c>
      <c r="E66">
        <f t="shared" si="11"/>
        <v>71</v>
      </c>
      <c r="F66">
        <f t="shared" si="12"/>
        <v>111</v>
      </c>
      <c r="G66">
        <f t="shared" si="5"/>
        <v>72.000000000000114</v>
      </c>
    </row>
    <row r="67" spans="3:27" x14ac:dyDescent="0.25">
      <c r="C67">
        <f t="shared" si="9"/>
        <v>42</v>
      </c>
      <c r="D67">
        <f t="shared" si="10"/>
        <v>108.90000000000012</v>
      </c>
      <c r="E67">
        <f t="shared" si="11"/>
        <v>72</v>
      </c>
      <c r="F67">
        <f t="shared" si="12"/>
        <v>113</v>
      </c>
      <c r="G67">
        <f t="shared" si="5"/>
        <v>73.900000000000119</v>
      </c>
    </row>
    <row r="68" spans="3:27" x14ac:dyDescent="0.25">
      <c r="C68">
        <f t="shared" si="9"/>
        <v>43</v>
      </c>
      <c r="D68">
        <f t="shared" si="10"/>
        <v>110.80000000000013</v>
      </c>
      <c r="E68">
        <f t="shared" si="11"/>
        <v>73</v>
      </c>
      <c r="F68">
        <f t="shared" si="12"/>
        <v>115</v>
      </c>
      <c r="G68">
        <f t="shared" si="5"/>
        <v>75.800000000000125</v>
      </c>
      <c r="J68">
        <v>130</v>
      </c>
      <c r="K68">
        <v>114</v>
      </c>
      <c r="L68">
        <f>J68+K68/2</f>
        <v>187</v>
      </c>
      <c r="M68">
        <f>L68/16</f>
        <v>11.6875</v>
      </c>
      <c r="Y68">
        <v>31</v>
      </c>
      <c r="Z68">
        <f>($U$71-($W$81+($Y68-19)*$W$82))/($V$81+($Y68-19)*$V$82)</f>
        <v>0.97035573122529639</v>
      </c>
      <c r="AA68">
        <f>($U$72-($W$81+($Y68-19)*$W$82))/($V$81+($Y68-19)*$V$82)</f>
        <v>0.74901185770750989</v>
      </c>
    </row>
    <row r="69" spans="3:27" x14ac:dyDescent="0.25">
      <c r="C69">
        <f t="shared" si="9"/>
        <v>44</v>
      </c>
      <c r="D69">
        <f t="shared" si="10"/>
        <v>112.70000000000013</v>
      </c>
      <c r="E69">
        <f t="shared" si="11"/>
        <v>74</v>
      </c>
      <c r="F69">
        <f t="shared" si="12"/>
        <v>117</v>
      </c>
      <c r="G69">
        <f t="shared" si="5"/>
        <v>77.700000000000131</v>
      </c>
      <c r="Y69">
        <v>32</v>
      </c>
      <c r="Z69">
        <f t="shared" ref="Z69:Z93" si="13">($U$71-($W$81+($Y69-19)*$W$82))/($V$81+($Y69-19)*$V$82)</f>
        <v>0.9302103250478011</v>
      </c>
      <c r="AA69">
        <f t="shared" ref="AA69:AA93" si="14">($U$72-($W$81+($Y69-19)*$W$82))/($V$81+($Y69-19)*$V$82)</f>
        <v>0.71606118546845121</v>
      </c>
    </row>
    <row r="70" spans="3:27" x14ac:dyDescent="0.25">
      <c r="C70">
        <f t="shared" si="9"/>
        <v>45</v>
      </c>
      <c r="D70">
        <f t="shared" si="10"/>
        <v>114.60000000000014</v>
      </c>
      <c r="E70">
        <f t="shared" si="11"/>
        <v>75</v>
      </c>
      <c r="F70">
        <f t="shared" si="12"/>
        <v>119</v>
      </c>
      <c r="G70">
        <f t="shared" si="5"/>
        <v>79.600000000000136</v>
      </c>
      <c r="Y70">
        <f>Y69+1</f>
        <v>33</v>
      </c>
      <c r="Z70">
        <f t="shared" si="13"/>
        <v>0.8925925925925926</v>
      </c>
      <c r="AA70">
        <f t="shared" si="14"/>
        <v>0.68518518518518523</v>
      </c>
    </row>
    <row r="71" spans="3:27" x14ac:dyDescent="0.25">
      <c r="C71">
        <f t="shared" si="9"/>
        <v>46</v>
      </c>
      <c r="D71">
        <f t="shared" si="10"/>
        <v>116.50000000000014</v>
      </c>
      <c r="E71">
        <f t="shared" si="11"/>
        <v>76</v>
      </c>
      <c r="F71">
        <f t="shared" si="12"/>
        <v>121</v>
      </c>
      <c r="G71">
        <f t="shared" si="5"/>
        <v>81.500000000000142</v>
      </c>
      <c r="L71" t="s">
        <v>247</v>
      </c>
      <c r="P71" t="s">
        <v>249</v>
      </c>
      <c r="U71">
        <f>90*1.4+203+15</f>
        <v>344</v>
      </c>
      <c r="Y71">
        <f t="shared" ref="Y71:Y93" si="15">Y70+1</f>
        <v>34</v>
      </c>
      <c r="Z71">
        <f t="shared" si="13"/>
        <v>0.85727109515260325</v>
      </c>
      <c r="AA71">
        <f t="shared" si="14"/>
        <v>0.65619389587073607</v>
      </c>
    </row>
    <row r="72" spans="3:27" x14ac:dyDescent="0.25">
      <c r="C72">
        <f t="shared" si="9"/>
        <v>47</v>
      </c>
      <c r="D72">
        <f t="shared" si="10"/>
        <v>118.40000000000015</v>
      </c>
      <c r="E72">
        <f t="shared" si="11"/>
        <v>77</v>
      </c>
      <c r="F72">
        <f t="shared" si="12"/>
        <v>123</v>
      </c>
      <c r="G72">
        <f t="shared" si="5"/>
        <v>83.400000000000148</v>
      </c>
      <c r="K72" t="s">
        <v>248</v>
      </c>
      <c r="L72" t="s">
        <v>4</v>
      </c>
      <c r="M72" t="s">
        <v>7</v>
      </c>
      <c r="O72" t="s">
        <v>248</v>
      </c>
      <c r="P72" t="s">
        <v>4</v>
      </c>
      <c r="Q72" t="s">
        <v>7</v>
      </c>
      <c r="U72">
        <f>90*1.4+162</f>
        <v>288</v>
      </c>
      <c r="Y72">
        <f t="shared" si="15"/>
        <v>35</v>
      </c>
      <c r="Z72">
        <f t="shared" si="13"/>
        <v>0.8240418118466899</v>
      </c>
      <c r="AA72">
        <f t="shared" si="14"/>
        <v>0.62891986062717775</v>
      </c>
    </row>
    <row r="73" spans="3:27" x14ac:dyDescent="0.25">
      <c r="C73">
        <f t="shared" si="9"/>
        <v>48</v>
      </c>
      <c r="D73">
        <f t="shared" si="10"/>
        <v>120.30000000000015</v>
      </c>
      <c r="E73">
        <f t="shared" si="11"/>
        <v>78</v>
      </c>
      <c r="F73">
        <f t="shared" si="12"/>
        <v>125</v>
      </c>
      <c r="G73">
        <f t="shared" si="5"/>
        <v>85.300000000000153</v>
      </c>
      <c r="K73" t="s">
        <v>135</v>
      </c>
      <c r="L73" t="s">
        <v>133</v>
      </c>
      <c r="M73" t="s">
        <v>134</v>
      </c>
      <c r="O73">
        <v>115</v>
      </c>
      <c r="P73">
        <v>76</v>
      </c>
      <c r="Q73">
        <v>65</v>
      </c>
      <c r="Y73">
        <f t="shared" si="15"/>
        <v>36</v>
      </c>
      <c r="Z73">
        <f t="shared" si="13"/>
        <v>0.7927241962774958</v>
      </c>
      <c r="AA73">
        <f t="shared" si="14"/>
        <v>0.60321489001692052</v>
      </c>
    </row>
    <row r="74" spans="3:27" x14ac:dyDescent="0.25">
      <c r="C74">
        <f t="shared" si="9"/>
        <v>49</v>
      </c>
      <c r="D74">
        <f t="shared" si="10"/>
        <v>122.20000000000016</v>
      </c>
      <c r="E74">
        <f t="shared" si="11"/>
        <v>79</v>
      </c>
      <c r="F74">
        <f t="shared" si="12"/>
        <v>127</v>
      </c>
      <c r="G74">
        <f t="shared" si="5"/>
        <v>87.200000000000159</v>
      </c>
      <c r="J74">
        <v>38</v>
      </c>
      <c r="K74">
        <v>114.25</v>
      </c>
      <c r="L74">
        <v>128.19999999999999</v>
      </c>
      <c r="M74">
        <v>101.3</v>
      </c>
      <c r="Y74">
        <f t="shared" si="15"/>
        <v>37</v>
      </c>
      <c r="Z74">
        <f t="shared" si="13"/>
        <v>0.76315789473684215</v>
      </c>
      <c r="AA74">
        <f t="shared" si="14"/>
        <v>0.57894736842105265</v>
      </c>
    </row>
    <row r="75" spans="3:27" x14ac:dyDescent="0.25">
      <c r="C75">
        <f t="shared" si="9"/>
        <v>50</v>
      </c>
      <c r="D75">
        <f t="shared" si="10"/>
        <v>124.10000000000016</v>
      </c>
      <c r="E75">
        <f t="shared" si="11"/>
        <v>80</v>
      </c>
      <c r="F75">
        <f t="shared" si="12"/>
        <v>129</v>
      </c>
      <c r="G75">
        <f t="shared" si="5"/>
        <v>89.100000000000165</v>
      </c>
      <c r="J75">
        <v>45</v>
      </c>
      <c r="K75">
        <v>130</v>
      </c>
      <c r="L75">
        <v>146.4</v>
      </c>
      <c r="M75">
        <v>114.6</v>
      </c>
      <c r="Y75">
        <f t="shared" si="15"/>
        <v>38</v>
      </c>
      <c r="Z75">
        <f t="shared" si="13"/>
        <v>0.73519999999999996</v>
      </c>
      <c r="AA75">
        <f t="shared" si="14"/>
        <v>0.55600000000000005</v>
      </c>
    </row>
    <row r="76" spans="3:27" x14ac:dyDescent="0.25">
      <c r="C76">
        <f t="shared" si="9"/>
        <v>51</v>
      </c>
      <c r="D76">
        <f t="shared" si="10"/>
        <v>126.00000000000017</v>
      </c>
      <c r="E76">
        <f t="shared" si="11"/>
        <v>81</v>
      </c>
      <c r="F76">
        <f t="shared" si="12"/>
        <v>131</v>
      </c>
      <c r="G76">
        <f t="shared" si="5"/>
        <v>91.000000000000171</v>
      </c>
      <c r="Y76">
        <f t="shared" si="15"/>
        <v>39</v>
      </c>
      <c r="Z76">
        <f t="shared" si="13"/>
        <v>0.70872274143302183</v>
      </c>
      <c r="AA76">
        <f t="shared" si="14"/>
        <v>0.53426791277258567</v>
      </c>
    </row>
    <row r="77" spans="3:27" x14ac:dyDescent="0.25">
      <c r="C77">
        <f t="shared" si="9"/>
        <v>52</v>
      </c>
      <c r="D77">
        <f t="shared" si="10"/>
        <v>127.90000000000018</v>
      </c>
      <c r="E77">
        <f t="shared" si="11"/>
        <v>82</v>
      </c>
      <c r="F77">
        <f t="shared" si="12"/>
        <v>133</v>
      </c>
      <c r="G77">
        <f t="shared" si="5"/>
        <v>92.900000000000176</v>
      </c>
      <c r="Y77">
        <f t="shared" si="15"/>
        <v>40</v>
      </c>
      <c r="Z77">
        <f t="shared" si="13"/>
        <v>0.6836115326251897</v>
      </c>
      <c r="AA77">
        <f t="shared" si="14"/>
        <v>0.51365705614567525</v>
      </c>
    </row>
    <row r="78" spans="3:27" x14ac:dyDescent="0.25">
      <c r="C78">
        <f t="shared" si="9"/>
        <v>53</v>
      </c>
      <c r="D78">
        <f t="shared" si="10"/>
        <v>129.80000000000018</v>
      </c>
      <c r="E78">
        <f t="shared" si="11"/>
        <v>83</v>
      </c>
      <c r="F78">
        <f t="shared" si="12"/>
        <v>135</v>
      </c>
      <c r="G78">
        <f t="shared" si="5"/>
        <v>94.800000000000182</v>
      </c>
      <c r="Y78">
        <f t="shared" si="15"/>
        <v>41</v>
      </c>
      <c r="Z78">
        <f t="shared" si="13"/>
        <v>0.65976331360946749</v>
      </c>
      <c r="AA78">
        <f t="shared" si="14"/>
        <v>0.49408284023668642</v>
      </c>
    </row>
    <row r="79" spans="3:27" x14ac:dyDescent="0.25">
      <c r="C79">
        <f t="shared" si="9"/>
        <v>54</v>
      </c>
      <c r="D79">
        <f t="shared" si="10"/>
        <v>131.70000000000019</v>
      </c>
      <c r="E79">
        <f t="shared" si="11"/>
        <v>84</v>
      </c>
      <c r="F79">
        <f t="shared" si="12"/>
        <v>137</v>
      </c>
      <c r="G79">
        <f t="shared" si="5"/>
        <v>96.700000000000188</v>
      </c>
      <c r="Y79">
        <f t="shared" si="15"/>
        <v>42</v>
      </c>
      <c r="Z79">
        <f t="shared" si="13"/>
        <v>0.63708513708513703</v>
      </c>
      <c r="AA79">
        <f t="shared" si="14"/>
        <v>0.47546897546897549</v>
      </c>
    </row>
    <row r="80" spans="3:27" x14ac:dyDescent="0.25">
      <c r="C80">
        <f t="shared" si="9"/>
        <v>55</v>
      </c>
      <c r="D80">
        <f t="shared" si="10"/>
        <v>133.60000000000019</v>
      </c>
      <c r="E80">
        <f t="shared" si="11"/>
        <v>85</v>
      </c>
      <c r="F80">
        <f t="shared" si="12"/>
        <v>139</v>
      </c>
      <c r="G80">
        <f t="shared" si="5"/>
        <v>98.600000000000193</v>
      </c>
      <c r="U80" t="s">
        <v>439</v>
      </c>
      <c r="V80" t="s">
        <v>440</v>
      </c>
      <c r="W80" t="s">
        <v>441</v>
      </c>
      <c r="Y80">
        <f t="shared" si="15"/>
        <v>43</v>
      </c>
      <c r="Z80">
        <f t="shared" si="13"/>
        <v>0.61549295774647883</v>
      </c>
      <c r="AA80">
        <f t="shared" si="14"/>
        <v>0.45774647887323944</v>
      </c>
    </row>
    <row r="81" spans="3:27" x14ac:dyDescent="0.25">
      <c r="C81">
        <f t="shared" si="9"/>
        <v>56</v>
      </c>
      <c r="D81">
        <f t="shared" si="10"/>
        <v>135.5000000000002</v>
      </c>
      <c r="E81">
        <f t="shared" si="11"/>
        <v>86</v>
      </c>
      <c r="F81">
        <f t="shared" si="12"/>
        <v>141</v>
      </c>
      <c r="G81">
        <f t="shared" si="5"/>
        <v>100.5000000000002</v>
      </c>
      <c r="U81">
        <v>203</v>
      </c>
      <c r="V81">
        <v>151</v>
      </c>
      <c r="W81">
        <v>71.5</v>
      </c>
      <c r="Y81">
        <f t="shared" si="15"/>
        <v>44</v>
      </c>
      <c r="Z81">
        <f t="shared" si="13"/>
        <v>0.59491059147180192</v>
      </c>
      <c r="AA81">
        <f t="shared" si="14"/>
        <v>0.4408528198074278</v>
      </c>
    </row>
    <row r="82" spans="3:27" x14ac:dyDescent="0.25">
      <c r="C82">
        <f t="shared" si="9"/>
        <v>57</v>
      </c>
      <c r="D82">
        <f t="shared" si="10"/>
        <v>137.4000000000002</v>
      </c>
      <c r="E82">
        <f t="shared" si="11"/>
        <v>87</v>
      </c>
      <c r="F82">
        <f t="shared" si="12"/>
        <v>143</v>
      </c>
      <c r="G82">
        <f t="shared" si="5"/>
        <v>102.4000000000002</v>
      </c>
      <c r="O82">
        <f>8000*5+9000</f>
        <v>49000</v>
      </c>
      <c r="P82">
        <f>O82+22000</f>
        <v>71000</v>
      </c>
      <c r="U82">
        <v>162</v>
      </c>
      <c r="V82">
        <v>8.5</v>
      </c>
      <c r="W82">
        <v>2.25</v>
      </c>
      <c r="Y82">
        <f t="shared" si="15"/>
        <v>45</v>
      </c>
      <c r="Z82">
        <f t="shared" si="13"/>
        <v>0.57526881720430112</v>
      </c>
      <c r="AA82">
        <f t="shared" si="14"/>
        <v>0.42473118279569894</v>
      </c>
    </row>
    <row r="83" spans="3:27" x14ac:dyDescent="0.25">
      <c r="C83">
        <f t="shared" si="9"/>
        <v>58</v>
      </c>
      <c r="D83">
        <f t="shared" si="10"/>
        <v>139.30000000000021</v>
      </c>
      <c r="E83">
        <f t="shared" si="11"/>
        <v>88</v>
      </c>
      <c r="F83">
        <f t="shared" si="12"/>
        <v>145</v>
      </c>
      <c r="G83">
        <f t="shared" si="5"/>
        <v>104.30000000000021</v>
      </c>
      <c r="Y83">
        <f t="shared" si="15"/>
        <v>46</v>
      </c>
      <c r="Z83">
        <f t="shared" si="13"/>
        <v>0.5565045992115637</v>
      </c>
      <c r="AA83">
        <f t="shared" si="14"/>
        <v>0.40932982917214195</v>
      </c>
    </row>
    <row r="84" spans="3:27" x14ac:dyDescent="0.25">
      <c r="C84">
        <f t="shared" si="9"/>
        <v>59</v>
      </c>
      <c r="D84">
        <f t="shared" si="10"/>
        <v>141.20000000000022</v>
      </c>
      <c r="E84">
        <f t="shared" si="11"/>
        <v>89</v>
      </c>
      <c r="F84">
        <f t="shared" si="12"/>
        <v>147</v>
      </c>
      <c r="G84">
        <f t="shared" si="5"/>
        <v>106.20000000000022</v>
      </c>
      <c r="Y84">
        <f t="shared" si="15"/>
        <v>47</v>
      </c>
      <c r="Z84">
        <f t="shared" si="13"/>
        <v>0.53856041131105403</v>
      </c>
      <c r="AA84">
        <f t="shared" si="14"/>
        <v>0.39460154241645246</v>
      </c>
    </row>
    <row r="85" spans="3:27" x14ac:dyDescent="0.25">
      <c r="C85">
        <f t="shared" si="9"/>
        <v>60</v>
      </c>
      <c r="Y85">
        <f t="shared" si="15"/>
        <v>48</v>
      </c>
      <c r="Z85">
        <f t="shared" si="13"/>
        <v>0.52138364779874213</v>
      </c>
      <c r="AA85">
        <f t="shared" si="14"/>
        <v>0.38050314465408808</v>
      </c>
    </row>
    <row r="86" spans="3:27" x14ac:dyDescent="0.25">
      <c r="C86">
        <f t="shared" si="9"/>
        <v>61</v>
      </c>
      <c r="Y86">
        <f t="shared" si="15"/>
        <v>49</v>
      </c>
      <c r="Z86">
        <f t="shared" si="13"/>
        <v>0.50492610837438423</v>
      </c>
      <c r="AA86">
        <f t="shared" si="14"/>
        <v>0.36699507389162561</v>
      </c>
    </row>
    <row r="87" spans="3:27" x14ac:dyDescent="0.25">
      <c r="C87">
        <f t="shared" si="9"/>
        <v>62</v>
      </c>
      <c r="Y87">
        <f t="shared" si="15"/>
        <v>50</v>
      </c>
      <c r="Z87">
        <f t="shared" si="13"/>
        <v>0.48914354644149577</v>
      </c>
      <c r="AA87">
        <f t="shared" si="14"/>
        <v>0.35404101326899878</v>
      </c>
    </row>
    <row r="88" spans="3:27" x14ac:dyDescent="0.25">
      <c r="C88">
        <f t="shared" si="9"/>
        <v>63</v>
      </c>
      <c r="Y88">
        <f t="shared" si="15"/>
        <v>51</v>
      </c>
      <c r="Z88">
        <f t="shared" si="13"/>
        <v>0.47399527186761231</v>
      </c>
      <c r="AA88">
        <f t="shared" si="14"/>
        <v>0.34160756501182032</v>
      </c>
    </row>
    <row r="89" spans="3:27" x14ac:dyDescent="0.25">
      <c r="C89">
        <f t="shared" si="9"/>
        <v>64</v>
      </c>
      <c r="D89">
        <v>203</v>
      </c>
      <c r="Y89">
        <f t="shared" si="15"/>
        <v>52</v>
      </c>
      <c r="Z89">
        <f t="shared" si="13"/>
        <v>0.45944380069524915</v>
      </c>
      <c r="AA89">
        <f t="shared" si="14"/>
        <v>0.32966396292004635</v>
      </c>
    </row>
    <row r="90" spans="3:27" x14ac:dyDescent="0.25">
      <c r="C90">
        <f t="shared" si="9"/>
        <v>65</v>
      </c>
      <c r="S90" t="s">
        <v>504</v>
      </c>
      <c r="V90" t="s">
        <v>508</v>
      </c>
      <c r="Y90">
        <f t="shared" si="15"/>
        <v>53</v>
      </c>
      <c r="Z90">
        <f t="shared" si="13"/>
        <v>0.44545454545454544</v>
      </c>
      <c r="AA90">
        <f t="shared" si="14"/>
        <v>0.31818181818181818</v>
      </c>
    </row>
    <row r="91" spans="3:27" x14ac:dyDescent="0.25">
      <c r="C91">
        <f t="shared" si="9"/>
        <v>66</v>
      </c>
      <c r="L91">
        <f>29*1.3</f>
        <v>37.700000000000003</v>
      </c>
      <c r="Y91">
        <f t="shared" si="15"/>
        <v>54</v>
      </c>
      <c r="Z91">
        <f t="shared" si="13"/>
        <v>0.43199554069119289</v>
      </c>
      <c r="AA91">
        <f t="shared" si="14"/>
        <v>0.30713489409141581</v>
      </c>
    </row>
    <row r="92" spans="3:27" x14ac:dyDescent="0.25">
      <c r="C92">
        <f t="shared" si="9"/>
        <v>67</v>
      </c>
      <c r="S92">
        <v>9870</v>
      </c>
      <c r="T92" t="s">
        <v>505</v>
      </c>
      <c r="V92" t="s">
        <v>509</v>
      </c>
      <c r="Y92">
        <f t="shared" si="15"/>
        <v>55</v>
      </c>
      <c r="Z92">
        <f t="shared" si="13"/>
        <v>0.41903719912472648</v>
      </c>
      <c r="AA92">
        <f t="shared" si="14"/>
        <v>0.2964989059080963</v>
      </c>
    </row>
    <row r="93" spans="3:27" x14ac:dyDescent="0.25">
      <c r="C93">
        <f t="shared" si="9"/>
        <v>68</v>
      </c>
      <c r="S93">
        <v>7870</v>
      </c>
      <c r="T93" t="s">
        <v>506</v>
      </c>
      <c r="V93" t="s">
        <v>510</v>
      </c>
      <c r="Y93">
        <f t="shared" si="15"/>
        <v>56</v>
      </c>
      <c r="Z93">
        <f t="shared" si="13"/>
        <v>0.40655209452201935</v>
      </c>
      <c r="AA93">
        <f t="shared" si="14"/>
        <v>0.28625134264232011</v>
      </c>
    </row>
    <row r="94" spans="3:27" x14ac:dyDescent="0.25">
      <c r="C94">
        <f t="shared" si="9"/>
        <v>69</v>
      </c>
      <c r="S94">
        <v>5870</v>
      </c>
      <c r="T94" t="s">
        <v>507</v>
      </c>
      <c r="V94" t="s">
        <v>511</v>
      </c>
    </row>
    <row r="95" spans="3:27" x14ac:dyDescent="0.25">
      <c r="C95">
        <f t="shared" ref="C95:C105" si="16">C94+1</f>
        <v>70</v>
      </c>
    </row>
    <row r="96" spans="3:27" x14ac:dyDescent="0.25">
      <c r="C96">
        <f t="shared" si="16"/>
        <v>71</v>
      </c>
    </row>
    <row r="97" spans="3:22" x14ac:dyDescent="0.25">
      <c r="C97">
        <f t="shared" si="16"/>
        <v>72</v>
      </c>
      <c r="V97" t="s">
        <v>512</v>
      </c>
    </row>
    <row r="98" spans="3:22" x14ac:dyDescent="0.25">
      <c r="C98">
        <f t="shared" si="16"/>
        <v>73</v>
      </c>
      <c r="K98" s="45">
        <v>7.4270833333333341E-2</v>
      </c>
    </row>
    <row r="99" spans="3:22" x14ac:dyDescent="0.25">
      <c r="C99">
        <f t="shared" si="16"/>
        <v>74</v>
      </c>
      <c r="K99" s="45">
        <v>7.7777777777777779E-2</v>
      </c>
    </row>
    <row r="100" spans="3:22" x14ac:dyDescent="0.25">
      <c r="C100">
        <f t="shared" si="16"/>
        <v>75</v>
      </c>
      <c r="K100" s="45">
        <v>0.11045138888888889</v>
      </c>
    </row>
    <row r="101" spans="3:22" x14ac:dyDescent="0.25">
      <c r="C101">
        <f t="shared" si="16"/>
        <v>76</v>
      </c>
    </row>
    <row r="102" spans="3:22" x14ac:dyDescent="0.25">
      <c r="C102">
        <f t="shared" si="16"/>
        <v>77</v>
      </c>
      <c r="K102" s="46">
        <f>SUM(K98:K100)</f>
        <v>0.26250000000000001</v>
      </c>
    </row>
    <row r="103" spans="3:22" x14ac:dyDescent="0.25">
      <c r="C103">
        <f t="shared" si="16"/>
        <v>78</v>
      </c>
    </row>
    <row r="104" spans="3:22" x14ac:dyDescent="0.25">
      <c r="C104">
        <f t="shared" si="16"/>
        <v>79</v>
      </c>
    </row>
    <row r="105" spans="3:22" x14ac:dyDescent="0.25">
      <c r="C105">
        <f t="shared" si="16"/>
        <v>80</v>
      </c>
      <c r="F105" s="45">
        <v>0.15496527777777777</v>
      </c>
    </row>
    <row r="106" spans="3:22" x14ac:dyDescent="0.25">
      <c r="F106" s="45">
        <v>0.26541666666666669</v>
      </c>
    </row>
    <row r="107" spans="3:22" x14ac:dyDescent="0.25">
      <c r="F107" s="45">
        <f>F106-F105</f>
        <v>0.11045138888888892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X58"/>
  <sheetViews>
    <sheetView workbookViewId="0">
      <selection activeCell="B4" sqref="B4:C19"/>
    </sheetView>
  </sheetViews>
  <sheetFormatPr defaultRowHeight="15" x14ac:dyDescent="0.25"/>
  <cols>
    <col min="8" max="8" width="11.28515625" customWidth="1"/>
    <col min="12" max="12" width="11.7109375" customWidth="1"/>
  </cols>
  <sheetData>
    <row r="3" spans="2:24" x14ac:dyDescent="0.25">
      <c r="G3" t="s">
        <v>232</v>
      </c>
      <c r="H3" t="s">
        <v>231</v>
      </c>
      <c r="I3" t="s">
        <v>226</v>
      </c>
      <c r="J3" t="s">
        <v>227</v>
      </c>
    </row>
    <row r="4" spans="2:24" x14ac:dyDescent="0.25">
      <c r="B4">
        <v>11</v>
      </c>
      <c r="C4">
        <v>8500</v>
      </c>
      <c r="G4" t="s">
        <v>209</v>
      </c>
      <c r="H4" t="s">
        <v>208</v>
      </c>
    </row>
    <row r="5" spans="2:24" x14ac:dyDescent="0.25">
      <c r="B5">
        <v>10</v>
      </c>
      <c r="C5">
        <v>8000</v>
      </c>
      <c r="G5" t="s">
        <v>207</v>
      </c>
      <c r="H5" t="s">
        <v>233</v>
      </c>
      <c r="I5" t="s">
        <v>228</v>
      </c>
      <c r="J5" t="s">
        <v>234</v>
      </c>
      <c r="K5" t="s">
        <v>235</v>
      </c>
      <c r="L5" t="s">
        <v>229</v>
      </c>
      <c r="M5" t="s">
        <v>230</v>
      </c>
    </row>
    <row r="6" spans="2:24" x14ac:dyDescent="0.25">
      <c r="B6">
        <v>9</v>
      </c>
      <c r="C6">
        <v>7500</v>
      </c>
      <c r="G6">
        <v>4</v>
      </c>
      <c r="H6">
        <f>3*C12/2</f>
        <v>2400</v>
      </c>
      <c r="I6">
        <f>5*C14/2</f>
        <v>1000</v>
      </c>
      <c r="J6">
        <f>5*C12/2</f>
        <v>4000</v>
      </c>
      <c r="K6">
        <f>C9/2</f>
        <v>2550</v>
      </c>
      <c r="L6">
        <f>3*C11/2</f>
        <v>3900</v>
      </c>
      <c r="M6">
        <f>C11</f>
        <v>2600</v>
      </c>
      <c r="T6">
        <f>2000*4.5</f>
        <v>9000</v>
      </c>
      <c r="U6">
        <v>2000</v>
      </c>
      <c r="V6">
        <v>1200</v>
      </c>
      <c r="W6">
        <v>1000</v>
      </c>
      <c r="X6">
        <f>SUM(T6:W6)</f>
        <v>13200</v>
      </c>
    </row>
    <row r="7" spans="2:24" x14ac:dyDescent="0.25">
      <c r="B7">
        <v>8</v>
      </c>
      <c r="C7">
        <v>6900</v>
      </c>
      <c r="G7">
        <v>5</v>
      </c>
      <c r="H7">
        <f>3*C13/2</f>
        <v>1350</v>
      </c>
      <c r="I7">
        <f>5*C15/2</f>
        <v>500</v>
      </c>
      <c r="J7">
        <f>5*C13/2</f>
        <v>2250</v>
      </c>
      <c r="K7">
        <f>C10/2</f>
        <v>1950</v>
      </c>
      <c r="L7">
        <f>3*C12/2</f>
        <v>2400</v>
      </c>
      <c r="M7">
        <f>C12</f>
        <v>1600</v>
      </c>
    </row>
    <row r="8" spans="2:24" x14ac:dyDescent="0.25">
      <c r="B8">
        <v>7</v>
      </c>
      <c r="C8">
        <v>6000</v>
      </c>
      <c r="G8">
        <v>6</v>
      </c>
      <c r="H8">
        <f>3*C14/2</f>
        <v>600</v>
      </c>
      <c r="I8">
        <f>5*C16/2</f>
        <v>400</v>
      </c>
      <c r="J8">
        <f>5*C14/2</f>
        <v>1000</v>
      </c>
      <c r="K8">
        <f>C11/2</f>
        <v>1300</v>
      </c>
      <c r="L8">
        <f>3*C13/2</f>
        <v>1350</v>
      </c>
      <c r="M8">
        <f>C13</f>
        <v>900</v>
      </c>
    </row>
    <row r="9" spans="2:24" x14ac:dyDescent="0.25">
      <c r="B9">
        <v>6</v>
      </c>
      <c r="C9">
        <v>5100</v>
      </c>
      <c r="G9">
        <v>7</v>
      </c>
      <c r="H9">
        <f>3*C15/2</f>
        <v>300</v>
      </c>
      <c r="I9">
        <f>5*C17/2</f>
        <v>300</v>
      </c>
      <c r="J9">
        <f>5*C15/2</f>
        <v>500</v>
      </c>
      <c r="K9">
        <f>C12/2</f>
        <v>800</v>
      </c>
      <c r="L9">
        <f>3*C14/2</f>
        <v>600</v>
      </c>
      <c r="M9">
        <f>C14</f>
        <v>400</v>
      </c>
    </row>
    <row r="10" spans="2:24" x14ac:dyDescent="0.25">
      <c r="B10">
        <v>5</v>
      </c>
      <c r="C10">
        <v>3900</v>
      </c>
    </row>
    <row r="11" spans="2:24" x14ac:dyDescent="0.25">
      <c r="B11">
        <v>4</v>
      </c>
      <c r="C11">
        <v>2600</v>
      </c>
    </row>
    <row r="12" spans="2:24" x14ac:dyDescent="0.25">
      <c r="B12">
        <v>3</v>
      </c>
      <c r="C12">
        <v>1600</v>
      </c>
      <c r="G12" t="s">
        <v>210</v>
      </c>
      <c r="H12" t="s">
        <v>208</v>
      </c>
    </row>
    <row r="13" spans="2:24" x14ac:dyDescent="0.25">
      <c r="B13">
        <v>2</v>
      </c>
      <c r="C13">
        <v>900</v>
      </c>
      <c r="G13" t="s">
        <v>207</v>
      </c>
      <c r="H13" t="s">
        <v>233</v>
      </c>
      <c r="I13" t="s">
        <v>228</v>
      </c>
      <c r="J13" t="s">
        <v>234</v>
      </c>
      <c r="K13" t="s">
        <v>235</v>
      </c>
      <c r="L13" t="s">
        <v>229</v>
      </c>
      <c r="M13" t="s">
        <v>230</v>
      </c>
    </row>
    <row r="14" spans="2:24" x14ac:dyDescent="0.25">
      <c r="B14">
        <v>1</v>
      </c>
      <c r="C14">
        <v>400</v>
      </c>
      <c r="G14">
        <v>4</v>
      </c>
      <c r="H14" s="37">
        <f t="shared" ref="H14:M17" si="0">H6*2/3</f>
        <v>1600</v>
      </c>
      <c r="I14" s="37">
        <f t="shared" si="0"/>
        <v>666.66666666666663</v>
      </c>
      <c r="J14" s="37">
        <f t="shared" si="0"/>
        <v>2666.6666666666665</v>
      </c>
      <c r="K14" s="37">
        <f t="shared" si="0"/>
        <v>1700</v>
      </c>
      <c r="L14" s="37">
        <f t="shared" si="0"/>
        <v>2600</v>
      </c>
      <c r="M14" s="37">
        <f t="shared" si="0"/>
        <v>1733.3333333333333</v>
      </c>
    </row>
    <row r="15" spans="2:24" x14ac:dyDescent="0.25">
      <c r="B15">
        <v>0</v>
      </c>
      <c r="C15">
        <v>200</v>
      </c>
      <c r="G15">
        <v>5</v>
      </c>
      <c r="H15" s="37">
        <f t="shared" si="0"/>
        <v>900</v>
      </c>
      <c r="I15" s="37">
        <f t="shared" si="0"/>
        <v>333.33333333333331</v>
      </c>
      <c r="J15" s="37">
        <f t="shared" si="0"/>
        <v>1500</v>
      </c>
      <c r="K15" s="37">
        <f t="shared" si="0"/>
        <v>1300</v>
      </c>
      <c r="L15" s="37">
        <f t="shared" si="0"/>
        <v>1600</v>
      </c>
      <c r="M15" s="37">
        <f t="shared" si="0"/>
        <v>1066.6666666666667</v>
      </c>
      <c r="R15" t="s">
        <v>435</v>
      </c>
      <c r="S15" t="s">
        <v>434</v>
      </c>
      <c r="U15" t="s">
        <v>434</v>
      </c>
    </row>
    <row r="16" spans="2:24" x14ac:dyDescent="0.25">
      <c r="B16">
        <v>-1</v>
      </c>
      <c r="C16">
        <v>160</v>
      </c>
      <c r="G16">
        <v>6</v>
      </c>
      <c r="H16" s="37">
        <f t="shared" si="0"/>
        <v>400</v>
      </c>
      <c r="I16" s="37">
        <f t="shared" si="0"/>
        <v>266.66666666666669</v>
      </c>
      <c r="J16" s="37">
        <f t="shared" si="0"/>
        <v>666.66666666666663</v>
      </c>
      <c r="K16" s="37">
        <f t="shared" si="0"/>
        <v>866.66666666666663</v>
      </c>
      <c r="L16" s="37">
        <f t="shared" si="0"/>
        <v>900</v>
      </c>
      <c r="M16" s="37">
        <f t="shared" si="0"/>
        <v>600</v>
      </c>
      <c r="R16">
        <v>4</v>
      </c>
      <c r="S16">
        <f>3*1300+3000+4000</f>
        <v>10900</v>
      </c>
    </row>
    <row r="17" spans="2:23" x14ac:dyDescent="0.25">
      <c r="B17">
        <v>-2</v>
      </c>
      <c r="C17">
        <v>120</v>
      </c>
      <c r="G17">
        <v>7</v>
      </c>
      <c r="H17" s="37">
        <f t="shared" si="0"/>
        <v>200</v>
      </c>
      <c r="I17" s="37">
        <f t="shared" si="0"/>
        <v>200</v>
      </c>
      <c r="J17" s="37">
        <f t="shared" si="0"/>
        <v>333.33333333333331</v>
      </c>
      <c r="K17" s="37">
        <f t="shared" si="0"/>
        <v>533.33333333333337</v>
      </c>
      <c r="L17" s="37">
        <f t="shared" si="0"/>
        <v>400</v>
      </c>
      <c r="M17" s="37">
        <f t="shared" si="0"/>
        <v>266.66666666666669</v>
      </c>
      <c r="R17">
        <v>5</v>
      </c>
      <c r="S17">
        <f>3*800+2550+5000</f>
        <v>9950</v>
      </c>
    </row>
    <row r="18" spans="2:23" x14ac:dyDescent="0.25">
      <c r="B18">
        <v>-3</v>
      </c>
      <c r="C18">
        <v>90</v>
      </c>
      <c r="R18">
        <v>6</v>
      </c>
      <c r="S18">
        <f>3*450+1950+6000</f>
        <v>9300</v>
      </c>
    </row>
    <row r="19" spans="2:23" x14ac:dyDescent="0.25">
      <c r="B19">
        <v>-4</v>
      </c>
      <c r="C19">
        <v>70</v>
      </c>
      <c r="R19">
        <v>7</v>
      </c>
      <c r="S19">
        <f>3*200+1300+7000</f>
        <v>8900</v>
      </c>
    </row>
    <row r="20" spans="2:23" x14ac:dyDescent="0.25">
      <c r="G20" t="s">
        <v>212</v>
      </c>
      <c r="H20" t="s">
        <v>213</v>
      </c>
      <c r="I20" t="s">
        <v>215</v>
      </c>
      <c r="J20" t="s">
        <v>216</v>
      </c>
      <c r="K20" t="s">
        <v>217</v>
      </c>
      <c r="R20">
        <v>8</v>
      </c>
      <c r="S20">
        <f>300+800+8000</f>
        <v>9100</v>
      </c>
      <c r="U20">
        <f>300+800</f>
        <v>1100</v>
      </c>
    </row>
    <row r="21" spans="2:23" x14ac:dyDescent="0.25">
      <c r="G21" t="s">
        <v>214</v>
      </c>
      <c r="H21" t="s">
        <v>211</v>
      </c>
      <c r="R21">
        <v>9</v>
      </c>
      <c r="U21">
        <f>1.5*160+450</f>
        <v>690</v>
      </c>
      <c r="W21">
        <f>2600/5</f>
        <v>520</v>
      </c>
    </row>
    <row r="22" spans="2:23" x14ac:dyDescent="0.25">
      <c r="G22" t="s">
        <v>207</v>
      </c>
      <c r="H22" t="s">
        <v>219</v>
      </c>
      <c r="I22" t="s">
        <v>220</v>
      </c>
      <c r="J22" t="s">
        <v>221</v>
      </c>
      <c r="K22" t="s">
        <v>222</v>
      </c>
      <c r="L22" t="s">
        <v>223</v>
      </c>
      <c r="M22" t="s">
        <v>224</v>
      </c>
      <c r="N22" t="s">
        <v>225</v>
      </c>
      <c r="R22">
        <v>10</v>
      </c>
      <c r="U22">
        <f>1.5*120+200</f>
        <v>380</v>
      </c>
    </row>
    <row r="23" spans="2:23" x14ac:dyDescent="0.25">
      <c r="G23">
        <v>9</v>
      </c>
      <c r="H23">
        <f>2*C10+3*C12</f>
        <v>12600</v>
      </c>
      <c r="I23">
        <f>5*C10</f>
        <v>19500</v>
      </c>
      <c r="J23">
        <f>4*C9</f>
        <v>20400</v>
      </c>
      <c r="K23">
        <f>3*C9</f>
        <v>15300</v>
      </c>
      <c r="L23">
        <f>3*C11+C8</f>
        <v>13800</v>
      </c>
      <c r="M23">
        <f>3*C12</f>
        <v>4800</v>
      </c>
      <c r="N23">
        <f>2*C12</f>
        <v>3200</v>
      </c>
    </row>
    <row r="24" spans="2:23" x14ac:dyDescent="0.25">
      <c r="G24">
        <v>10</v>
      </c>
      <c r="H24">
        <f>2*C11+3*C13</f>
        <v>7900</v>
      </c>
      <c r="I24">
        <f>5*C11</f>
        <v>13000</v>
      </c>
      <c r="J24">
        <f>4*C10</f>
        <v>15600</v>
      </c>
      <c r="K24">
        <f>3*C10</f>
        <v>11700</v>
      </c>
      <c r="L24">
        <f>3*C12+C9</f>
        <v>9900</v>
      </c>
      <c r="M24">
        <f>3*C13</f>
        <v>2700</v>
      </c>
      <c r="N24">
        <f>2*C13</f>
        <v>1800</v>
      </c>
    </row>
    <row r="25" spans="2:23" x14ac:dyDescent="0.25">
      <c r="G25">
        <v>11</v>
      </c>
      <c r="H25">
        <f>2*C12+3*C14</f>
        <v>4400</v>
      </c>
      <c r="I25">
        <f>5*C12</f>
        <v>8000</v>
      </c>
      <c r="J25">
        <f>4*C11</f>
        <v>10400</v>
      </c>
      <c r="K25">
        <f>3*C11</f>
        <v>7800</v>
      </c>
      <c r="L25">
        <f>3*C13+C10</f>
        <v>6600</v>
      </c>
      <c r="M25">
        <f>3*C14</f>
        <v>1200</v>
      </c>
      <c r="N25">
        <f>2*C14</f>
        <v>800</v>
      </c>
    </row>
    <row r="28" spans="2:23" x14ac:dyDescent="0.25">
      <c r="G28" t="s">
        <v>218</v>
      </c>
      <c r="H28" t="s">
        <v>211</v>
      </c>
    </row>
    <row r="29" spans="2:23" x14ac:dyDescent="0.25">
      <c r="G29" t="s">
        <v>207</v>
      </c>
      <c r="H29" t="s">
        <v>219</v>
      </c>
      <c r="I29" t="s">
        <v>220</v>
      </c>
      <c r="J29" t="s">
        <v>221</v>
      </c>
      <c r="K29" t="s">
        <v>222</v>
      </c>
      <c r="L29" t="s">
        <v>223</v>
      </c>
      <c r="M29" t="s">
        <v>224</v>
      </c>
      <c r="N29" t="s">
        <v>225</v>
      </c>
    </row>
    <row r="30" spans="2:23" x14ac:dyDescent="0.25">
      <c r="G30">
        <v>5</v>
      </c>
      <c r="H30" s="37">
        <f t="shared" ref="H30:H37" si="1">(2*C6+3*C8)/6</f>
        <v>5500</v>
      </c>
      <c r="I30" s="37">
        <f t="shared" ref="I30:I37" si="2">5*C6/6</f>
        <v>6250</v>
      </c>
      <c r="J30" s="37">
        <f t="shared" ref="J30:J37" si="3">4*C5/6</f>
        <v>5333.333333333333</v>
      </c>
      <c r="K30" s="37">
        <f t="shared" ref="K30:K37" si="4">3*C5/6</f>
        <v>4000</v>
      </c>
      <c r="L30" s="37">
        <f t="shared" ref="L30:L37" si="5">(3*C7+C4)/6</f>
        <v>4866.666666666667</v>
      </c>
      <c r="M30" s="37">
        <f t="shared" ref="M30:M37" si="6">3*C8/6</f>
        <v>3000</v>
      </c>
      <c r="N30" s="37">
        <f t="shared" ref="N30:N37" si="7">2*C8/6</f>
        <v>2000</v>
      </c>
    </row>
    <row r="31" spans="2:23" x14ac:dyDescent="0.25">
      <c r="G31">
        <v>6</v>
      </c>
      <c r="H31" s="37">
        <f t="shared" si="1"/>
        <v>4850</v>
      </c>
      <c r="I31" s="37">
        <f t="shared" si="2"/>
        <v>5750</v>
      </c>
      <c r="J31" s="37">
        <f t="shared" si="3"/>
        <v>5000</v>
      </c>
      <c r="K31" s="37">
        <f t="shared" si="4"/>
        <v>3750</v>
      </c>
      <c r="L31" s="37">
        <f t="shared" si="5"/>
        <v>4333.333333333333</v>
      </c>
      <c r="M31" s="37">
        <f t="shared" si="6"/>
        <v>2550</v>
      </c>
      <c r="N31" s="37">
        <f t="shared" si="7"/>
        <v>1700</v>
      </c>
    </row>
    <row r="32" spans="2:23" x14ac:dyDescent="0.25">
      <c r="G32">
        <v>7</v>
      </c>
      <c r="H32" s="37">
        <f t="shared" si="1"/>
        <v>3950</v>
      </c>
      <c r="I32" s="37">
        <f t="shared" si="2"/>
        <v>5000</v>
      </c>
      <c r="J32" s="37">
        <f t="shared" si="3"/>
        <v>4600</v>
      </c>
      <c r="K32" s="37">
        <f t="shared" si="4"/>
        <v>3450</v>
      </c>
      <c r="L32" s="37">
        <f t="shared" si="5"/>
        <v>3800</v>
      </c>
      <c r="M32" s="37">
        <f t="shared" si="6"/>
        <v>1950</v>
      </c>
      <c r="N32" s="37">
        <f t="shared" si="7"/>
        <v>1300</v>
      </c>
    </row>
    <row r="33" spans="3:19" x14ac:dyDescent="0.25">
      <c r="G33">
        <v>8</v>
      </c>
      <c r="H33" s="37">
        <f t="shared" si="1"/>
        <v>3000</v>
      </c>
      <c r="I33" s="37">
        <f t="shared" si="2"/>
        <v>4250</v>
      </c>
      <c r="J33" s="37">
        <f t="shared" si="3"/>
        <v>4000</v>
      </c>
      <c r="K33" s="37">
        <f t="shared" si="4"/>
        <v>3000</v>
      </c>
      <c r="L33" s="37">
        <f t="shared" si="5"/>
        <v>3100</v>
      </c>
      <c r="M33" s="37">
        <f t="shared" si="6"/>
        <v>1300</v>
      </c>
      <c r="N33" s="37">
        <f t="shared" si="7"/>
        <v>866.66666666666663</v>
      </c>
    </row>
    <row r="34" spans="3:19" x14ac:dyDescent="0.25">
      <c r="G34">
        <v>9</v>
      </c>
      <c r="H34" s="37">
        <f t="shared" si="1"/>
        <v>2100</v>
      </c>
      <c r="I34" s="37">
        <f t="shared" si="2"/>
        <v>3250</v>
      </c>
      <c r="J34" s="37">
        <f t="shared" si="3"/>
        <v>3400</v>
      </c>
      <c r="K34" s="37">
        <f t="shared" si="4"/>
        <v>2550</v>
      </c>
      <c r="L34" s="37">
        <f t="shared" si="5"/>
        <v>2300</v>
      </c>
      <c r="M34" s="37">
        <f t="shared" si="6"/>
        <v>800</v>
      </c>
      <c r="N34" s="37">
        <f t="shared" si="7"/>
        <v>533.33333333333337</v>
      </c>
    </row>
    <row r="35" spans="3:19" x14ac:dyDescent="0.25">
      <c r="G35">
        <v>10</v>
      </c>
      <c r="H35" s="37">
        <f t="shared" si="1"/>
        <v>1316.6666666666667</v>
      </c>
      <c r="I35" s="37">
        <f t="shared" si="2"/>
        <v>2166.6666666666665</v>
      </c>
      <c r="J35" s="37">
        <f t="shared" si="3"/>
        <v>2600</v>
      </c>
      <c r="K35" s="37">
        <f t="shared" si="4"/>
        <v>1950</v>
      </c>
      <c r="L35" s="37">
        <f t="shared" si="5"/>
        <v>1650</v>
      </c>
      <c r="M35" s="37">
        <f t="shared" si="6"/>
        <v>450</v>
      </c>
      <c r="N35" s="37">
        <f t="shared" si="7"/>
        <v>300</v>
      </c>
    </row>
    <row r="36" spans="3:19" x14ac:dyDescent="0.25">
      <c r="G36">
        <v>11</v>
      </c>
      <c r="H36" s="37">
        <f t="shared" si="1"/>
        <v>733.33333333333337</v>
      </c>
      <c r="I36" s="37">
        <f t="shared" si="2"/>
        <v>1333.3333333333333</v>
      </c>
      <c r="J36" s="37">
        <f t="shared" si="3"/>
        <v>1733.3333333333333</v>
      </c>
      <c r="K36" s="37">
        <f t="shared" si="4"/>
        <v>1300</v>
      </c>
      <c r="L36" s="37">
        <f t="shared" si="5"/>
        <v>1100</v>
      </c>
      <c r="M36" s="37">
        <f t="shared" si="6"/>
        <v>200</v>
      </c>
      <c r="N36" s="37">
        <f t="shared" si="7"/>
        <v>133.33333333333334</v>
      </c>
    </row>
    <row r="37" spans="3:19" x14ac:dyDescent="0.25">
      <c r="G37">
        <v>12</v>
      </c>
      <c r="H37" s="37">
        <f t="shared" si="1"/>
        <v>400</v>
      </c>
      <c r="I37" s="37">
        <f t="shared" si="2"/>
        <v>750</v>
      </c>
      <c r="J37" s="37">
        <f t="shared" si="3"/>
        <v>1066.6666666666667</v>
      </c>
      <c r="K37" s="37">
        <f t="shared" si="4"/>
        <v>800</v>
      </c>
      <c r="L37" s="37">
        <f t="shared" si="5"/>
        <v>633.33333333333337</v>
      </c>
      <c r="M37" s="37">
        <f t="shared" si="6"/>
        <v>100</v>
      </c>
      <c r="N37" s="37">
        <f t="shared" si="7"/>
        <v>66.666666666666671</v>
      </c>
    </row>
    <row r="44" spans="3:19" x14ac:dyDescent="0.25">
      <c r="R44">
        <v>160</v>
      </c>
      <c r="S44">
        <v>144</v>
      </c>
    </row>
    <row r="45" spans="3:19" x14ac:dyDescent="0.25">
      <c r="C45" t="s">
        <v>304</v>
      </c>
    </row>
    <row r="46" spans="3:19" x14ac:dyDescent="0.25">
      <c r="C46" t="s">
        <v>305</v>
      </c>
      <c r="D46" t="s">
        <v>306</v>
      </c>
      <c r="E46" t="s">
        <v>307</v>
      </c>
      <c r="F46" t="s">
        <v>264</v>
      </c>
      <c r="G46" t="s">
        <v>233</v>
      </c>
      <c r="H46" t="s">
        <v>228</v>
      </c>
      <c r="I46" t="s">
        <v>234</v>
      </c>
      <c r="J46" t="s">
        <v>235</v>
      </c>
      <c r="K46" t="s">
        <v>229</v>
      </c>
      <c r="L46" t="s">
        <v>230</v>
      </c>
      <c r="R46">
        <f>(165+(144/2))/16</f>
        <v>14.8125</v>
      </c>
    </row>
    <row r="47" spans="3:19" x14ac:dyDescent="0.25">
      <c r="C47">
        <f>2000+(C15*3+C13)/2</f>
        <v>2750</v>
      </c>
      <c r="D47">
        <v>2990</v>
      </c>
      <c r="E47">
        <f>D47+(C7)/5</f>
        <v>4370</v>
      </c>
      <c r="F47">
        <f>E47+(C15*5)/2</f>
        <v>4870</v>
      </c>
      <c r="G47">
        <f>F47+H6</f>
        <v>7270</v>
      </c>
      <c r="H47">
        <f>$F$47+I6</f>
        <v>5870</v>
      </c>
      <c r="I47">
        <f>$F$47+J6</f>
        <v>8870</v>
      </c>
      <c r="J47">
        <f>$F$47+K6</f>
        <v>7420</v>
      </c>
      <c r="K47">
        <f>$F$47+L6</f>
        <v>8770</v>
      </c>
      <c r="L47">
        <f>$F$47+M6</f>
        <v>7470</v>
      </c>
    </row>
    <row r="48" spans="3:19" x14ac:dyDescent="0.25">
      <c r="D48">
        <v>3710</v>
      </c>
      <c r="E48">
        <f>D48+(C8)/5</f>
        <v>4910</v>
      </c>
      <c r="F48">
        <f>E48+(C15*5)/2</f>
        <v>5410</v>
      </c>
      <c r="G48">
        <f t="shared" ref="G48:L48" si="8">$F$48+H6</f>
        <v>7810</v>
      </c>
      <c r="H48">
        <f t="shared" si="8"/>
        <v>6410</v>
      </c>
      <c r="I48">
        <f t="shared" si="8"/>
        <v>9410</v>
      </c>
      <c r="J48">
        <f t="shared" si="8"/>
        <v>7960</v>
      </c>
      <c r="K48">
        <f t="shared" si="8"/>
        <v>9310</v>
      </c>
      <c r="L48">
        <f t="shared" si="8"/>
        <v>8010</v>
      </c>
    </row>
    <row r="49" spans="4:24" x14ac:dyDescent="0.25">
      <c r="D49">
        <v>4000</v>
      </c>
      <c r="E49">
        <f>D49+C9/5</f>
        <v>5020</v>
      </c>
      <c r="F49">
        <f>E49+(C16*5)/2</f>
        <v>5420</v>
      </c>
      <c r="G49">
        <f t="shared" ref="G49:L49" si="9">$F49+H7</f>
        <v>6770</v>
      </c>
      <c r="H49">
        <f t="shared" si="9"/>
        <v>5920</v>
      </c>
      <c r="I49">
        <f t="shared" si="9"/>
        <v>7670</v>
      </c>
      <c r="J49">
        <f t="shared" si="9"/>
        <v>7370</v>
      </c>
      <c r="K49">
        <f t="shared" si="9"/>
        <v>7820</v>
      </c>
      <c r="L49">
        <f t="shared" si="9"/>
        <v>7020</v>
      </c>
    </row>
    <row r="51" spans="4:24" x14ac:dyDescent="0.25">
      <c r="D51">
        <f>C47+(C14*3)/5</f>
        <v>2990</v>
      </c>
      <c r="E51">
        <f>C15*3/5</f>
        <v>120</v>
      </c>
      <c r="U51">
        <f>450+(0.15*1450)</f>
        <v>667.5</v>
      </c>
    </row>
    <row r="52" spans="4:24" x14ac:dyDescent="0.25">
      <c r="D52">
        <f>C47+(C14*4)/5</f>
        <v>3070</v>
      </c>
      <c r="E52">
        <f>C15*4/5</f>
        <v>160</v>
      </c>
    </row>
    <row r="53" spans="4:24" x14ac:dyDescent="0.25">
      <c r="D53">
        <f>C47+(C14*6)/5</f>
        <v>3230</v>
      </c>
      <c r="E53">
        <f>C15*6/5</f>
        <v>240</v>
      </c>
    </row>
    <row r="56" spans="4:24" x14ac:dyDescent="0.25">
      <c r="D56" t="s">
        <v>308</v>
      </c>
    </row>
    <row r="58" spans="4:24" x14ac:dyDescent="0.25">
      <c r="D58">
        <f>D52</f>
        <v>3070</v>
      </c>
      <c r="E58">
        <f>D58+E51</f>
        <v>3190</v>
      </c>
      <c r="F58">
        <f>D58+E52</f>
        <v>3230</v>
      </c>
      <c r="G58">
        <f>D58+E53</f>
        <v>3310</v>
      </c>
      <c r="H58">
        <f>F58+120</f>
        <v>3350</v>
      </c>
      <c r="I58">
        <f>F58+160</f>
        <v>3390</v>
      </c>
      <c r="J58">
        <f>G58+120</f>
        <v>3430</v>
      </c>
      <c r="K58">
        <f>G58+160</f>
        <v>3470</v>
      </c>
      <c r="L58">
        <f>I58+120</f>
        <v>3510</v>
      </c>
      <c r="M58">
        <f>I58+160</f>
        <v>3550</v>
      </c>
      <c r="N58">
        <f>K58+120</f>
        <v>3590</v>
      </c>
      <c r="O58">
        <f>K58+160</f>
        <v>3630</v>
      </c>
      <c r="P58">
        <f>M58+120</f>
        <v>3670</v>
      </c>
      <c r="Q58">
        <f>M58+160</f>
        <v>3710</v>
      </c>
      <c r="R58">
        <f>O58+120</f>
        <v>3750</v>
      </c>
      <c r="S58">
        <f>O58+160</f>
        <v>3790</v>
      </c>
      <c r="T58">
        <f>Q58+120</f>
        <v>3830</v>
      </c>
      <c r="U58">
        <f>Q58+160</f>
        <v>3870</v>
      </c>
      <c r="V58">
        <f>S58+120</f>
        <v>3910</v>
      </c>
      <c r="W58">
        <f>S58+160</f>
        <v>3950</v>
      </c>
      <c r="X58">
        <f>U58+120</f>
        <v>3990</v>
      </c>
    </row>
  </sheetData>
  <sortState ref="B7:C19">
    <sortCondition descending="1" ref="B7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AA50"/>
  <sheetViews>
    <sheetView workbookViewId="0">
      <selection activeCell="D9" sqref="D9"/>
    </sheetView>
  </sheetViews>
  <sheetFormatPr defaultRowHeight="15" x14ac:dyDescent="0.25"/>
  <sheetData>
    <row r="3" spans="3:27" x14ac:dyDescent="0.25">
      <c r="M3">
        <v>151.30000000000001</v>
      </c>
    </row>
    <row r="5" spans="3:27" x14ac:dyDescent="0.25">
      <c r="E5" t="s">
        <v>246</v>
      </c>
      <c r="F5" t="s">
        <v>245</v>
      </c>
      <c r="K5" t="s">
        <v>245</v>
      </c>
      <c r="P5" t="s">
        <v>245</v>
      </c>
      <c r="U5" t="s">
        <v>245</v>
      </c>
    </row>
    <row r="6" spans="3:27" x14ac:dyDescent="0.25">
      <c r="E6">
        <v>8.5</v>
      </c>
      <c r="F6">
        <v>1.9</v>
      </c>
      <c r="J6">
        <v>8.5</v>
      </c>
      <c r="K6">
        <v>1.9</v>
      </c>
      <c r="O6">
        <v>8.5</v>
      </c>
      <c r="P6">
        <v>1.9</v>
      </c>
      <c r="T6">
        <v>8.5</v>
      </c>
      <c r="U6">
        <v>1.9</v>
      </c>
    </row>
    <row r="7" spans="3:27" x14ac:dyDescent="0.25">
      <c r="D7" t="s">
        <v>244</v>
      </c>
      <c r="E7" t="s">
        <v>243</v>
      </c>
      <c r="F7" t="s">
        <v>242</v>
      </c>
      <c r="I7" t="s">
        <v>244</v>
      </c>
      <c r="J7" t="s">
        <v>243</v>
      </c>
      <c r="K7" t="s">
        <v>242</v>
      </c>
      <c r="N7" t="s">
        <v>244</v>
      </c>
      <c r="O7" t="s">
        <v>243</v>
      </c>
      <c r="P7" t="s">
        <v>242</v>
      </c>
      <c r="S7" t="s">
        <v>244</v>
      </c>
      <c r="T7" t="s">
        <v>243</v>
      </c>
      <c r="U7" t="s">
        <v>242</v>
      </c>
      <c r="X7" t="s">
        <v>90</v>
      </c>
      <c r="Y7">
        <v>19</v>
      </c>
    </row>
    <row r="8" spans="3:27" x14ac:dyDescent="0.25">
      <c r="D8">
        <v>168.3</v>
      </c>
      <c r="E8">
        <v>0.85</v>
      </c>
      <c r="F8">
        <v>0</v>
      </c>
      <c r="I8">
        <v>166.3</v>
      </c>
      <c r="J8">
        <f>2.75-1.9</f>
        <v>0.85000000000000009</v>
      </c>
      <c r="K8">
        <v>-1</v>
      </c>
      <c r="N8">
        <v>166.3</v>
      </c>
      <c r="O8">
        <f>2.75-1.9</f>
        <v>0.85000000000000009</v>
      </c>
      <c r="P8">
        <v>1</v>
      </c>
      <c r="S8">
        <f>203+(90*1.4)-65.2+15</f>
        <v>278.8</v>
      </c>
      <c r="T8">
        <v>0</v>
      </c>
      <c r="U8">
        <v>0</v>
      </c>
      <c r="W8">
        <v>8.5</v>
      </c>
      <c r="X8" t="s">
        <v>8</v>
      </c>
      <c r="Y8">
        <v>151</v>
      </c>
      <c r="Z8">
        <v>9</v>
      </c>
    </row>
    <row r="9" spans="3:27" x14ac:dyDescent="0.25">
      <c r="C9" t="s">
        <v>241</v>
      </c>
      <c r="H9" t="s">
        <v>241</v>
      </c>
      <c r="M9" t="s">
        <v>241</v>
      </c>
      <c r="R9" t="s">
        <v>241</v>
      </c>
      <c r="X9" t="s">
        <v>6</v>
      </c>
      <c r="Y9">
        <v>65.2</v>
      </c>
      <c r="Z9">
        <v>2</v>
      </c>
      <c r="AA9">
        <v>0.9</v>
      </c>
    </row>
    <row r="10" spans="3:27" x14ac:dyDescent="0.25">
      <c r="C10">
        <v>19</v>
      </c>
      <c r="D10">
        <f>D8-(F6*F8)</f>
        <v>168.3</v>
      </c>
      <c r="E10">
        <f>151+(E6*F8)</f>
        <v>151</v>
      </c>
      <c r="F10">
        <f>D10/E10</f>
        <v>1.114569536423841</v>
      </c>
      <c r="H10">
        <v>19</v>
      </c>
      <c r="I10">
        <f>I8-(K6*K8)</f>
        <v>168.20000000000002</v>
      </c>
      <c r="J10">
        <f>151+(J6*K8)</f>
        <v>142.5</v>
      </c>
      <c r="K10">
        <f>I10/J10</f>
        <v>1.1803508771929825</v>
      </c>
      <c r="M10">
        <v>19</v>
      </c>
      <c r="N10">
        <f>N8-(P6*P8)</f>
        <v>164.4</v>
      </c>
      <c r="O10">
        <f>151+(O6*P8)</f>
        <v>159.5</v>
      </c>
      <c r="P10">
        <f>N10/O10</f>
        <v>1.0307210031347962</v>
      </c>
      <c r="R10">
        <v>19</v>
      </c>
      <c r="S10">
        <f>S8-(U6*U8)</f>
        <v>278.8</v>
      </c>
      <c r="T10">
        <f>151+(T6*U8)</f>
        <v>151</v>
      </c>
      <c r="U10">
        <f>S10/T10</f>
        <v>1.8463576158940398</v>
      </c>
      <c r="X10" t="s">
        <v>4</v>
      </c>
      <c r="Y10">
        <v>78.8</v>
      </c>
      <c r="Z10">
        <v>3</v>
      </c>
      <c r="AA10">
        <v>0.6</v>
      </c>
    </row>
    <row r="11" spans="3:27" x14ac:dyDescent="0.25">
      <c r="C11">
        <v>20</v>
      </c>
      <c r="D11">
        <f>D10+$E$8</f>
        <v>169.15</v>
      </c>
      <c r="E11">
        <f>E10+8.5</f>
        <v>159.5</v>
      </c>
      <c r="F11">
        <f t="shared" ref="F11:F50" si="0">D11/E11</f>
        <v>1.0605015673981191</v>
      </c>
      <c r="H11">
        <v>20</v>
      </c>
      <c r="I11">
        <f>I10+$E$8</f>
        <v>169.05</v>
      </c>
      <c r="J11">
        <f>J10+8.5</f>
        <v>151</v>
      </c>
      <c r="K11">
        <f t="shared" ref="K11:K50" si="1">I11/J11</f>
        <v>1.1195364238410597</v>
      </c>
      <c r="M11">
        <v>20</v>
      </c>
      <c r="N11">
        <f>N10+$E$8</f>
        <v>165.25</v>
      </c>
      <c r="O11">
        <f>O10+8.5</f>
        <v>168</v>
      </c>
      <c r="P11">
        <f t="shared" ref="P11:P50" si="2">N11/O11</f>
        <v>0.98363095238095233</v>
      </c>
      <c r="R11">
        <v>20</v>
      </c>
      <c r="S11">
        <f>S10-$U$6</f>
        <v>276.90000000000003</v>
      </c>
      <c r="T11">
        <f>T10+8.5</f>
        <v>159.5</v>
      </c>
      <c r="U11">
        <f t="shared" ref="U11:U50" si="3">S11/T11</f>
        <v>1.7360501567398121</v>
      </c>
    </row>
    <row r="12" spans="3:27" x14ac:dyDescent="0.25">
      <c r="C12">
        <v>21</v>
      </c>
      <c r="D12">
        <f t="shared" ref="D12:D50" si="4">D11+$E$8</f>
        <v>170</v>
      </c>
      <c r="E12">
        <f t="shared" ref="E12:E50" si="5">E11+8.5</f>
        <v>168</v>
      </c>
      <c r="F12">
        <f t="shared" si="0"/>
        <v>1.0119047619047619</v>
      </c>
      <c r="H12">
        <v>21</v>
      </c>
      <c r="I12">
        <f t="shared" ref="I12:I50" si="6">I11+$E$8</f>
        <v>169.9</v>
      </c>
      <c r="J12">
        <f t="shared" ref="J12:J50" si="7">J11+8.5</f>
        <v>159.5</v>
      </c>
      <c r="K12">
        <f t="shared" si="1"/>
        <v>1.0652037617554859</v>
      </c>
      <c r="M12">
        <v>21</v>
      </c>
      <c r="N12">
        <f t="shared" ref="N12:N50" si="8">N11+$E$8</f>
        <v>166.1</v>
      </c>
      <c r="O12">
        <f t="shared" ref="O12:O50" si="9">O11+8.5</f>
        <v>176.5</v>
      </c>
      <c r="P12">
        <f t="shared" si="2"/>
        <v>0.94107648725212456</v>
      </c>
      <c r="R12">
        <v>21</v>
      </c>
      <c r="S12">
        <f t="shared" ref="S12:S50" si="10">S11-$U$6</f>
        <v>275.00000000000006</v>
      </c>
      <c r="T12">
        <f t="shared" ref="T12:T50" si="11">T11+8.5</f>
        <v>168</v>
      </c>
      <c r="U12">
        <f t="shared" si="3"/>
        <v>1.6369047619047623</v>
      </c>
      <c r="X12" t="s">
        <v>101</v>
      </c>
      <c r="Y12">
        <v>19</v>
      </c>
    </row>
    <row r="13" spans="3:27" x14ac:dyDescent="0.25">
      <c r="C13">
        <v>22</v>
      </c>
      <c r="D13">
        <f t="shared" si="4"/>
        <v>170.85</v>
      </c>
      <c r="E13">
        <f t="shared" si="5"/>
        <v>176.5</v>
      </c>
      <c r="F13">
        <f t="shared" si="0"/>
        <v>0.96798866855524079</v>
      </c>
      <c r="H13">
        <v>22</v>
      </c>
      <c r="I13">
        <f t="shared" si="6"/>
        <v>170.75</v>
      </c>
      <c r="J13">
        <f t="shared" si="7"/>
        <v>168</v>
      </c>
      <c r="K13">
        <f t="shared" si="1"/>
        <v>1.0163690476190477</v>
      </c>
      <c r="M13">
        <v>22</v>
      </c>
      <c r="N13">
        <f t="shared" si="8"/>
        <v>166.95</v>
      </c>
      <c r="O13">
        <f t="shared" si="9"/>
        <v>185</v>
      </c>
      <c r="P13">
        <f t="shared" si="2"/>
        <v>0.90243243243243232</v>
      </c>
      <c r="R13">
        <v>22</v>
      </c>
      <c r="S13">
        <f t="shared" si="10"/>
        <v>273.10000000000008</v>
      </c>
      <c r="T13">
        <f t="shared" si="11"/>
        <v>176.5</v>
      </c>
      <c r="U13">
        <f t="shared" si="3"/>
        <v>1.5473087818696889</v>
      </c>
      <c r="W13">
        <v>9.5</v>
      </c>
      <c r="X13" t="s">
        <v>8</v>
      </c>
      <c r="Y13">
        <v>164</v>
      </c>
      <c r="Z13">
        <v>10</v>
      </c>
    </row>
    <row r="14" spans="3:27" x14ac:dyDescent="0.25">
      <c r="C14">
        <v>23</v>
      </c>
      <c r="D14">
        <f t="shared" si="4"/>
        <v>171.7</v>
      </c>
      <c r="E14">
        <f t="shared" si="5"/>
        <v>185</v>
      </c>
      <c r="F14">
        <f t="shared" si="0"/>
        <v>0.92810810810810807</v>
      </c>
      <c r="H14">
        <v>23</v>
      </c>
      <c r="I14">
        <f t="shared" si="6"/>
        <v>171.6</v>
      </c>
      <c r="J14">
        <f t="shared" si="7"/>
        <v>176.5</v>
      </c>
      <c r="K14">
        <f t="shared" si="1"/>
        <v>0.97223796033994336</v>
      </c>
      <c r="M14">
        <v>23</v>
      </c>
      <c r="N14">
        <f t="shared" si="8"/>
        <v>167.79999999999998</v>
      </c>
      <c r="O14">
        <f t="shared" si="9"/>
        <v>193.5</v>
      </c>
      <c r="P14">
        <f t="shared" si="2"/>
        <v>0.86718346253229961</v>
      </c>
      <c r="R14">
        <v>23</v>
      </c>
      <c r="S14">
        <f t="shared" si="10"/>
        <v>271.2000000000001</v>
      </c>
      <c r="T14">
        <f t="shared" si="11"/>
        <v>185</v>
      </c>
      <c r="U14">
        <f t="shared" si="3"/>
        <v>1.4659459459459465</v>
      </c>
      <c r="X14" t="s">
        <v>6</v>
      </c>
      <c r="Y14">
        <v>65.2</v>
      </c>
      <c r="Z14">
        <v>2</v>
      </c>
      <c r="AA14">
        <v>0.9</v>
      </c>
    </row>
    <row r="15" spans="3:27" x14ac:dyDescent="0.25">
      <c r="C15">
        <v>24</v>
      </c>
      <c r="D15">
        <f t="shared" si="4"/>
        <v>172.54999999999998</v>
      </c>
      <c r="E15">
        <f t="shared" si="5"/>
        <v>193.5</v>
      </c>
      <c r="F15">
        <f t="shared" si="0"/>
        <v>0.89173126614987075</v>
      </c>
      <c r="H15">
        <v>24</v>
      </c>
      <c r="I15">
        <f t="shared" si="6"/>
        <v>172.45</v>
      </c>
      <c r="J15">
        <f t="shared" si="7"/>
        <v>185</v>
      </c>
      <c r="K15">
        <f t="shared" si="1"/>
        <v>0.93216216216216208</v>
      </c>
      <c r="M15">
        <v>24</v>
      </c>
      <c r="N15">
        <f t="shared" si="8"/>
        <v>168.64999999999998</v>
      </c>
      <c r="O15">
        <f t="shared" si="9"/>
        <v>202</v>
      </c>
      <c r="P15">
        <f t="shared" si="2"/>
        <v>0.83490099009900975</v>
      </c>
      <c r="R15">
        <v>24</v>
      </c>
      <c r="S15">
        <f t="shared" si="10"/>
        <v>269.30000000000013</v>
      </c>
      <c r="T15">
        <f t="shared" si="11"/>
        <v>193.5</v>
      </c>
      <c r="U15">
        <f t="shared" si="3"/>
        <v>1.3917312661498715</v>
      </c>
      <c r="X15" t="s">
        <v>4</v>
      </c>
      <c r="Y15">
        <v>55.2</v>
      </c>
      <c r="Z15">
        <v>2</v>
      </c>
      <c r="AA15">
        <v>0.75</v>
      </c>
    </row>
    <row r="16" spans="3:27" x14ac:dyDescent="0.25">
      <c r="C16">
        <v>25</v>
      </c>
      <c r="D16">
        <f t="shared" si="4"/>
        <v>173.39999999999998</v>
      </c>
      <c r="E16">
        <f t="shared" si="5"/>
        <v>202</v>
      </c>
      <c r="F16">
        <f t="shared" si="0"/>
        <v>0.85841584158415829</v>
      </c>
      <c r="H16">
        <v>25</v>
      </c>
      <c r="I16">
        <f t="shared" si="6"/>
        <v>173.29999999999998</v>
      </c>
      <c r="J16">
        <f t="shared" si="7"/>
        <v>193.5</v>
      </c>
      <c r="K16">
        <f t="shared" si="1"/>
        <v>0.89560723514211882</v>
      </c>
      <c r="M16">
        <v>25</v>
      </c>
      <c r="N16">
        <f t="shared" si="8"/>
        <v>169.49999999999997</v>
      </c>
      <c r="O16">
        <f t="shared" si="9"/>
        <v>210.5</v>
      </c>
      <c r="P16">
        <f t="shared" si="2"/>
        <v>0.80522565320665074</v>
      </c>
      <c r="R16">
        <v>25</v>
      </c>
      <c r="S16">
        <f t="shared" si="10"/>
        <v>267.40000000000015</v>
      </c>
      <c r="T16">
        <f t="shared" si="11"/>
        <v>202</v>
      </c>
      <c r="U16">
        <f t="shared" si="3"/>
        <v>1.3237623762376245</v>
      </c>
    </row>
    <row r="17" spans="3:27" x14ac:dyDescent="0.25">
      <c r="C17">
        <v>26</v>
      </c>
      <c r="D17">
        <f t="shared" si="4"/>
        <v>174.24999999999997</v>
      </c>
      <c r="E17">
        <f t="shared" si="5"/>
        <v>210.5</v>
      </c>
      <c r="F17">
        <f t="shared" si="0"/>
        <v>0.82779097387173384</v>
      </c>
      <c r="H17">
        <v>26</v>
      </c>
      <c r="I17">
        <f t="shared" si="6"/>
        <v>174.14999999999998</v>
      </c>
      <c r="J17">
        <f t="shared" si="7"/>
        <v>202</v>
      </c>
      <c r="K17">
        <f t="shared" si="1"/>
        <v>0.86212871287128701</v>
      </c>
      <c r="M17">
        <v>26</v>
      </c>
      <c r="N17">
        <f t="shared" si="8"/>
        <v>170.34999999999997</v>
      </c>
      <c r="O17">
        <f t="shared" si="9"/>
        <v>219</v>
      </c>
      <c r="P17">
        <f t="shared" si="2"/>
        <v>0.77785388127853861</v>
      </c>
      <c r="R17">
        <v>26</v>
      </c>
      <c r="S17">
        <f t="shared" si="10"/>
        <v>265.50000000000017</v>
      </c>
      <c r="T17">
        <f t="shared" si="11"/>
        <v>210.5</v>
      </c>
      <c r="U17">
        <f t="shared" si="3"/>
        <v>1.2612826603325424</v>
      </c>
      <c r="X17" t="s">
        <v>76</v>
      </c>
      <c r="Y17">
        <v>19</v>
      </c>
    </row>
    <row r="18" spans="3:27" x14ac:dyDescent="0.25">
      <c r="C18">
        <f>C17+1</f>
        <v>27</v>
      </c>
      <c r="D18">
        <f t="shared" si="4"/>
        <v>175.09999999999997</v>
      </c>
      <c r="E18">
        <f t="shared" si="5"/>
        <v>219</v>
      </c>
      <c r="F18">
        <f t="shared" si="0"/>
        <v>0.7995433789954336</v>
      </c>
      <c r="H18">
        <f>H17+1</f>
        <v>27</v>
      </c>
      <c r="I18">
        <f t="shared" si="6"/>
        <v>174.99999999999997</v>
      </c>
      <c r="J18">
        <f t="shared" si="7"/>
        <v>210.5</v>
      </c>
      <c r="K18">
        <f t="shared" si="1"/>
        <v>0.83135391923990487</v>
      </c>
      <c r="M18">
        <f>M17+1</f>
        <v>27</v>
      </c>
      <c r="N18">
        <f t="shared" si="8"/>
        <v>171.19999999999996</v>
      </c>
      <c r="O18">
        <f t="shared" si="9"/>
        <v>227.5</v>
      </c>
      <c r="P18">
        <f t="shared" si="2"/>
        <v>0.75252747252747232</v>
      </c>
      <c r="R18">
        <f>R17+1</f>
        <v>27</v>
      </c>
      <c r="S18">
        <f t="shared" si="10"/>
        <v>263.60000000000019</v>
      </c>
      <c r="T18">
        <f t="shared" si="11"/>
        <v>219</v>
      </c>
      <c r="U18">
        <f t="shared" si="3"/>
        <v>1.2036529680365307</v>
      </c>
      <c r="W18">
        <v>2.75</v>
      </c>
      <c r="X18" t="s">
        <v>3</v>
      </c>
      <c r="Y18">
        <v>90.5</v>
      </c>
      <c r="Z18">
        <v>3</v>
      </c>
      <c r="AA18">
        <v>0.75</v>
      </c>
    </row>
    <row r="19" spans="3:27" x14ac:dyDescent="0.25">
      <c r="C19">
        <f t="shared" ref="C19:C50" si="12">C18+1</f>
        <v>28</v>
      </c>
      <c r="D19">
        <f t="shared" si="4"/>
        <v>175.94999999999996</v>
      </c>
      <c r="E19">
        <f t="shared" si="5"/>
        <v>227.5</v>
      </c>
      <c r="F19">
        <f t="shared" si="0"/>
        <v>0.77340659340659323</v>
      </c>
      <c r="H19">
        <f t="shared" ref="H19:H50" si="13">H18+1</f>
        <v>28</v>
      </c>
      <c r="I19">
        <f t="shared" si="6"/>
        <v>175.84999999999997</v>
      </c>
      <c r="J19">
        <f t="shared" si="7"/>
        <v>219</v>
      </c>
      <c r="K19">
        <f t="shared" si="1"/>
        <v>0.80296803652968018</v>
      </c>
      <c r="M19">
        <f t="shared" ref="M19:M50" si="14">M18+1</f>
        <v>28</v>
      </c>
      <c r="N19">
        <f t="shared" si="8"/>
        <v>172.04999999999995</v>
      </c>
      <c r="O19">
        <f t="shared" si="9"/>
        <v>236</v>
      </c>
      <c r="P19">
        <f t="shared" si="2"/>
        <v>0.7290254237288134</v>
      </c>
      <c r="R19">
        <f t="shared" ref="R19:R50" si="15">R18+1</f>
        <v>28</v>
      </c>
      <c r="S19">
        <f t="shared" si="10"/>
        <v>261.70000000000022</v>
      </c>
      <c r="T19">
        <f t="shared" si="11"/>
        <v>227.5</v>
      </c>
      <c r="U19">
        <f t="shared" si="3"/>
        <v>1.1503296703296713</v>
      </c>
      <c r="X19" t="s">
        <v>4</v>
      </c>
      <c r="Y19">
        <v>71.5</v>
      </c>
      <c r="Z19">
        <v>3</v>
      </c>
      <c r="AA19">
        <v>0.25</v>
      </c>
    </row>
    <row r="20" spans="3:27" x14ac:dyDescent="0.25">
      <c r="C20">
        <f t="shared" si="12"/>
        <v>29</v>
      </c>
      <c r="D20">
        <f t="shared" si="4"/>
        <v>176.79999999999995</v>
      </c>
      <c r="E20">
        <f t="shared" si="5"/>
        <v>236</v>
      </c>
      <c r="F20">
        <f t="shared" si="0"/>
        <v>0.7491525423728812</v>
      </c>
      <c r="H20">
        <f t="shared" si="13"/>
        <v>29</v>
      </c>
      <c r="I20">
        <f t="shared" si="6"/>
        <v>176.69999999999996</v>
      </c>
      <c r="J20">
        <f t="shared" si="7"/>
        <v>227.5</v>
      </c>
      <c r="K20">
        <f t="shared" si="1"/>
        <v>0.77670329670329652</v>
      </c>
      <c r="M20">
        <f t="shared" si="14"/>
        <v>29</v>
      </c>
      <c r="N20">
        <f t="shared" si="8"/>
        <v>172.89999999999995</v>
      </c>
      <c r="O20">
        <f t="shared" si="9"/>
        <v>244.5</v>
      </c>
      <c r="P20">
        <f t="shared" si="2"/>
        <v>0.70715746421267878</v>
      </c>
      <c r="R20">
        <f t="shared" si="15"/>
        <v>29</v>
      </c>
      <c r="S20">
        <f t="shared" si="10"/>
        <v>259.80000000000024</v>
      </c>
      <c r="T20">
        <f t="shared" si="11"/>
        <v>236</v>
      </c>
      <c r="U20">
        <f t="shared" si="3"/>
        <v>1.1008474576271197</v>
      </c>
    </row>
    <row r="21" spans="3:27" x14ac:dyDescent="0.25">
      <c r="C21">
        <f t="shared" si="12"/>
        <v>30</v>
      </c>
      <c r="D21">
        <f t="shared" si="4"/>
        <v>177.64999999999995</v>
      </c>
      <c r="E21">
        <f t="shared" si="5"/>
        <v>244.5</v>
      </c>
      <c r="F21">
        <f t="shared" si="0"/>
        <v>0.72658486707566439</v>
      </c>
      <c r="H21">
        <f t="shared" si="13"/>
        <v>30</v>
      </c>
      <c r="I21">
        <f t="shared" si="6"/>
        <v>177.54999999999995</v>
      </c>
      <c r="J21">
        <f t="shared" si="7"/>
        <v>236</v>
      </c>
      <c r="K21">
        <f t="shared" si="1"/>
        <v>0.75233050847457605</v>
      </c>
      <c r="M21">
        <f t="shared" si="14"/>
        <v>30</v>
      </c>
      <c r="N21">
        <f t="shared" si="8"/>
        <v>173.74999999999994</v>
      </c>
      <c r="O21">
        <f t="shared" si="9"/>
        <v>253</v>
      </c>
      <c r="P21">
        <f t="shared" si="2"/>
        <v>0.68675889328063222</v>
      </c>
      <c r="R21">
        <f t="shared" si="15"/>
        <v>30</v>
      </c>
      <c r="S21">
        <f t="shared" si="10"/>
        <v>257.90000000000026</v>
      </c>
      <c r="T21">
        <f t="shared" si="11"/>
        <v>244.5</v>
      </c>
      <c r="U21">
        <f t="shared" si="3"/>
        <v>1.0548057259713712</v>
      </c>
    </row>
    <row r="22" spans="3:27" x14ac:dyDescent="0.25">
      <c r="C22">
        <f t="shared" si="12"/>
        <v>31</v>
      </c>
      <c r="D22">
        <f t="shared" si="4"/>
        <v>178.49999999999994</v>
      </c>
      <c r="E22">
        <f t="shared" si="5"/>
        <v>253</v>
      </c>
      <c r="F22">
        <f t="shared" si="0"/>
        <v>0.70553359683794448</v>
      </c>
      <c r="H22">
        <f t="shared" si="13"/>
        <v>31</v>
      </c>
      <c r="I22">
        <f t="shared" si="6"/>
        <v>178.39999999999995</v>
      </c>
      <c r="J22">
        <f t="shared" si="7"/>
        <v>244.5</v>
      </c>
      <c r="K22">
        <f t="shared" si="1"/>
        <v>0.72965235173824106</v>
      </c>
      <c r="M22">
        <f t="shared" si="14"/>
        <v>31</v>
      </c>
      <c r="N22">
        <f t="shared" si="8"/>
        <v>174.59999999999994</v>
      </c>
      <c r="O22">
        <f t="shared" si="9"/>
        <v>261.5</v>
      </c>
      <c r="P22">
        <f t="shared" si="2"/>
        <v>0.66768642447418713</v>
      </c>
      <c r="R22">
        <f t="shared" si="15"/>
        <v>31</v>
      </c>
      <c r="S22">
        <f t="shared" si="10"/>
        <v>256.00000000000028</v>
      </c>
      <c r="T22">
        <f t="shared" si="11"/>
        <v>253</v>
      </c>
      <c r="U22">
        <f t="shared" si="3"/>
        <v>1.0118577075098825</v>
      </c>
    </row>
    <row r="23" spans="3:27" x14ac:dyDescent="0.25">
      <c r="C23">
        <f t="shared" si="12"/>
        <v>32</v>
      </c>
      <c r="D23">
        <f t="shared" si="4"/>
        <v>179.34999999999994</v>
      </c>
      <c r="E23">
        <f t="shared" si="5"/>
        <v>261.5</v>
      </c>
      <c r="F23">
        <f t="shared" si="0"/>
        <v>0.68585086042064991</v>
      </c>
      <c r="H23">
        <f t="shared" si="13"/>
        <v>32</v>
      </c>
      <c r="I23">
        <f t="shared" si="6"/>
        <v>179.24999999999994</v>
      </c>
      <c r="J23">
        <f t="shared" si="7"/>
        <v>253</v>
      </c>
      <c r="K23">
        <f t="shared" si="1"/>
        <v>0.70849802371541482</v>
      </c>
      <c r="M23">
        <f t="shared" si="14"/>
        <v>32</v>
      </c>
      <c r="N23">
        <f t="shared" si="8"/>
        <v>175.44999999999993</v>
      </c>
      <c r="O23">
        <f t="shared" si="9"/>
        <v>270</v>
      </c>
      <c r="P23">
        <f t="shared" si="2"/>
        <v>0.64981481481481451</v>
      </c>
      <c r="R23">
        <f t="shared" si="15"/>
        <v>32</v>
      </c>
      <c r="S23">
        <f t="shared" si="10"/>
        <v>254.10000000000028</v>
      </c>
      <c r="T23">
        <f t="shared" si="11"/>
        <v>261.5</v>
      </c>
      <c r="U23">
        <f t="shared" si="3"/>
        <v>0.97170172084130124</v>
      </c>
    </row>
    <row r="24" spans="3:27" x14ac:dyDescent="0.25">
      <c r="C24">
        <f t="shared" si="12"/>
        <v>33</v>
      </c>
      <c r="D24">
        <f t="shared" si="4"/>
        <v>180.19999999999993</v>
      </c>
      <c r="E24">
        <f t="shared" si="5"/>
        <v>270</v>
      </c>
      <c r="F24">
        <f t="shared" si="0"/>
        <v>0.66740740740740712</v>
      </c>
      <c r="H24">
        <f t="shared" si="13"/>
        <v>33</v>
      </c>
      <c r="I24">
        <f t="shared" si="6"/>
        <v>180.09999999999994</v>
      </c>
      <c r="J24">
        <f t="shared" si="7"/>
        <v>261.5</v>
      </c>
      <c r="K24">
        <f t="shared" si="1"/>
        <v>0.68871892925430189</v>
      </c>
      <c r="M24">
        <f t="shared" si="14"/>
        <v>33</v>
      </c>
      <c r="N24">
        <f t="shared" si="8"/>
        <v>176.29999999999993</v>
      </c>
      <c r="O24">
        <f t="shared" si="9"/>
        <v>278.5</v>
      </c>
      <c r="P24">
        <f t="shared" si="2"/>
        <v>0.63303411131059217</v>
      </c>
      <c r="R24">
        <f t="shared" si="15"/>
        <v>33</v>
      </c>
      <c r="S24">
        <f t="shared" si="10"/>
        <v>252.20000000000027</v>
      </c>
      <c r="T24">
        <f t="shared" si="11"/>
        <v>270</v>
      </c>
      <c r="U24">
        <f t="shared" si="3"/>
        <v>0.93407407407407506</v>
      </c>
    </row>
    <row r="25" spans="3:27" x14ac:dyDescent="0.25">
      <c r="C25">
        <f t="shared" si="12"/>
        <v>34</v>
      </c>
      <c r="D25">
        <f t="shared" si="4"/>
        <v>181.04999999999993</v>
      </c>
      <c r="E25">
        <f t="shared" si="5"/>
        <v>278.5</v>
      </c>
      <c r="F25">
        <f t="shared" si="0"/>
        <v>0.65008976660682205</v>
      </c>
      <c r="H25">
        <f t="shared" si="13"/>
        <v>34</v>
      </c>
      <c r="I25">
        <f t="shared" si="6"/>
        <v>180.94999999999993</v>
      </c>
      <c r="J25">
        <f t="shared" si="7"/>
        <v>270</v>
      </c>
      <c r="K25">
        <f t="shared" si="1"/>
        <v>0.67018518518518488</v>
      </c>
      <c r="M25">
        <f t="shared" si="14"/>
        <v>34</v>
      </c>
      <c r="N25">
        <f t="shared" si="8"/>
        <v>177.14999999999992</v>
      </c>
      <c r="O25">
        <f t="shared" si="9"/>
        <v>287</v>
      </c>
      <c r="P25">
        <f t="shared" si="2"/>
        <v>0.61724738675958157</v>
      </c>
      <c r="R25">
        <f t="shared" si="15"/>
        <v>34</v>
      </c>
      <c r="S25">
        <f t="shared" si="10"/>
        <v>250.30000000000027</v>
      </c>
      <c r="T25">
        <f t="shared" si="11"/>
        <v>278.5</v>
      </c>
      <c r="U25">
        <f t="shared" si="3"/>
        <v>0.8987432675044893</v>
      </c>
    </row>
    <row r="26" spans="3:27" x14ac:dyDescent="0.25">
      <c r="C26">
        <f t="shared" si="12"/>
        <v>35</v>
      </c>
      <c r="D26">
        <f t="shared" si="4"/>
        <v>181.89999999999992</v>
      </c>
      <c r="E26">
        <f t="shared" si="5"/>
        <v>287</v>
      </c>
      <c r="F26">
        <f t="shared" si="0"/>
        <v>0.63379790940766523</v>
      </c>
      <c r="H26">
        <f t="shared" si="13"/>
        <v>35</v>
      </c>
      <c r="I26">
        <f t="shared" si="6"/>
        <v>181.79999999999993</v>
      </c>
      <c r="J26">
        <f t="shared" si="7"/>
        <v>278.5</v>
      </c>
      <c r="K26">
        <f t="shared" si="1"/>
        <v>0.65278276481148989</v>
      </c>
      <c r="M26">
        <f t="shared" si="14"/>
        <v>35</v>
      </c>
      <c r="N26">
        <f t="shared" si="8"/>
        <v>177.99999999999991</v>
      </c>
      <c r="O26">
        <f t="shared" si="9"/>
        <v>295.5</v>
      </c>
      <c r="P26">
        <f t="shared" si="2"/>
        <v>0.60236886632825692</v>
      </c>
      <c r="R26">
        <f t="shared" si="15"/>
        <v>35</v>
      </c>
      <c r="S26">
        <f t="shared" si="10"/>
        <v>248.40000000000026</v>
      </c>
      <c r="T26">
        <f t="shared" si="11"/>
        <v>287</v>
      </c>
      <c r="U26">
        <f t="shared" si="3"/>
        <v>0.86550522648083716</v>
      </c>
    </row>
    <row r="27" spans="3:27" x14ac:dyDescent="0.25">
      <c r="C27">
        <f t="shared" si="12"/>
        <v>36</v>
      </c>
      <c r="D27">
        <f t="shared" si="4"/>
        <v>182.74999999999991</v>
      </c>
      <c r="E27">
        <f t="shared" si="5"/>
        <v>295.5</v>
      </c>
      <c r="F27">
        <f t="shared" si="0"/>
        <v>0.61844331641285932</v>
      </c>
      <c r="H27">
        <f t="shared" si="13"/>
        <v>36</v>
      </c>
      <c r="I27">
        <f t="shared" si="6"/>
        <v>182.64999999999992</v>
      </c>
      <c r="J27">
        <f t="shared" si="7"/>
        <v>287</v>
      </c>
      <c r="K27">
        <f t="shared" si="1"/>
        <v>0.63641114982578373</v>
      </c>
      <c r="M27">
        <f t="shared" si="14"/>
        <v>36</v>
      </c>
      <c r="N27">
        <f t="shared" si="8"/>
        <v>178.84999999999991</v>
      </c>
      <c r="O27">
        <f t="shared" si="9"/>
        <v>304</v>
      </c>
      <c r="P27">
        <f t="shared" si="2"/>
        <v>0.58832236842105234</v>
      </c>
      <c r="R27">
        <f t="shared" si="15"/>
        <v>36</v>
      </c>
      <c r="S27">
        <f t="shared" si="10"/>
        <v>246.50000000000026</v>
      </c>
      <c r="T27">
        <f t="shared" si="11"/>
        <v>295.5</v>
      </c>
      <c r="U27">
        <f t="shared" si="3"/>
        <v>0.83417935702199753</v>
      </c>
    </row>
    <row r="28" spans="3:27" x14ac:dyDescent="0.25">
      <c r="C28">
        <f t="shared" si="12"/>
        <v>37</v>
      </c>
      <c r="D28">
        <f t="shared" si="4"/>
        <v>183.59999999999991</v>
      </c>
      <c r="E28">
        <f t="shared" si="5"/>
        <v>304</v>
      </c>
      <c r="F28">
        <f t="shared" si="0"/>
        <v>0.60394736842105234</v>
      </c>
      <c r="H28">
        <f t="shared" si="13"/>
        <v>37</v>
      </c>
      <c r="I28">
        <f t="shared" si="6"/>
        <v>183.49999999999991</v>
      </c>
      <c r="J28">
        <f t="shared" si="7"/>
        <v>295.5</v>
      </c>
      <c r="K28">
        <f t="shared" si="1"/>
        <v>0.62098138747884912</v>
      </c>
      <c r="M28">
        <f t="shared" si="14"/>
        <v>37</v>
      </c>
      <c r="N28">
        <f t="shared" si="8"/>
        <v>179.6999999999999</v>
      </c>
      <c r="O28">
        <f t="shared" si="9"/>
        <v>312.5</v>
      </c>
      <c r="P28">
        <f t="shared" si="2"/>
        <v>0.57503999999999966</v>
      </c>
      <c r="R28">
        <f t="shared" si="15"/>
        <v>37</v>
      </c>
      <c r="S28">
        <f t="shared" si="10"/>
        <v>244.60000000000025</v>
      </c>
      <c r="T28">
        <f t="shared" si="11"/>
        <v>304</v>
      </c>
      <c r="U28">
        <f t="shared" si="3"/>
        <v>0.8046052631578956</v>
      </c>
    </row>
    <row r="29" spans="3:27" x14ac:dyDescent="0.25">
      <c r="C29">
        <f t="shared" si="12"/>
        <v>38</v>
      </c>
      <c r="D29">
        <f t="shared" si="4"/>
        <v>184.4499999999999</v>
      </c>
      <c r="E29">
        <f t="shared" si="5"/>
        <v>312.5</v>
      </c>
      <c r="F29">
        <f t="shared" si="0"/>
        <v>0.59023999999999965</v>
      </c>
      <c r="H29">
        <f t="shared" si="13"/>
        <v>38</v>
      </c>
      <c r="I29">
        <f t="shared" si="6"/>
        <v>184.34999999999991</v>
      </c>
      <c r="J29">
        <f t="shared" si="7"/>
        <v>304</v>
      </c>
      <c r="K29">
        <f t="shared" si="1"/>
        <v>0.6064144736842102</v>
      </c>
      <c r="M29">
        <f t="shared" si="14"/>
        <v>38</v>
      </c>
      <c r="N29">
        <f t="shared" si="8"/>
        <v>180.5499999999999</v>
      </c>
      <c r="O29">
        <f t="shared" si="9"/>
        <v>321</v>
      </c>
      <c r="P29">
        <f t="shared" si="2"/>
        <v>0.56246105919003087</v>
      </c>
      <c r="R29">
        <f t="shared" si="15"/>
        <v>38</v>
      </c>
      <c r="S29">
        <f t="shared" si="10"/>
        <v>242.70000000000024</v>
      </c>
      <c r="T29">
        <f t="shared" si="11"/>
        <v>312.5</v>
      </c>
      <c r="U29">
        <f t="shared" si="3"/>
        <v>0.77664000000000077</v>
      </c>
    </row>
    <row r="30" spans="3:27" x14ac:dyDescent="0.25">
      <c r="C30">
        <f t="shared" si="12"/>
        <v>39</v>
      </c>
      <c r="D30">
        <f t="shared" si="4"/>
        <v>185.2999999999999</v>
      </c>
      <c r="E30">
        <f t="shared" si="5"/>
        <v>321</v>
      </c>
      <c r="F30">
        <f t="shared" si="0"/>
        <v>0.57725856697819278</v>
      </c>
      <c r="H30">
        <f t="shared" si="13"/>
        <v>39</v>
      </c>
      <c r="I30">
        <f t="shared" si="6"/>
        <v>185.1999999999999</v>
      </c>
      <c r="J30">
        <f t="shared" si="7"/>
        <v>312.5</v>
      </c>
      <c r="K30">
        <f t="shared" si="1"/>
        <v>0.59263999999999972</v>
      </c>
      <c r="M30">
        <f t="shared" si="14"/>
        <v>39</v>
      </c>
      <c r="N30">
        <f t="shared" si="8"/>
        <v>181.39999999999989</v>
      </c>
      <c r="O30">
        <f t="shared" si="9"/>
        <v>329.5</v>
      </c>
      <c r="P30">
        <f t="shared" si="2"/>
        <v>0.55053110773899816</v>
      </c>
      <c r="R30">
        <f t="shared" si="15"/>
        <v>39</v>
      </c>
      <c r="S30">
        <f t="shared" si="10"/>
        <v>240.80000000000024</v>
      </c>
      <c r="T30">
        <f t="shared" si="11"/>
        <v>321</v>
      </c>
      <c r="U30">
        <f t="shared" si="3"/>
        <v>0.75015576323987609</v>
      </c>
    </row>
    <row r="31" spans="3:27" x14ac:dyDescent="0.25">
      <c r="C31">
        <f t="shared" si="12"/>
        <v>40</v>
      </c>
      <c r="D31">
        <f t="shared" si="4"/>
        <v>186.14999999999989</v>
      </c>
      <c r="E31">
        <f t="shared" si="5"/>
        <v>329.5</v>
      </c>
      <c r="F31">
        <f t="shared" si="0"/>
        <v>0.56494688922609981</v>
      </c>
      <c r="H31">
        <f t="shared" si="13"/>
        <v>40</v>
      </c>
      <c r="I31">
        <f t="shared" si="6"/>
        <v>186.0499999999999</v>
      </c>
      <c r="J31">
        <f t="shared" si="7"/>
        <v>321</v>
      </c>
      <c r="K31">
        <f t="shared" si="1"/>
        <v>0.57959501557632365</v>
      </c>
      <c r="M31">
        <f t="shared" si="14"/>
        <v>40</v>
      </c>
      <c r="N31">
        <f t="shared" si="8"/>
        <v>182.24999999999989</v>
      </c>
      <c r="O31">
        <f t="shared" si="9"/>
        <v>338</v>
      </c>
      <c r="P31">
        <f t="shared" si="2"/>
        <v>0.53920118343195234</v>
      </c>
      <c r="R31">
        <f t="shared" si="15"/>
        <v>40</v>
      </c>
      <c r="S31">
        <f t="shared" si="10"/>
        <v>238.90000000000023</v>
      </c>
      <c r="T31">
        <f t="shared" si="11"/>
        <v>329.5</v>
      </c>
      <c r="U31">
        <f t="shared" si="3"/>
        <v>0.72503793626707203</v>
      </c>
    </row>
    <row r="32" spans="3:27" x14ac:dyDescent="0.25">
      <c r="C32">
        <f t="shared" si="12"/>
        <v>41</v>
      </c>
      <c r="D32">
        <f t="shared" si="4"/>
        <v>186.99999999999989</v>
      </c>
      <c r="E32">
        <f t="shared" si="5"/>
        <v>338</v>
      </c>
      <c r="F32">
        <f t="shared" si="0"/>
        <v>0.5532544378698222</v>
      </c>
      <c r="H32">
        <f t="shared" si="13"/>
        <v>41</v>
      </c>
      <c r="I32">
        <f t="shared" si="6"/>
        <v>186.89999999999989</v>
      </c>
      <c r="J32">
        <f t="shared" si="7"/>
        <v>329.5</v>
      </c>
      <c r="K32">
        <f t="shared" si="1"/>
        <v>0.56722306525037902</v>
      </c>
      <c r="M32">
        <f t="shared" si="14"/>
        <v>41</v>
      </c>
      <c r="N32">
        <f t="shared" si="8"/>
        <v>183.09999999999988</v>
      </c>
      <c r="O32">
        <f t="shared" si="9"/>
        <v>346.5</v>
      </c>
      <c r="P32">
        <f t="shared" si="2"/>
        <v>0.52842712842712813</v>
      </c>
      <c r="R32">
        <f t="shared" si="15"/>
        <v>41</v>
      </c>
      <c r="S32">
        <f t="shared" si="10"/>
        <v>237.00000000000023</v>
      </c>
      <c r="T32">
        <f t="shared" si="11"/>
        <v>338</v>
      </c>
      <c r="U32">
        <f t="shared" si="3"/>
        <v>0.70118343195266342</v>
      </c>
    </row>
    <row r="33" spans="3:21" x14ac:dyDescent="0.25">
      <c r="C33">
        <f t="shared" si="12"/>
        <v>42</v>
      </c>
      <c r="D33">
        <f t="shared" si="4"/>
        <v>187.84999999999988</v>
      </c>
      <c r="E33">
        <f t="shared" si="5"/>
        <v>346.5</v>
      </c>
      <c r="F33">
        <f t="shared" si="0"/>
        <v>0.5421356421356418</v>
      </c>
      <c r="H33">
        <f t="shared" si="13"/>
        <v>42</v>
      </c>
      <c r="I33">
        <f t="shared" si="6"/>
        <v>187.74999999999989</v>
      </c>
      <c r="J33">
        <f t="shared" si="7"/>
        <v>338</v>
      </c>
      <c r="K33">
        <f t="shared" si="1"/>
        <v>0.55547337278106479</v>
      </c>
      <c r="M33">
        <f t="shared" si="14"/>
        <v>42</v>
      </c>
      <c r="N33">
        <f t="shared" si="8"/>
        <v>183.94999999999987</v>
      </c>
      <c r="O33">
        <f t="shared" si="9"/>
        <v>355</v>
      </c>
      <c r="P33">
        <f t="shared" si="2"/>
        <v>0.51816901408450666</v>
      </c>
      <c r="R33">
        <f t="shared" si="15"/>
        <v>42</v>
      </c>
      <c r="S33">
        <f t="shared" si="10"/>
        <v>235.10000000000022</v>
      </c>
      <c r="T33">
        <f t="shared" si="11"/>
        <v>346.5</v>
      </c>
      <c r="U33">
        <f t="shared" si="3"/>
        <v>0.67849927849927916</v>
      </c>
    </row>
    <row r="34" spans="3:21" x14ac:dyDescent="0.25">
      <c r="C34">
        <f t="shared" si="12"/>
        <v>43</v>
      </c>
      <c r="D34">
        <f t="shared" si="4"/>
        <v>188.69999999999987</v>
      </c>
      <c r="E34">
        <f t="shared" si="5"/>
        <v>355</v>
      </c>
      <c r="F34">
        <f t="shared" si="0"/>
        <v>0.53154929577464749</v>
      </c>
      <c r="H34">
        <f t="shared" si="13"/>
        <v>43</v>
      </c>
      <c r="I34">
        <f t="shared" si="6"/>
        <v>188.59999999999988</v>
      </c>
      <c r="J34">
        <f t="shared" si="7"/>
        <v>346.5</v>
      </c>
      <c r="K34">
        <f t="shared" si="1"/>
        <v>0.54430014430014395</v>
      </c>
      <c r="M34">
        <f t="shared" si="14"/>
        <v>43</v>
      </c>
      <c r="N34">
        <f t="shared" si="8"/>
        <v>184.79999999999987</v>
      </c>
      <c r="O34">
        <f t="shared" si="9"/>
        <v>363.5</v>
      </c>
      <c r="P34">
        <f t="shared" si="2"/>
        <v>0.50839064649243426</v>
      </c>
      <c r="R34">
        <f t="shared" si="15"/>
        <v>43</v>
      </c>
      <c r="S34">
        <f t="shared" si="10"/>
        <v>233.20000000000022</v>
      </c>
      <c r="T34">
        <f t="shared" si="11"/>
        <v>355</v>
      </c>
      <c r="U34">
        <f t="shared" si="3"/>
        <v>0.65690140845070488</v>
      </c>
    </row>
    <row r="35" spans="3:21" x14ac:dyDescent="0.25">
      <c r="C35">
        <f t="shared" si="12"/>
        <v>44</v>
      </c>
      <c r="D35">
        <f t="shared" si="4"/>
        <v>189.54999999999987</v>
      </c>
      <c r="E35">
        <f t="shared" si="5"/>
        <v>363.5</v>
      </c>
      <c r="F35">
        <f t="shared" si="0"/>
        <v>0.52145804676753749</v>
      </c>
      <c r="H35">
        <f t="shared" si="13"/>
        <v>44</v>
      </c>
      <c r="I35">
        <f t="shared" si="6"/>
        <v>189.44999999999987</v>
      </c>
      <c r="J35">
        <f t="shared" si="7"/>
        <v>355</v>
      </c>
      <c r="K35">
        <f t="shared" si="1"/>
        <v>0.53366197183098552</v>
      </c>
      <c r="M35">
        <f t="shared" si="14"/>
        <v>44</v>
      </c>
      <c r="N35">
        <f t="shared" si="8"/>
        <v>185.64999999999986</v>
      </c>
      <c r="O35">
        <f t="shared" si="9"/>
        <v>372</v>
      </c>
      <c r="P35">
        <f t="shared" si="2"/>
        <v>0.49905913978494587</v>
      </c>
      <c r="R35">
        <f t="shared" si="15"/>
        <v>44</v>
      </c>
      <c r="S35">
        <f t="shared" si="10"/>
        <v>231.30000000000021</v>
      </c>
      <c r="T35">
        <f t="shared" si="11"/>
        <v>363.5</v>
      </c>
      <c r="U35">
        <f t="shared" si="3"/>
        <v>0.6363136176066031</v>
      </c>
    </row>
    <row r="36" spans="3:21" x14ac:dyDescent="0.25">
      <c r="C36">
        <f t="shared" si="12"/>
        <v>45</v>
      </c>
      <c r="D36">
        <f t="shared" si="4"/>
        <v>190.39999999999986</v>
      </c>
      <c r="E36">
        <f t="shared" si="5"/>
        <v>372</v>
      </c>
      <c r="F36">
        <f t="shared" si="0"/>
        <v>0.51182795698924699</v>
      </c>
      <c r="H36">
        <f t="shared" si="13"/>
        <v>45</v>
      </c>
      <c r="I36">
        <f t="shared" si="6"/>
        <v>190.29999999999987</v>
      </c>
      <c r="J36">
        <f t="shared" si="7"/>
        <v>363.5</v>
      </c>
      <c r="K36">
        <f t="shared" si="1"/>
        <v>0.52352132049518529</v>
      </c>
      <c r="M36">
        <f t="shared" si="14"/>
        <v>45</v>
      </c>
      <c r="N36">
        <f t="shared" si="8"/>
        <v>186.49999999999986</v>
      </c>
      <c r="O36">
        <f t="shared" si="9"/>
        <v>380.5</v>
      </c>
      <c r="P36">
        <f t="shared" si="2"/>
        <v>0.49014454664914547</v>
      </c>
      <c r="R36">
        <f t="shared" si="15"/>
        <v>45</v>
      </c>
      <c r="S36">
        <f t="shared" si="10"/>
        <v>229.4000000000002</v>
      </c>
      <c r="T36">
        <f t="shared" si="11"/>
        <v>372</v>
      </c>
      <c r="U36">
        <f t="shared" si="3"/>
        <v>0.61666666666666725</v>
      </c>
    </row>
    <row r="37" spans="3:21" x14ac:dyDescent="0.25">
      <c r="C37">
        <f t="shared" si="12"/>
        <v>46</v>
      </c>
      <c r="D37">
        <f t="shared" si="4"/>
        <v>191.24999999999986</v>
      </c>
      <c r="E37">
        <f t="shared" si="5"/>
        <v>380.5</v>
      </c>
      <c r="F37">
        <f t="shared" si="0"/>
        <v>0.50262812089356068</v>
      </c>
      <c r="H37">
        <f t="shared" si="13"/>
        <v>46</v>
      </c>
      <c r="I37">
        <f t="shared" si="6"/>
        <v>191.14999999999986</v>
      </c>
      <c r="J37">
        <f t="shared" si="7"/>
        <v>372</v>
      </c>
      <c r="K37">
        <f t="shared" si="1"/>
        <v>0.513844086021505</v>
      </c>
      <c r="M37">
        <f t="shared" si="14"/>
        <v>46</v>
      </c>
      <c r="N37">
        <f t="shared" si="8"/>
        <v>187.34999999999985</v>
      </c>
      <c r="O37">
        <f t="shared" si="9"/>
        <v>389</v>
      </c>
      <c r="P37">
        <f t="shared" si="2"/>
        <v>0.4816195372750639</v>
      </c>
      <c r="R37">
        <f t="shared" si="15"/>
        <v>46</v>
      </c>
      <c r="S37">
        <f t="shared" si="10"/>
        <v>227.5000000000002</v>
      </c>
      <c r="T37">
        <f t="shared" si="11"/>
        <v>380.5</v>
      </c>
      <c r="U37">
        <f t="shared" si="3"/>
        <v>0.59789750328515168</v>
      </c>
    </row>
    <row r="38" spans="3:21" x14ac:dyDescent="0.25">
      <c r="C38">
        <f t="shared" si="12"/>
        <v>47</v>
      </c>
      <c r="D38">
        <f t="shared" si="4"/>
        <v>192.09999999999985</v>
      </c>
      <c r="E38">
        <f t="shared" si="5"/>
        <v>389</v>
      </c>
      <c r="F38">
        <f t="shared" si="0"/>
        <v>0.49383033419023098</v>
      </c>
      <c r="H38">
        <f t="shared" si="13"/>
        <v>47</v>
      </c>
      <c r="I38">
        <f t="shared" si="6"/>
        <v>191.99999999999986</v>
      </c>
      <c r="J38">
        <f t="shared" si="7"/>
        <v>380.5</v>
      </c>
      <c r="K38">
        <f t="shared" si="1"/>
        <v>0.50459921156373155</v>
      </c>
      <c r="M38">
        <f t="shared" si="14"/>
        <v>47</v>
      </c>
      <c r="N38">
        <f t="shared" si="8"/>
        <v>188.19999999999985</v>
      </c>
      <c r="O38">
        <f t="shared" si="9"/>
        <v>397.5</v>
      </c>
      <c r="P38">
        <f t="shared" si="2"/>
        <v>0.47345911949685499</v>
      </c>
      <c r="R38">
        <f t="shared" si="15"/>
        <v>47</v>
      </c>
      <c r="S38">
        <f t="shared" si="10"/>
        <v>225.60000000000019</v>
      </c>
      <c r="T38">
        <f t="shared" si="11"/>
        <v>389</v>
      </c>
      <c r="U38">
        <f t="shared" si="3"/>
        <v>0.5799485861182524</v>
      </c>
    </row>
    <row r="39" spans="3:21" x14ac:dyDescent="0.25">
      <c r="C39">
        <f t="shared" si="12"/>
        <v>48</v>
      </c>
      <c r="D39">
        <f t="shared" si="4"/>
        <v>192.94999999999985</v>
      </c>
      <c r="E39">
        <f t="shared" si="5"/>
        <v>397.5</v>
      </c>
      <c r="F39">
        <f t="shared" si="0"/>
        <v>0.48540880503144618</v>
      </c>
      <c r="H39">
        <f t="shared" si="13"/>
        <v>48</v>
      </c>
      <c r="I39">
        <f t="shared" si="6"/>
        <v>192.84999999999985</v>
      </c>
      <c r="J39">
        <f t="shared" si="7"/>
        <v>389</v>
      </c>
      <c r="K39">
        <f t="shared" si="1"/>
        <v>0.49575835475578367</v>
      </c>
      <c r="M39">
        <f t="shared" si="14"/>
        <v>48</v>
      </c>
      <c r="N39">
        <f t="shared" si="8"/>
        <v>189.04999999999984</v>
      </c>
      <c r="O39">
        <f t="shared" si="9"/>
        <v>406</v>
      </c>
      <c r="P39">
        <f t="shared" si="2"/>
        <v>0.46564039408866958</v>
      </c>
      <c r="R39">
        <f t="shared" si="15"/>
        <v>48</v>
      </c>
      <c r="S39">
        <f t="shared" si="10"/>
        <v>223.70000000000019</v>
      </c>
      <c r="T39">
        <f t="shared" si="11"/>
        <v>397.5</v>
      </c>
      <c r="U39">
        <f t="shared" si="3"/>
        <v>0.56276729559748473</v>
      </c>
    </row>
    <row r="40" spans="3:21" x14ac:dyDescent="0.25">
      <c r="C40">
        <f t="shared" si="12"/>
        <v>49</v>
      </c>
      <c r="D40">
        <f t="shared" si="4"/>
        <v>193.79999999999984</v>
      </c>
      <c r="E40">
        <f t="shared" si="5"/>
        <v>406</v>
      </c>
      <c r="F40">
        <f t="shared" si="0"/>
        <v>0.47733990147783212</v>
      </c>
      <c r="H40">
        <f t="shared" si="13"/>
        <v>49</v>
      </c>
      <c r="I40">
        <f t="shared" si="6"/>
        <v>193.69999999999985</v>
      </c>
      <c r="J40">
        <f t="shared" si="7"/>
        <v>397.5</v>
      </c>
      <c r="K40">
        <f t="shared" si="1"/>
        <v>0.48729559748427637</v>
      </c>
      <c r="M40">
        <f t="shared" si="14"/>
        <v>49</v>
      </c>
      <c r="N40">
        <f t="shared" si="8"/>
        <v>189.89999999999984</v>
      </c>
      <c r="O40">
        <f t="shared" si="9"/>
        <v>414.5</v>
      </c>
      <c r="P40">
        <f t="shared" si="2"/>
        <v>0.45814234016887778</v>
      </c>
      <c r="R40">
        <f t="shared" si="15"/>
        <v>49</v>
      </c>
      <c r="S40">
        <f t="shared" si="10"/>
        <v>221.80000000000018</v>
      </c>
      <c r="T40">
        <f t="shared" si="11"/>
        <v>406</v>
      </c>
      <c r="U40">
        <f t="shared" si="3"/>
        <v>0.54630541871921223</v>
      </c>
    </row>
    <row r="41" spans="3:21" x14ac:dyDescent="0.25">
      <c r="C41">
        <f t="shared" si="12"/>
        <v>50</v>
      </c>
      <c r="D41">
        <f t="shared" si="4"/>
        <v>194.64999999999984</v>
      </c>
      <c r="E41">
        <f t="shared" si="5"/>
        <v>414.5</v>
      </c>
      <c r="F41">
        <f t="shared" si="0"/>
        <v>0.46960193003618778</v>
      </c>
      <c r="H41">
        <f t="shared" si="13"/>
        <v>50</v>
      </c>
      <c r="I41">
        <f t="shared" si="6"/>
        <v>194.54999999999984</v>
      </c>
      <c r="J41">
        <f t="shared" si="7"/>
        <v>406</v>
      </c>
      <c r="K41">
        <f t="shared" si="1"/>
        <v>0.47918719211822619</v>
      </c>
      <c r="M41">
        <f t="shared" si="14"/>
        <v>50</v>
      </c>
      <c r="N41">
        <f t="shared" si="8"/>
        <v>190.74999999999983</v>
      </c>
      <c r="O41">
        <f t="shared" si="9"/>
        <v>423</v>
      </c>
      <c r="P41">
        <f t="shared" si="2"/>
        <v>0.450945626477541</v>
      </c>
      <c r="R41">
        <f t="shared" si="15"/>
        <v>50</v>
      </c>
      <c r="S41">
        <f t="shared" si="10"/>
        <v>219.90000000000018</v>
      </c>
      <c r="T41">
        <f t="shared" si="11"/>
        <v>414.5</v>
      </c>
      <c r="U41">
        <f t="shared" si="3"/>
        <v>0.53051869722557343</v>
      </c>
    </row>
    <row r="42" spans="3:21" x14ac:dyDescent="0.25">
      <c r="C42">
        <f t="shared" si="12"/>
        <v>51</v>
      </c>
      <c r="D42">
        <f t="shared" si="4"/>
        <v>195.49999999999983</v>
      </c>
      <c r="E42">
        <f t="shared" si="5"/>
        <v>423</v>
      </c>
      <c r="F42">
        <f t="shared" si="0"/>
        <v>0.46217494089834477</v>
      </c>
      <c r="H42">
        <f t="shared" si="13"/>
        <v>51</v>
      </c>
      <c r="I42">
        <f t="shared" si="6"/>
        <v>195.39999999999984</v>
      </c>
      <c r="J42">
        <f t="shared" si="7"/>
        <v>414.5</v>
      </c>
      <c r="K42">
        <f t="shared" si="1"/>
        <v>0.47141133896260518</v>
      </c>
      <c r="M42">
        <f t="shared" si="14"/>
        <v>51</v>
      </c>
      <c r="N42">
        <f t="shared" si="8"/>
        <v>191.59999999999982</v>
      </c>
      <c r="O42">
        <f t="shared" si="9"/>
        <v>431.5</v>
      </c>
      <c r="P42">
        <f t="shared" si="2"/>
        <v>0.44403244495944338</v>
      </c>
      <c r="R42">
        <f t="shared" si="15"/>
        <v>51</v>
      </c>
      <c r="S42">
        <f t="shared" si="10"/>
        <v>218.00000000000017</v>
      </c>
      <c r="T42">
        <f t="shared" si="11"/>
        <v>423</v>
      </c>
      <c r="U42">
        <f t="shared" si="3"/>
        <v>0.51536643026004769</v>
      </c>
    </row>
    <row r="43" spans="3:21" x14ac:dyDescent="0.25">
      <c r="C43">
        <f t="shared" si="12"/>
        <v>52</v>
      </c>
      <c r="D43">
        <f t="shared" si="4"/>
        <v>196.34999999999982</v>
      </c>
      <c r="E43">
        <f t="shared" si="5"/>
        <v>431.5</v>
      </c>
      <c r="F43">
        <f t="shared" si="0"/>
        <v>0.45504055619930434</v>
      </c>
      <c r="H43">
        <f t="shared" si="13"/>
        <v>52</v>
      </c>
      <c r="I43">
        <f t="shared" si="6"/>
        <v>196.24999999999983</v>
      </c>
      <c r="J43">
        <f t="shared" si="7"/>
        <v>423</v>
      </c>
      <c r="K43">
        <f t="shared" si="1"/>
        <v>0.46394799054373481</v>
      </c>
      <c r="M43">
        <f t="shared" si="14"/>
        <v>52</v>
      </c>
      <c r="N43">
        <f t="shared" si="8"/>
        <v>192.44999999999982</v>
      </c>
      <c r="O43">
        <f t="shared" si="9"/>
        <v>440</v>
      </c>
      <c r="P43">
        <f t="shared" si="2"/>
        <v>0.43738636363636324</v>
      </c>
      <c r="R43">
        <f t="shared" si="15"/>
        <v>52</v>
      </c>
      <c r="S43">
        <f t="shared" si="10"/>
        <v>216.10000000000016</v>
      </c>
      <c r="T43">
        <f t="shared" si="11"/>
        <v>431.5</v>
      </c>
      <c r="U43">
        <f t="shared" si="3"/>
        <v>0.5008111239860954</v>
      </c>
    </row>
    <row r="44" spans="3:21" x14ac:dyDescent="0.25">
      <c r="C44">
        <f t="shared" si="12"/>
        <v>53</v>
      </c>
      <c r="D44">
        <f t="shared" si="4"/>
        <v>197.19999999999982</v>
      </c>
      <c r="E44">
        <f t="shared" si="5"/>
        <v>440</v>
      </c>
      <c r="F44">
        <f t="shared" si="0"/>
        <v>0.44818181818181779</v>
      </c>
      <c r="H44">
        <f t="shared" si="13"/>
        <v>53</v>
      </c>
      <c r="I44">
        <f t="shared" si="6"/>
        <v>197.09999999999982</v>
      </c>
      <c r="J44">
        <f t="shared" si="7"/>
        <v>431.5</v>
      </c>
      <c r="K44">
        <f t="shared" si="1"/>
        <v>0.45677867902665081</v>
      </c>
      <c r="M44">
        <f t="shared" si="14"/>
        <v>53</v>
      </c>
      <c r="N44">
        <f t="shared" si="8"/>
        <v>193.29999999999981</v>
      </c>
      <c r="O44">
        <f t="shared" si="9"/>
        <v>448.5</v>
      </c>
      <c r="P44">
        <f t="shared" si="2"/>
        <v>0.43099219620958712</v>
      </c>
      <c r="R44">
        <f t="shared" si="15"/>
        <v>53</v>
      </c>
      <c r="S44">
        <f t="shared" si="10"/>
        <v>214.20000000000016</v>
      </c>
      <c r="T44">
        <f t="shared" si="11"/>
        <v>440</v>
      </c>
      <c r="U44">
        <f t="shared" si="3"/>
        <v>0.48681818181818221</v>
      </c>
    </row>
    <row r="45" spans="3:21" x14ac:dyDescent="0.25">
      <c r="C45">
        <f t="shared" si="12"/>
        <v>54</v>
      </c>
      <c r="D45">
        <f t="shared" si="4"/>
        <v>198.04999999999981</v>
      </c>
      <c r="E45">
        <f t="shared" si="5"/>
        <v>448.5</v>
      </c>
      <c r="F45">
        <f t="shared" si="0"/>
        <v>0.44158305462653247</v>
      </c>
      <c r="H45">
        <f t="shared" si="13"/>
        <v>54</v>
      </c>
      <c r="I45">
        <f t="shared" si="6"/>
        <v>197.94999999999982</v>
      </c>
      <c r="J45">
        <f t="shared" si="7"/>
        <v>440</v>
      </c>
      <c r="K45">
        <f t="shared" si="1"/>
        <v>0.4498863636363632</v>
      </c>
      <c r="M45">
        <f t="shared" si="14"/>
        <v>54</v>
      </c>
      <c r="N45">
        <f t="shared" si="8"/>
        <v>194.14999999999981</v>
      </c>
      <c r="O45">
        <f t="shared" si="9"/>
        <v>457</v>
      </c>
      <c r="P45">
        <f t="shared" si="2"/>
        <v>0.42483588621444157</v>
      </c>
      <c r="R45">
        <f t="shared" si="15"/>
        <v>54</v>
      </c>
      <c r="S45">
        <f t="shared" si="10"/>
        <v>212.30000000000015</v>
      </c>
      <c r="T45">
        <f t="shared" si="11"/>
        <v>448.5</v>
      </c>
      <c r="U45">
        <f t="shared" si="3"/>
        <v>0.47335562987736934</v>
      </c>
    </row>
    <row r="46" spans="3:21" x14ac:dyDescent="0.25">
      <c r="C46">
        <f t="shared" si="12"/>
        <v>55</v>
      </c>
      <c r="D46">
        <f t="shared" si="4"/>
        <v>198.89999999999981</v>
      </c>
      <c r="E46">
        <f t="shared" si="5"/>
        <v>457</v>
      </c>
      <c r="F46">
        <f t="shared" si="0"/>
        <v>0.43522975929978075</v>
      </c>
      <c r="H46">
        <f t="shared" si="13"/>
        <v>55</v>
      </c>
      <c r="I46">
        <f t="shared" si="6"/>
        <v>198.79999999999981</v>
      </c>
      <c r="J46">
        <f t="shared" si="7"/>
        <v>448.5</v>
      </c>
      <c r="K46">
        <f t="shared" si="1"/>
        <v>0.44325529542920805</v>
      </c>
      <c r="M46">
        <f t="shared" si="14"/>
        <v>55</v>
      </c>
      <c r="N46">
        <f t="shared" si="8"/>
        <v>194.9999999999998</v>
      </c>
      <c r="O46">
        <f t="shared" si="9"/>
        <v>465.5</v>
      </c>
      <c r="P46">
        <f t="shared" si="2"/>
        <v>0.41890440386680944</v>
      </c>
      <c r="R46">
        <f t="shared" si="15"/>
        <v>55</v>
      </c>
      <c r="S46">
        <f t="shared" si="10"/>
        <v>210.40000000000015</v>
      </c>
      <c r="T46">
        <f t="shared" si="11"/>
        <v>457</v>
      </c>
      <c r="U46">
        <f t="shared" si="3"/>
        <v>0.46039387308533947</v>
      </c>
    </row>
    <row r="47" spans="3:21" x14ac:dyDescent="0.25">
      <c r="C47">
        <f t="shared" si="12"/>
        <v>56</v>
      </c>
      <c r="D47">
        <f t="shared" si="4"/>
        <v>199.7499999999998</v>
      </c>
      <c r="E47">
        <f t="shared" si="5"/>
        <v>465.5</v>
      </c>
      <c r="F47">
        <f t="shared" si="0"/>
        <v>0.42910848549946251</v>
      </c>
      <c r="H47">
        <f t="shared" si="13"/>
        <v>56</v>
      </c>
      <c r="I47">
        <f t="shared" si="6"/>
        <v>199.64999999999981</v>
      </c>
      <c r="J47">
        <f t="shared" si="7"/>
        <v>457</v>
      </c>
      <c r="K47">
        <f t="shared" si="1"/>
        <v>0.43687089715536065</v>
      </c>
      <c r="M47">
        <f t="shared" si="14"/>
        <v>56</v>
      </c>
      <c r="N47">
        <f t="shared" si="8"/>
        <v>195.8499999999998</v>
      </c>
      <c r="O47">
        <f t="shared" si="9"/>
        <v>474</v>
      </c>
      <c r="P47">
        <f t="shared" si="2"/>
        <v>0.41318565400843837</v>
      </c>
      <c r="R47">
        <f t="shared" si="15"/>
        <v>56</v>
      </c>
      <c r="S47">
        <f t="shared" si="10"/>
        <v>208.50000000000014</v>
      </c>
      <c r="T47">
        <f t="shared" si="11"/>
        <v>465.5</v>
      </c>
      <c r="U47">
        <f t="shared" si="3"/>
        <v>0.44790547798066627</v>
      </c>
    </row>
    <row r="48" spans="3:21" x14ac:dyDescent="0.25">
      <c r="C48">
        <f t="shared" si="12"/>
        <v>57</v>
      </c>
      <c r="D48">
        <f t="shared" si="4"/>
        <v>200.5999999999998</v>
      </c>
      <c r="E48">
        <f t="shared" si="5"/>
        <v>474</v>
      </c>
      <c r="F48">
        <f t="shared" si="0"/>
        <v>0.42320675105485189</v>
      </c>
      <c r="H48">
        <f t="shared" si="13"/>
        <v>57</v>
      </c>
      <c r="I48">
        <f t="shared" si="6"/>
        <v>200.4999999999998</v>
      </c>
      <c r="J48">
        <f t="shared" si="7"/>
        <v>465.5</v>
      </c>
      <c r="K48">
        <f t="shared" si="1"/>
        <v>0.43071965628356562</v>
      </c>
      <c r="M48">
        <f t="shared" si="14"/>
        <v>57</v>
      </c>
      <c r="N48">
        <f t="shared" si="8"/>
        <v>196.69999999999979</v>
      </c>
      <c r="O48">
        <f t="shared" si="9"/>
        <v>482.5</v>
      </c>
      <c r="P48">
        <f t="shared" si="2"/>
        <v>0.40766839378238301</v>
      </c>
      <c r="R48">
        <f t="shared" si="15"/>
        <v>57</v>
      </c>
      <c r="S48">
        <f t="shared" si="10"/>
        <v>206.60000000000014</v>
      </c>
      <c r="T48">
        <f t="shared" si="11"/>
        <v>474</v>
      </c>
      <c r="U48">
        <f t="shared" si="3"/>
        <v>0.43586497890295389</v>
      </c>
    </row>
    <row r="49" spans="3:21" x14ac:dyDescent="0.25">
      <c r="C49">
        <f t="shared" si="12"/>
        <v>58</v>
      </c>
      <c r="D49">
        <f t="shared" si="4"/>
        <v>201.44999999999979</v>
      </c>
      <c r="E49">
        <f t="shared" si="5"/>
        <v>482.5</v>
      </c>
      <c r="F49">
        <f t="shared" si="0"/>
        <v>0.41751295336787519</v>
      </c>
      <c r="H49">
        <f t="shared" si="13"/>
        <v>58</v>
      </c>
      <c r="I49">
        <f t="shared" si="6"/>
        <v>201.3499999999998</v>
      </c>
      <c r="J49">
        <f t="shared" si="7"/>
        <v>474</v>
      </c>
      <c r="K49">
        <f t="shared" si="1"/>
        <v>0.42478902953586456</v>
      </c>
      <c r="M49">
        <f t="shared" si="14"/>
        <v>58</v>
      </c>
      <c r="N49">
        <f t="shared" si="8"/>
        <v>197.54999999999978</v>
      </c>
      <c r="O49">
        <f t="shared" si="9"/>
        <v>491</v>
      </c>
      <c r="P49">
        <f t="shared" si="2"/>
        <v>0.40234215885947006</v>
      </c>
      <c r="R49">
        <f t="shared" si="15"/>
        <v>58</v>
      </c>
      <c r="S49">
        <f t="shared" si="10"/>
        <v>204.70000000000013</v>
      </c>
      <c r="T49">
        <f t="shared" si="11"/>
        <v>482.5</v>
      </c>
      <c r="U49">
        <f t="shared" si="3"/>
        <v>0.42424870466321268</v>
      </c>
    </row>
    <row r="50" spans="3:21" x14ac:dyDescent="0.25">
      <c r="C50">
        <f t="shared" si="12"/>
        <v>59</v>
      </c>
      <c r="D50">
        <f t="shared" si="4"/>
        <v>202.29999999999978</v>
      </c>
      <c r="E50">
        <f t="shared" si="5"/>
        <v>491</v>
      </c>
      <c r="F50">
        <f t="shared" si="0"/>
        <v>0.41201629327902195</v>
      </c>
      <c r="H50">
        <f t="shared" si="13"/>
        <v>59</v>
      </c>
      <c r="I50">
        <f t="shared" si="6"/>
        <v>202.19999999999979</v>
      </c>
      <c r="J50">
        <f t="shared" si="7"/>
        <v>482.5</v>
      </c>
      <c r="K50">
        <f t="shared" si="1"/>
        <v>0.41906735751295293</v>
      </c>
      <c r="M50">
        <f t="shared" si="14"/>
        <v>59</v>
      </c>
      <c r="N50">
        <f t="shared" si="8"/>
        <v>198.39999999999978</v>
      </c>
      <c r="O50">
        <f t="shared" si="9"/>
        <v>499.5</v>
      </c>
      <c r="P50">
        <f t="shared" si="2"/>
        <v>0.39719719719719676</v>
      </c>
      <c r="R50">
        <f t="shared" si="15"/>
        <v>59</v>
      </c>
      <c r="S50">
        <f t="shared" si="10"/>
        <v>202.80000000000013</v>
      </c>
      <c r="T50">
        <f t="shared" si="11"/>
        <v>491</v>
      </c>
      <c r="U50">
        <f t="shared" si="3"/>
        <v>0.41303462321792284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V62"/>
  <sheetViews>
    <sheetView workbookViewId="0">
      <selection activeCell="E42" sqref="E42"/>
    </sheetView>
  </sheetViews>
  <sheetFormatPr defaultRowHeight="15" x14ac:dyDescent="0.25"/>
  <cols>
    <col min="3" max="3" width="12.5703125" customWidth="1"/>
    <col min="8" max="8" width="12.85546875" customWidth="1"/>
    <col min="13" max="13" width="13" customWidth="1"/>
  </cols>
  <sheetData>
    <row r="3" spans="1:19" x14ac:dyDescent="0.25">
      <c r="O3">
        <v>15100</v>
      </c>
      <c r="P3">
        <v>19950</v>
      </c>
      <c r="Q3">
        <v>24800</v>
      </c>
      <c r="R3">
        <v>24950</v>
      </c>
    </row>
    <row r="4" spans="1:19" x14ac:dyDescent="0.25">
      <c r="C4" t="s">
        <v>250</v>
      </c>
      <c r="E4">
        <v>5</v>
      </c>
      <c r="F4">
        <v>5000</v>
      </c>
    </row>
    <row r="5" spans="1:19" x14ac:dyDescent="0.25">
      <c r="C5" t="s">
        <v>251</v>
      </c>
      <c r="E5" t="s">
        <v>252</v>
      </c>
      <c r="F5">
        <f>160*5/2+F4</f>
        <v>5400</v>
      </c>
    </row>
    <row r="7" spans="1:19" x14ac:dyDescent="0.25">
      <c r="A7" t="s">
        <v>269</v>
      </c>
    </row>
    <row r="8" spans="1:19" x14ac:dyDescent="0.25">
      <c r="A8" t="s">
        <v>253</v>
      </c>
      <c r="C8" t="s">
        <v>254</v>
      </c>
      <c r="D8">
        <f>9700+F5</f>
        <v>15100</v>
      </c>
      <c r="F8" t="s">
        <v>253</v>
      </c>
      <c r="H8" t="s">
        <v>255</v>
      </c>
      <c r="I8">
        <f>9700*1.5+F5</f>
        <v>19950</v>
      </c>
      <c r="K8" t="s">
        <v>253</v>
      </c>
      <c r="M8" t="s">
        <v>256</v>
      </c>
      <c r="N8">
        <f>9700*2+F5</f>
        <v>24800</v>
      </c>
      <c r="P8" t="s">
        <v>253</v>
      </c>
      <c r="R8" t="s">
        <v>282</v>
      </c>
      <c r="S8">
        <f>(9700*3+10000)/2+F5</f>
        <v>24950</v>
      </c>
    </row>
    <row r="9" spans="1:19" x14ac:dyDescent="0.25">
      <c r="A9" t="s">
        <v>257</v>
      </c>
      <c r="C9" t="s">
        <v>258</v>
      </c>
      <c r="D9">
        <f>10000/6+D8</f>
        <v>16766.666666666668</v>
      </c>
      <c r="F9" t="s">
        <v>257</v>
      </c>
      <c r="H9" t="s">
        <v>258</v>
      </c>
      <c r="I9">
        <f>9300/6+I8</f>
        <v>21500</v>
      </c>
      <c r="K9" t="s">
        <v>257</v>
      </c>
      <c r="M9" t="s">
        <v>259</v>
      </c>
      <c r="N9">
        <f>6900/6+N8</f>
        <v>25950</v>
      </c>
      <c r="P9" t="s">
        <v>257</v>
      </c>
      <c r="R9" t="s">
        <v>259</v>
      </c>
      <c r="S9">
        <f>6900/6+S8</f>
        <v>26100</v>
      </c>
    </row>
    <row r="10" spans="1:19" x14ac:dyDescent="0.25">
      <c r="A10" t="s">
        <v>260</v>
      </c>
      <c r="C10" t="s">
        <v>261</v>
      </c>
      <c r="D10">
        <f>10000/6+D9</f>
        <v>18433.333333333336</v>
      </c>
      <c r="F10" t="s">
        <v>260</v>
      </c>
      <c r="H10" t="s">
        <v>261</v>
      </c>
      <c r="I10">
        <f>9300/6+I9</f>
        <v>23050</v>
      </c>
      <c r="K10" t="s">
        <v>260</v>
      </c>
      <c r="M10" t="s">
        <v>261</v>
      </c>
      <c r="N10">
        <f>7500/6+N9</f>
        <v>27200</v>
      </c>
      <c r="P10" t="s">
        <v>260</v>
      </c>
      <c r="R10" t="s">
        <v>261</v>
      </c>
      <c r="S10">
        <f>6900/6+S9</f>
        <v>27250</v>
      </c>
    </row>
    <row r="13" spans="1:19" x14ac:dyDescent="0.25">
      <c r="A13" t="s">
        <v>262</v>
      </c>
      <c r="C13" t="s">
        <v>263</v>
      </c>
      <c r="D13">
        <f>10000/2+D10</f>
        <v>23433.333333333336</v>
      </c>
      <c r="F13" t="s">
        <v>262</v>
      </c>
      <c r="H13" t="s">
        <v>263</v>
      </c>
      <c r="I13">
        <f>5000+I10</f>
        <v>28050</v>
      </c>
      <c r="K13" t="s">
        <v>262</v>
      </c>
      <c r="M13" t="s">
        <v>263</v>
      </c>
      <c r="N13">
        <f>9300/2+N10</f>
        <v>31850</v>
      </c>
      <c r="P13" t="s">
        <v>262</v>
      </c>
      <c r="R13" t="s">
        <v>263</v>
      </c>
      <c r="S13">
        <f>9300/2+S10</f>
        <v>31900</v>
      </c>
    </row>
    <row r="14" spans="1:19" x14ac:dyDescent="0.25">
      <c r="A14" t="s">
        <v>264</v>
      </c>
      <c r="C14" t="s">
        <v>265</v>
      </c>
      <c r="D14">
        <f>(7500*5+8500)/2+D13</f>
        <v>46433.333333333336</v>
      </c>
      <c r="F14" t="s">
        <v>264</v>
      </c>
      <c r="H14" t="s">
        <v>265</v>
      </c>
      <c r="I14">
        <f>(2600*5+5100)/2+I13</f>
        <v>37100</v>
      </c>
      <c r="K14" t="s">
        <v>264</v>
      </c>
      <c r="M14" t="s">
        <v>265</v>
      </c>
      <c r="N14">
        <f>(200*5+900)/2+N13</f>
        <v>32800</v>
      </c>
      <c r="P14" t="s">
        <v>264</v>
      </c>
      <c r="R14" t="s">
        <v>265</v>
      </c>
      <c r="S14">
        <f>(200*5+900)/2+S13</f>
        <v>32850</v>
      </c>
    </row>
    <row r="17" spans="1:19" x14ac:dyDescent="0.25">
      <c r="A17" t="s">
        <v>262</v>
      </c>
      <c r="C17" t="s">
        <v>266</v>
      </c>
      <c r="D17">
        <f>10000/3+D10</f>
        <v>21766.666666666668</v>
      </c>
      <c r="F17" t="s">
        <v>262</v>
      </c>
      <c r="H17" t="s">
        <v>266</v>
      </c>
      <c r="I17">
        <f>10000/3+I10</f>
        <v>26383.333333333332</v>
      </c>
      <c r="K17" t="s">
        <v>262</v>
      </c>
      <c r="M17" t="s">
        <v>266</v>
      </c>
      <c r="N17">
        <f>9300/3+N10</f>
        <v>30300</v>
      </c>
      <c r="P17" t="s">
        <v>262</v>
      </c>
      <c r="R17" t="s">
        <v>266</v>
      </c>
      <c r="S17">
        <f>9300/3+S10</f>
        <v>30350</v>
      </c>
    </row>
    <row r="18" spans="1:19" x14ac:dyDescent="0.25">
      <c r="A18" t="s">
        <v>264</v>
      </c>
      <c r="C18" t="s">
        <v>267</v>
      </c>
      <c r="D18">
        <f>(8500*5+9300)/3+D17</f>
        <v>39033.333333333336</v>
      </c>
      <c r="F18" t="s">
        <v>264</v>
      </c>
      <c r="H18" t="s">
        <v>267</v>
      </c>
      <c r="I18">
        <f>(5100*5+6900)/3+I17</f>
        <v>37183.333333333328</v>
      </c>
      <c r="K18" t="s">
        <v>264</v>
      </c>
      <c r="M18" t="s">
        <v>267</v>
      </c>
      <c r="N18">
        <f>(900*5+2600)/3+N17</f>
        <v>32666.666666666668</v>
      </c>
      <c r="P18" t="s">
        <v>264</v>
      </c>
      <c r="R18" t="s">
        <v>267</v>
      </c>
      <c r="S18">
        <f>(900*5+2600)/3+S17</f>
        <v>32716.666666666668</v>
      </c>
    </row>
    <row r="21" spans="1:19" x14ac:dyDescent="0.25">
      <c r="A21" t="s">
        <v>268</v>
      </c>
    </row>
    <row r="22" spans="1:19" x14ac:dyDescent="0.25">
      <c r="A22" t="s">
        <v>253</v>
      </c>
      <c r="C22" t="s">
        <v>254</v>
      </c>
      <c r="D22">
        <f>9700+F5</f>
        <v>15100</v>
      </c>
      <c r="F22" t="s">
        <v>253</v>
      </c>
      <c r="H22" t="s">
        <v>255</v>
      </c>
      <c r="I22">
        <f>9700*1.5+F5</f>
        <v>19950</v>
      </c>
      <c r="K22" t="s">
        <v>253</v>
      </c>
      <c r="M22" t="s">
        <v>256</v>
      </c>
      <c r="N22">
        <f>9700*2+F5</f>
        <v>24800</v>
      </c>
      <c r="P22" t="s">
        <v>253</v>
      </c>
      <c r="R22" t="s">
        <v>256</v>
      </c>
      <c r="S22">
        <f>(9700*3+10000)/2+F5</f>
        <v>24950</v>
      </c>
    </row>
    <row r="23" spans="1:19" x14ac:dyDescent="0.25">
      <c r="A23" t="s">
        <v>270</v>
      </c>
      <c r="C23" t="s">
        <v>271</v>
      </c>
      <c r="D23">
        <f>10000*3+D22</f>
        <v>45100</v>
      </c>
      <c r="F23" t="s">
        <v>270</v>
      </c>
      <c r="H23" t="s">
        <v>271</v>
      </c>
      <c r="I23">
        <f>9700*3+I22</f>
        <v>49050</v>
      </c>
      <c r="K23" t="s">
        <v>270</v>
      </c>
      <c r="M23" t="s">
        <v>271</v>
      </c>
      <c r="N23">
        <f>7500*3+N22</f>
        <v>47300</v>
      </c>
      <c r="P23" t="s">
        <v>270</v>
      </c>
      <c r="R23" t="s">
        <v>271</v>
      </c>
      <c r="S23">
        <f>7500*3+S22</f>
        <v>47450</v>
      </c>
    </row>
    <row r="24" spans="1:19" x14ac:dyDescent="0.25">
      <c r="A24" t="s">
        <v>270</v>
      </c>
      <c r="C24" t="s">
        <v>272</v>
      </c>
      <c r="D24">
        <f>(10000*6)/5+D22</f>
        <v>27100</v>
      </c>
      <c r="F24" t="s">
        <v>270</v>
      </c>
      <c r="H24" t="s">
        <v>272</v>
      </c>
      <c r="I24">
        <f>(9700*6)/5+I22</f>
        <v>31590</v>
      </c>
      <c r="K24" t="s">
        <v>270</v>
      </c>
      <c r="M24" t="s">
        <v>272</v>
      </c>
      <c r="N24">
        <f>(7500*6)/5+N22</f>
        <v>33800</v>
      </c>
      <c r="P24" t="s">
        <v>270</v>
      </c>
      <c r="R24" t="s">
        <v>272</v>
      </c>
      <c r="S24">
        <f>(7500*6)/5+S22</f>
        <v>33950</v>
      </c>
    </row>
    <row r="27" spans="1:19" x14ac:dyDescent="0.25">
      <c r="A27" t="s">
        <v>273</v>
      </c>
    </row>
    <row r="28" spans="1:19" x14ac:dyDescent="0.25">
      <c r="A28" t="s">
        <v>257</v>
      </c>
      <c r="C28" t="s">
        <v>258</v>
      </c>
      <c r="D28">
        <f>10000/6+F5</f>
        <v>7066.666666666667</v>
      </c>
    </row>
    <row r="29" spans="1:19" x14ac:dyDescent="0.25">
      <c r="A29" t="s">
        <v>260</v>
      </c>
      <c r="C29" t="s">
        <v>261</v>
      </c>
      <c r="D29">
        <f>10000/6+D28</f>
        <v>8733.3333333333339</v>
      </c>
      <c r="H29" t="s">
        <v>274</v>
      </c>
    </row>
    <row r="30" spans="1:19" x14ac:dyDescent="0.25">
      <c r="H30" t="s">
        <v>275</v>
      </c>
    </row>
    <row r="31" spans="1:19" x14ac:dyDescent="0.25">
      <c r="H31" t="s">
        <v>277</v>
      </c>
    </row>
    <row r="32" spans="1:19" x14ac:dyDescent="0.25">
      <c r="A32" t="s">
        <v>262</v>
      </c>
      <c r="C32" t="s">
        <v>263</v>
      </c>
      <c r="D32">
        <f>10000/2+D29</f>
        <v>13733.333333333334</v>
      </c>
      <c r="H32" t="s">
        <v>278</v>
      </c>
    </row>
    <row r="33" spans="1:22" x14ac:dyDescent="0.25">
      <c r="A33" t="s">
        <v>264</v>
      </c>
      <c r="C33" t="s">
        <v>265</v>
      </c>
      <c r="D33">
        <f>(10000*6)/2+D32</f>
        <v>43733.333333333336</v>
      </c>
      <c r="S33" t="s">
        <v>480</v>
      </c>
    </row>
    <row r="34" spans="1:22" x14ac:dyDescent="0.25">
      <c r="H34" t="s">
        <v>276</v>
      </c>
      <c r="R34">
        <v>10</v>
      </c>
      <c r="S34">
        <f>7500*3</f>
        <v>22500</v>
      </c>
      <c r="T34">
        <f>S34+R34*1000</f>
        <v>32500</v>
      </c>
    </row>
    <row r="35" spans="1:22" x14ac:dyDescent="0.25">
      <c r="H35" t="s">
        <v>279</v>
      </c>
      <c r="R35">
        <v>5</v>
      </c>
      <c r="S35">
        <v>30000</v>
      </c>
      <c r="T35">
        <f>S35+R35*1000</f>
        <v>35000</v>
      </c>
    </row>
    <row r="36" spans="1:22" x14ac:dyDescent="0.25">
      <c r="A36" t="s">
        <v>262</v>
      </c>
      <c r="C36" t="s">
        <v>266</v>
      </c>
      <c r="D36">
        <f>10000/3+D29</f>
        <v>12066.666666666668</v>
      </c>
    </row>
    <row r="37" spans="1:22" x14ac:dyDescent="0.25">
      <c r="A37" t="s">
        <v>264</v>
      </c>
      <c r="C37" t="s">
        <v>267</v>
      </c>
      <c r="D37">
        <f>(10000*6)/3+D36</f>
        <v>32066.666666666668</v>
      </c>
    </row>
    <row r="38" spans="1:22" x14ac:dyDescent="0.25">
      <c r="H38" t="s">
        <v>280</v>
      </c>
    </row>
    <row r="39" spans="1:22" x14ac:dyDescent="0.25">
      <c r="H39" t="s">
        <v>279</v>
      </c>
    </row>
    <row r="40" spans="1:22" x14ac:dyDescent="0.25">
      <c r="A40" t="s">
        <v>284</v>
      </c>
      <c r="H40" t="s">
        <v>281</v>
      </c>
    </row>
    <row r="41" spans="1:22" x14ac:dyDescent="0.25">
      <c r="A41" t="s">
        <v>285</v>
      </c>
      <c r="C41" t="s">
        <v>272</v>
      </c>
      <c r="D41">
        <f>(10000*6)/5+F5</f>
        <v>17400</v>
      </c>
    </row>
    <row r="42" spans="1:22" x14ac:dyDescent="0.25">
      <c r="A42" t="s">
        <v>257</v>
      </c>
      <c r="C42" t="s">
        <v>258</v>
      </c>
      <c r="D42">
        <f>10000/6+D41</f>
        <v>19066.666666666668</v>
      </c>
      <c r="H42" t="s">
        <v>273</v>
      </c>
    </row>
    <row r="43" spans="1:22" x14ac:dyDescent="0.25">
      <c r="A43" t="s">
        <v>260</v>
      </c>
      <c r="C43" t="s">
        <v>261</v>
      </c>
      <c r="D43">
        <f>10000/6+D42</f>
        <v>20733.333333333336</v>
      </c>
      <c r="H43" t="s">
        <v>283</v>
      </c>
    </row>
    <row r="44" spans="1:22" x14ac:dyDescent="0.25">
      <c r="H44" t="s">
        <v>286</v>
      </c>
    </row>
    <row r="46" spans="1:22" x14ac:dyDescent="0.25">
      <c r="A46" t="s">
        <v>262</v>
      </c>
      <c r="C46" t="s">
        <v>263</v>
      </c>
      <c r="D46">
        <f>10000/2+D43</f>
        <v>25733.333333333336</v>
      </c>
    </row>
    <row r="47" spans="1:22" x14ac:dyDescent="0.25">
      <c r="A47" t="s">
        <v>264</v>
      </c>
      <c r="C47" t="s">
        <v>265</v>
      </c>
      <c r="D47">
        <f>(6000*5+7500)/2+D46</f>
        <v>44483.333333333336</v>
      </c>
    </row>
    <row r="48" spans="1:22" x14ac:dyDescent="0.25">
      <c r="H48" t="s">
        <v>287</v>
      </c>
      <c r="K48">
        <v>27000</v>
      </c>
      <c r="V48">
        <v>25000</v>
      </c>
    </row>
    <row r="49" spans="1:22" x14ac:dyDescent="0.25">
      <c r="H49" t="s">
        <v>288</v>
      </c>
      <c r="I49" t="s">
        <v>290</v>
      </c>
      <c r="K49">
        <f>(7500*5)/2+K48</f>
        <v>45750</v>
      </c>
      <c r="M49">
        <f>(7500*5)+K48</f>
        <v>64500</v>
      </c>
      <c r="V49">
        <f>V48+(6900*6)/2</f>
        <v>45700</v>
      </c>
    </row>
    <row r="50" spans="1:22" x14ac:dyDescent="0.25">
      <c r="A50" t="s">
        <v>262</v>
      </c>
      <c r="C50" t="s">
        <v>266</v>
      </c>
      <c r="D50">
        <f>10000/3+D43</f>
        <v>24066.666666666668</v>
      </c>
      <c r="H50" t="s">
        <v>288</v>
      </c>
      <c r="I50" t="s">
        <v>289</v>
      </c>
      <c r="K50">
        <f>(7500*5)/3+K48</f>
        <v>39500</v>
      </c>
    </row>
    <row r="51" spans="1:22" x14ac:dyDescent="0.25">
      <c r="A51" t="s">
        <v>264</v>
      </c>
      <c r="C51" t="s">
        <v>267</v>
      </c>
      <c r="D51">
        <f>(6900*5+8000)/3+D50</f>
        <v>38233.333333333336</v>
      </c>
    </row>
    <row r="52" spans="1:22" x14ac:dyDescent="0.25">
      <c r="H52" t="s">
        <v>291</v>
      </c>
      <c r="I52" t="s">
        <v>292</v>
      </c>
    </row>
    <row r="53" spans="1:22" x14ac:dyDescent="0.25">
      <c r="I53" t="s">
        <v>293</v>
      </c>
    </row>
    <row r="54" spans="1:22" x14ac:dyDescent="0.25">
      <c r="I54" t="s">
        <v>294</v>
      </c>
    </row>
    <row r="55" spans="1:22" x14ac:dyDescent="0.25">
      <c r="I55" t="s">
        <v>295</v>
      </c>
    </row>
    <row r="56" spans="1:22" x14ac:dyDescent="0.25">
      <c r="I56" t="s">
        <v>296</v>
      </c>
    </row>
    <row r="57" spans="1:22" x14ac:dyDescent="0.25">
      <c r="I57" t="s">
        <v>297</v>
      </c>
    </row>
    <row r="58" spans="1:22" x14ac:dyDescent="0.25">
      <c r="I58" t="s">
        <v>298</v>
      </c>
    </row>
    <row r="59" spans="1:22" x14ac:dyDescent="0.25">
      <c r="I59" t="s">
        <v>299</v>
      </c>
    </row>
    <row r="60" spans="1:22" x14ac:dyDescent="0.25">
      <c r="I60" t="s">
        <v>300</v>
      </c>
    </row>
    <row r="61" spans="1:22" x14ac:dyDescent="0.25">
      <c r="F61" t="s">
        <v>302</v>
      </c>
      <c r="I61" t="s">
        <v>301</v>
      </c>
    </row>
    <row r="62" spans="1:22" x14ac:dyDescent="0.25">
      <c r="I62" t="s">
        <v>303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J15"/>
  <sheetViews>
    <sheetView workbookViewId="0">
      <selection activeCell="F15" sqref="F15"/>
    </sheetView>
  </sheetViews>
  <sheetFormatPr defaultRowHeight="15" x14ac:dyDescent="0.25"/>
  <sheetData>
    <row r="5" spans="2:10" x14ac:dyDescent="0.25">
      <c r="B5" t="s">
        <v>427</v>
      </c>
    </row>
    <row r="6" spans="2:10" x14ac:dyDescent="0.25">
      <c r="B6" t="s">
        <v>107</v>
      </c>
      <c r="D6" t="s">
        <v>14</v>
      </c>
    </row>
    <row r="7" spans="2:10" x14ac:dyDescent="0.25">
      <c r="B7" t="s">
        <v>97</v>
      </c>
      <c r="D7" t="s">
        <v>165</v>
      </c>
    </row>
    <row r="8" spans="2:10" x14ac:dyDescent="0.25">
      <c r="B8" t="s">
        <v>101</v>
      </c>
      <c r="D8" t="s">
        <v>428</v>
      </c>
    </row>
    <row r="9" spans="2:10" x14ac:dyDescent="0.25">
      <c r="B9" t="s">
        <v>199</v>
      </c>
      <c r="D9" t="s">
        <v>165</v>
      </c>
    </row>
    <row r="10" spans="2:10" x14ac:dyDescent="0.25">
      <c r="B10" t="s">
        <v>76</v>
      </c>
      <c r="D10" t="s">
        <v>370</v>
      </c>
    </row>
    <row r="15" spans="2:10" x14ac:dyDescent="0.25">
      <c r="H15" t="s">
        <v>91</v>
      </c>
      <c r="I15" t="s">
        <v>429</v>
      </c>
      <c r="J15" t="s">
        <v>430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J47"/>
  <sheetViews>
    <sheetView topLeftCell="A22" workbookViewId="0">
      <selection activeCell="C54" sqref="C54"/>
    </sheetView>
  </sheetViews>
  <sheetFormatPr defaultRowHeight="15" x14ac:dyDescent="0.25"/>
  <cols>
    <col min="2" max="2" width="11.42578125" customWidth="1"/>
    <col min="3" max="3" width="16.28515625" customWidth="1"/>
  </cols>
  <sheetData>
    <row r="2" spans="2:14" x14ac:dyDescent="0.25">
      <c r="C2" t="s">
        <v>309</v>
      </c>
      <c r="D2" t="s">
        <v>310</v>
      </c>
      <c r="E2" t="s">
        <v>311</v>
      </c>
    </row>
    <row r="3" spans="2:14" x14ac:dyDescent="0.25">
      <c r="B3" t="s">
        <v>312</v>
      </c>
      <c r="C3" t="s">
        <v>313</v>
      </c>
      <c r="D3" t="s">
        <v>314</v>
      </c>
      <c r="E3" t="s">
        <v>315</v>
      </c>
    </row>
    <row r="9" spans="2:14" x14ac:dyDescent="0.25">
      <c r="C9" t="s">
        <v>316</v>
      </c>
      <c r="J9" t="s">
        <v>317</v>
      </c>
      <c r="M9" t="s">
        <v>318</v>
      </c>
    </row>
    <row r="10" spans="2:14" x14ac:dyDescent="0.25">
      <c r="B10" t="s">
        <v>319</v>
      </c>
      <c r="C10" t="s">
        <v>320</v>
      </c>
      <c r="G10" t="s">
        <v>205</v>
      </c>
      <c r="H10" t="s">
        <v>206</v>
      </c>
      <c r="I10" t="s">
        <v>321</v>
      </c>
      <c r="J10" t="s">
        <v>322</v>
      </c>
      <c r="K10" t="s">
        <v>323</v>
      </c>
      <c r="L10" t="s">
        <v>321</v>
      </c>
      <c r="M10" t="s">
        <v>322</v>
      </c>
      <c r="N10" t="s">
        <v>323</v>
      </c>
    </row>
    <row r="11" spans="2:14" x14ac:dyDescent="0.25">
      <c r="B11" t="s">
        <v>315</v>
      </c>
      <c r="C11" t="s">
        <v>323</v>
      </c>
      <c r="G11">
        <v>4000</v>
      </c>
      <c r="H11">
        <v>4209</v>
      </c>
      <c r="I11">
        <v>1000</v>
      </c>
      <c r="J11">
        <v>2400</v>
      </c>
      <c r="K11">
        <v>4000</v>
      </c>
      <c r="L11">
        <f t="shared" ref="L11:L27" si="0">I11*2/3</f>
        <v>666.66666666666663</v>
      </c>
      <c r="M11">
        <f t="shared" ref="M11:N26" si="1">J11*2/3</f>
        <v>1600</v>
      </c>
      <c r="N11">
        <f t="shared" si="1"/>
        <v>2666.6666666666665</v>
      </c>
    </row>
    <row r="12" spans="2:14" x14ac:dyDescent="0.25">
      <c r="B12" t="s">
        <v>324</v>
      </c>
      <c r="C12" t="s">
        <v>325</v>
      </c>
      <c r="G12">
        <v>4210</v>
      </c>
      <c r="H12">
        <v>4432</v>
      </c>
      <c r="I12">
        <v>1000</v>
      </c>
      <c r="J12">
        <v>2400</v>
      </c>
      <c r="K12">
        <v>4000</v>
      </c>
      <c r="L12">
        <f t="shared" si="0"/>
        <v>666.66666666666663</v>
      </c>
      <c r="M12">
        <f t="shared" si="1"/>
        <v>1600</v>
      </c>
      <c r="N12">
        <f t="shared" si="1"/>
        <v>2666.6666666666665</v>
      </c>
    </row>
    <row r="13" spans="2:14" x14ac:dyDescent="0.25">
      <c r="B13" t="s">
        <v>326</v>
      </c>
      <c r="C13" t="s">
        <v>327</v>
      </c>
      <c r="G13">
        <v>4433</v>
      </c>
      <c r="H13">
        <v>4742</v>
      </c>
      <c r="I13">
        <v>1000</v>
      </c>
      <c r="J13">
        <v>2400</v>
      </c>
      <c r="K13">
        <v>4000</v>
      </c>
      <c r="L13">
        <f t="shared" si="0"/>
        <v>666.66666666666663</v>
      </c>
      <c r="M13">
        <f t="shared" si="1"/>
        <v>1600</v>
      </c>
      <c r="N13">
        <f t="shared" si="1"/>
        <v>2666.6666666666665</v>
      </c>
    </row>
    <row r="14" spans="2:14" x14ac:dyDescent="0.25">
      <c r="B14" t="s">
        <v>328</v>
      </c>
      <c r="C14" t="s">
        <v>322</v>
      </c>
      <c r="G14">
        <v>4700</v>
      </c>
      <c r="H14">
        <v>4999</v>
      </c>
      <c r="I14">
        <v>1000</v>
      </c>
      <c r="J14">
        <v>2400</v>
      </c>
      <c r="K14">
        <v>4000</v>
      </c>
      <c r="L14">
        <f t="shared" si="0"/>
        <v>666.66666666666663</v>
      </c>
      <c r="M14">
        <f t="shared" si="1"/>
        <v>1600</v>
      </c>
      <c r="N14">
        <f t="shared" si="1"/>
        <v>2666.6666666666665</v>
      </c>
    </row>
    <row r="15" spans="2:14" x14ac:dyDescent="0.25">
      <c r="G15">
        <v>5000</v>
      </c>
      <c r="H15">
        <v>5159</v>
      </c>
      <c r="I15">
        <v>500</v>
      </c>
      <c r="J15">
        <v>1350</v>
      </c>
      <c r="K15">
        <v>2250</v>
      </c>
      <c r="L15">
        <f t="shared" si="0"/>
        <v>333.33333333333331</v>
      </c>
      <c r="M15">
        <f t="shared" si="1"/>
        <v>900</v>
      </c>
      <c r="N15">
        <f t="shared" si="1"/>
        <v>1500</v>
      </c>
    </row>
    <row r="16" spans="2:14" x14ac:dyDescent="0.25">
      <c r="C16" t="s">
        <v>329</v>
      </c>
      <c r="G16">
        <v>5160</v>
      </c>
      <c r="H16">
        <v>5499</v>
      </c>
      <c r="I16">
        <v>500</v>
      </c>
      <c r="J16">
        <v>1350</v>
      </c>
      <c r="K16">
        <v>2250</v>
      </c>
      <c r="L16">
        <f t="shared" si="0"/>
        <v>333.33333333333331</v>
      </c>
      <c r="M16">
        <f t="shared" si="1"/>
        <v>900</v>
      </c>
      <c r="N16">
        <f t="shared" si="1"/>
        <v>1500</v>
      </c>
    </row>
    <row r="17" spans="2:21" x14ac:dyDescent="0.25">
      <c r="B17" t="s">
        <v>319</v>
      </c>
      <c r="C17" t="s">
        <v>320</v>
      </c>
      <c r="G17">
        <v>5500</v>
      </c>
      <c r="H17">
        <v>5599</v>
      </c>
      <c r="I17">
        <v>500</v>
      </c>
      <c r="J17">
        <v>1350</v>
      </c>
      <c r="K17">
        <v>2250</v>
      </c>
      <c r="L17">
        <f t="shared" si="0"/>
        <v>333.33333333333331</v>
      </c>
      <c r="M17">
        <f t="shared" si="1"/>
        <v>900</v>
      </c>
      <c r="N17">
        <f t="shared" si="1"/>
        <v>1500</v>
      </c>
    </row>
    <row r="18" spans="2:21" x14ac:dyDescent="0.25">
      <c r="B18" t="s">
        <v>330</v>
      </c>
      <c r="C18" t="s">
        <v>323</v>
      </c>
      <c r="G18">
        <v>5600</v>
      </c>
      <c r="H18">
        <v>5909</v>
      </c>
      <c r="I18">
        <v>500</v>
      </c>
      <c r="J18">
        <v>1350</v>
      </c>
      <c r="K18">
        <v>2250</v>
      </c>
      <c r="L18">
        <f t="shared" si="0"/>
        <v>333.33333333333331</v>
      </c>
      <c r="M18">
        <f t="shared" si="1"/>
        <v>900</v>
      </c>
      <c r="N18">
        <f t="shared" si="1"/>
        <v>1500</v>
      </c>
    </row>
    <row r="19" spans="2:21" x14ac:dyDescent="0.25">
      <c r="B19" t="s">
        <v>331</v>
      </c>
      <c r="C19" t="s">
        <v>325</v>
      </c>
      <c r="G19">
        <v>5910</v>
      </c>
      <c r="H19">
        <v>5999</v>
      </c>
      <c r="I19">
        <v>500</v>
      </c>
      <c r="J19">
        <v>1350</v>
      </c>
      <c r="K19">
        <v>2250</v>
      </c>
      <c r="L19">
        <f t="shared" si="0"/>
        <v>333.33333333333331</v>
      </c>
      <c r="M19">
        <f t="shared" si="1"/>
        <v>900</v>
      </c>
      <c r="N19">
        <f t="shared" si="1"/>
        <v>1500</v>
      </c>
    </row>
    <row r="20" spans="2:21" x14ac:dyDescent="0.25">
      <c r="B20" t="s">
        <v>332</v>
      </c>
      <c r="C20" t="s">
        <v>321</v>
      </c>
      <c r="G20">
        <v>6000</v>
      </c>
      <c r="H20">
        <v>6009</v>
      </c>
      <c r="I20">
        <v>400</v>
      </c>
      <c r="J20">
        <v>600</v>
      </c>
      <c r="K20">
        <v>1000</v>
      </c>
      <c r="L20">
        <f t="shared" si="0"/>
        <v>266.66666666666669</v>
      </c>
      <c r="M20">
        <f t="shared" si="1"/>
        <v>400</v>
      </c>
      <c r="N20">
        <f t="shared" si="1"/>
        <v>666.66666666666663</v>
      </c>
    </row>
    <row r="21" spans="2:21" x14ac:dyDescent="0.25">
      <c r="B21" t="s">
        <v>333</v>
      </c>
      <c r="C21" t="s">
        <v>334</v>
      </c>
      <c r="G21">
        <v>6010</v>
      </c>
      <c r="H21">
        <v>6099</v>
      </c>
      <c r="I21">
        <v>400</v>
      </c>
      <c r="J21">
        <v>600</v>
      </c>
      <c r="K21">
        <v>1000</v>
      </c>
      <c r="L21">
        <f t="shared" si="0"/>
        <v>266.66666666666669</v>
      </c>
      <c r="M21">
        <f t="shared" si="1"/>
        <v>400</v>
      </c>
      <c r="N21">
        <f t="shared" si="1"/>
        <v>666.66666666666663</v>
      </c>
    </row>
    <row r="22" spans="2:21" x14ac:dyDescent="0.25">
      <c r="B22" t="s">
        <v>335</v>
      </c>
      <c r="C22" t="s">
        <v>322</v>
      </c>
      <c r="G22">
        <v>6100</v>
      </c>
      <c r="H22">
        <v>6409</v>
      </c>
      <c r="I22">
        <v>400</v>
      </c>
      <c r="J22">
        <v>600</v>
      </c>
      <c r="K22">
        <v>1000</v>
      </c>
      <c r="L22">
        <f t="shared" si="0"/>
        <v>266.66666666666669</v>
      </c>
      <c r="M22">
        <f t="shared" si="1"/>
        <v>400</v>
      </c>
      <c r="N22">
        <f t="shared" si="1"/>
        <v>666.66666666666663</v>
      </c>
    </row>
    <row r="23" spans="2:21" x14ac:dyDescent="0.25">
      <c r="G23">
        <v>6410</v>
      </c>
      <c r="H23">
        <v>6499</v>
      </c>
      <c r="I23">
        <v>400</v>
      </c>
      <c r="J23">
        <v>600</v>
      </c>
      <c r="K23">
        <v>1000</v>
      </c>
      <c r="L23">
        <f t="shared" si="0"/>
        <v>266.66666666666669</v>
      </c>
      <c r="M23">
        <f t="shared" si="1"/>
        <v>400</v>
      </c>
      <c r="N23">
        <f t="shared" si="1"/>
        <v>666.66666666666663</v>
      </c>
    </row>
    <row r="24" spans="2:21" x14ac:dyDescent="0.25">
      <c r="C24" t="s">
        <v>309</v>
      </c>
      <c r="G24">
        <v>6500</v>
      </c>
      <c r="H24">
        <v>6809</v>
      </c>
      <c r="I24">
        <v>400</v>
      </c>
      <c r="J24">
        <v>600</v>
      </c>
      <c r="K24">
        <v>1000</v>
      </c>
      <c r="L24">
        <f t="shared" si="0"/>
        <v>266.66666666666669</v>
      </c>
      <c r="M24">
        <f t="shared" si="1"/>
        <v>400</v>
      </c>
      <c r="N24">
        <f t="shared" si="1"/>
        <v>666.66666666666663</v>
      </c>
    </row>
    <row r="25" spans="2:21" x14ac:dyDescent="0.25">
      <c r="B25" t="s">
        <v>319</v>
      </c>
      <c r="C25" t="s">
        <v>320</v>
      </c>
      <c r="G25">
        <v>6810</v>
      </c>
      <c r="H25">
        <v>6999</v>
      </c>
      <c r="I25">
        <v>400</v>
      </c>
      <c r="J25">
        <v>600</v>
      </c>
      <c r="K25">
        <v>1000</v>
      </c>
      <c r="L25">
        <f t="shared" si="0"/>
        <v>266.66666666666669</v>
      </c>
      <c r="M25">
        <f t="shared" si="1"/>
        <v>400</v>
      </c>
      <c r="N25">
        <f t="shared" si="1"/>
        <v>666.66666666666663</v>
      </c>
    </row>
    <row r="26" spans="2:21" x14ac:dyDescent="0.25">
      <c r="B26" t="s">
        <v>313</v>
      </c>
      <c r="C26" t="s">
        <v>17</v>
      </c>
      <c r="G26">
        <v>7000</v>
      </c>
      <c r="H26">
        <v>7099</v>
      </c>
      <c r="I26">
        <v>300</v>
      </c>
      <c r="J26">
        <v>300</v>
      </c>
      <c r="K26">
        <v>500</v>
      </c>
      <c r="L26">
        <f t="shared" si="0"/>
        <v>200</v>
      </c>
      <c r="M26">
        <f t="shared" si="1"/>
        <v>200</v>
      </c>
      <c r="N26">
        <f t="shared" si="1"/>
        <v>333.33333333333331</v>
      </c>
    </row>
    <row r="27" spans="2:21" x14ac:dyDescent="0.25">
      <c r="B27" s="38" t="s">
        <v>336</v>
      </c>
      <c r="C27" t="s">
        <v>337</v>
      </c>
      <c r="G27">
        <v>7100</v>
      </c>
      <c r="H27">
        <v>7409</v>
      </c>
      <c r="I27">
        <v>300</v>
      </c>
      <c r="J27">
        <v>300</v>
      </c>
      <c r="K27">
        <v>500</v>
      </c>
      <c r="L27">
        <f t="shared" si="0"/>
        <v>200</v>
      </c>
      <c r="M27">
        <f>J27*2/3</f>
        <v>200</v>
      </c>
      <c r="N27">
        <f>K27*2/3</f>
        <v>333.33333333333331</v>
      </c>
      <c r="R27" t="s">
        <v>431</v>
      </c>
      <c r="T27" t="s">
        <v>432</v>
      </c>
      <c r="U27" t="s">
        <v>433</v>
      </c>
    </row>
    <row r="28" spans="2:21" x14ac:dyDescent="0.25">
      <c r="B28" t="s">
        <v>314</v>
      </c>
      <c r="C28" t="s">
        <v>323</v>
      </c>
      <c r="G28">
        <v>7410</v>
      </c>
      <c r="H28">
        <v>7709</v>
      </c>
      <c r="I28">
        <v>300</v>
      </c>
      <c r="J28">
        <v>300</v>
      </c>
      <c r="K28">
        <v>500</v>
      </c>
      <c r="L28">
        <f t="shared" ref="L28:N29" si="2">I28*2/3</f>
        <v>200</v>
      </c>
      <c r="M28">
        <f t="shared" si="2"/>
        <v>200</v>
      </c>
      <c r="N28">
        <f t="shared" si="2"/>
        <v>333.33333333333331</v>
      </c>
      <c r="U28" t="s">
        <v>432</v>
      </c>
    </row>
    <row r="29" spans="2:21" x14ac:dyDescent="0.25">
      <c r="B29" t="s">
        <v>338</v>
      </c>
      <c r="C29" t="s">
        <v>322</v>
      </c>
      <c r="G29">
        <v>7710</v>
      </c>
      <c r="H29">
        <v>7999</v>
      </c>
      <c r="I29">
        <v>300</v>
      </c>
      <c r="J29">
        <v>300</v>
      </c>
      <c r="K29">
        <v>500</v>
      </c>
      <c r="L29">
        <f t="shared" si="2"/>
        <v>200</v>
      </c>
      <c r="M29">
        <f t="shared" si="2"/>
        <v>200</v>
      </c>
      <c r="N29">
        <f t="shared" si="2"/>
        <v>333.33333333333331</v>
      </c>
      <c r="U29" t="s">
        <v>348</v>
      </c>
    </row>
    <row r="30" spans="2:21" x14ac:dyDescent="0.25">
      <c r="B30" t="s">
        <v>339</v>
      </c>
      <c r="C30" t="s">
        <v>325</v>
      </c>
    </row>
    <row r="32" spans="2:21" x14ac:dyDescent="0.25">
      <c r="C32" t="s">
        <v>310</v>
      </c>
      <c r="R32">
        <v>4</v>
      </c>
      <c r="S32">
        <v>200</v>
      </c>
      <c r="T32">
        <v>876</v>
      </c>
    </row>
    <row r="33" spans="2:36" x14ac:dyDescent="0.25">
      <c r="B33" t="s">
        <v>319</v>
      </c>
      <c r="C33" t="s">
        <v>320</v>
      </c>
      <c r="R33">
        <f>7500/2</f>
        <v>3750</v>
      </c>
      <c r="S33">
        <f>R33+4200</f>
        <v>7950</v>
      </c>
      <c r="T33">
        <f>4876+R33</f>
        <v>8626</v>
      </c>
    </row>
    <row r="34" spans="2:36" x14ac:dyDescent="0.25">
      <c r="B34" t="s">
        <v>340</v>
      </c>
      <c r="C34" t="s">
        <v>341</v>
      </c>
      <c r="R34">
        <f>7500/3</f>
        <v>2500</v>
      </c>
      <c r="S34">
        <f>R34+4200</f>
        <v>6700</v>
      </c>
      <c r="T34" s="43">
        <f>4876+R34</f>
        <v>7376</v>
      </c>
    </row>
    <row r="35" spans="2:36" x14ac:dyDescent="0.25">
      <c r="B35" t="s">
        <v>314</v>
      </c>
      <c r="C35" t="s">
        <v>17</v>
      </c>
      <c r="J35" s="39" t="s">
        <v>317</v>
      </c>
      <c r="R35">
        <f>7500/4</f>
        <v>1875</v>
      </c>
      <c r="S35">
        <f>R35+4200</f>
        <v>6075</v>
      </c>
      <c r="T35">
        <f>4876+R35</f>
        <v>6751</v>
      </c>
      <c r="AA35" t="s">
        <v>317</v>
      </c>
      <c r="AF35" t="s">
        <v>318</v>
      </c>
    </row>
    <row r="36" spans="2:36" x14ac:dyDescent="0.25">
      <c r="B36" t="s">
        <v>342</v>
      </c>
      <c r="C36" t="s">
        <v>343</v>
      </c>
      <c r="G36" s="39" t="s">
        <v>344</v>
      </c>
      <c r="H36" s="39" t="s">
        <v>207</v>
      </c>
      <c r="I36" s="39" t="s">
        <v>321</v>
      </c>
      <c r="J36" s="39" t="s">
        <v>322</v>
      </c>
      <c r="K36" s="39" t="s">
        <v>323</v>
      </c>
      <c r="L36" s="39" t="s">
        <v>345</v>
      </c>
      <c r="M36" s="39" t="s">
        <v>346</v>
      </c>
      <c r="N36" s="39" t="s">
        <v>347</v>
      </c>
      <c r="Y36" t="s">
        <v>207</v>
      </c>
      <c r="Z36" t="s">
        <v>321</v>
      </c>
      <c r="AA36" t="s">
        <v>322</v>
      </c>
      <c r="AB36" t="s">
        <v>323</v>
      </c>
      <c r="AC36" t="s">
        <v>346</v>
      </c>
      <c r="AD36" t="s">
        <v>347</v>
      </c>
      <c r="AE36" t="s">
        <v>321</v>
      </c>
      <c r="AF36" t="s">
        <v>322</v>
      </c>
      <c r="AG36" t="s">
        <v>323</v>
      </c>
      <c r="AH36" t="s">
        <v>348</v>
      </c>
      <c r="AI36" t="s">
        <v>346</v>
      </c>
      <c r="AJ36" t="s">
        <v>347</v>
      </c>
    </row>
    <row r="37" spans="2:36" x14ac:dyDescent="0.25">
      <c r="B37" t="s">
        <v>349</v>
      </c>
      <c r="C37" t="s">
        <v>341</v>
      </c>
      <c r="G37" s="39">
        <v>200</v>
      </c>
      <c r="H37" s="39">
        <v>4</v>
      </c>
      <c r="I37" s="37">
        <f t="shared" ref="I37:K40" si="3">1000*$H37+$G$37+Z37</f>
        <v>5200</v>
      </c>
      <c r="J37" s="37">
        <f t="shared" si="3"/>
        <v>6600</v>
      </c>
      <c r="K37" s="37">
        <f t="shared" si="3"/>
        <v>8200</v>
      </c>
      <c r="L37" s="37">
        <f>H37*1000+$G$37+(AH37*3/2)</f>
        <v>6750</v>
      </c>
      <c r="M37" s="37">
        <f t="shared" ref="M37:N40" si="4">1000*$H37+$G$37+AC37</f>
        <v>6800</v>
      </c>
      <c r="N37" s="37">
        <f t="shared" si="4"/>
        <v>8100</v>
      </c>
      <c r="R37">
        <v>5</v>
      </c>
      <c r="S37">
        <v>200</v>
      </c>
      <c r="T37">
        <v>800</v>
      </c>
      <c r="U37">
        <v>900</v>
      </c>
      <c r="Y37">
        <v>4</v>
      </c>
      <c r="Z37">
        <v>1000</v>
      </c>
      <c r="AA37">
        <v>2400</v>
      </c>
      <c r="AB37">
        <v>4000</v>
      </c>
      <c r="AC37">
        <v>2600</v>
      </c>
      <c r="AD37">
        <v>3900</v>
      </c>
      <c r="AE37">
        <f t="shared" ref="AE37:AG40" si="5">Z37*2/3</f>
        <v>666.66666666666663</v>
      </c>
      <c r="AF37">
        <f t="shared" si="5"/>
        <v>1600</v>
      </c>
      <c r="AG37">
        <f t="shared" si="5"/>
        <v>2666.6666666666665</v>
      </c>
      <c r="AH37">
        <v>1700</v>
      </c>
      <c r="AI37">
        <f t="shared" ref="AI37:AJ40" si="6">AC37*2/3</f>
        <v>1733.3333333333333</v>
      </c>
      <c r="AJ37">
        <f t="shared" si="6"/>
        <v>2600</v>
      </c>
    </row>
    <row r="38" spans="2:36" x14ac:dyDescent="0.25">
      <c r="H38" s="39">
        <v>5</v>
      </c>
      <c r="I38" s="37">
        <f t="shared" si="3"/>
        <v>5700</v>
      </c>
      <c r="J38" s="37">
        <f t="shared" si="3"/>
        <v>6550</v>
      </c>
      <c r="K38" s="37">
        <f t="shared" si="3"/>
        <v>7450</v>
      </c>
      <c r="L38" s="37">
        <f>H38*1000+$G$37+(AH38*3/2)</f>
        <v>7150</v>
      </c>
      <c r="M38" s="37">
        <f t="shared" si="4"/>
        <v>6800</v>
      </c>
      <c r="N38" s="37">
        <f t="shared" si="4"/>
        <v>7600</v>
      </c>
      <c r="R38">
        <f>6900/2</f>
        <v>3450</v>
      </c>
      <c r="S38">
        <f>R38+5200</f>
        <v>8650</v>
      </c>
      <c r="T38">
        <f>5800+R38</f>
        <v>9250</v>
      </c>
      <c r="U38">
        <f>5900+R38</f>
        <v>9350</v>
      </c>
      <c r="Y38">
        <v>5</v>
      </c>
      <c r="Z38">
        <v>500</v>
      </c>
      <c r="AA38">
        <v>1350</v>
      </c>
      <c r="AB38">
        <v>2250</v>
      </c>
      <c r="AC38">
        <v>1600</v>
      </c>
      <c r="AD38">
        <v>2400</v>
      </c>
      <c r="AE38">
        <f t="shared" si="5"/>
        <v>333.33333333333331</v>
      </c>
      <c r="AF38">
        <f t="shared" si="5"/>
        <v>900</v>
      </c>
      <c r="AG38">
        <f t="shared" si="5"/>
        <v>1500</v>
      </c>
      <c r="AH38">
        <v>1300</v>
      </c>
      <c r="AI38">
        <f t="shared" si="6"/>
        <v>1066.6666666666667</v>
      </c>
      <c r="AJ38">
        <f t="shared" si="6"/>
        <v>1600</v>
      </c>
    </row>
    <row r="39" spans="2:36" x14ac:dyDescent="0.25">
      <c r="H39" s="39">
        <v>6</v>
      </c>
      <c r="I39" s="37">
        <f t="shared" si="3"/>
        <v>6600</v>
      </c>
      <c r="J39" s="37">
        <f t="shared" si="3"/>
        <v>6800</v>
      </c>
      <c r="K39" s="37">
        <f t="shared" si="3"/>
        <v>7200</v>
      </c>
      <c r="L39" s="37">
        <f>H39*1000+$G$37+(AH39*3/2)</f>
        <v>7500.5</v>
      </c>
      <c r="M39" s="37">
        <f t="shared" si="4"/>
        <v>7100</v>
      </c>
      <c r="N39" s="37">
        <f t="shared" si="4"/>
        <v>7550</v>
      </c>
      <c r="R39">
        <f>6900/3</f>
        <v>2300</v>
      </c>
      <c r="S39">
        <f>R39+5200</f>
        <v>7500</v>
      </c>
      <c r="T39" s="43">
        <f>5800+R39</f>
        <v>8100</v>
      </c>
      <c r="U39" s="43">
        <f>5900+R39</f>
        <v>8200</v>
      </c>
      <c r="Y39">
        <v>6</v>
      </c>
      <c r="Z39">
        <v>400</v>
      </c>
      <c r="AA39">
        <v>600</v>
      </c>
      <c r="AB39">
        <v>1000</v>
      </c>
      <c r="AC39">
        <v>900</v>
      </c>
      <c r="AD39">
        <v>1350</v>
      </c>
      <c r="AE39">
        <f t="shared" si="5"/>
        <v>266.66666666666669</v>
      </c>
      <c r="AF39">
        <f t="shared" si="5"/>
        <v>400</v>
      </c>
      <c r="AG39">
        <f t="shared" si="5"/>
        <v>666.66666666666663</v>
      </c>
      <c r="AH39">
        <v>867</v>
      </c>
      <c r="AI39">
        <f t="shared" si="6"/>
        <v>600</v>
      </c>
      <c r="AJ39">
        <f t="shared" si="6"/>
        <v>900</v>
      </c>
    </row>
    <row r="40" spans="2:36" x14ac:dyDescent="0.25">
      <c r="H40" s="39">
        <v>7</v>
      </c>
      <c r="I40" s="37">
        <f t="shared" si="3"/>
        <v>7500</v>
      </c>
      <c r="J40" s="37">
        <f t="shared" si="3"/>
        <v>7500</v>
      </c>
      <c r="K40" s="37">
        <f t="shared" si="3"/>
        <v>7700</v>
      </c>
      <c r="L40" s="37">
        <f>H40*1000+$G$37+(AH40*3/2)</f>
        <v>7999.5</v>
      </c>
      <c r="M40" s="37">
        <f t="shared" si="4"/>
        <v>7600</v>
      </c>
      <c r="N40" s="37">
        <f t="shared" si="4"/>
        <v>7800</v>
      </c>
      <c r="R40">
        <f>6900/4</f>
        <v>1725</v>
      </c>
      <c r="S40">
        <f>R40+5200</f>
        <v>6925</v>
      </c>
      <c r="T40">
        <f>5800+R40</f>
        <v>7525</v>
      </c>
      <c r="U40">
        <f>5900+R40</f>
        <v>7625</v>
      </c>
      <c r="Y40">
        <v>7</v>
      </c>
      <c r="Z40">
        <v>300</v>
      </c>
      <c r="AA40">
        <v>300</v>
      </c>
      <c r="AB40">
        <v>500</v>
      </c>
      <c r="AC40">
        <v>400</v>
      </c>
      <c r="AD40">
        <v>600</v>
      </c>
      <c r="AE40">
        <f t="shared" si="5"/>
        <v>200</v>
      </c>
      <c r="AF40">
        <f t="shared" si="5"/>
        <v>200</v>
      </c>
      <c r="AG40">
        <f t="shared" si="5"/>
        <v>333.33333333333331</v>
      </c>
      <c r="AH40">
        <v>533</v>
      </c>
      <c r="AI40">
        <f t="shared" si="6"/>
        <v>266.66666666666669</v>
      </c>
      <c r="AJ40">
        <f t="shared" si="6"/>
        <v>400</v>
      </c>
    </row>
    <row r="42" spans="2:36" x14ac:dyDescent="0.25">
      <c r="J42" s="39" t="s">
        <v>318</v>
      </c>
      <c r="R42">
        <v>6</v>
      </c>
      <c r="S42">
        <v>600</v>
      </c>
      <c r="T42">
        <v>750</v>
      </c>
      <c r="U42">
        <v>800</v>
      </c>
    </row>
    <row r="43" spans="2:36" x14ac:dyDescent="0.25">
      <c r="I43" s="39" t="s">
        <v>321</v>
      </c>
      <c r="J43" s="39" t="s">
        <v>322</v>
      </c>
      <c r="K43" s="39" t="s">
        <v>323</v>
      </c>
      <c r="L43" s="39" t="s">
        <v>345</v>
      </c>
      <c r="M43" s="39" t="s">
        <v>346</v>
      </c>
      <c r="N43" s="39" t="s">
        <v>347</v>
      </c>
      <c r="R43">
        <f>6000/2</f>
        <v>3000</v>
      </c>
      <c r="S43">
        <f>6200+R43</f>
        <v>9200</v>
      </c>
      <c r="T43">
        <f>6750+R43</f>
        <v>9750</v>
      </c>
      <c r="U43">
        <f>6800+R43</f>
        <v>9800</v>
      </c>
    </row>
    <row r="44" spans="2:36" x14ac:dyDescent="0.25">
      <c r="H44" s="39">
        <v>4</v>
      </c>
      <c r="I44" s="37">
        <f t="shared" ref="I44:N47" si="7">1000*$H37+$G$37+AE37</f>
        <v>4866.666666666667</v>
      </c>
      <c r="J44" s="37">
        <f t="shared" si="7"/>
        <v>5800</v>
      </c>
      <c r="K44" s="37">
        <f t="shared" si="7"/>
        <v>6866.6666666666661</v>
      </c>
      <c r="L44" s="37">
        <f t="shared" si="7"/>
        <v>5900</v>
      </c>
      <c r="M44" s="37">
        <f t="shared" si="7"/>
        <v>5933.333333333333</v>
      </c>
      <c r="N44" s="37">
        <f t="shared" si="7"/>
        <v>6800</v>
      </c>
      <c r="R44">
        <f>6000/3</f>
        <v>2000</v>
      </c>
      <c r="S44" s="43">
        <f>6200+R44</f>
        <v>8200</v>
      </c>
      <c r="T44">
        <f>6750+R44</f>
        <v>8750</v>
      </c>
      <c r="U44">
        <f>6800+R44</f>
        <v>8800</v>
      </c>
    </row>
    <row r="45" spans="2:36" x14ac:dyDescent="0.25">
      <c r="H45" s="39">
        <v>5</v>
      </c>
      <c r="I45" s="37">
        <f t="shared" si="7"/>
        <v>5533.333333333333</v>
      </c>
      <c r="J45" s="37">
        <f t="shared" si="7"/>
        <v>6100</v>
      </c>
      <c r="K45" s="37">
        <f t="shared" si="7"/>
        <v>6700</v>
      </c>
      <c r="L45" s="37">
        <f t="shared" si="7"/>
        <v>6500</v>
      </c>
      <c r="M45" s="37">
        <f t="shared" si="7"/>
        <v>6266.666666666667</v>
      </c>
      <c r="N45" s="37">
        <f t="shared" si="7"/>
        <v>6800</v>
      </c>
      <c r="R45">
        <f>6000/4</f>
        <v>1500</v>
      </c>
      <c r="S45">
        <f>6200+R45</f>
        <v>7700</v>
      </c>
      <c r="T45">
        <f>6750+R45</f>
        <v>8250</v>
      </c>
      <c r="U45">
        <f>6800+R45</f>
        <v>8300</v>
      </c>
    </row>
    <row r="46" spans="2:36" x14ac:dyDescent="0.25">
      <c r="H46" s="39">
        <v>6</v>
      </c>
      <c r="I46" s="37">
        <f t="shared" si="7"/>
        <v>6466.666666666667</v>
      </c>
      <c r="J46" s="37">
        <f t="shared" si="7"/>
        <v>6600</v>
      </c>
      <c r="K46" s="37">
        <f t="shared" si="7"/>
        <v>6866.666666666667</v>
      </c>
      <c r="L46" s="37">
        <f t="shared" si="7"/>
        <v>7067</v>
      </c>
      <c r="M46" s="37">
        <f t="shared" si="7"/>
        <v>6800</v>
      </c>
      <c r="N46" s="37">
        <f t="shared" si="7"/>
        <v>7100</v>
      </c>
    </row>
    <row r="47" spans="2:36" x14ac:dyDescent="0.25">
      <c r="H47" s="39">
        <v>7</v>
      </c>
      <c r="I47" s="37">
        <f t="shared" si="7"/>
        <v>7400</v>
      </c>
      <c r="J47" s="37">
        <f t="shared" si="7"/>
        <v>7400</v>
      </c>
      <c r="K47" s="37">
        <f t="shared" si="7"/>
        <v>7533.333333333333</v>
      </c>
      <c r="L47" s="37">
        <f t="shared" si="7"/>
        <v>7733</v>
      </c>
      <c r="M47" s="37">
        <f t="shared" si="7"/>
        <v>7466.666666666667</v>
      </c>
      <c r="N47" s="37">
        <f t="shared" si="7"/>
        <v>7600</v>
      </c>
    </row>
  </sheetData>
  <conditionalFormatting sqref="I44:N47 I37:K40 M37:N40">
    <cfRule type="cellIs" dxfId="7" priority="21" operator="between">
      <formula>7999</formula>
      <formula>8209</formula>
    </cfRule>
    <cfRule type="cellIs" dxfId="6" priority="22" operator="between">
      <formula>7099</formula>
      <formula>7409</formula>
    </cfRule>
    <cfRule type="cellIs" dxfId="5" priority="23" operator="between">
      <formula>5999</formula>
      <formula>6009</formula>
    </cfRule>
    <cfRule type="cellIs" dxfId="4" priority="24" operator="greaterThan">
      <formula>8209</formula>
    </cfRule>
  </conditionalFormatting>
  <conditionalFormatting sqref="L37:L40">
    <cfRule type="cellIs" dxfId="3" priority="17" operator="greaterThan">
      <formula>8209</formula>
    </cfRule>
    <cfRule type="cellIs" dxfId="2" priority="18" operator="between">
      <formula>8000</formula>
      <formula>8209</formula>
    </cfRule>
    <cfRule type="cellIs" dxfId="1" priority="19" operator="between">
      <formula>7100</formula>
      <formula>7409</formula>
    </cfRule>
    <cfRule type="cellIs" dxfId="0" priority="20" operator="between">
      <formula>6000</formula>
      <formula>6009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D57"/>
  <sheetViews>
    <sheetView topLeftCell="C1" workbookViewId="0">
      <selection activeCell="W50" sqref="W50"/>
    </sheetView>
  </sheetViews>
  <sheetFormatPr defaultRowHeight="15" x14ac:dyDescent="0.25"/>
  <cols>
    <col min="2" max="2" width="10.28515625" customWidth="1"/>
    <col min="3" max="3" width="11" customWidth="1"/>
    <col min="12" max="12" width="10.85546875" customWidth="1"/>
  </cols>
  <sheetData>
    <row r="4" spans="1:29" x14ac:dyDescent="0.25">
      <c r="B4" t="s">
        <v>76</v>
      </c>
      <c r="C4" t="s">
        <v>199</v>
      </c>
      <c r="D4" t="s">
        <v>367</v>
      </c>
      <c r="E4" t="s">
        <v>38</v>
      </c>
      <c r="F4" t="s">
        <v>107</v>
      </c>
      <c r="G4" t="s">
        <v>111</v>
      </c>
      <c r="L4" t="s">
        <v>354</v>
      </c>
      <c r="M4" t="s">
        <v>356</v>
      </c>
      <c r="N4" t="s">
        <v>365</v>
      </c>
      <c r="O4" t="s">
        <v>355</v>
      </c>
      <c r="P4" t="s">
        <v>358</v>
      </c>
      <c r="Q4" t="s">
        <v>190</v>
      </c>
      <c r="R4" t="s">
        <v>14</v>
      </c>
    </row>
    <row r="5" spans="1:29" x14ac:dyDescent="0.25">
      <c r="A5" t="s">
        <v>350</v>
      </c>
      <c r="B5" t="s">
        <v>369</v>
      </c>
      <c r="C5" t="s">
        <v>358</v>
      </c>
      <c r="D5" t="s">
        <v>190</v>
      </c>
      <c r="E5" t="s">
        <v>359</v>
      </c>
      <c r="F5" t="s">
        <v>359</v>
      </c>
      <c r="G5" t="s">
        <v>173</v>
      </c>
      <c r="L5" s="41" t="s">
        <v>199</v>
      </c>
      <c r="M5" s="42" t="s">
        <v>134</v>
      </c>
      <c r="N5" s="42" t="s">
        <v>135</v>
      </c>
      <c r="O5" s="42">
        <v>2</v>
      </c>
      <c r="P5" s="42" t="s">
        <v>137</v>
      </c>
      <c r="Q5" s="42" t="s">
        <v>137</v>
      </c>
      <c r="R5" s="42" t="s">
        <v>137</v>
      </c>
      <c r="W5">
        <f>937</f>
        <v>937</v>
      </c>
    </row>
    <row r="6" spans="1:29" x14ac:dyDescent="0.25">
      <c r="A6" t="s">
        <v>351</v>
      </c>
      <c r="B6" t="s">
        <v>14</v>
      </c>
      <c r="C6" t="s">
        <v>353</v>
      </c>
      <c r="D6" t="s">
        <v>177</v>
      </c>
      <c r="E6" t="s">
        <v>358</v>
      </c>
      <c r="F6" t="s">
        <v>358</v>
      </c>
      <c r="G6" t="s">
        <v>358</v>
      </c>
      <c r="L6" s="41" t="s">
        <v>29</v>
      </c>
      <c r="M6" s="42" t="s">
        <v>136</v>
      </c>
      <c r="N6" s="42" t="s">
        <v>134</v>
      </c>
      <c r="O6" s="42" t="s">
        <v>357</v>
      </c>
      <c r="P6" s="42" t="s">
        <v>137</v>
      </c>
      <c r="Q6" s="42" t="s">
        <v>137</v>
      </c>
      <c r="R6" s="42" t="s">
        <v>137</v>
      </c>
      <c r="X6">
        <f>900*1.4</f>
        <v>1260</v>
      </c>
      <c r="Y6">
        <f>1000</f>
        <v>1000</v>
      </c>
      <c r="Z6">
        <v>720</v>
      </c>
    </row>
    <row r="7" spans="1:29" x14ac:dyDescent="0.25">
      <c r="A7" t="s">
        <v>352</v>
      </c>
      <c r="B7" t="s">
        <v>368</v>
      </c>
      <c r="C7" t="s">
        <v>14</v>
      </c>
      <c r="D7" t="s">
        <v>359</v>
      </c>
      <c r="E7" t="s">
        <v>14</v>
      </c>
      <c r="F7" t="s">
        <v>359</v>
      </c>
      <c r="G7" t="s">
        <v>359</v>
      </c>
      <c r="L7" s="41" t="s">
        <v>31</v>
      </c>
      <c r="M7" s="42" t="s">
        <v>136</v>
      </c>
      <c r="N7" s="42" t="s">
        <v>134</v>
      </c>
      <c r="O7" s="42">
        <v>2</v>
      </c>
      <c r="P7" s="42" t="s">
        <v>137</v>
      </c>
      <c r="Q7" s="42" t="s">
        <v>138</v>
      </c>
      <c r="R7" s="42" t="s">
        <v>137</v>
      </c>
      <c r="W7">
        <f>W5*1.5*2</f>
        <v>2811</v>
      </c>
      <c r="X7">
        <f>600*1.2</f>
        <v>720</v>
      </c>
      <c r="Y7">
        <f>600</f>
        <v>600</v>
      </c>
      <c r="Z7">
        <v>720</v>
      </c>
    </row>
    <row r="8" spans="1:29" x14ac:dyDescent="0.25">
      <c r="L8" s="41" t="s">
        <v>36</v>
      </c>
      <c r="M8" s="42" t="s">
        <v>136</v>
      </c>
      <c r="N8" s="42" t="s">
        <v>134</v>
      </c>
      <c r="O8" s="42">
        <v>2</v>
      </c>
      <c r="P8" s="42" t="s">
        <v>137</v>
      </c>
      <c r="Q8" s="42" t="s">
        <v>134</v>
      </c>
      <c r="R8" s="42" t="s">
        <v>137</v>
      </c>
      <c r="W8">
        <f>W5*4.5</f>
        <v>4216.5</v>
      </c>
      <c r="X8">
        <f>600*1.2</f>
        <v>720</v>
      </c>
      <c r="Y8">
        <f>600</f>
        <v>600</v>
      </c>
    </row>
    <row r="9" spans="1:29" x14ac:dyDescent="0.25">
      <c r="L9" s="41" t="s">
        <v>38</v>
      </c>
      <c r="M9" s="42" t="s">
        <v>135</v>
      </c>
      <c r="N9" s="42" t="s">
        <v>134</v>
      </c>
      <c r="O9" s="42">
        <v>2</v>
      </c>
      <c r="P9" s="42" t="s">
        <v>138</v>
      </c>
      <c r="Q9" s="42" t="s">
        <v>137</v>
      </c>
      <c r="R9" s="42" t="s">
        <v>134</v>
      </c>
    </row>
    <row r="10" spans="1:29" x14ac:dyDescent="0.25">
      <c r="L10" t="s">
        <v>40</v>
      </c>
      <c r="M10" s="40" t="s">
        <v>137</v>
      </c>
      <c r="N10" s="40" t="s">
        <v>136</v>
      </c>
      <c r="O10" s="40">
        <v>2</v>
      </c>
      <c r="P10" s="40" t="s">
        <v>134</v>
      </c>
      <c r="Q10" s="40" t="s">
        <v>134</v>
      </c>
      <c r="R10" s="40" t="s">
        <v>137</v>
      </c>
      <c r="W10">
        <f>SUM(W7:W8)</f>
        <v>7027.5</v>
      </c>
      <c r="X10">
        <f>SUM(X6:X8)</f>
        <v>2700</v>
      </c>
      <c r="Y10">
        <f>SUM(Y6:Y8)</f>
        <v>2200</v>
      </c>
      <c r="Z10">
        <f>SUM(Z6:Z8)</f>
        <v>1440</v>
      </c>
      <c r="AB10">
        <f>SUM(W10:AA10)</f>
        <v>13367.5</v>
      </c>
      <c r="AC10" t="s">
        <v>425</v>
      </c>
    </row>
    <row r="11" spans="1:29" x14ac:dyDescent="0.25">
      <c r="L11" t="s">
        <v>63</v>
      </c>
      <c r="M11" s="40" t="s">
        <v>134</v>
      </c>
      <c r="N11" s="40" t="s">
        <v>136</v>
      </c>
      <c r="O11" s="40">
        <v>2</v>
      </c>
      <c r="P11" s="40" t="s">
        <v>137</v>
      </c>
      <c r="Q11" s="40" t="s">
        <v>137</v>
      </c>
      <c r="R11" s="40" t="s">
        <v>137</v>
      </c>
    </row>
    <row r="12" spans="1:29" x14ac:dyDescent="0.25">
      <c r="C12" t="s">
        <v>360</v>
      </c>
      <c r="L12" s="41" t="s">
        <v>76</v>
      </c>
      <c r="M12" s="42" t="s">
        <v>131</v>
      </c>
      <c r="N12" s="42" t="s">
        <v>135</v>
      </c>
      <c r="O12" s="42">
        <v>3</v>
      </c>
      <c r="P12" s="42" t="s">
        <v>132</v>
      </c>
      <c r="Q12" s="42" t="s">
        <v>134</v>
      </c>
      <c r="R12" s="42" t="s">
        <v>134</v>
      </c>
    </row>
    <row r="13" spans="1:29" x14ac:dyDescent="0.25">
      <c r="C13" t="s">
        <v>361</v>
      </c>
      <c r="L13" t="s">
        <v>91</v>
      </c>
      <c r="M13" s="40" t="s">
        <v>134</v>
      </c>
      <c r="N13" s="40" t="s">
        <v>136</v>
      </c>
      <c r="O13" s="40">
        <v>1</v>
      </c>
      <c r="P13" s="40" t="s">
        <v>134</v>
      </c>
      <c r="Q13" s="40" t="s">
        <v>132</v>
      </c>
      <c r="R13" s="40" t="s">
        <v>137</v>
      </c>
      <c r="Y13" t="s">
        <v>206</v>
      </c>
      <c r="Z13" t="s">
        <v>205</v>
      </c>
    </row>
    <row r="14" spans="1:29" x14ac:dyDescent="0.25">
      <c r="C14" t="s">
        <v>362</v>
      </c>
      <c r="L14" t="s">
        <v>97</v>
      </c>
      <c r="M14" s="40" t="s">
        <v>135</v>
      </c>
      <c r="N14" s="40" t="s">
        <v>136</v>
      </c>
      <c r="O14" s="40">
        <v>3</v>
      </c>
      <c r="P14" s="40" t="s">
        <v>137</v>
      </c>
      <c r="Q14" s="40" t="s">
        <v>137</v>
      </c>
      <c r="R14" s="40" t="s">
        <v>137</v>
      </c>
      <c r="W14">
        <v>1300</v>
      </c>
      <c r="X14">
        <f>950*1.5</f>
        <v>1425</v>
      </c>
      <c r="Y14">
        <f>950*4.5</f>
        <v>4275</v>
      </c>
      <c r="Z14">
        <f>950*3</f>
        <v>2850</v>
      </c>
    </row>
    <row r="15" spans="1:29" x14ac:dyDescent="0.25">
      <c r="B15" t="s">
        <v>111</v>
      </c>
      <c r="C15" t="s">
        <v>371</v>
      </c>
      <c r="E15">
        <v>720</v>
      </c>
      <c r="H15">
        <f>900*1.4</f>
        <v>1260</v>
      </c>
      <c r="L15" t="s">
        <v>101</v>
      </c>
      <c r="M15" s="40" t="s">
        <v>136</v>
      </c>
      <c r="N15" s="40" t="s">
        <v>136</v>
      </c>
      <c r="O15" s="40">
        <v>3</v>
      </c>
      <c r="P15" s="40" t="s">
        <v>138</v>
      </c>
      <c r="Q15" s="40" t="s">
        <v>134</v>
      </c>
      <c r="R15" s="40" t="s">
        <v>138</v>
      </c>
    </row>
    <row r="16" spans="1:29" x14ac:dyDescent="0.25">
      <c r="B16" t="s">
        <v>38</v>
      </c>
      <c r="C16" t="s">
        <v>372</v>
      </c>
      <c r="E16">
        <v>720</v>
      </c>
      <c r="H16">
        <f>H15/2</f>
        <v>630</v>
      </c>
      <c r="L16" s="41" t="s">
        <v>107</v>
      </c>
      <c r="M16" s="42" t="s">
        <v>135</v>
      </c>
      <c r="N16" s="42" t="s">
        <v>134</v>
      </c>
      <c r="O16" s="42">
        <v>1</v>
      </c>
      <c r="P16" s="42" t="s">
        <v>137</v>
      </c>
      <c r="Q16" s="42" t="s">
        <v>137</v>
      </c>
      <c r="R16" s="42" t="s">
        <v>132</v>
      </c>
    </row>
    <row r="17" spans="2:29" x14ac:dyDescent="0.25">
      <c r="B17" t="s">
        <v>76</v>
      </c>
      <c r="C17" t="s">
        <v>370</v>
      </c>
      <c r="E17">
        <v>2000</v>
      </c>
      <c r="F17">
        <f>SUM(E15:E17)</f>
        <v>3440</v>
      </c>
      <c r="L17" s="41" t="s">
        <v>111</v>
      </c>
      <c r="M17" s="42" t="s">
        <v>137</v>
      </c>
      <c r="N17" s="42" t="s">
        <v>131</v>
      </c>
      <c r="O17" s="42">
        <v>1</v>
      </c>
      <c r="P17" s="42" t="s">
        <v>137</v>
      </c>
      <c r="Q17" s="42" t="s">
        <v>137</v>
      </c>
      <c r="R17" s="42" t="s">
        <v>134</v>
      </c>
      <c r="X17">
        <f>SUM(W14:Y14)</f>
        <v>7000</v>
      </c>
      <c r="Y17">
        <f>W14+X14+Z14</f>
        <v>5575</v>
      </c>
    </row>
    <row r="18" spans="2:29" x14ac:dyDescent="0.25">
      <c r="L18" t="s">
        <v>116</v>
      </c>
      <c r="M18" s="40" t="s">
        <v>137</v>
      </c>
      <c r="N18" s="40" t="s">
        <v>136</v>
      </c>
      <c r="O18" s="40">
        <v>2</v>
      </c>
      <c r="P18" s="40" t="s">
        <v>137</v>
      </c>
      <c r="Q18" s="40" t="s">
        <v>137</v>
      </c>
      <c r="R18" s="40" t="s">
        <v>137</v>
      </c>
    </row>
    <row r="19" spans="2:29" x14ac:dyDescent="0.25">
      <c r="L19" t="s">
        <v>119</v>
      </c>
      <c r="M19" s="40" t="s">
        <v>135</v>
      </c>
      <c r="N19" s="40" t="s">
        <v>366</v>
      </c>
      <c r="O19" s="40">
        <v>1</v>
      </c>
      <c r="P19" s="40" t="s">
        <v>139</v>
      </c>
      <c r="Q19" s="40" t="s">
        <v>139</v>
      </c>
      <c r="R19" s="40" t="s">
        <v>139</v>
      </c>
      <c r="X19">
        <f>950*2</f>
        <v>1900</v>
      </c>
      <c r="Y19">
        <v>600</v>
      </c>
      <c r="Z19">
        <f>Y19+X19</f>
        <v>2500</v>
      </c>
    </row>
    <row r="20" spans="2:29" x14ac:dyDescent="0.25">
      <c r="H20" t="s">
        <v>423</v>
      </c>
      <c r="L20" t="s">
        <v>124</v>
      </c>
      <c r="M20" s="40" t="s">
        <v>136</v>
      </c>
      <c r="N20" s="40" t="s">
        <v>136</v>
      </c>
      <c r="O20" s="40">
        <v>2</v>
      </c>
      <c r="P20" s="40" t="s">
        <v>134</v>
      </c>
      <c r="Q20" s="40" t="s">
        <v>134</v>
      </c>
      <c r="R20" s="40" t="s">
        <v>134</v>
      </c>
    </row>
    <row r="21" spans="2:29" x14ac:dyDescent="0.25">
      <c r="L21" t="s">
        <v>125</v>
      </c>
      <c r="M21" s="40" t="s">
        <v>134</v>
      </c>
      <c r="N21" s="40" t="s">
        <v>137</v>
      </c>
      <c r="O21" s="40">
        <v>1</v>
      </c>
      <c r="P21" s="40" t="s">
        <v>137</v>
      </c>
      <c r="Q21" s="40" t="s">
        <v>132</v>
      </c>
      <c r="R21" s="40" t="s">
        <v>137</v>
      </c>
      <c r="X21">
        <v>1600</v>
      </c>
      <c r="Y21">
        <v>1200</v>
      </c>
      <c r="Z21">
        <f>950*2</f>
        <v>1900</v>
      </c>
      <c r="AB21">
        <f>SUM(X21:Z21)</f>
        <v>4700</v>
      </c>
    </row>
    <row r="22" spans="2:29" x14ac:dyDescent="0.25">
      <c r="C22" t="s">
        <v>363</v>
      </c>
      <c r="G22" t="s">
        <v>373</v>
      </c>
    </row>
    <row r="23" spans="2:29" x14ac:dyDescent="0.25">
      <c r="W23">
        <f>950*2</f>
        <v>1900</v>
      </c>
      <c r="X23">
        <f>1600</f>
        <v>1600</v>
      </c>
      <c r="Y23">
        <f>2000</f>
        <v>2000</v>
      </c>
      <c r="Z23">
        <f>SUM(W23:Y23)</f>
        <v>5500</v>
      </c>
    </row>
    <row r="24" spans="2:29" x14ac:dyDescent="0.25">
      <c r="C24" t="s">
        <v>374</v>
      </c>
      <c r="E24">
        <f>4000*0.6</f>
        <v>2400</v>
      </c>
      <c r="G24" t="s">
        <v>76</v>
      </c>
      <c r="H24">
        <f>800*1.4</f>
        <v>1120</v>
      </c>
      <c r="I24">
        <f>800*1.4</f>
        <v>1120</v>
      </c>
    </row>
    <row r="25" spans="2:29" x14ac:dyDescent="0.25">
      <c r="C25" t="s">
        <v>377</v>
      </c>
      <c r="E25">
        <f>E31*0.6</f>
        <v>1440</v>
      </c>
      <c r="G25" t="s">
        <v>199</v>
      </c>
      <c r="H25">
        <v>800</v>
      </c>
      <c r="I25">
        <v>800</v>
      </c>
    </row>
    <row r="26" spans="2:29" x14ac:dyDescent="0.25">
      <c r="C26" t="s">
        <v>375</v>
      </c>
      <c r="E26">
        <v>1120</v>
      </c>
      <c r="G26" t="s">
        <v>107</v>
      </c>
      <c r="H26">
        <v>800</v>
      </c>
      <c r="I26">
        <v>800</v>
      </c>
      <c r="K26" t="s">
        <v>249</v>
      </c>
    </row>
    <row r="27" spans="2:29" x14ac:dyDescent="0.25">
      <c r="E27">
        <f>SUM(E24:E26)</f>
        <v>4960</v>
      </c>
      <c r="G27" t="s">
        <v>111</v>
      </c>
      <c r="H27">
        <v>800</v>
      </c>
      <c r="I27">
        <v>800</v>
      </c>
      <c r="K27" t="s">
        <v>388</v>
      </c>
      <c r="V27" t="s">
        <v>406</v>
      </c>
    </row>
    <row r="28" spans="2:29" x14ac:dyDescent="0.25">
      <c r="G28" t="s">
        <v>125</v>
      </c>
      <c r="H28">
        <v>1260</v>
      </c>
      <c r="I28">
        <f>H28/2</f>
        <v>630</v>
      </c>
      <c r="K28" t="s">
        <v>389</v>
      </c>
      <c r="P28" t="s">
        <v>395</v>
      </c>
      <c r="V28" t="s">
        <v>389</v>
      </c>
      <c r="AA28" t="s">
        <v>395</v>
      </c>
    </row>
    <row r="29" spans="2:29" x14ac:dyDescent="0.25">
      <c r="C29" t="s">
        <v>364</v>
      </c>
      <c r="G29" t="s">
        <v>38</v>
      </c>
      <c r="H29">
        <f>800*0.8</f>
        <v>640</v>
      </c>
      <c r="I29">
        <v>640</v>
      </c>
      <c r="K29" t="s">
        <v>38</v>
      </c>
      <c r="L29" t="s">
        <v>396</v>
      </c>
      <c r="N29">
        <v>613</v>
      </c>
      <c r="P29" t="s">
        <v>199</v>
      </c>
      <c r="Q29" t="s">
        <v>396</v>
      </c>
      <c r="R29">
        <v>528</v>
      </c>
      <c r="V29" t="s">
        <v>38</v>
      </c>
      <c r="W29" t="s">
        <v>396</v>
      </c>
      <c r="X29">
        <v>600</v>
      </c>
      <c r="AA29" t="s">
        <v>199</v>
      </c>
      <c r="AB29" t="s">
        <v>396</v>
      </c>
      <c r="AC29">
        <v>500</v>
      </c>
    </row>
    <row r="30" spans="2:29" x14ac:dyDescent="0.25">
      <c r="C30" t="s">
        <v>377</v>
      </c>
      <c r="E30">
        <f>E24*0.6</f>
        <v>1440</v>
      </c>
      <c r="H30">
        <f>SUM(H24:H29)</f>
        <v>5420</v>
      </c>
      <c r="I30">
        <f>SUM(I24:I29)</f>
        <v>4790</v>
      </c>
      <c r="K30" t="s">
        <v>104</v>
      </c>
      <c r="L30" t="s">
        <v>391</v>
      </c>
      <c r="N30">
        <v>293</v>
      </c>
      <c r="P30" t="s">
        <v>84</v>
      </c>
      <c r="V30" t="s">
        <v>29</v>
      </c>
      <c r="W30" t="s">
        <v>392</v>
      </c>
      <c r="X30">
        <v>350</v>
      </c>
      <c r="AA30" t="s">
        <v>416</v>
      </c>
    </row>
    <row r="31" spans="2:29" x14ac:dyDescent="0.25">
      <c r="C31" t="s">
        <v>374</v>
      </c>
      <c r="E31">
        <v>2400</v>
      </c>
      <c r="K31" t="s">
        <v>40</v>
      </c>
      <c r="L31" t="s">
        <v>393</v>
      </c>
      <c r="N31">
        <v>79</v>
      </c>
      <c r="P31" t="s">
        <v>91</v>
      </c>
      <c r="V31" t="s">
        <v>36</v>
      </c>
      <c r="W31" t="s">
        <v>391</v>
      </c>
      <c r="X31">
        <v>300</v>
      </c>
      <c r="AA31" t="s">
        <v>91</v>
      </c>
      <c r="AB31" t="s">
        <v>396</v>
      </c>
      <c r="AC31">
        <v>500</v>
      </c>
    </row>
    <row r="32" spans="2:29" x14ac:dyDescent="0.25">
      <c r="C32" t="s">
        <v>375</v>
      </c>
      <c r="E32">
        <v>1120</v>
      </c>
      <c r="K32" t="s">
        <v>111</v>
      </c>
      <c r="L32" t="s">
        <v>390</v>
      </c>
      <c r="N32">
        <v>204</v>
      </c>
      <c r="P32" t="s">
        <v>76</v>
      </c>
      <c r="Q32" t="s">
        <v>396</v>
      </c>
      <c r="R32">
        <v>625</v>
      </c>
      <c r="V32" t="s">
        <v>119</v>
      </c>
      <c r="W32" t="s">
        <v>396</v>
      </c>
      <c r="X32">
        <v>600</v>
      </c>
      <c r="Y32" t="s">
        <v>415</v>
      </c>
      <c r="AA32" t="s">
        <v>76</v>
      </c>
      <c r="AB32" t="s">
        <v>396</v>
      </c>
      <c r="AC32">
        <v>600</v>
      </c>
    </row>
    <row r="33" spans="2:30" x14ac:dyDescent="0.25">
      <c r="E33">
        <f>SUM(E30:E32)</f>
        <v>4960</v>
      </c>
      <c r="K33" t="s">
        <v>29</v>
      </c>
      <c r="L33" t="s">
        <v>392</v>
      </c>
      <c r="N33">
        <v>354</v>
      </c>
      <c r="P33" t="s">
        <v>125</v>
      </c>
      <c r="Q33" t="s">
        <v>396</v>
      </c>
      <c r="R33">
        <v>511</v>
      </c>
      <c r="V33" t="s">
        <v>111</v>
      </c>
      <c r="W33" t="s">
        <v>391</v>
      </c>
      <c r="X33">
        <v>350</v>
      </c>
      <c r="AA33" t="s">
        <v>125</v>
      </c>
      <c r="AB33" t="s">
        <v>396</v>
      </c>
      <c r="AC33">
        <v>500</v>
      </c>
    </row>
    <row r="34" spans="2:30" x14ac:dyDescent="0.25">
      <c r="K34" t="s">
        <v>36</v>
      </c>
      <c r="L34" t="s">
        <v>391</v>
      </c>
      <c r="N34">
        <v>289</v>
      </c>
      <c r="P34" t="s">
        <v>97</v>
      </c>
      <c r="Q34" t="s">
        <v>396</v>
      </c>
      <c r="R34">
        <v>513</v>
      </c>
      <c r="V34" t="s">
        <v>40</v>
      </c>
      <c r="W34" t="s">
        <v>391</v>
      </c>
      <c r="X34">
        <v>300</v>
      </c>
      <c r="AA34" t="s">
        <v>97</v>
      </c>
      <c r="AB34" t="s">
        <v>396</v>
      </c>
      <c r="AC34">
        <v>500</v>
      </c>
    </row>
    <row r="35" spans="2:30" x14ac:dyDescent="0.25">
      <c r="C35" t="s">
        <v>382</v>
      </c>
      <c r="N35">
        <f>SUM(N29:N34)</f>
        <v>1832</v>
      </c>
      <c r="R35">
        <f>SUM(R29:R34)</f>
        <v>2177</v>
      </c>
      <c r="S35">
        <f>SUM(R35,N39)</f>
        <v>4373</v>
      </c>
      <c r="X35">
        <f>SUM(X29:X34)</f>
        <v>2500</v>
      </c>
      <c r="AC35">
        <f>SUM(AC29:AC34)</f>
        <v>2600</v>
      </c>
      <c r="AD35">
        <f>SUM(X35,AC35)</f>
        <v>5100</v>
      </c>
    </row>
    <row r="36" spans="2:30" x14ac:dyDescent="0.25">
      <c r="C36" t="s">
        <v>424</v>
      </c>
      <c r="K36" t="s">
        <v>394</v>
      </c>
      <c r="P36" t="s">
        <v>394</v>
      </c>
      <c r="AA36" t="s">
        <v>394</v>
      </c>
    </row>
    <row r="37" spans="2:30" x14ac:dyDescent="0.25">
      <c r="B37" t="s">
        <v>76</v>
      </c>
      <c r="C37" t="s">
        <v>383</v>
      </c>
      <c r="E37">
        <v>2960</v>
      </c>
      <c r="P37" t="s">
        <v>199</v>
      </c>
      <c r="Q37" t="s">
        <v>391</v>
      </c>
      <c r="R37">
        <v>328</v>
      </c>
      <c r="AA37" t="s">
        <v>199</v>
      </c>
      <c r="AB37" t="s">
        <v>391</v>
      </c>
      <c r="AC37">
        <v>300</v>
      </c>
    </row>
    <row r="38" spans="2:30" x14ac:dyDescent="0.25">
      <c r="B38" t="s">
        <v>111</v>
      </c>
      <c r="C38" t="s">
        <v>384</v>
      </c>
      <c r="E38">
        <v>2600</v>
      </c>
      <c r="G38">
        <f>450*1.4</f>
        <v>630</v>
      </c>
      <c r="K38" t="s">
        <v>111</v>
      </c>
      <c r="L38" t="s">
        <v>371</v>
      </c>
      <c r="N38">
        <v>364</v>
      </c>
      <c r="P38" t="s">
        <v>76</v>
      </c>
      <c r="Q38" t="s">
        <v>391</v>
      </c>
      <c r="R38">
        <v>385</v>
      </c>
      <c r="AA38" t="s">
        <v>91</v>
      </c>
      <c r="AB38" t="s">
        <v>391</v>
      </c>
      <c r="AC38">
        <v>300</v>
      </c>
    </row>
    <row r="39" spans="2:30" x14ac:dyDescent="0.25">
      <c r="B39" t="s">
        <v>385</v>
      </c>
      <c r="C39" t="s">
        <v>383</v>
      </c>
      <c r="E39">
        <v>2100</v>
      </c>
      <c r="N39">
        <f>SUM(N35:N38)</f>
        <v>2196</v>
      </c>
      <c r="P39" t="s">
        <v>125</v>
      </c>
      <c r="Q39" t="s">
        <v>391</v>
      </c>
      <c r="R39">
        <v>311</v>
      </c>
      <c r="V39" t="s">
        <v>398</v>
      </c>
      <c r="AA39" t="s">
        <v>76</v>
      </c>
      <c r="AB39" t="s">
        <v>391</v>
      </c>
      <c r="AC39">
        <v>350</v>
      </c>
    </row>
    <row r="40" spans="2:30" x14ac:dyDescent="0.25">
      <c r="B40" t="s">
        <v>386</v>
      </c>
      <c r="C40" t="s">
        <v>387</v>
      </c>
      <c r="E40">
        <v>1150</v>
      </c>
      <c r="P40" t="s">
        <v>97</v>
      </c>
      <c r="Q40" t="s">
        <v>391</v>
      </c>
      <c r="R40">
        <v>313</v>
      </c>
      <c r="V40" t="s">
        <v>399</v>
      </c>
      <c r="X40" t="s">
        <v>420</v>
      </c>
      <c r="AA40" t="s">
        <v>125</v>
      </c>
      <c r="AB40" t="s">
        <v>391</v>
      </c>
      <c r="AC40">
        <v>300</v>
      </c>
    </row>
    <row r="41" spans="2:30" x14ac:dyDescent="0.25">
      <c r="E41">
        <f>SUM(E37:E40)</f>
        <v>8810</v>
      </c>
      <c r="R41">
        <f>SUM(R37:R40)</f>
        <v>1337</v>
      </c>
      <c r="S41">
        <f>SUM(R41,R35,N39)</f>
        <v>5710</v>
      </c>
      <c r="V41" t="s">
        <v>417</v>
      </c>
      <c r="X41" t="s">
        <v>421</v>
      </c>
      <c r="AA41" t="s">
        <v>97</v>
      </c>
      <c r="AB41" t="s">
        <v>391</v>
      </c>
      <c r="AC41">
        <v>300</v>
      </c>
    </row>
    <row r="42" spans="2:30" x14ac:dyDescent="0.25">
      <c r="K42" t="s">
        <v>398</v>
      </c>
      <c r="M42" t="s">
        <v>401</v>
      </c>
      <c r="V42" t="s">
        <v>418</v>
      </c>
      <c r="X42" t="s">
        <v>421</v>
      </c>
      <c r="AC42">
        <f>SUM(AC37:AC41)</f>
        <v>1550</v>
      </c>
      <c r="AD42">
        <f>SUM(AD35,AC42)</f>
        <v>6650</v>
      </c>
    </row>
    <row r="43" spans="2:30" x14ac:dyDescent="0.25">
      <c r="K43" t="s">
        <v>399</v>
      </c>
      <c r="M43" t="s">
        <v>402</v>
      </c>
      <c r="V43" t="s">
        <v>419</v>
      </c>
      <c r="X43" t="s">
        <v>422</v>
      </c>
    </row>
    <row r="44" spans="2:30" x14ac:dyDescent="0.25">
      <c r="K44" t="s">
        <v>400</v>
      </c>
      <c r="M44" t="s">
        <v>403</v>
      </c>
      <c r="P44" t="s">
        <v>397</v>
      </c>
    </row>
    <row r="45" spans="2:30" x14ac:dyDescent="0.25">
      <c r="K45" t="s">
        <v>405</v>
      </c>
      <c r="M45" t="s">
        <v>404</v>
      </c>
      <c r="P45" t="s">
        <v>199</v>
      </c>
      <c r="Q45" t="s">
        <v>391</v>
      </c>
      <c r="R45">
        <v>328</v>
      </c>
    </row>
    <row r="46" spans="2:30" x14ac:dyDescent="0.25">
      <c r="C46" t="s">
        <v>378</v>
      </c>
      <c r="F46" t="s">
        <v>262</v>
      </c>
      <c r="P46" t="s">
        <v>76</v>
      </c>
      <c r="Q46" t="s">
        <v>391</v>
      </c>
      <c r="R46">
        <v>385</v>
      </c>
    </row>
    <row r="47" spans="2:30" x14ac:dyDescent="0.25">
      <c r="C47" t="s">
        <v>379</v>
      </c>
      <c r="F47" t="s">
        <v>199</v>
      </c>
      <c r="G47" t="s">
        <v>370</v>
      </c>
      <c r="H47">
        <v>2100</v>
      </c>
      <c r="P47" t="s">
        <v>125</v>
      </c>
      <c r="Q47" t="s">
        <v>391</v>
      </c>
      <c r="R47">
        <v>311</v>
      </c>
    </row>
    <row r="48" spans="2:30" x14ac:dyDescent="0.25">
      <c r="F48" t="s">
        <v>76</v>
      </c>
      <c r="G48" t="s">
        <v>370</v>
      </c>
      <c r="H48">
        <v>2100</v>
      </c>
      <c r="R48">
        <f>SUM(R45:R47)</f>
        <v>1024</v>
      </c>
      <c r="S48">
        <f>SUM(R48,S41)</f>
        <v>6734</v>
      </c>
    </row>
    <row r="49" spans="3:23" x14ac:dyDescent="0.25">
      <c r="C49" t="s">
        <v>370</v>
      </c>
      <c r="D49">
        <v>2000</v>
      </c>
      <c r="F49" t="s">
        <v>97</v>
      </c>
      <c r="G49" t="s">
        <v>369</v>
      </c>
      <c r="W49">
        <f>2000*1.5*1.5</f>
        <v>4500</v>
      </c>
    </row>
    <row r="50" spans="3:23" x14ac:dyDescent="0.25">
      <c r="C50" t="s">
        <v>376</v>
      </c>
      <c r="D50">
        <f>D55*0.6</f>
        <v>2340</v>
      </c>
    </row>
    <row r="51" spans="3:23" x14ac:dyDescent="0.25">
      <c r="D51">
        <f>SUM(D49:D50)</f>
        <v>4340</v>
      </c>
      <c r="F51" t="s">
        <v>394</v>
      </c>
    </row>
    <row r="52" spans="3:23" x14ac:dyDescent="0.25">
      <c r="F52" t="s">
        <v>199</v>
      </c>
      <c r="G52" t="s">
        <v>391</v>
      </c>
      <c r="H52">
        <v>600</v>
      </c>
    </row>
    <row r="53" spans="3:23" x14ac:dyDescent="0.25">
      <c r="C53" t="s">
        <v>380</v>
      </c>
      <c r="F53" t="s">
        <v>76</v>
      </c>
      <c r="G53" t="s">
        <v>391</v>
      </c>
      <c r="H53">
        <v>720</v>
      </c>
    </row>
    <row r="54" spans="3:23" x14ac:dyDescent="0.25">
      <c r="H54">
        <f>SUM(H47:H53)</f>
        <v>5520</v>
      </c>
      <c r="L54" t="s">
        <v>408</v>
      </c>
      <c r="V54" t="s">
        <v>407</v>
      </c>
    </row>
    <row r="55" spans="3:23" x14ac:dyDescent="0.25">
      <c r="C55" t="s">
        <v>381</v>
      </c>
      <c r="D55">
        <f>1300*3</f>
        <v>3900</v>
      </c>
      <c r="L55" t="s">
        <v>409</v>
      </c>
      <c r="M55" t="s">
        <v>414</v>
      </c>
    </row>
    <row r="56" spans="3:23" x14ac:dyDescent="0.25">
      <c r="D56">
        <f>SUM(D55)</f>
        <v>3900</v>
      </c>
      <c r="L56" t="s">
        <v>410</v>
      </c>
      <c r="M56" t="s">
        <v>412</v>
      </c>
    </row>
    <row r="57" spans="3:23" x14ac:dyDescent="0.25">
      <c r="L57" t="s">
        <v>411</v>
      </c>
      <c r="M57" t="s">
        <v>413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T81"/>
  <sheetViews>
    <sheetView topLeftCell="A46" workbookViewId="0">
      <selection activeCell="I82" sqref="I82"/>
    </sheetView>
  </sheetViews>
  <sheetFormatPr defaultRowHeight="15" x14ac:dyDescent="0.25"/>
  <cols>
    <col min="2" max="2" width="18.28515625" customWidth="1"/>
    <col min="8" max="8" width="15.42578125" customWidth="1"/>
    <col min="9" max="9" width="13.42578125" customWidth="1"/>
  </cols>
  <sheetData>
    <row r="6" spans="2:17" x14ac:dyDescent="0.25">
      <c r="B6" s="41" t="s">
        <v>442</v>
      </c>
      <c r="C6" s="41"/>
      <c r="D6" s="41"/>
    </row>
    <row r="7" spans="2:17" x14ac:dyDescent="0.25">
      <c r="B7" s="41" t="s">
        <v>443</v>
      </c>
      <c r="C7" s="41" t="s">
        <v>445</v>
      </c>
      <c r="D7" s="41" t="s">
        <v>444</v>
      </c>
    </row>
    <row r="8" spans="2:17" x14ac:dyDescent="0.25">
      <c r="B8" t="s">
        <v>446</v>
      </c>
      <c r="C8">
        <v>0</v>
      </c>
      <c r="D8">
        <v>200</v>
      </c>
    </row>
    <row r="9" spans="2:17" x14ac:dyDescent="0.25">
      <c r="B9" t="s">
        <v>447</v>
      </c>
      <c r="C9">
        <v>250</v>
      </c>
      <c r="D9">
        <f>D8+C9</f>
        <v>450</v>
      </c>
    </row>
    <row r="10" spans="2:17" x14ac:dyDescent="0.25">
      <c r="B10" t="s">
        <v>307</v>
      </c>
      <c r="D10">
        <f t="shared" ref="D10:D26" si="0">D9+C10</f>
        <v>450</v>
      </c>
      <c r="H10" t="s">
        <v>453</v>
      </c>
      <c r="I10">
        <v>500</v>
      </c>
      <c r="J10">
        <v>600</v>
      </c>
    </row>
    <row r="11" spans="2:17" x14ac:dyDescent="0.25">
      <c r="B11" t="s">
        <v>448</v>
      </c>
      <c r="C11">
        <v>250</v>
      </c>
      <c r="D11">
        <f t="shared" si="0"/>
        <v>700</v>
      </c>
      <c r="H11" t="s">
        <v>451</v>
      </c>
      <c r="I11">
        <v>2950</v>
      </c>
    </row>
    <row r="12" spans="2:17" x14ac:dyDescent="0.25">
      <c r="B12" t="s">
        <v>449</v>
      </c>
      <c r="C12">
        <v>70</v>
      </c>
      <c r="D12">
        <f t="shared" si="0"/>
        <v>770</v>
      </c>
      <c r="H12" t="s">
        <v>455</v>
      </c>
      <c r="I12">
        <v>800</v>
      </c>
      <c r="J12">
        <v>1500</v>
      </c>
    </row>
    <row r="13" spans="2:17" x14ac:dyDescent="0.25">
      <c r="B13" t="s">
        <v>450</v>
      </c>
      <c r="C13">
        <v>2000</v>
      </c>
      <c r="D13">
        <f t="shared" si="0"/>
        <v>2770</v>
      </c>
      <c r="H13" t="s">
        <v>64</v>
      </c>
      <c r="I13">
        <v>15000</v>
      </c>
    </row>
    <row r="14" spans="2:17" x14ac:dyDescent="0.25">
      <c r="B14" t="s">
        <v>451</v>
      </c>
      <c r="D14">
        <f t="shared" si="0"/>
        <v>2770</v>
      </c>
      <c r="H14" t="s">
        <v>458</v>
      </c>
      <c r="I14">
        <v>300</v>
      </c>
      <c r="J14">
        <v>450</v>
      </c>
      <c r="K14">
        <v>600</v>
      </c>
      <c r="L14">
        <v>850</v>
      </c>
    </row>
    <row r="15" spans="2:17" x14ac:dyDescent="0.25">
      <c r="B15" t="s">
        <v>452</v>
      </c>
      <c r="C15">
        <v>-900</v>
      </c>
      <c r="D15">
        <f t="shared" si="0"/>
        <v>1870</v>
      </c>
      <c r="H15" t="s">
        <v>285</v>
      </c>
      <c r="I15">
        <v>5400</v>
      </c>
      <c r="P15" t="s">
        <v>131</v>
      </c>
      <c r="Q15" t="s">
        <v>137</v>
      </c>
    </row>
    <row r="16" spans="2:17" x14ac:dyDescent="0.25">
      <c r="B16" t="s">
        <v>38</v>
      </c>
      <c r="C16">
        <v>2000</v>
      </c>
      <c r="D16">
        <f t="shared" si="0"/>
        <v>3870</v>
      </c>
      <c r="P16">
        <v>1200</v>
      </c>
      <c r="Q16">
        <f>1300*0.6</f>
        <v>780</v>
      </c>
    </row>
    <row r="17" spans="2:17" x14ac:dyDescent="0.25">
      <c r="B17" t="s">
        <v>453</v>
      </c>
      <c r="C17">
        <v>500</v>
      </c>
      <c r="D17">
        <f t="shared" si="0"/>
        <v>4370</v>
      </c>
      <c r="P17">
        <v>1200</v>
      </c>
      <c r="Q17">
        <f>1300*0.6</f>
        <v>780</v>
      </c>
    </row>
    <row r="18" spans="2:17" x14ac:dyDescent="0.25">
      <c r="B18" t="s">
        <v>454</v>
      </c>
      <c r="C18">
        <v>1100</v>
      </c>
      <c r="D18">
        <f t="shared" si="0"/>
        <v>5470</v>
      </c>
      <c r="P18">
        <v>2000</v>
      </c>
      <c r="Q18">
        <v>2700</v>
      </c>
    </row>
    <row r="19" spans="2:17" x14ac:dyDescent="0.25">
      <c r="B19" t="s">
        <v>455</v>
      </c>
      <c r="C19">
        <v>800</v>
      </c>
      <c r="D19">
        <f t="shared" si="0"/>
        <v>6270</v>
      </c>
      <c r="P19">
        <f>SUM(P16:P18)</f>
        <v>4400</v>
      </c>
      <c r="Q19">
        <f>SUM(Q16:Q18)</f>
        <v>4260</v>
      </c>
    </row>
    <row r="20" spans="2:17" x14ac:dyDescent="0.25">
      <c r="B20" t="s">
        <v>64</v>
      </c>
      <c r="D20">
        <f t="shared" si="0"/>
        <v>6270</v>
      </c>
    </row>
    <row r="21" spans="2:17" x14ac:dyDescent="0.25">
      <c r="B21" t="s">
        <v>456</v>
      </c>
      <c r="C21">
        <v>4000</v>
      </c>
      <c r="D21">
        <f t="shared" si="0"/>
        <v>10270</v>
      </c>
    </row>
    <row r="22" spans="2:17" x14ac:dyDescent="0.25">
      <c r="B22" t="s">
        <v>457</v>
      </c>
      <c r="C22">
        <f>600+6*150</f>
        <v>1500</v>
      </c>
      <c r="D22">
        <f t="shared" si="0"/>
        <v>11770</v>
      </c>
    </row>
    <row r="23" spans="2:17" x14ac:dyDescent="0.25">
      <c r="B23" t="s">
        <v>190</v>
      </c>
      <c r="C23">
        <v>-6000</v>
      </c>
      <c r="D23">
        <f t="shared" si="0"/>
        <v>5770</v>
      </c>
      <c r="P23" t="s">
        <v>468</v>
      </c>
    </row>
    <row r="24" spans="2:17" x14ac:dyDescent="0.25">
      <c r="B24" t="s">
        <v>358</v>
      </c>
      <c r="C24">
        <v>0</v>
      </c>
      <c r="D24">
        <f t="shared" si="0"/>
        <v>5770</v>
      </c>
      <c r="P24" t="s">
        <v>468</v>
      </c>
    </row>
    <row r="25" spans="2:17" x14ac:dyDescent="0.25">
      <c r="B25" t="s">
        <v>458</v>
      </c>
      <c r="C25">
        <v>300</v>
      </c>
      <c r="D25">
        <f t="shared" si="0"/>
        <v>6070</v>
      </c>
      <c r="P25" t="s">
        <v>370</v>
      </c>
      <c r="Q25" t="s">
        <v>428</v>
      </c>
    </row>
    <row r="26" spans="2:17" x14ac:dyDescent="0.25">
      <c r="B26" t="s">
        <v>285</v>
      </c>
      <c r="C26">
        <v>5400</v>
      </c>
      <c r="D26">
        <f t="shared" si="0"/>
        <v>11470</v>
      </c>
      <c r="H26" t="s">
        <v>463</v>
      </c>
      <c r="I26" t="s">
        <v>464</v>
      </c>
      <c r="J26" t="s">
        <v>465</v>
      </c>
      <c r="K26" t="s">
        <v>466</v>
      </c>
    </row>
    <row r="27" spans="2:17" x14ac:dyDescent="0.25">
      <c r="B27" t="s">
        <v>461</v>
      </c>
      <c r="C27">
        <v>-2000</v>
      </c>
      <c r="D27">
        <f>D26+C27</f>
        <v>9470</v>
      </c>
      <c r="H27">
        <v>1</v>
      </c>
      <c r="I27" t="s">
        <v>358</v>
      </c>
      <c r="K27">
        <v>4000</v>
      </c>
    </row>
    <row r="28" spans="2:17" x14ac:dyDescent="0.25">
      <c r="B28" t="s">
        <v>461</v>
      </c>
      <c r="C28">
        <v>4000</v>
      </c>
      <c r="D28">
        <f t="shared" ref="D28" si="1">D27+C28</f>
        <v>13470</v>
      </c>
      <c r="H28">
        <v>3</v>
      </c>
      <c r="I28" t="s">
        <v>14</v>
      </c>
      <c r="K28">
        <v>6000</v>
      </c>
    </row>
    <row r="29" spans="2:17" x14ac:dyDescent="0.25">
      <c r="B29" t="s">
        <v>513</v>
      </c>
      <c r="C29">
        <v>5500</v>
      </c>
      <c r="D29">
        <f t="shared" ref="D29:D34" si="2">D28+C29</f>
        <v>18970</v>
      </c>
      <c r="H29">
        <v>1</v>
      </c>
      <c r="I29" t="s">
        <v>190</v>
      </c>
      <c r="K29">
        <v>6000</v>
      </c>
    </row>
    <row r="30" spans="2:17" x14ac:dyDescent="0.25">
      <c r="B30" t="s">
        <v>514</v>
      </c>
      <c r="C30">
        <v>2000</v>
      </c>
      <c r="D30">
        <f t="shared" si="2"/>
        <v>20970</v>
      </c>
    </row>
    <row r="31" spans="2:17" x14ac:dyDescent="0.25">
      <c r="B31" t="s">
        <v>515</v>
      </c>
      <c r="C31">
        <v>2000</v>
      </c>
      <c r="D31">
        <f t="shared" si="2"/>
        <v>22970</v>
      </c>
    </row>
    <row r="32" spans="2:17" x14ac:dyDescent="0.25">
      <c r="B32" t="s">
        <v>467</v>
      </c>
      <c r="C32">
        <v>-12000</v>
      </c>
      <c r="D32">
        <f t="shared" si="2"/>
        <v>10970</v>
      </c>
    </row>
    <row r="33" spans="2:20" x14ac:dyDescent="0.25">
      <c r="B33" t="s">
        <v>516</v>
      </c>
      <c r="C33">
        <v>-5000</v>
      </c>
      <c r="D33">
        <f t="shared" si="2"/>
        <v>5970</v>
      </c>
    </row>
    <row r="34" spans="2:20" x14ac:dyDescent="0.25">
      <c r="B34" t="s">
        <v>517</v>
      </c>
      <c r="C34">
        <v>-5000</v>
      </c>
      <c r="D34">
        <f t="shared" si="2"/>
        <v>970</v>
      </c>
    </row>
    <row r="35" spans="2:20" x14ac:dyDescent="0.25">
      <c r="B35" t="s">
        <v>257</v>
      </c>
      <c r="C35">
        <v>0</v>
      </c>
      <c r="D35">
        <f>D32+C35</f>
        <v>10970</v>
      </c>
    </row>
    <row r="36" spans="2:20" x14ac:dyDescent="0.25">
      <c r="B36" t="s">
        <v>462</v>
      </c>
      <c r="C36">
        <v>3000</v>
      </c>
      <c r="D36">
        <f>D35+C36</f>
        <v>13970</v>
      </c>
    </row>
    <row r="37" spans="2:20" x14ac:dyDescent="0.25">
      <c r="B37" t="s">
        <v>459</v>
      </c>
      <c r="C37">
        <v>10000</v>
      </c>
      <c r="D37">
        <f>D36+C37</f>
        <v>23970</v>
      </c>
    </row>
    <row r="38" spans="2:20" x14ac:dyDescent="0.25">
      <c r="B38" t="s">
        <v>467</v>
      </c>
      <c r="C38">
        <v>-12000</v>
      </c>
      <c r="D38">
        <f>D37+C38</f>
        <v>11970</v>
      </c>
      <c r="P38">
        <f>32*1.3</f>
        <v>41.6</v>
      </c>
    </row>
    <row r="39" spans="2:20" x14ac:dyDescent="0.25">
      <c r="B39" t="s">
        <v>262</v>
      </c>
      <c r="C39">
        <v>20000</v>
      </c>
      <c r="D39">
        <f>D38+C39</f>
        <v>31970</v>
      </c>
    </row>
    <row r="40" spans="2:20" x14ac:dyDescent="0.25">
      <c r="B40" t="s">
        <v>460</v>
      </c>
      <c r="H40" t="s">
        <v>532</v>
      </c>
      <c r="J40">
        <v>16</v>
      </c>
      <c r="L40">
        <v>16</v>
      </c>
      <c r="N40">
        <v>14</v>
      </c>
      <c r="P40">
        <v>14</v>
      </c>
      <c r="R40">
        <v>14</v>
      </c>
      <c r="T40">
        <v>15</v>
      </c>
    </row>
    <row r="41" spans="2:20" x14ac:dyDescent="0.25">
      <c r="J41">
        <v>18</v>
      </c>
      <c r="L41">
        <v>30</v>
      </c>
      <c r="N41">
        <v>16</v>
      </c>
      <c r="P41">
        <v>11</v>
      </c>
      <c r="R41">
        <v>18</v>
      </c>
      <c r="T41">
        <v>22</v>
      </c>
    </row>
    <row r="42" spans="2:20" x14ac:dyDescent="0.25">
      <c r="J42">
        <v>18</v>
      </c>
      <c r="L42">
        <v>20</v>
      </c>
      <c r="N42">
        <v>32</v>
      </c>
      <c r="P42">
        <v>21</v>
      </c>
      <c r="R42">
        <v>18</v>
      </c>
      <c r="T42">
        <v>14</v>
      </c>
    </row>
    <row r="43" spans="2:20" x14ac:dyDescent="0.25">
      <c r="J43">
        <v>18</v>
      </c>
      <c r="N43">
        <v>33</v>
      </c>
      <c r="O43" t="s">
        <v>477</v>
      </c>
      <c r="P43">
        <v>17</v>
      </c>
      <c r="R43">
        <v>17</v>
      </c>
      <c r="T43">
        <v>28</v>
      </c>
    </row>
    <row r="44" spans="2:20" x14ac:dyDescent="0.25">
      <c r="J44">
        <v>17</v>
      </c>
      <c r="N44">
        <f>SUM(N40:N43)</f>
        <v>95</v>
      </c>
      <c r="P44">
        <f>SUM(P40:P43)</f>
        <v>63</v>
      </c>
      <c r="R44">
        <v>33</v>
      </c>
      <c r="T44">
        <f>SUM(T40:T43)</f>
        <v>79</v>
      </c>
    </row>
    <row r="45" spans="2:20" x14ac:dyDescent="0.25">
      <c r="B45" t="s">
        <v>514</v>
      </c>
      <c r="C45">
        <v>2000</v>
      </c>
      <c r="J45">
        <v>27</v>
      </c>
      <c r="L45">
        <f>SUM(L40:L44)</f>
        <v>66</v>
      </c>
      <c r="R45">
        <f>SUM(R40:R44)</f>
        <v>100</v>
      </c>
    </row>
    <row r="46" spans="2:20" x14ac:dyDescent="0.25">
      <c r="B46" t="s">
        <v>518</v>
      </c>
      <c r="C46">
        <v>11500</v>
      </c>
      <c r="J46">
        <f>SUM(J40:J45)</f>
        <v>114</v>
      </c>
    </row>
    <row r="47" spans="2:20" x14ac:dyDescent="0.25">
      <c r="B47" t="s">
        <v>519</v>
      </c>
      <c r="C47">
        <v>4250</v>
      </c>
    </row>
    <row r="48" spans="2:20" x14ac:dyDescent="0.25">
      <c r="B48" t="s">
        <v>461</v>
      </c>
      <c r="C48">
        <v>4000</v>
      </c>
    </row>
    <row r="49" spans="2:17" x14ac:dyDescent="0.25">
      <c r="B49" t="s">
        <v>285</v>
      </c>
      <c r="C49">
        <v>5400</v>
      </c>
      <c r="H49" t="s">
        <v>533</v>
      </c>
      <c r="J49">
        <v>9</v>
      </c>
      <c r="L49">
        <v>13</v>
      </c>
      <c r="O49">
        <v>12</v>
      </c>
      <c r="Q49">
        <v>15</v>
      </c>
    </row>
    <row r="50" spans="2:17" x14ac:dyDescent="0.25">
      <c r="C50">
        <f>SUM(C45:C49)</f>
        <v>27150</v>
      </c>
      <c r="J50">
        <v>14</v>
      </c>
      <c r="L50">
        <v>9</v>
      </c>
      <c r="O50">
        <v>12</v>
      </c>
      <c r="Q50">
        <v>11</v>
      </c>
    </row>
    <row r="51" spans="2:17" x14ac:dyDescent="0.25">
      <c r="B51" t="s">
        <v>520</v>
      </c>
      <c r="C51">
        <f>C50-12000</f>
        <v>15150</v>
      </c>
      <c r="J51">
        <v>11</v>
      </c>
      <c r="L51">
        <v>17</v>
      </c>
      <c r="O51">
        <v>18</v>
      </c>
      <c r="Q51">
        <v>19</v>
      </c>
    </row>
    <row r="52" spans="2:17" x14ac:dyDescent="0.25">
      <c r="B52" t="s">
        <v>516</v>
      </c>
      <c r="C52">
        <f>C51-5000</f>
        <v>10150</v>
      </c>
      <c r="L52">
        <v>30</v>
      </c>
      <c r="Q52">
        <v>14</v>
      </c>
    </row>
    <row r="53" spans="2:17" x14ac:dyDescent="0.25">
      <c r="B53" t="s">
        <v>521</v>
      </c>
      <c r="C53">
        <f>C52-10000</f>
        <v>150</v>
      </c>
      <c r="L53">
        <v>18</v>
      </c>
      <c r="Q53">
        <v>13</v>
      </c>
    </row>
    <row r="54" spans="2:17" x14ac:dyDescent="0.25">
      <c r="Q54">
        <v>17</v>
      </c>
    </row>
    <row r="55" spans="2:17" x14ac:dyDescent="0.25">
      <c r="L55">
        <f>SUM(L49:L54)</f>
        <v>87</v>
      </c>
      <c r="Q55">
        <v>30</v>
      </c>
    </row>
    <row r="56" spans="2:17" x14ac:dyDescent="0.25">
      <c r="Q56">
        <f>SUM(Q50:Q55)</f>
        <v>104</v>
      </c>
    </row>
    <row r="62" spans="2:17" x14ac:dyDescent="0.25">
      <c r="E62" t="s">
        <v>534</v>
      </c>
    </row>
    <row r="64" spans="2:17" x14ac:dyDescent="0.25">
      <c r="N64" t="s">
        <v>540</v>
      </c>
    </row>
    <row r="65" spans="2:15" x14ac:dyDescent="0.25">
      <c r="E65" t="s">
        <v>535</v>
      </c>
      <c r="F65" t="s">
        <v>149</v>
      </c>
      <c r="G65" t="s">
        <v>536</v>
      </c>
      <c r="M65" t="s">
        <v>537</v>
      </c>
      <c r="N65" t="s">
        <v>538</v>
      </c>
      <c r="O65" t="s">
        <v>539</v>
      </c>
    </row>
    <row r="66" spans="2:15" x14ac:dyDescent="0.25">
      <c r="E66">
        <v>48</v>
      </c>
      <c r="F66">
        <v>47</v>
      </c>
      <c r="G66">
        <v>66</v>
      </c>
      <c r="I66">
        <v>25</v>
      </c>
      <c r="M66">
        <v>1</v>
      </c>
      <c r="N66">
        <v>1</v>
      </c>
    </row>
    <row r="67" spans="2:15" x14ac:dyDescent="0.25">
      <c r="E67">
        <v>44</v>
      </c>
      <c r="F67">
        <v>54</v>
      </c>
      <c r="G67">
        <v>72</v>
      </c>
      <c r="I67">
        <v>30</v>
      </c>
      <c r="N67">
        <v>1</v>
      </c>
    </row>
    <row r="68" spans="2:15" x14ac:dyDescent="0.25">
      <c r="E68">
        <v>49</v>
      </c>
      <c r="F68">
        <v>52</v>
      </c>
      <c r="N68">
        <v>1</v>
      </c>
    </row>
    <row r="69" spans="2:15" x14ac:dyDescent="0.25">
      <c r="E69">
        <v>49</v>
      </c>
      <c r="N69">
        <v>1</v>
      </c>
    </row>
    <row r="70" spans="2:15" x14ac:dyDescent="0.25">
      <c r="E70">
        <v>50</v>
      </c>
      <c r="N70">
        <v>1</v>
      </c>
    </row>
    <row r="71" spans="2:15" x14ac:dyDescent="0.25">
      <c r="E71">
        <v>47</v>
      </c>
      <c r="N71">
        <v>1</v>
      </c>
    </row>
    <row r="72" spans="2:15" x14ac:dyDescent="0.25">
      <c r="E72">
        <v>51</v>
      </c>
      <c r="N72">
        <v>1</v>
      </c>
    </row>
    <row r="73" spans="2:15" x14ac:dyDescent="0.25">
      <c r="H73" t="s">
        <v>543</v>
      </c>
      <c r="N73">
        <v>1</v>
      </c>
    </row>
    <row r="74" spans="2:15" x14ac:dyDescent="0.25">
      <c r="C74" t="s">
        <v>205</v>
      </c>
      <c r="D74" t="s">
        <v>206</v>
      </c>
      <c r="H74" t="s">
        <v>205</v>
      </c>
      <c r="I74" t="s">
        <v>206</v>
      </c>
    </row>
    <row r="75" spans="2:15" x14ac:dyDescent="0.25">
      <c r="B75" t="s">
        <v>541</v>
      </c>
      <c r="C75">
        <v>9</v>
      </c>
      <c r="D75">
        <v>16</v>
      </c>
      <c r="G75" t="s">
        <v>541</v>
      </c>
      <c r="H75">
        <v>11</v>
      </c>
      <c r="I75">
        <v>18</v>
      </c>
    </row>
    <row r="76" spans="2:15" x14ac:dyDescent="0.25">
      <c r="B76" t="s">
        <v>541</v>
      </c>
      <c r="C76">
        <v>9</v>
      </c>
      <c r="D76">
        <v>16</v>
      </c>
      <c r="G76" t="s">
        <v>541</v>
      </c>
      <c r="H76">
        <v>11</v>
      </c>
      <c r="I76">
        <v>18</v>
      </c>
    </row>
    <row r="77" spans="2:15" x14ac:dyDescent="0.25">
      <c r="B77" t="s">
        <v>149</v>
      </c>
      <c r="C77">
        <v>11</v>
      </c>
      <c r="D77">
        <v>19</v>
      </c>
      <c r="G77" t="s">
        <v>149</v>
      </c>
      <c r="H77">
        <v>16</v>
      </c>
      <c r="I77">
        <v>22</v>
      </c>
    </row>
    <row r="78" spans="2:15" x14ac:dyDescent="0.25">
      <c r="B78" t="s">
        <v>149</v>
      </c>
      <c r="C78">
        <v>11</v>
      </c>
      <c r="D78">
        <v>19</v>
      </c>
      <c r="G78" t="s">
        <v>149</v>
      </c>
      <c r="H78">
        <v>16</v>
      </c>
      <c r="I78">
        <v>22</v>
      </c>
    </row>
    <row r="79" spans="2:15" x14ac:dyDescent="0.25">
      <c r="B79" t="s">
        <v>536</v>
      </c>
      <c r="C79">
        <v>24</v>
      </c>
      <c r="D79">
        <v>28</v>
      </c>
      <c r="E79" t="s">
        <v>542</v>
      </c>
      <c r="G79" t="s">
        <v>536</v>
      </c>
      <c r="H79">
        <v>26</v>
      </c>
      <c r="I79">
        <v>33</v>
      </c>
    </row>
    <row r="81" spans="3:9" x14ac:dyDescent="0.25">
      <c r="C81">
        <f>SUM(C75:C79)</f>
        <v>64</v>
      </c>
      <c r="D81">
        <f>SUM(D75:D79)</f>
        <v>98</v>
      </c>
      <c r="I81">
        <f>SUM(I75:I79)</f>
        <v>113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</vt:i4>
      </vt:variant>
    </vt:vector>
  </HeadingPairs>
  <TitlesOfParts>
    <vt:vector size="13" baseType="lpstr">
      <vt:lpstr>Physical DD Tiers</vt:lpstr>
      <vt:lpstr>Sheet1</vt:lpstr>
      <vt:lpstr>Sheet2</vt:lpstr>
      <vt:lpstr>Sheet3</vt:lpstr>
      <vt:lpstr>Sheet4</vt:lpstr>
      <vt:lpstr>Sheet6</vt:lpstr>
      <vt:lpstr>Experience Check</vt:lpstr>
      <vt:lpstr>Sheet5</vt:lpstr>
      <vt:lpstr>Sheet7</vt:lpstr>
      <vt:lpstr>Sheet8</vt:lpstr>
      <vt:lpstr>Leveling Strategy</vt:lpstr>
      <vt:lpstr>Sheet9</vt:lpstr>
      <vt:lpstr>'Physical DD Tiers'!_FilterDatabase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UniLOAD</dc:creator>
  <cp:lastModifiedBy>Eric Koziel</cp:lastModifiedBy>
  <dcterms:created xsi:type="dcterms:W3CDTF">2012-12-28T14:57:11Z</dcterms:created>
  <dcterms:modified xsi:type="dcterms:W3CDTF">2015-05-15T05:10:40Z</dcterms:modified>
</cp:coreProperties>
</file>