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240" yWindow="45" windowWidth="8595" windowHeight="5955" activeTab="6"/>
  </bookViews>
  <sheets>
    <sheet name="Goods List" sheetId="6" r:id="rId1"/>
    <sheet name="Price Charts" sheetId="4" r:id="rId2"/>
    <sheet name="Town List" sheetId="8" r:id="rId3"/>
    <sheet name="Trade Route" sheetId="7" r:id="rId4"/>
    <sheet name="Data" sheetId="5" r:id="rId5"/>
    <sheet name="Sheet1" sheetId="9" r:id="rId6"/>
    <sheet name="Town Source" sheetId="10" r:id="rId7"/>
  </sheets>
  <calcPr calcId="152511"/>
</workbook>
</file>

<file path=xl/calcChain.xml><?xml version="1.0" encoding="utf-8"?>
<calcChain xmlns="http://schemas.openxmlformats.org/spreadsheetml/2006/main">
  <c r="AB31" i="10" l="1"/>
  <c r="AB48" i="10"/>
  <c r="AB49" i="10" s="1"/>
  <c r="AB47" i="10"/>
  <c r="AB46" i="10"/>
  <c r="AB45" i="10"/>
  <c r="W59" i="9"/>
  <c r="D77" i="9"/>
  <c r="X80" i="9"/>
  <c r="Y72" i="9"/>
  <c r="X72" i="9"/>
  <c r="Z59" i="9"/>
  <c r="Y71" i="9"/>
  <c r="X71" i="9"/>
  <c r="Z56" i="9"/>
  <c r="X58" i="9"/>
  <c r="Q2" i="10"/>
  <c r="AC10" i="10"/>
  <c r="X53" i="9"/>
  <c r="Z9" i="10"/>
  <c r="Y9" i="10"/>
  <c r="Z5" i="10"/>
  <c r="AD16" i="10"/>
  <c r="AC15" i="10"/>
  <c r="AD15" i="10" s="1"/>
  <c r="AA15" i="10"/>
  <c r="AC14" i="10"/>
  <c r="AD14" i="10" s="1"/>
  <c r="AA14" i="10"/>
  <c r="AC13" i="10"/>
  <c r="AD13" i="10" s="1"/>
  <c r="AA13" i="10"/>
  <c r="Z36" i="10"/>
  <c r="AB23" i="10"/>
  <c r="Z23" i="10"/>
  <c r="AB22" i="10"/>
  <c r="AC22" i="10" s="1"/>
  <c r="Z22" i="10"/>
  <c r="S23" i="10"/>
  <c r="T23" i="10" s="1"/>
  <c r="Q23" i="10"/>
  <c r="S22" i="10"/>
  <c r="T22" i="10" s="1"/>
  <c r="Q22" i="10"/>
  <c r="S50" i="10"/>
  <c r="Q50" i="10"/>
  <c r="S49" i="10"/>
  <c r="T49" i="10" s="1"/>
  <c r="Q49" i="10"/>
  <c r="S48" i="10"/>
  <c r="T48" i="10" s="1"/>
  <c r="Q48" i="10"/>
  <c r="S42" i="10"/>
  <c r="T42" i="10" s="1"/>
  <c r="Q42" i="10"/>
  <c r="S41" i="10"/>
  <c r="T41" i="10" s="1"/>
  <c r="Q41" i="10"/>
  <c r="S40" i="10"/>
  <c r="T40" i="10" s="1"/>
  <c r="Q40" i="10"/>
  <c r="X35" i="10"/>
  <c r="X32" i="10"/>
  <c r="X31" i="10"/>
  <c r="X30" i="10"/>
  <c r="X29" i="10"/>
  <c r="S36" i="10"/>
  <c r="K67" i="9"/>
  <c r="J67" i="9"/>
  <c r="H67" i="9"/>
  <c r="S35" i="10"/>
  <c r="S34" i="10"/>
  <c r="K74" i="9"/>
  <c r="K66" i="9"/>
  <c r="J66" i="9"/>
  <c r="H66" i="9"/>
  <c r="Q19" i="10"/>
  <c r="Q18" i="10"/>
  <c r="Q17" i="10"/>
  <c r="K62" i="9"/>
  <c r="J62" i="9"/>
  <c r="H62" i="9"/>
  <c r="K61" i="9"/>
  <c r="J61" i="9"/>
  <c r="H61" i="9"/>
  <c r="K60" i="9"/>
  <c r="J60" i="9"/>
  <c r="H60" i="9"/>
  <c r="J59" i="9"/>
  <c r="K59" i="9" s="1"/>
  <c r="H59" i="9"/>
  <c r="T44" i="10" l="1"/>
  <c r="AC23" i="10"/>
  <c r="AC24" i="10" s="1"/>
  <c r="T24" i="10"/>
  <c r="X44" i="10" s="1"/>
  <c r="T50" i="10"/>
  <c r="T52" i="10" s="1"/>
  <c r="O34" i="9"/>
  <c r="N34" i="9"/>
  <c r="M34" i="9"/>
  <c r="L34" i="9"/>
  <c r="L32" i="9"/>
  <c r="I36" i="7"/>
  <c r="P28" i="9"/>
  <c r="Q26" i="9"/>
  <c r="Q24" i="9" l="1"/>
  <c r="P24" i="9"/>
  <c r="N29" i="10"/>
  <c r="P13" i="10"/>
  <c r="S13" i="10" s="1"/>
  <c r="U19" i="10" s="1"/>
  <c r="S19" i="10"/>
  <c r="S18" i="10"/>
  <c r="S17" i="10"/>
  <c r="T6" i="10"/>
  <c r="G111" i="10"/>
  <c r="G110" i="10"/>
  <c r="G109" i="10"/>
  <c r="G108" i="10"/>
  <c r="G107" i="10"/>
  <c r="G106" i="10"/>
  <c r="G105" i="10"/>
  <c r="G104" i="10"/>
  <c r="G103" i="10"/>
  <c r="G85" i="10"/>
  <c r="G84" i="10"/>
  <c r="G83" i="10"/>
  <c r="G82" i="10"/>
  <c r="G81" i="10"/>
  <c r="G80" i="10"/>
  <c r="G79" i="10"/>
  <c r="G78" i="10"/>
  <c r="G77" i="10"/>
  <c r="G76" i="10"/>
  <c r="G99" i="10"/>
  <c r="G98" i="10"/>
  <c r="G97" i="10"/>
  <c r="G96" i="10"/>
  <c r="G95" i="10"/>
  <c r="G94" i="10"/>
  <c r="G93" i="10"/>
  <c r="G92" i="10"/>
  <c r="G91" i="10"/>
  <c r="G90" i="10"/>
  <c r="G89" i="10"/>
  <c r="G71" i="10"/>
  <c r="G70" i="10"/>
  <c r="G69" i="10"/>
  <c r="G68" i="10"/>
  <c r="G67" i="10"/>
  <c r="G66" i="10"/>
  <c r="G65" i="10"/>
  <c r="G64" i="10"/>
  <c r="G60" i="10"/>
  <c r="G59" i="10"/>
  <c r="G58" i="10"/>
  <c r="G57" i="10"/>
  <c r="G56" i="10"/>
  <c r="G55" i="10"/>
  <c r="G54" i="10"/>
  <c r="G53" i="10"/>
  <c r="G52" i="10"/>
  <c r="G48" i="10"/>
  <c r="G47" i="10"/>
  <c r="G46" i="10"/>
  <c r="G45" i="10"/>
  <c r="G44" i="10"/>
  <c r="G43" i="10"/>
  <c r="G42" i="10"/>
  <c r="G41" i="10"/>
  <c r="G40" i="10"/>
  <c r="G39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R13" i="10" l="1"/>
  <c r="U18" i="10" s="1"/>
  <c r="Q13" i="10"/>
  <c r="U17" i="10" s="1"/>
  <c r="O19" i="10"/>
  <c r="P19" i="10" s="1"/>
  <c r="G32" i="9"/>
  <c r="O18" i="10" l="1"/>
  <c r="P18" i="10" s="1"/>
  <c r="R18" i="10" s="1"/>
  <c r="T18" i="10" s="1"/>
  <c r="O17" i="10"/>
  <c r="P17" i="10" s="1"/>
  <c r="R19" i="10"/>
  <c r="T19" i="10" s="1"/>
  <c r="Y29" i="4"/>
  <c r="X29" i="4"/>
  <c r="W29" i="4"/>
  <c r="Y28" i="4"/>
  <c r="X28" i="4"/>
  <c r="W28" i="4"/>
  <c r="Y27" i="4"/>
  <c r="X27" i="4"/>
  <c r="W27" i="4"/>
  <c r="Y26" i="4"/>
  <c r="X26" i="4"/>
  <c r="W26" i="4"/>
  <c r="Y25" i="4"/>
  <c r="X25" i="4"/>
  <c r="W25" i="4"/>
  <c r="Y24" i="4"/>
  <c r="X24" i="4"/>
  <c r="W24" i="4"/>
  <c r="Y23" i="4"/>
  <c r="X23" i="4"/>
  <c r="W23" i="4"/>
  <c r="Y22" i="4"/>
  <c r="X22" i="4"/>
  <c r="W22" i="4"/>
  <c r="Y21" i="4"/>
  <c r="X21" i="4"/>
  <c r="W21" i="4"/>
  <c r="Y20" i="4"/>
  <c r="X20" i="4"/>
  <c r="W20" i="4"/>
  <c r="Y19" i="4"/>
  <c r="X19" i="4"/>
  <c r="W19" i="4"/>
  <c r="Y18" i="4"/>
  <c r="X18" i="4"/>
  <c r="W18" i="4"/>
  <c r="Y17" i="4"/>
  <c r="X17" i="4"/>
  <c r="W17" i="4"/>
  <c r="Y16" i="4"/>
  <c r="X16" i="4"/>
  <c r="W16" i="4"/>
  <c r="Y15" i="4"/>
  <c r="X15" i="4"/>
  <c r="W15" i="4"/>
  <c r="Y14" i="4"/>
  <c r="X14" i="4"/>
  <c r="W14" i="4"/>
  <c r="Y13" i="4"/>
  <c r="X13" i="4"/>
  <c r="W13" i="4"/>
  <c r="Y12" i="4"/>
  <c r="X12" i="4"/>
  <c r="W12" i="4"/>
  <c r="Y11" i="4"/>
  <c r="X11" i="4"/>
  <c r="W11" i="4"/>
  <c r="Y10" i="4"/>
  <c r="X10" i="4"/>
  <c r="W10" i="4"/>
  <c r="Y9" i="4"/>
  <c r="X9" i="4"/>
  <c r="W9" i="4"/>
  <c r="Y8" i="4"/>
  <c r="X8" i="4"/>
  <c r="W8" i="4"/>
  <c r="Y7" i="4"/>
  <c r="X7" i="4"/>
  <c r="W7" i="4"/>
  <c r="Y6" i="4"/>
  <c r="X6" i="4"/>
  <c r="W6" i="4"/>
  <c r="Y5" i="4"/>
  <c r="X5" i="4"/>
  <c r="W5" i="4"/>
  <c r="Y4" i="4"/>
  <c r="X4" i="4"/>
  <c r="W4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AG102" i="5"/>
  <c r="AB15" i="5"/>
  <c r="R17" i="10" l="1"/>
  <c r="T17" i="10" s="1"/>
  <c r="F42" i="7"/>
  <c r="F41" i="7"/>
  <c r="H36" i="7"/>
  <c r="H44" i="7" s="1"/>
  <c r="G36" i="7"/>
  <c r="G44" i="7" s="1"/>
  <c r="M13" i="7"/>
  <c r="M10" i="7"/>
  <c r="I44" i="7"/>
  <c r="F35" i="7"/>
  <c r="F34" i="7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L29" i="6"/>
  <c r="L28" i="6"/>
  <c r="L26" i="6"/>
  <c r="L23" i="6"/>
  <c r="L17" i="6"/>
  <c r="L16" i="6"/>
  <c r="L14" i="6"/>
  <c r="L11" i="6"/>
  <c r="K32" i="6"/>
  <c r="L32" i="6" s="1"/>
  <c r="K31" i="6"/>
  <c r="L31" i="6" s="1"/>
  <c r="K30" i="6"/>
  <c r="L30" i="6" s="1"/>
  <c r="K29" i="6"/>
  <c r="K28" i="6"/>
  <c r="K27" i="6"/>
  <c r="L27" i="6" s="1"/>
  <c r="K26" i="6"/>
  <c r="K25" i="6"/>
  <c r="L25" i="6" s="1"/>
  <c r="K24" i="6"/>
  <c r="L24" i="6" s="1"/>
  <c r="K23" i="6"/>
  <c r="K22" i="6"/>
  <c r="L22" i="6" s="1"/>
  <c r="K21" i="6"/>
  <c r="L21" i="6" s="1"/>
  <c r="K20" i="6"/>
  <c r="L20" i="6" s="1"/>
  <c r="K19" i="6"/>
  <c r="L19" i="6" s="1"/>
  <c r="K18" i="6"/>
  <c r="L18" i="6" s="1"/>
  <c r="K17" i="6"/>
  <c r="K16" i="6"/>
  <c r="K15" i="6"/>
  <c r="L15" i="6" s="1"/>
  <c r="K14" i="6"/>
  <c r="K13" i="6"/>
  <c r="L13" i="6" s="1"/>
  <c r="K12" i="6"/>
  <c r="L12" i="6" s="1"/>
  <c r="K11" i="6"/>
  <c r="K10" i="6"/>
  <c r="L10" i="6" s="1"/>
  <c r="K9" i="6"/>
  <c r="L9" i="6" s="1"/>
  <c r="K8" i="6"/>
  <c r="L8" i="6" s="1"/>
  <c r="K7" i="6"/>
  <c r="L7" i="6" s="1"/>
  <c r="Q119" i="5"/>
  <c r="P119" i="5"/>
  <c r="O119" i="5"/>
  <c r="Q118" i="5"/>
  <c r="AA118" i="5" s="1"/>
  <c r="P118" i="5"/>
  <c r="O118" i="5"/>
  <c r="Q117" i="5"/>
  <c r="P117" i="5"/>
  <c r="O117" i="5"/>
  <c r="Q116" i="5"/>
  <c r="AA116" i="5" s="1"/>
  <c r="P116" i="5"/>
  <c r="O116" i="5"/>
  <c r="Q115" i="5"/>
  <c r="P115" i="5"/>
  <c r="O115" i="5"/>
  <c r="Q114" i="5"/>
  <c r="P114" i="5"/>
  <c r="O114" i="5"/>
  <c r="Q113" i="5"/>
  <c r="P113" i="5"/>
  <c r="O113" i="5"/>
  <c r="Q112" i="5"/>
  <c r="P112" i="5"/>
  <c r="O112" i="5"/>
  <c r="Q111" i="5"/>
  <c r="P111" i="5"/>
  <c r="O111" i="5"/>
  <c r="Q110" i="5"/>
  <c r="AA110" i="5" s="1"/>
  <c r="P110" i="5"/>
  <c r="O110" i="5"/>
  <c r="Q109" i="5"/>
  <c r="P109" i="5"/>
  <c r="O109" i="5"/>
  <c r="R114" i="5" l="1"/>
  <c r="S114" i="5" s="1"/>
  <c r="T114" i="5" s="1"/>
  <c r="AA114" i="5"/>
  <c r="M11" i="7"/>
  <c r="M24" i="7"/>
  <c r="X111" i="5"/>
  <c r="Z111" i="5"/>
  <c r="AE111" i="5"/>
  <c r="AD111" i="5"/>
  <c r="X115" i="5"/>
  <c r="AD115" i="5"/>
  <c r="Z115" i="5"/>
  <c r="AE115" i="5"/>
  <c r="X119" i="5"/>
  <c r="AE119" i="5"/>
  <c r="AD119" i="5"/>
  <c r="AF119" i="5" s="1"/>
  <c r="Z119" i="5"/>
  <c r="M12" i="7"/>
  <c r="M25" i="7"/>
  <c r="R111" i="5"/>
  <c r="S111" i="5" s="1"/>
  <c r="T111" i="5" s="1"/>
  <c r="AA111" i="5"/>
  <c r="AB111" i="5" s="1"/>
  <c r="M14" i="7"/>
  <c r="M27" i="7"/>
  <c r="W115" i="5"/>
  <c r="AA115" i="5"/>
  <c r="AB115" i="5" s="1"/>
  <c r="X112" i="5"/>
  <c r="AD112" i="5"/>
  <c r="AE112" i="5"/>
  <c r="Z112" i="5"/>
  <c r="X116" i="5"/>
  <c r="Z116" i="5"/>
  <c r="AE116" i="5"/>
  <c r="AD116" i="5"/>
  <c r="M15" i="7"/>
  <c r="AB116" i="5"/>
  <c r="M16" i="7"/>
  <c r="M17" i="7"/>
  <c r="M26" i="7"/>
  <c r="X109" i="5"/>
  <c r="AD109" i="5"/>
  <c r="AF109" i="5" s="1"/>
  <c r="AG109" i="5" s="1"/>
  <c r="AE109" i="5"/>
  <c r="Z109" i="5"/>
  <c r="X113" i="5"/>
  <c r="AE113" i="5"/>
  <c r="AD113" i="5"/>
  <c r="Z113" i="5"/>
  <c r="X117" i="5"/>
  <c r="Z117" i="5"/>
  <c r="AD117" i="5"/>
  <c r="AF117" i="5" s="1"/>
  <c r="AE117" i="5"/>
  <c r="AG117" i="5" s="1"/>
  <c r="M18" i="7"/>
  <c r="R119" i="5"/>
  <c r="S119" i="5" s="1"/>
  <c r="T119" i="5" s="1"/>
  <c r="AA119" i="5"/>
  <c r="AB119" i="5" s="1"/>
  <c r="R112" i="5"/>
  <c r="S112" i="5" s="1"/>
  <c r="T112" i="5" s="1"/>
  <c r="AA112" i="5"/>
  <c r="W109" i="5"/>
  <c r="AA109" i="5"/>
  <c r="AB109" i="5" s="1"/>
  <c r="R113" i="5"/>
  <c r="S113" i="5" s="1"/>
  <c r="T113" i="5" s="1"/>
  <c r="AA113" i="5"/>
  <c r="AB113" i="5" s="1"/>
  <c r="R117" i="5"/>
  <c r="S117" i="5" s="1"/>
  <c r="T117" i="5" s="1"/>
  <c r="AA117" i="5"/>
  <c r="AB117" i="5" s="1"/>
  <c r="M7" i="7"/>
  <c r="M19" i="7"/>
  <c r="M8" i="7"/>
  <c r="M21" i="7"/>
  <c r="X110" i="5"/>
  <c r="Z110" i="5"/>
  <c r="AB110" i="5" s="1"/>
  <c r="AE110" i="5"/>
  <c r="AD110" i="5"/>
  <c r="AF110" i="5" s="1"/>
  <c r="X114" i="5"/>
  <c r="AE114" i="5"/>
  <c r="AD114" i="5"/>
  <c r="Z114" i="5"/>
  <c r="X118" i="5"/>
  <c r="AD118" i="5"/>
  <c r="Z118" i="5"/>
  <c r="AB118" i="5" s="1"/>
  <c r="AE118" i="5"/>
  <c r="M9" i="7"/>
  <c r="M22" i="7"/>
  <c r="M23" i="7"/>
  <c r="M20" i="7"/>
  <c r="R110" i="5"/>
  <c r="S110" i="5" s="1"/>
  <c r="T110" i="5" s="1"/>
  <c r="R118" i="5"/>
  <c r="S118" i="5" s="1"/>
  <c r="T118" i="5" s="1"/>
  <c r="R116" i="5"/>
  <c r="S116" i="5" s="1"/>
  <c r="T116" i="5" s="1"/>
  <c r="W113" i="5"/>
  <c r="W110" i="5"/>
  <c r="W119" i="5"/>
  <c r="R109" i="5"/>
  <c r="S109" i="5" s="1"/>
  <c r="T109" i="5" s="1"/>
  <c r="W117" i="5"/>
  <c r="W112" i="5"/>
  <c r="W116" i="5"/>
  <c r="W111" i="5"/>
  <c r="W114" i="5"/>
  <c r="W118" i="5"/>
  <c r="R115" i="5"/>
  <c r="S115" i="5" s="1"/>
  <c r="T115" i="5" s="1"/>
  <c r="AB112" i="5" l="1"/>
  <c r="AB114" i="5"/>
  <c r="Q103" i="5"/>
  <c r="P103" i="5"/>
  <c r="O103" i="5"/>
  <c r="Q102" i="5"/>
  <c r="P102" i="5"/>
  <c r="O102" i="5"/>
  <c r="Q101" i="5"/>
  <c r="P101" i="5"/>
  <c r="O101" i="5"/>
  <c r="Q100" i="5"/>
  <c r="P100" i="5"/>
  <c r="O100" i="5"/>
  <c r="Q99" i="5"/>
  <c r="P99" i="5"/>
  <c r="O99" i="5"/>
  <c r="Q98" i="5"/>
  <c r="P98" i="5"/>
  <c r="O98" i="5"/>
  <c r="Q97" i="5"/>
  <c r="P97" i="5"/>
  <c r="O97" i="5"/>
  <c r="Q96" i="5"/>
  <c r="P96" i="5"/>
  <c r="O96" i="5"/>
  <c r="Q95" i="5"/>
  <c r="AA95" i="5" s="1"/>
  <c r="P95" i="5"/>
  <c r="O95" i="5"/>
  <c r="Q94" i="5"/>
  <c r="P94" i="5"/>
  <c r="O94" i="5"/>
  <c r="Q89" i="5"/>
  <c r="P89" i="5"/>
  <c r="O89" i="5"/>
  <c r="Q88" i="5"/>
  <c r="AA88" i="5" s="1"/>
  <c r="P88" i="5"/>
  <c r="O88" i="5"/>
  <c r="Q87" i="5"/>
  <c r="P87" i="5"/>
  <c r="O87" i="5"/>
  <c r="Q86" i="5"/>
  <c r="P86" i="5"/>
  <c r="O86" i="5"/>
  <c r="Q85" i="5"/>
  <c r="P85" i="5"/>
  <c r="O85" i="5"/>
  <c r="Q84" i="5"/>
  <c r="P84" i="5"/>
  <c r="O84" i="5"/>
  <c r="Q83" i="5"/>
  <c r="P83" i="5"/>
  <c r="O83" i="5"/>
  <c r="Q82" i="5"/>
  <c r="P82" i="5"/>
  <c r="O82" i="5"/>
  <c r="Q81" i="5"/>
  <c r="P81" i="5"/>
  <c r="O81" i="5"/>
  <c r="Q76" i="5"/>
  <c r="AA76" i="5" s="1"/>
  <c r="P76" i="5"/>
  <c r="O76" i="5"/>
  <c r="Q75" i="5"/>
  <c r="P75" i="5"/>
  <c r="O75" i="5"/>
  <c r="Q74" i="5"/>
  <c r="P74" i="5"/>
  <c r="O74" i="5"/>
  <c r="Q73" i="5"/>
  <c r="P73" i="5"/>
  <c r="O73" i="5"/>
  <c r="Q72" i="5"/>
  <c r="AA72" i="5" s="1"/>
  <c r="P72" i="5"/>
  <c r="O72" i="5"/>
  <c r="Q71" i="5"/>
  <c r="P71" i="5"/>
  <c r="O71" i="5"/>
  <c r="Q70" i="5"/>
  <c r="P70" i="5"/>
  <c r="O70" i="5"/>
  <c r="Q69" i="5"/>
  <c r="P69" i="5"/>
  <c r="O69" i="5"/>
  <c r="Q68" i="5"/>
  <c r="AA68" i="5" s="1"/>
  <c r="P68" i="5"/>
  <c r="O68" i="5"/>
  <c r="Q67" i="5"/>
  <c r="P67" i="5"/>
  <c r="O67" i="5"/>
  <c r="Q62" i="5"/>
  <c r="P62" i="5"/>
  <c r="O62" i="5"/>
  <c r="Q61" i="5"/>
  <c r="P61" i="5"/>
  <c r="O61" i="5"/>
  <c r="Q60" i="5"/>
  <c r="P60" i="5"/>
  <c r="O60" i="5"/>
  <c r="Q59" i="5"/>
  <c r="P59" i="5"/>
  <c r="O59" i="5"/>
  <c r="Q58" i="5"/>
  <c r="P58" i="5"/>
  <c r="O58" i="5"/>
  <c r="Q57" i="5"/>
  <c r="P57" i="5"/>
  <c r="O57" i="5"/>
  <c r="Q56" i="5"/>
  <c r="P56" i="5"/>
  <c r="O56" i="5"/>
  <c r="Q55" i="5"/>
  <c r="P55" i="5"/>
  <c r="O55" i="5"/>
  <c r="Q50" i="5"/>
  <c r="P50" i="5"/>
  <c r="O50" i="5"/>
  <c r="Q49" i="5"/>
  <c r="P49" i="5"/>
  <c r="O49" i="5"/>
  <c r="Q48" i="5"/>
  <c r="P48" i="5"/>
  <c r="O48" i="5"/>
  <c r="Q47" i="5"/>
  <c r="P47" i="5"/>
  <c r="O47" i="5"/>
  <c r="Q46" i="5"/>
  <c r="P46" i="5"/>
  <c r="O46" i="5"/>
  <c r="Q45" i="5"/>
  <c r="P45" i="5"/>
  <c r="O45" i="5"/>
  <c r="Q44" i="5"/>
  <c r="P44" i="5"/>
  <c r="O44" i="5"/>
  <c r="Q43" i="5"/>
  <c r="P43" i="5"/>
  <c r="O43" i="5"/>
  <c r="Q42" i="5"/>
  <c r="P42" i="5"/>
  <c r="O42" i="5"/>
  <c r="Q41" i="5"/>
  <c r="P41" i="5"/>
  <c r="O41" i="5"/>
  <c r="Q40" i="5"/>
  <c r="P40" i="5"/>
  <c r="O40" i="5"/>
  <c r="Q39" i="5"/>
  <c r="P39" i="5"/>
  <c r="O39" i="5"/>
  <c r="Q38" i="5"/>
  <c r="P38" i="5"/>
  <c r="O38" i="5"/>
  <c r="Q33" i="5"/>
  <c r="P33" i="5"/>
  <c r="O33" i="5"/>
  <c r="Q32" i="5"/>
  <c r="AA32" i="5" s="1"/>
  <c r="P32" i="5"/>
  <c r="O32" i="5"/>
  <c r="Q31" i="5"/>
  <c r="P31" i="5"/>
  <c r="O31" i="5"/>
  <c r="Q30" i="5"/>
  <c r="P30" i="5"/>
  <c r="O30" i="5"/>
  <c r="Q29" i="5"/>
  <c r="P29" i="5"/>
  <c r="O29" i="5"/>
  <c r="Q28" i="5"/>
  <c r="AA28" i="5" s="1"/>
  <c r="P28" i="5"/>
  <c r="O28" i="5"/>
  <c r="Q27" i="5"/>
  <c r="AA27" i="5" s="1"/>
  <c r="P27" i="5"/>
  <c r="O27" i="5"/>
  <c r="Q26" i="5"/>
  <c r="P26" i="5"/>
  <c r="O26" i="5"/>
  <c r="Q25" i="5"/>
  <c r="P25" i="5"/>
  <c r="O25" i="5"/>
  <c r="Q24" i="5"/>
  <c r="AA24" i="5" s="1"/>
  <c r="P24" i="5"/>
  <c r="O24" i="5"/>
  <c r="Q23" i="5"/>
  <c r="AA23" i="5" s="1"/>
  <c r="P23" i="5"/>
  <c r="O23" i="5"/>
  <c r="Q22" i="5"/>
  <c r="AA22" i="5" s="1"/>
  <c r="P22" i="5"/>
  <c r="O22" i="5"/>
  <c r="Q21" i="5"/>
  <c r="P21" i="5"/>
  <c r="O21" i="5"/>
  <c r="Q16" i="5"/>
  <c r="AA16" i="5" s="1"/>
  <c r="P16" i="5"/>
  <c r="O16" i="5"/>
  <c r="Q15" i="5"/>
  <c r="P15" i="5"/>
  <c r="O15" i="5"/>
  <c r="Q14" i="5"/>
  <c r="P14" i="5"/>
  <c r="O14" i="5"/>
  <c r="Q13" i="5"/>
  <c r="P13" i="5"/>
  <c r="O13" i="5"/>
  <c r="Q12" i="5"/>
  <c r="P12" i="5"/>
  <c r="O12" i="5"/>
  <c r="Q11" i="5"/>
  <c r="AA11" i="5" s="1"/>
  <c r="AB11" i="5" s="1"/>
  <c r="P11" i="5"/>
  <c r="O11" i="5"/>
  <c r="Q10" i="5"/>
  <c r="AA10" i="5" s="1"/>
  <c r="P10" i="5"/>
  <c r="O10" i="5"/>
  <c r="R13" i="5" l="1"/>
  <c r="S13" i="5" s="1"/>
  <c r="T13" i="5" s="1"/>
  <c r="AA13" i="5"/>
  <c r="AB13" i="5" s="1"/>
  <c r="X13" i="5"/>
  <c r="AD13" i="5"/>
  <c r="AE13" i="5"/>
  <c r="X21" i="5"/>
  <c r="Z21" i="5"/>
  <c r="AD21" i="5"/>
  <c r="AE21" i="5"/>
  <c r="X25" i="5"/>
  <c r="Z25" i="5"/>
  <c r="AD25" i="5"/>
  <c r="AE25" i="5"/>
  <c r="X29" i="5"/>
  <c r="Z29" i="5"/>
  <c r="AE29" i="5"/>
  <c r="AD29" i="5"/>
  <c r="X33" i="5"/>
  <c r="Z33" i="5"/>
  <c r="AD33" i="5"/>
  <c r="AE33" i="5"/>
  <c r="X41" i="5"/>
  <c r="Z41" i="5"/>
  <c r="AE41" i="5"/>
  <c r="AD41" i="5"/>
  <c r="AF41" i="5" s="1"/>
  <c r="X45" i="5"/>
  <c r="AE45" i="5"/>
  <c r="AG45" i="5" s="1"/>
  <c r="AD45" i="5"/>
  <c r="AF45" i="5" s="1"/>
  <c r="Z45" i="5"/>
  <c r="X49" i="5"/>
  <c r="Z49" i="5"/>
  <c r="AD49" i="5"/>
  <c r="AE49" i="5"/>
  <c r="Z57" i="5"/>
  <c r="AE57" i="5"/>
  <c r="AD57" i="5"/>
  <c r="X61" i="5"/>
  <c r="AE61" i="5"/>
  <c r="AD61" i="5"/>
  <c r="Z61" i="5"/>
  <c r="X69" i="5"/>
  <c r="Z69" i="5"/>
  <c r="AD69" i="5"/>
  <c r="AE69" i="5"/>
  <c r="X73" i="5"/>
  <c r="AE73" i="5"/>
  <c r="AD73" i="5"/>
  <c r="Z73" i="5"/>
  <c r="X81" i="5"/>
  <c r="AE81" i="5"/>
  <c r="AG81" i="5" s="1"/>
  <c r="AD81" i="5"/>
  <c r="Z81" i="5"/>
  <c r="X85" i="5"/>
  <c r="Z85" i="5"/>
  <c r="AE85" i="5"/>
  <c r="AD85" i="5"/>
  <c r="X89" i="5"/>
  <c r="Z89" i="5"/>
  <c r="AE89" i="5"/>
  <c r="AD89" i="5"/>
  <c r="AF89" i="5" s="1"/>
  <c r="X97" i="5"/>
  <c r="AE97" i="5"/>
  <c r="AD97" i="5"/>
  <c r="Z97" i="5"/>
  <c r="X101" i="5"/>
  <c r="AD101" i="5"/>
  <c r="Z101" i="5"/>
  <c r="AE101" i="5"/>
  <c r="W41" i="5"/>
  <c r="AA41" i="5"/>
  <c r="AB41" i="5" s="1"/>
  <c r="W101" i="5"/>
  <c r="AA101" i="5"/>
  <c r="AB101" i="5" s="1"/>
  <c r="R29" i="5"/>
  <c r="AA29" i="5"/>
  <c r="AB29" i="5" s="1"/>
  <c r="W61" i="5"/>
  <c r="AA61" i="5"/>
  <c r="AB61" i="5" s="1"/>
  <c r="X10" i="5"/>
  <c r="AD10" i="5"/>
  <c r="Z10" i="5"/>
  <c r="AE10" i="5"/>
  <c r="X30" i="5"/>
  <c r="AD30" i="5"/>
  <c r="AE30" i="5"/>
  <c r="Z30" i="5"/>
  <c r="X42" i="5"/>
  <c r="Z42" i="5"/>
  <c r="AD42" i="5"/>
  <c r="AF42" i="5" s="1"/>
  <c r="AE42" i="5"/>
  <c r="AG42" i="5" s="1"/>
  <c r="X46" i="5"/>
  <c r="AD46" i="5"/>
  <c r="AF46" i="5" s="1"/>
  <c r="AE46" i="5"/>
  <c r="Z46" i="5"/>
  <c r="X50" i="5"/>
  <c r="AE50" i="5"/>
  <c r="AD50" i="5"/>
  <c r="AF50" i="5" s="1"/>
  <c r="Z50" i="5"/>
  <c r="X58" i="5"/>
  <c r="Z58" i="5"/>
  <c r="AD58" i="5"/>
  <c r="AE58" i="5"/>
  <c r="AG58" i="5" s="1"/>
  <c r="X62" i="5"/>
  <c r="AD62" i="5"/>
  <c r="AE62" i="5"/>
  <c r="Z62" i="5"/>
  <c r="X70" i="5"/>
  <c r="AE70" i="5"/>
  <c r="AD70" i="5"/>
  <c r="AF70" i="5" s="1"/>
  <c r="Z70" i="5"/>
  <c r="X74" i="5"/>
  <c r="Z74" i="5"/>
  <c r="AE74" i="5"/>
  <c r="AG74" i="5" s="1"/>
  <c r="AD74" i="5"/>
  <c r="X82" i="5"/>
  <c r="AD82" i="5"/>
  <c r="Z82" i="5"/>
  <c r="AE82" i="5"/>
  <c r="AG82" i="5" s="1"/>
  <c r="X86" i="5"/>
  <c r="Z86" i="5"/>
  <c r="AE86" i="5"/>
  <c r="AD86" i="5"/>
  <c r="X94" i="5"/>
  <c r="Z94" i="5"/>
  <c r="AD94" i="5"/>
  <c r="AE94" i="5"/>
  <c r="X98" i="5"/>
  <c r="AD98" i="5"/>
  <c r="AE98" i="5"/>
  <c r="AG98" i="5" s="1"/>
  <c r="Z98" i="5"/>
  <c r="X102" i="5"/>
  <c r="AE102" i="5"/>
  <c r="AD102" i="5"/>
  <c r="Z102" i="5"/>
  <c r="W97" i="5"/>
  <c r="AA97" i="5"/>
  <c r="AB97" i="5" s="1"/>
  <c r="X22" i="5"/>
  <c r="AE22" i="5"/>
  <c r="Z22" i="5"/>
  <c r="AD22" i="5"/>
  <c r="AB22" i="5"/>
  <c r="R26" i="5"/>
  <c r="AA26" i="5"/>
  <c r="R30" i="5"/>
  <c r="AA30" i="5"/>
  <c r="AB30" i="5" s="1"/>
  <c r="W38" i="5"/>
  <c r="AA38" i="5"/>
  <c r="AB38" i="5" s="1"/>
  <c r="W42" i="5"/>
  <c r="AA42" i="5"/>
  <c r="AB42" i="5" s="1"/>
  <c r="W46" i="5"/>
  <c r="AA46" i="5"/>
  <c r="W50" i="5"/>
  <c r="AA50" i="5"/>
  <c r="R58" i="5"/>
  <c r="S58" i="5" s="1"/>
  <c r="T58" i="5" s="1"/>
  <c r="AA58" i="5"/>
  <c r="AB58" i="5" s="1"/>
  <c r="R62" i="5"/>
  <c r="S62" i="5" s="1"/>
  <c r="T62" i="5" s="1"/>
  <c r="AA62" i="5"/>
  <c r="AB62" i="5" s="1"/>
  <c r="W70" i="5"/>
  <c r="AA70" i="5"/>
  <c r="AB70" i="5" s="1"/>
  <c r="W74" i="5"/>
  <c r="AA74" i="5"/>
  <c r="AB74" i="5" s="1"/>
  <c r="W82" i="5"/>
  <c r="AA82" i="5"/>
  <c r="W86" i="5"/>
  <c r="AA86" i="5"/>
  <c r="R94" i="5"/>
  <c r="S94" i="5" s="1"/>
  <c r="T94" i="5" s="1"/>
  <c r="AA94" i="5"/>
  <c r="AB94" i="5" s="1"/>
  <c r="W98" i="5"/>
  <c r="AA98" i="5"/>
  <c r="AB98" i="5" s="1"/>
  <c r="W102" i="5"/>
  <c r="AA102" i="5"/>
  <c r="AB102" i="5" s="1"/>
  <c r="W45" i="5"/>
  <c r="AA45" i="5"/>
  <c r="AB45" i="5" s="1"/>
  <c r="W73" i="5"/>
  <c r="AA73" i="5"/>
  <c r="X26" i="5"/>
  <c r="Z26" i="5"/>
  <c r="AD26" i="5"/>
  <c r="AE26" i="5"/>
  <c r="R25" i="5"/>
  <c r="S25" i="5" s="1"/>
  <c r="AA25" i="5"/>
  <c r="AB25" i="5" s="1"/>
  <c r="W81" i="5"/>
  <c r="AA81" i="5"/>
  <c r="AB81" i="5" s="1"/>
  <c r="X14" i="5"/>
  <c r="AE14" i="5"/>
  <c r="AD14" i="5"/>
  <c r="Z14" i="5"/>
  <c r="AB14" i="5" s="1"/>
  <c r="X11" i="5"/>
  <c r="AD11" i="5"/>
  <c r="AE11" i="5"/>
  <c r="X15" i="5"/>
  <c r="AD15" i="5"/>
  <c r="AE15" i="5"/>
  <c r="X23" i="5"/>
  <c r="AE23" i="5"/>
  <c r="AD23" i="5"/>
  <c r="Z23" i="5"/>
  <c r="X27" i="5"/>
  <c r="Z27" i="5"/>
  <c r="AD27" i="5"/>
  <c r="AE27" i="5"/>
  <c r="X31" i="5"/>
  <c r="AE31" i="5"/>
  <c r="Z31" i="5"/>
  <c r="AD31" i="5"/>
  <c r="X39" i="5"/>
  <c r="AE39" i="5"/>
  <c r="AD39" i="5"/>
  <c r="Z39" i="5"/>
  <c r="X43" i="5"/>
  <c r="Z43" i="5"/>
  <c r="AE43" i="5"/>
  <c r="AD43" i="5"/>
  <c r="AF43" i="5" s="1"/>
  <c r="X47" i="5"/>
  <c r="Z47" i="5"/>
  <c r="AE47" i="5"/>
  <c r="AD47" i="5"/>
  <c r="AF47" i="5" s="1"/>
  <c r="X55" i="5"/>
  <c r="AE55" i="5"/>
  <c r="AD55" i="5"/>
  <c r="AF55" i="5" s="1"/>
  <c r="Z55" i="5"/>
  <c r="X59" i="5"/>
  <c r="Z59" i="5"/>
  <c r="AD59" i="5"/>
  <c r="AF59" i="5" s="1"/>
  <c r="AE59" i="5"/>
  <c r="X67" i="5"/>
  <c r="Z67" i="5"/>
  <c r="AE67" i="5"/>
  <c r="AD67" i="5"/>
  <c r="X71" i="5"/>
  <c r="AE71" i="5"/>
  <c r="AD71" i="5"/>
  <c r="Z71" i="5"/>
  <c r="X75" i="5"/>
  <c r="Z75" i="5"/>
  <c r="AD75" i="5"/>
  <c r="AE75" i="5"/>
  <c r="X83" i="5"/>
  <c r="Z83" i="5"/>
  <c r="AD83" i="5"/>
  <c r="AE83" i="5"/>
  <c r="X87" i="5"/>
  <c r="AE87" i="5"/>
  <c r="AD87" i="5"/>
  <c r="AF87" i="5" s="1"/>
  <c r="Z87" i="5"/>
  <c r="X95" i="5"/>
  <c r="Z95" i="5"/>
  <c r="AD95" i="5"/>
  <c r="AE95" i="5"/>
  <c r="X99" i="5"/>
  <c r="AD99" i="5"/>
  <c r="Z99" i="5"/>
  <c r="AE99" i="5"/>
  <c r="X103" i="5"/>
  <c r="AE103" i="5"/>
  <c r="AD103" i="5"/>
  <c r="Z103" i="5"/>
  <c r="R21" i="5"/>
  <c r="AA21" i="5"/>
  <c r="AB21" i="5" s="1"/>
  <c r="R85" i="5"/>
  <c r="S85" i="5" s="1"/>
  <c r="T85" i="5" s="1"/>
  <c r="AA85" i="5"/>
  <c r="AB85" i="5" s="1"/>
  <c r="AB23" i="5"/>
  <c r="AB27" i="5"/>
  <c r="W31" i="5"/>
  <c r="AA31" i="5"/>
  <c r="W39" i="5"/>
  <c r="AA39" i="5"/>
  <c r="AB39" i="5" s="1"/>
  <c r="W43" i="5"/>
  <c r="AA43" i="5"/>
  <c r="AB43" i="5" s="1"/>
  <c r="W47" i="5"/>
  <c r="AA47" i="5"/>
  <c r="W55" i="5"/>
  <c r="AA55" i="5"/>
  <c r="AB55" i="5" s="1"/>
  <c r="W59" i="5"/>
  <c r="AA59" i="5"/>
  <c r="AB59" i="5" s="1"/>
  <c r="W67" i="5"/>
  <c r="AA67" i="5"/>
  <c r="AB67" i="5" s="1"/>
  <c r="W71" i="5"/>
  <c r="AA71" i="5"/>
  <c r="AB71" i="5" s="1"/>
  <c r="W75" i="5"/>
  <c r="AA75" i="5"/>
  <c r="AB75" i="5" s="1"/>
  <c r="W83" i="5"/>
  <c r="AA83" i="5"/>
  <c r="W87" i="5"/>
  <c r="AA87" i="5"/>
  <c r="AB87" i="5" s="1"/>
  <c r="AB95" i="5"/>
  <c r="W99" i="5"/>
  <c r="AA99" i="5"/>
  <c r="AB99" i="5" s="1"/>
  <c r="W103" i="5"/>
  <c r="AA103" i="5"/>
  <c r="AB103" i="5" s="1"/>
  <c r="W49" i="5"/>
  <c r="AA49" i="5"/>
  <c r="AB49" i="5" s="1"/>
  <c r="R69" i="5"/>
  <c r="S69" i="5" s="1"/>
  <c r="T69" i="5" s="1"/>
  <c r="AA69" i="5"/>
  <c r="AB69" i="5" s="1"/>
  <c r="X38" i="5"/>
  <c r="AE38" i="5"/>
  <c r="AD38" i="5"/>
  <c r="Z38" i="5"/>
  <c r="X57" i="5"/>
  <c r="R89" i="5"/>
  <c r="S89" i="5" s="1"/>
  <c r="T89" i="5" s="1"/>
  <c r="AA89" i="5"/>
  <c r="AB89" i="5" s="1"/>
  <c r="AB10" i="5"/>
  <c r="X12" i="5"/>
  <c r="Z12" i="5"/>
  <c r="AB12" i="5" s="1"/>
  <c r="AE12" i="5"/>
  <c r="AD12" i="5"/>
  <c r="X16" i="5"/>
  <c r="AE16" i="5"/>
  <c r="Z16" i="5"/>
  <c r="AD16" i="5"/>
  <c r="X24" i="5"/>
  <c r="AD24" i="5"/>
  <c r="Z24" i="5"/>
  <c r="AB24" i="5" s="1"/>
  <c r="AE24" i="5"/>
  <c r="X28" i="5"/>
  <c r="Z28" i="5"/>
  <c r="AE28" i="5"/>
  <c r="AD28" i="5"/>
  <c r="X32" i="5"/>
  <c r="Z32" i="5"/>
  <c r="AD32" i="5"/>
  <c r="AE32" i="5"/>
  <c r="X40" i="5"/>
  <c r="AE40" i="5"/>
  <c r="AD40" i="5"/>
  <c r="Z40" i="5"/>
  <c r="X44" i="5"/>
  <c r="Z44" i="5"/>
  <c r="AE44" i="5"/>
  <c r="AD44" i="5"/>
  <c r="X48" i="5"/>
  <c r="Z48" i="5"/>
  <c r="AD48" i="5"/>
  <c r="AE48" i="5"/>
  <c r="X56" i="5"/>
  <c r="AD56" i="5"/>
  <c r="Z56" i="5"/>
  <c r="AE56" i="5"/>
  <c r="X60" i="5"/>
  <c r="AE60" i="5"/>
  <c r="AD60" i="5"/>
  <c r="Z60" i="5"/>
  <c r="X68" i="5"/>
  <c r="Z68" i="5"/>
  <c r="AD68" i="5"/>
  <c r="AE68" i="5"/>
  <c r="X72" i="5"/>
  <c r="AD72" i="5"/>
  <c r="AF72" i="5" s="1"/>
  <c r="Z72" i="5"/>
  <c r="AB72" i="5" s="1"/>
  <c r="AE72" i="5"/>
  <c r="X76" i="5"/>
  <c r="AE76" i="5"/>
  <c r="Z76" i="5"/>
  <c r="AB76" i="5" s="1"/>
  <c r="AD76" i="5"/>
  <c r="X84" i="5"/>
  <c r="Z84" i="5"/>
  <c r="AD84" i="5"/>
  <c r="AE84" i="5"/>
  <c r="X88" i="5"/>
  <c r="AD88" i="5"/>
  <c r="Z88" i="5"/>
  <c r="AB88" i="5" s="1"/>
  <c r="AE88" i="5"/>
  <c r="X96" i="5"/>
  <c r="AE96" i="5"/>
  <c r="AG96" i="5" s="1"/>
  <c r="AD96" i="5"/>
  <c r="Z96" i="5"/>
  <c r="X100" i="5"/>
  <c r="Z100" i="5"/>
  <c r="AD100" i="5"/>
  <c r="AE100" i="5"/>
  <c r="AG100" i="5" s="1"/>
  <c r="R33" i="5"/>
  <c r="AA33" i="5"/>
  <c r="AB33" i="5" s="1"/>
  <c r="W57" i="5"/>
  <c r="AA57" i="5"/>
  <c r="AB57" i="5" s="1"/>
  <c r="AB16" i="5"/>
  <c r="AB28" i="5"/>
  <c r="AB32" i="5"/>
  <c r="W40" i="5"/>
  <c r="AA40" i="5"/>
  <c r="AB40" i="5" s="1"/>
  <c r="W44" i="5"/>
  <c r="AA44" i="5"/>
  <c r="AB44" i="5" s="1"/>
  <c r="W48" i="5"/>
  <c r="AA48" i="5"/>
  <c r="AB48" i="5" s="1"/>
  <c r="W56" i="5"/>
  <c r="AA56" i="5"/>
  <c r="F36" i="7"/>
  <c r="F44" i="7" s="1"/>
  <c r="W60" i="5"/>
  <c r="AA60" i="5"/>
  <c r="AB60" i="5" s="1"/>
  <c r="AB68" i="5"/>
  <c r="W84" i="5"/>
  <c r="AA84" i="5"/>
  <c r="AB84" i="5" s="1"/>
  <c r="W96" i="5"/>
  <c r="AA96" i="5"/>
  <c r="AB96" i="5" s="1"/>
  <c r="W100" i="5"/>
  <c r="AA100" i="5"/>
  <c r="AB100" i="5" s="1"/>
  <c r="R14" i="5"/>
  <c r="S14" i="5" s="1"/>
  <c r="T14" i="5" s="1"/>
  <c r="R22" i="5"/>
  <c r="R16" i="5"/>
  <c r="S16" i="5" s="1"/>
  <c r="T16" i="5" s="1"/>
  <c r="R24" i="5"/>
  <c r="R32" i="5"/>
  <c r="S32" i="5" s="1"/>
  <c r="R68" i="5"/>
  <c r="S68" i="5" s="1"/>
  <c r="T68" i="5" s="1"/>
  <c r="R72" i="5"/>
  <c r="S72" i="5" s="1"/>
  <c r="T72" i="5" s="1"/>
  <c r="R76" i="5"/>
  <c r="S76" i="5" s="1"/>
  <c r="T76" i="5" s="1"/>
  <c r="R88" i="5"/>
  <c r="S88" i="5" s="1"/>
  <c r="T88" i="5" s="1"/>
  <c r="R10" i="5"/>
  <c r="S10" i="5" s="1"/>
  <c r="T10" i="5" s="1"/>
  <c r="R28" i="5"/>
  <c r="S28" i="5" s="1"/>
  <c r="R12" i="5"/>
  <c r="S12" i="5" s="1"/>
  <c r="T12" i="5" s="1"/>
  <c r="W24" i="5"/>
  <c r="W30" i="5"/>
  <c r="W62" i="5"/>
  <c r="W72" i="5"/>
  <c r="W88" i="5"/>
  <c r="W25" i="5"/>
  <c r="W89" i="5"/>
  <c r="R83" i="5"/>
  <c r="S83" i="5" s="1"/>
  <c r="T83" i="5" s="1"/>
  <c r="R95" i="5"/>
  <c r="S95" i="5" s="1"/>
  <c r="T95" i="5" s="1"/>
  <c r="R27" i="5"/>
  <c r="S27" i="5" s="1"/>
  <c r="W10" i="5"/>
  <c r="W26" i="5"/>
  <c r="W32" i="5"/>
  <c r="W58" i="5"/>
  <c r="W68" i="5"/>
  <c r="W94" i="5"/>
  <c r="R11" i="5"/>
  <c r="S11" i="5" s="1"/>
  <c r="T11" i="5" s="1"/>
  <c r="W11" i="5"/>
  <c r="W21" i="5"/>
  <c r="W27" i="5"/>
  <c r="W33" i="5"/>
  <c r="W69" i="5"/>
  <c r="W85" i="5"/>
  <c r="W95" i="5"/>
  <c r="W12" i="5"/>
  <c r="R23" i="5"/>
  <c r="W13" i="5"/>
  <c r="W22" i="5"/>
  <c r="W28" i="5"/>
  <c r="W76" i="5"/>
  <c r="R15" i="5"/>
  <c r="S15" i="5" s="1"/>
  <c r="T15" i="5" s="1"/>
  <c r="W14" i="5"/>
  <c r="R67" i="5"/>
  <c r="S67" i="5" s="1"/>
  <c r="T67" i="5" s="1"/>
  <c r="W15" i="5"/>
  <c r="W23" i="5"/>
  <c r="W29" i="5"/>
  <c r="R86" i="5"/>
  <c r="S86" i="5" s="1"/>
  <c r="T86" i="5" s="1"/>
  <c r="W16" i="5"/>
  <c r="R103" i="5"/>
  <c r="S103" i="5" s="1"/>
  <c r="T103" i="5" s="1"/>
  <c r="R100" i="5"/>
  <c r="S100" i="5" s="1"/>
  <c r="T100" i="5" s="1"/>
  <c r="R101" i="5"/>
  <c r="S101" i="5" s="1"/>
  <c r="T101" i="5" s="1"/>
  <c r="R97" i="5"/>
  <c r="S97" i="5" s="1"/>
  <c r="T97" i="5" s="1"/>
  <c r="R102" i="5"/>
  <c r="S102" i="5" s="1"/>
  <c r="T102" i="5" s="1"/>
  <c r="R99" i="5"/>
  <c r="S99" i="5" s="1"/>
  <c r="T99" i="5" s="1"/>
  <c r="R98" i="5"/>
  <c r="S98" i="5" s="1"/>
  <c r="T98" i="5" s="1"/>
  <c r="R96" i="5"/>
  <c r="S96" i="5" s="1"/>
  <c r="T96" i="5" s="1"/>
  <c r="R82" i="5"/>
  <c r="S82" i="5" s="1"/>
  <c r="T82" i="5" s="1"/>
  <c r="R87" i="5"/>
  <c r="S87" i="5" s="1"/>
  <c r="T87" i="5" s="1"/>
  <c r="R84" i="5"/>
  <c r="S84" i="5" s="1"/>
  <c r="T84" i="5" s="1"/>
  <c r="R81" i="5"/>
  <c r="S81" i="5" s="1"/>
  <c r="T81" i="5" s="1"/>
  <c r="R70" i="5"/>
  <c r="S70" i="5" s="1"/>
  <c r="T70" i="5" s="1"/>
  <c r="R71" i="5"/>
  <c r="S71" i="5" s="1"/>
  <c r="T71" i="5" s="1"/>
  <c r="R73" i="5"/>
  <c r="S73" i="5" s="1"/>
  <c r="T73" i="5" s="1"/>
  <c r="R75" i="5"/>
  <c r="S75" i="5" s="1"/>
  <c r="T75" i="5" s="1"/>
  <c r="R74" i="5"/>
  <c r="S74" i="5" s="1"/>
  <c r="T74" i="5" s="1"/>
  <c r="R61" i="5"/>
  <c r="S61" i="5" s="1"/>
  <c r="T61" i="5" s="1"/>
  <c r="R57" i="5"/>
  <c r="S57" i="5" s="1"/>
  <c r="T57" i="5" s="1"/>
  <c r="R59" i="5"/>
  <c r="S59" i="5" s="1"/>
  <c r="T59" i="5" s="1"/>
  <c r="R56" i="5"/>
  <c r="S56" i="5" s="1"/>
  <c r="T56" i="5" s="1"/>
  <c r="R55" i="5"/>
  <c r="S55" i="5" s="1"/>
  <c r="T55" i="5" s="1"/>
  <c r="R60" i="5"/>
  <c r="S60" i="5" s="1"/>
  <c r="T60" i="5" s="1"/>
  <c r="R39" i="5"/>
  <c r="S39" i="5" s="1"/>
  <c r="T39" i="5" s="1"/>
  <c r="R43" i="5"/>
  <c r="S43" i="5" s="1"/>
  <c r="T43" i="5" s="1"/>
  <c r="R42" i="5"/>
  <c r="S42" i="5" s="1"/>
  <c r="T42" i="5" s="1"/>
  <c r="R40" i="5"/>
  <c r="S40" i="5" s="1"/>
  <c r="T40" i="5" s="1"/>
  <c r="R47" i="5"/>
  <c r="S47" i="5" s="1"/>
  <c r="T47" i="5" s="1"/>
  <c r="R44" i="5"/>
  <c r="S44" i="5" s="1"/>
  <c r="T44" i="5" s="1"/>
  <c r="R45" i="5"/>
  <c r="S45" i="5" s="1"/>
  <c r="T45" i="5" s="1"/>
  <c r="R50" i="5"/>
  <c r="S50" i="5" s="1"/>
  <c r="R48" i="5"/>
  <c r="S48" i="5" s="1"/>
  <c r="R46" i="5"/>
  <c r="S46" i="5" s="1"/>
  <c r="R49" i="5"/>
  <c r="S49" i="5" s="1"/>
  <c r="R38" i="5"/>
  <c r="S38" i="5" s="1"/>
  <c r="R41" i="5"/>
  <c r="S41" i="5" s="1"/>
  <c r="S23" i="5"/>
  <c r="S33" i="5"/>
  <c r="S21" i="5"/>
  <c r="S29" i="5"/>
  <c r="S24" i="5"/>
  <c r="S22" i="5"/>
  <c r="S26" i="5"/>
  <c r="S30" i="5"/>
  <c r="R31" i="5"/>
  <c r="AB56" i="5" l="1"/>
  <c r="AB31" i="5"/>
  <c r="AB26" i="5"/>
  <c r="AB86" i="5"/>
  <c r="AB50" i="5"/>
  <c r="AB83" i="5"/>
  <c r="AB47" i="5"/>
  <c r="AB73" i="5"/>
  <c r="AB82" i="5"/>
  <c r="AB46" i="5"/>
  <c r="T50" i="5"/>
  <c r="T49" i="5"/>
  <c r="T48" i="5"/>
  <c r="T46" i="5"/>
  <c r="T41" i="5"/>
  <c r="T38" i="5"/>
  <c r="S31" i="5"/>
  <c r="T28" i="5"/>
  <c r="T24" i="5"/>
  <c r="T21" i="5"/>
  <c r="T32" i="5"/>
  <c r="T22" i="5"/>
  <c r="T33" i="5"/>
  <c r="T30" i="5"/>
  <c r="T27" i="5"/>
  <c r="T25" i="5"/>
  <c r="T29" i="5"/>
  <c r="T23" i="5"/>
  <c r="T26" i="5"/>
  <c r="T31" i="5" l="1"/>
</calcChain>
</file>

<file path=xl/sharedStrings.xml><?xml version="1.0" encoding="utf-8"?>
<sst xmlns="http://schemas.openxmlformats.org/spreadsheetml/2006/main" count="855" uniqueCount="249">
  <si>
    <t>MAX</t>
  </si>
  <si>
    <t>Kobold</t>
  </si>
  <si>
    <t>Forest</t>
  </si>
  <si>
    <t>South</t>
  </si>
  <si>
    <t>Rockaxe</t>
  </si>
  <si>
    <t>Highway</t>
  </si>
  <si>
    <t>Gregminster</t>
  </si>
  <si>
    <t>Rokkaku</t>
  </si>
  <si>
    <t>Crom</t>
  </si>
  <si>
    <t>ITEM</t>
  </si>
  <si>
    <t>Sugar</t>
  </si>
  <si>
    <t>Mayonnaise</t>
  </si>
  <si>
    <t>Wooden Amulet</t>
  </si>
  <si>
    <t>Flute</t>
  </si>
  <si>
    <t>Candle</t>
  </si>
  <si>
    <t>Ancient Text</t>
  </si>
  <si>
    <t>Crystal Ball</t>
  </si>
  <si>
    <t>Salt</t>
  </si>
  <si>
    <t>Fur</t>
  </si>
  <si>
    <t>Holly Berry</t>
  </si>
  <si>
    <t>Wine</t>
  </si>
  <si>
    <t>Deer Antler</t>
  </si>
  <si>
    <t>Native Costume</t>
  </si>
  <si>
    <t>Book</t>
  </si>
  <si>
    <t>Vase</t>
  </si>
  <si>
    <t>Wide Urn</t>
  </si>
  <si>
    <t>Soy Sauce</t>
  </si>
  <si>
    <t>Musk</t>
  </si>
  <si>
    <t>Gold Bar</t>
  </si>
  <si>
    <t>Red Pepper</t>
  </si>
  <si>
    <t>Pearl</t>
  </si>
  <si>
    <t>Persian Lamp</t>
  </si>
  <si>
    <t>Flower Painting</t>
  </si>
  <si>
    <t>Chinese Dish</t>
  </si>
  <si>
    <t>Blue Dragon Urn</t>
  </si>
  <si>
    <t>Peeing Boy</t>
  </si>
  <si>
    <t>Coral</t>
  </si>
  <si>
    <t>South Window</t>
  </si>
  <si>
    <t>Mayo</t>
  </si>
  <si>
    <t>Wooden</t>
  </si>
  <si>
    <t>Ancient</t>
  </si>
  <si>
    <t>Crystal</t>
  </si>
  <si>
    <t>Price</t>
  </si>
  <si>
    <t>AVERAGE</t>
  </si>
  <si>
    <t>MIN</t>
  </si>
  <si>
    <t>SWING</t>
  </si>
  <si>
    <t>Holly</t>
  </si>
  <si>
    <t>Deer</t>
  </si>
  <si>
    <t>Native</t>
  </si>
  <si>
    <t>Normalized</t>
  </si>
  <si>
    <t>Plus/Minus</t>
  </si>
  <si>
    <t>Chinese</t>
  </si>
  <si>
    <t>Flower</t>
  </si>
  <si>
    <t>Persian</t>
  </si>
  <si>
    <t>Blue Dragon</t>
  </si>
  <si>
    <t>Peeing</t>
  </si>
  <si>
    <t>Min Amt</t>
  </si>
  <si>
    <t>Max Amt</t>
  </si>
  <si>
    <t>Gold</t>
  </si>
  <si>
    <t>Soy</t>
  </si>
  <si>
    <t>Pepper</t>
  </si>
  <si>
    <t>Celadon</t>
  </si>
  <si>
    <t>Japanese</t>
  </si>
  <si>
    <t>Min cost</t>
  </si>
  <si>
    <t>Max Cost</t>
  </si>
  <si>
    <t>SCENARIOS:</t>
  </si>
  <si>
    <t>Best Case</t>
  </si>
  <si>
    <t>Worst Case</t>
  </si>
  <si>
    <t>Buy Crystal in SW, Sell in Kobold</t>
  </si>
  <si>
    <t>Buy Ancient in Kobold, sell in Forest</t>
  </si>
  <si>
    <t>Buy Mayo in SW, sell at HW</t>
  </si>
  <si>
    <t>Buy Persian in SW, sell at GM</t>
  </si>
  <si>
    <t>Buy Flower in SW, sell at GM</t>
  </si>
  <si>
    <t>Best Buy</t>
  </si>
  <si>
    <t>Best Sell</t>
  </si>
  <si>
    <t>Best Sale</t>
  </si>
  <si>
    <t>Best Purchase</t>
  </si>
  <si>
    <t>Amount</t>
  </si>
  <si>
    <t>S Window</t>
  </si>
  <si>
    <t>S Window/Rockaxe</t>
  </si>
  <si>
    <t>Profit</t>
  </si>
  <si>
    <t>ROI</t>
  </si>
  <si>
    <t>Score</t>
  </si>
  <si>
    <t>Buy Fail</t>
  </si>
  <si>
    <t>Sell Fail</t>
  </si>
  <si>
    <t>Buy Musk in HW, sell at HW</t>
  </si>
  <si>
    <t>Buy Books in HW, sell at HW</t>
  </si>
  <si>
    <t>Buy Mayo at Kobold, sell at HW</t>
  </si>
  <si>
    <t>Buy Mayo at HW, sell at HW</t>
  </si>
  <si>
    <t>Buy Coral at SW, sell at SW</t>
  </si>
  <si>
    <t>Plan:</t>
  </si>
  <si>
    <t>Check HW during Kindness Early for Musk, Books. Buy either if high stock.</t>
  </si>
  <si>
    <t>Check SW on first visit for Coral. If none, buy Crystal, Flower, Persian, or Chinese if high stock</t>
  </si>
  <si>
    <t>Sell Crystal at KO, buy Ancient if available.</t>
  </si>
  <si>
    <t>Sell Ancient at FO</t>
  </si>
  <si>
    <t>Check SW again until Coral available/unavailable as needed</t>
  </si>
  <si>
    <t>4 Possible visits to SW</t>
  </si>
  <si>
    <t>High Stock Price</t>
  </si>
  <si>
    <t>High Stock Amount</t>
  </si>
  <si>
    <t>Low Stock Price</t>
  </si>
  <si>
    <t>Low Stock Amount</t>
  </si>
  <si>
    <t>*</t>
  </si>
  <si>
    <t>Max Price Chart</t>
  </si>
  <si>
    <t>Min Price Chart</t>
  </si>
  <si>
    <t>MEAN</t>
  </si>
  <si>
    <t>BD Urn</t>
  </si>
  <si>
    <t>QTY</t>
  </si>
  <si>
    <t>PRICE</t>
  </si>
  <si>
    <t>10e9e8</t>
  </si>
  <si>
    <t>10e9c4</t>
  </si>
  <si>
    <t>10e950</t>
  </si>
  <si>
    <t>10e684</t>
  </si>
  <si>
    <t>10e654</t>
  </si>
  <si>
    <t>FOREST:</t>
  </si>
  <si>
    <t>9c40</t>
  </si>
  <si>
    <t>7d00</t>
  </si>
  <si>
    <t>3e80</t>
  </si>
  <si>
    <t>3a98</t>
  </si>
  <si>
    <t>Lamp</t>
  </si>
  <si>
    <t>36b0</t>
  </si>
  <si>
    <t>2ee0</t>
  </si>
  <si>
    <t>Cdish</t>
  </si>
  <si>
    <t>76c</t>
  </si>
  <si>
    <t>Costume</t>
  </si>
  <si>
    <t>2bc</t>
  </si>
  <si>
    <t>Amulet</t>
  </si>
  <si>
    <t>1f4</t>
  </si>
  <si>
    <t>Ball</t>
  </si>
  <si>
    <t>SW</t>
  </si>
  <si>
    <t>10e</t>
  </si>
  <si>
    <t>refresh period</t>
  </si>
  <si>
    <t>std_p dec</t>
  </si>
  <si>
    <t>std_p</t>
  </si>
  <si>
    <t>std_q</t>
  </si>
  <si>
    <t>KOUEKI1</t>
  </si>
  <si>
    <t>KOUEKI2</t>
  </si>
  <si>
    <t>15e684</t>
  </si>
  <si>
    <t>15e950</t>
  </si>
  <si>
    <t>15e9e8</t>
  </si>
  <si>
    <t>15e9c4</t>
  </si>
  <si>
    <t>15e654</t>
  </si>
  <si>
    <t>0x23</t>
  </si>
  <si>
    <t>44c</t>
  </si>
  <si>
    <t>4b0</t>
  </si>
  <si>
    <t>dac</t>
  </si>
  <si>
    <t>88b8</t>
  </si>
  <si>
    <t>1a2c</t>
  </si>
  <si>
    <t>251c</t>
  </si>
  <si>
    <t>3e8</t>
  </si>
  <si>
    <t>GREGMIN</t>
  </si>
  <si>
    <t>28a</t>
  </si>
  <si>
    <t>92e</t>
  </si>
  <si>
    <t>55f0</t>
  </si>
  <si>
    <t>5dc0</t>
  </si>
  <si>
    <t>59d8</t>
  </si>
  <si>
    <t>10e754</t>
  </si>
  <si>
    <t>15e754</t>
  </si>
  <si>
    <t>sets</t>
  </si>
  <si>
    <t>KOBOLD</t>
  </si>
  <si>
    <t>15e</t>
  </si>
  <si>
    <t>5dc</t>
  </si>
  <si>
    <t>1b58</t>
  </si>
  <si>
    <t>14a</t>
  </si>
  <si>
    <t>Failure</t>
  </si>
  <si>
    <t>Graffiti</t>
  </si>
  <si>
    <t>?</t>
  </si>
  <si>
    <t>HIGHWAY</t>
  </si>
  <si>
    <t>highway</t>
  </si>
  <si>
    <t>9c4</t>
  </si>
  <si>
    <t>fa0</t>
  </si>
  <si>
    <t>sugar</t>
  </si>
  <si>
    <t>mayo</t>
  </si>
  <si>
    <t>candle</t>
  </si>
  <si>
    <t>costume</t>
  </si>
  <si>
    <t>deer</t>
  </si>
  <si>
    <t>book</t>
  </si>
  <si>
    <t>musk</t>
  </si>
  <si>
    <t>gold</t>
  </si>
  <si>
    <t>rockaxe</t>
  </si>
  <si>
    <t>pepper</t>
  </si>
  <si>
    <t>flute</t>
  </si>
  <si>
    <t>holly</t>
  </si>
  <si>
    <t>wine</t>
  </si>
  <si>
    <t>pearl</t>
  </si>
  <si>
    <t>crom</t>
  </si>
  <si>
    <t>Wide</t>
  </si>
  <si>
    <t>12c</t>
  </si>
  <si>
    <t>2ee</t>
  </si>
  <si>
    <t>32cb</t>
  </si>
  <si>
    <t>c80</t>
  </si>
  <si>
    <t>1c84</t>
  </si>
  <si>
    <t>a7f8</t>
  </si>
  <si>
    <t>d6d8</t>
  </si>
  <si>
    <t>soy</t>
  </si>
  <si>
    <t>salt</t>
  </si>
  <si>
    <t>ball</t>
  </si>
  <si>
    <t>Jdish</t>
  </si>
  <si>
    <t>rokkaku</t>
  </si>
  <si>
    <t>c8</t>
  </si>
  <si>
    <t>SAMPLE</t>
  </si>
  <si>
    <t>Q</t>
  </si>
  <si>
    <t>time_dif</t>
  </si>
  <si>
    <t>swing</t>
  </si>
  <si>
    <t>refresh</t>
  </si>
  <si>
    <t>pre-rng</t>
  </si>
  <si>
    <t>rng -1</t>
  </si>
  <si>
    <t>rng 0</t>
  </si>
  <si>
    <t>rng 1</t>
  </si>
  <si>
    <t>P</t>
  </si>
  <si>
    <t>div1</t>
  </si>
  <si>
    <t>cycles</t>
  </si>
  <si>
    <t>div2</t>
  </si>
  <si>
    <t>final</t>
  </si>
  <si>
    <t>other</t>
  </si>
  <si>
    <t>store_wait</t>
  </si>
  <si>
    <t>prior_q</t>
  </si>
  <si>
    <t>prior_p</t>
  </si>
  <si>
    <t>worst</t>
  </si>
  <si>
    <t>avg</t>
  </si>
  <si>
    <t>chances</t>
  </si>
  <si>
    <t>prob</t>
  </si>
  <si>
    <t>best</t>
  </si>
  <si>
    <t>ancient</t>
  </si>
  <si>
    <t>SW1</t>
  </si>
  <si>
    <t>SW2</t>
  </si>
  <si>
    <t>(KO)</t>
  </si>
  <si>
    <t>FV</t>
  </si>
  <si>
    <t>(SW3)</t>
  </si>
  <si>
    <t>GM</t>
  </si>
  <si>
    <t>(SW4)</t>
  </si>
  <si>
    <t>HW1</t>
  </si>
  <si>
    <t>HW2</t>
  </si>
  <si>
    <t>HW3</t>
  </si>
  <si>
    <t>Avg P</t>
  </si>
  <si>
    <t>Cost</t>
  </si>
  <si>
    <t>Rev</t>
  </si>
  <si>
    <t>Sale</t>
  </si>
  <si>
    <t>HW</t>
  </si>
  <si>
    <t>Initial</t>
  </si>
  <si>
    <t>pre-GH or RA</t>
  </si>
  <si>
    <t>ASSUMING 12 MIN HW RETURN:</t>
  </si>
  <si>
    <t>GUARANTEED:</t>
  </si>
  <si>
    <t>Books</t>
  </si>
  <si>
    <t>VARIABLE, LOWEST:</t>
  </si>
  <si>
    <t>Costumes</t>
  </si>
  <si>
    <t>VARIABLE, CAN BE 0:</t>
  </si>
  <si>
    <t>x</t>
  </si>
  <si>
    <t>Limited:</t>
  </si>
  <si>
    <t>Limit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</si>
</sst>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2" borderId="2" xfId="0" applyFill="1" applyBorder="1"/>
    <xf numFmtId="0" fontId="0" fillId="0" borderId="1" xfId="0" applyFont="1" applyBorder="1"/>
    <xf numFmtId="0" fontId="0" fillId="0" borderId="0" xfId="0" quotePrefix="1"/>
    <xf numFmtId="20" fontId="0" fillId="0" borderId="0" xfId="0" applyNumberFormat="1"/>
    <xf numFmtId="11" fontId="0" fillId="0" borderId="0" xfId="0" applyNumberFormat="1"/>
    <xf numFmtId="49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32"/>
  <sheetViews>
    <sheetView zoomScaleNormal="100" workbookViewId="0">
      <selection activeCell="K9" sqref="K9"/>
    </sheetView>
  </sheetViews>
  <sheetFormatPr defaultRowHeight="15" x14ac:dyDescent="0.25"/>
  <cols>
    <col min="5" max="5" width="32.140625" customWidth="1"/>
    <col min="6" max="6" width="17.5703125" customWidth="1"/>
    <col min="7" max="7" width="19" customWidth="1"/>
    <col min="9" max="9" width="15.42578125" customWidth="1"/>
    <col min="10" max="10" width="11" customWidth="1"/>
  </cols>
  <sheetData>
    <row r="6" spans="5:14" x14ac:dyDescent="0.25">
      <c r="E6" s="1"/>
      <c r="F6" t="s">
        <v>73</v>
      </c>
      <c r="G6" s="1" t="s">
        <v>76</v>
      </c>
      <c r="H6" t="s">
        <v>77</v>
      </c>
      <c r="I6" t="s">
        <v>74</v>
      </c>
      <c r="J6" s="1" t="s">
        <v>75</v>
      </c>
      <c r="K6" s="1" t="s">
        <v>80</v>
      </c>
      <c r="L6" s="1" t="s">
        <v>81</v>
      </c>
      <c r="M6" s="1"/>
      <c r="N6" s="1"/>
    </row>
    <row r="7" spans="5:14" x14ac:dyDescent="0.25">
      <c r="E7" s="3" t="s">
        <v>10</v>
      </c>
      <c r="F7" t="s">
        <v>2</v>
      </c>
      <c r="G7">
        <v>130</v>
      </c>
      <c r="H7">
        <v>28</v>
      </c>
      <c r="I7" t="s">
        <v>5</v>
      </c>
      <c r="J7">
        <v>623</v>
      </c>
      <c r="K7">
        <f>(J7-G7)*H7</f>
        <v>13804</v>
      </c>
      <c r="L7">
        <f>K7/(G7*H7)</f>
        <v>3.7923076923076922</v>
      </c>
    </row>
    <row r="8" spans="5:14" x14ac:dyDescent="0.25">
      <c r="E8" s="14" t="s">
        <v>38</v>
      </c>
      <c r="F8" t="s">
        <v>78</v>
      </c>
      <c r="G8">
        <v>298</v>
      </c>
      <c r="H8">
        <v>5</v>
      </c>
      <c r="I8" t="s">
        <v>5</v>
      </c>
      <c r="J8">
        <v>2754</v>
      </c>
      <c r="K8">
        <f t="shared" ref="K8:K32" si="0">(J8-G8)*H8</f>
        <v>12280</v>
      </c>
      <c r="L8">
        <f t="shared" ref="L8:L32" si="1">K8/(G8*H8)</f>
        <v>8.2416107382550337</v>
      </c>
    </row>
    <row r="9" spans="5:14" x14ac:dyDescent="0.25">
      <c r="E9" s="3" t="s">
        <v>39</v>
      </c>
      <c r="F9" t="s">
        <v>1</v>
      </c>
      <c r="G9">
        <v>276</v>
      </c>
      <c r="H9">
        <v>6</v>
      </c>
      <c r="I9" t="s">
        <v>78</v>
      </c>
      <c r="J9">
        <v>1171</v>
      </c>
      <c r="K9">
        <f t="shared" si="0"/>
        <v>5370</v>
      </c>
      <c r="L9">
        <f t="shared" si="1"/>
        <v>3.2427536231884058</v>
      </c>
    </row>
    <row r="10" spans="5:14" x14ac:dyDescent="0.25">
      <c r="E10" s="3" t="s">
        <v>13</v>
      </c>
      <c r="F10" t="s">
        <v>1</v>
      </c>
      <c r="G10">
        <v>195</v>
      </c>
      <c r="H10">
        <v>6</v>
      </c>
      <c r="I10" t="s">
        <v>4</v>
      </c>
      <c r="J10">
        <v>705</v>
      </c>
      <c r="K10">
        <f t="shared" si="0"/>
        <v>3060</v>
      </c>
      <c r="L10">
        <f t="shared" si="1"/>
        <v>2.6153846153846154</v>
      </c>
    </row>
    <row r="11" spans="5:14" x14ac:dyDescent="0.25">
      <c r="E11" s="3" t="s">
        <v>14</v>
      </c>
      <c r="F11" t="s">
        <v>5</v>
      </c>
      <c r="G11">
        <v>174</v>
      </c>
      <c r="H11">
        <v>6</v>
      </c>
      <c r="I11" t="s">
        <v>1</v>
      </c>
      <c r="J11">
        <v>805</v>
      </c>
      <c r="K11">
        <f t="shared" si="0"/>
        <v>3786</v>
      </c>
      <c r="L11">
        <f t="shared" si="1"/>
        <v>3.6264367816091956</v>
      </c>
    </row>
    <row r="12" spans="5:14" x14ac:dyDescent="0.25">
      <c r="E12" s="14" t="s">
        <v>40</v>
      </c>
      <c r="F12" t="s">
        <v>1</v>
      </c>
      <c r="G12">
        <v>464</v>
      </c>
      <c r="H12">
        <v>1</v>
      </c>
      <c r="I12" t="s">
        <v>2</v>
      </c>
      <c r="J12">
        <v>35003</v>
      </c>
      <c r="K12">
        <f t="shared" si="0"/>
        <v>34539</v>
      </c>
      <c r="L12">
        <f t="shared" si="1"/>
        <v>74.4375</v>
      </c>
    </row>
    <row r="13" spans="5:14" x14ac:dyDescent="0.25">
      <c r="E13" s="14" t="s">
        <v>41</v>
      </c>
      <c r="F13" t="s">
        <v>8</v>
      </c>
      <c r="G13">
        <v>196</v>
      </c>
      <c r="H13">
        <v>1</v>
      </c>
      <c r="I13" t="s">
        <v>1</v>
      </c>
      <c r="J13">
        <v>7005</v>
      </c>
      <c r="K13">
        <f t="shared" si="0"/>
        <v>6809</v>
      </c>
      <c r="L13">
        <f t="shared" si="1"/>
        <v>34.739795918367349</v>
      </c>
    </row>
    <row r="14" spans="5:14" x14ac:dyDescent="0.25">
      <c r="E14" s="3" t="s">
        <v>17</v>
      </c>
      <c r="F14" t="s">
        <v>78</v>
      </c>
      <c r="G14">
        <v>229</v>
      </c>
      <c r="H14">
        <v>17</v>
      </c>
      <c r="I14" t="s">
        <v>7</v>
      </c>
      <c r="J14">
        <v>817</v>
      </c>
      <c r="K14">
        <f t="shared" si="0"/>
        <v>9996</v>
      </c>
      <c r="L14">
        <f t="shared" si="1"/>
        <v>2.5676855895196509</v>
      </c>
    </row>
    <row r="15" spans="5:14" x14ac:dyDescent="0.25">
      <c r="E15" s="3" t="s">
        <v>18</v>
      </c>
      <c r="F15" t="s">
        <v>2</v>
      </c>
      <c r="G15">
        <v>298</v>
      </c>
      <c r="H15">
        <v>5</v>
      </c>
      <c r="I15" t="s">
        <v>78</v>
      </c>
      <c r="J15">
        <v>805</v>
      </c>
      <c r="K15">
        <f t="shared" si="0"/>
        <v>2535</v>
      </c>
      <c r="L15">
        <f t="shared" si="1"/>
        <v>1.7013422818791946</v>
      </c>
    </row>
    <row r="16" spans="5:14" x14ac:dyDescent="0.25">
      <c r="E16" s="3" t="s">
        <v>46</v>
      </c>
      <c r="F16" t="s">
        <v>2</v>
      </c>
      <c r="G16">
        <v>183</v>
      </c>
      <c r="H16">
        <v>7</v>
      </c>
      <c r="I16" t="s">
        <v>4</v>
      </c>
      <c r="J16">
        <v>1654</v>
      </c>
      <c r="K16">
        <f t="shared" si="0"/>
        <v>10297</v>
      </c>
      <c r="L16">
        <f t="shared" si="1"/>
        <v>8.0382513661202193</v>
      </c>
    </row>
    <row r="17" spans="5:12" x14ac:dyDescent="0.25">
      <c r="E17" s="3" t="s">
        <v>20</v>
      </c>
      <c r="F17" t="s">
        <v>6</v>
      </c>
      <c r="G17">
        <v>430</v>
      </c>
      <c r="H17">
        <v>4</v>
      </c>
      <c r="I17" t="s">
        <v>4</v>
      </c>
      <c r="J17">
        <v>2538</v>
      </c>
      <c r="K17">
        <f t="shared" si="0"/>
        <v>8432</v>
      </c>
      <c r="L17">
        <f t="shared" si="1"/>
        <v>4.902325581395349</v>
      </c>
    </row>
    <row r="18" spans="5:12" x14ac:dyDescent="0.25">
      <c r="E18" s="3" t="s">
        <v>47</v>
      </c>
      <c r="F18" t="s">
        <v>2</v>
      </c>
      <c r="G18">
        <v>729</v>
      </c>
      <c r="H18">
        <v>1</v>
      </c>
      <c r="I18" t="s">
        <v>7</v>
      </c>
      <c r="J18">
        <v>4671</v>
      </c>
      <c r="K18">
        <f t="shared" si="0"/>
        <v>3942</v>
      </c>
      <c r="L18">
        <f t="shared" si="1"/>
        <v>5.4074074074074074</v>
      </c>
    </row>
    <row r="19" spans="5:12" x14ac:dyDescent="0.25">
      <c r="E19" s="3" t="s">
        <v>48</v>
      </c>
      <c r="F19" t="s">
        <v>6</v>
      </c>
      <c r="G19">
        <v>595</v>
      </c>
      <c r="H19">
        <v>5</v>
      </c>
      <c r="I19" t="s">
        <v>5</v>
      </c>
      <c r="J19">
        <v>2504</v>
      </c>
      <c r="K19">
        <f t="shared" si="0"/>
        <v>9545</v>
      </c>
      <c r="L19">
        <f t="shared" si="1"/>
        <v>3.208403361344538</v>
      </c>
    </row>
    <row r="20" spans="5:12" x14ac:dyDescent="0.25">
      <c r="E20" s="3" t="s">
        <v>23</v>
      </c>
      <c r="F20" t="s">
        <v>5</v>
      </c>
      <c r="G20">
        <v>1333</v>
      </c>
      <c r="H20">
        <v>4</v>
      </c>
      <c r="I20" t="s">
        <v>4</v>
      </c>
      <c r="J20">
        <v>9738</v>
      </c>
      <c r="K20">
        <f t="shared" si="0"/>
        <v>33620</v>
      </c>
      <c r="L20">
        <f t="shared" si="1"/>
        <v>6.3053263315828953</v>
      </c>
    </row>
    <row r="21" spans="5:12" x14ac:dyDescent="0.25">
      <c r="E21" s="3" t="s">
        <v>25</v>
      </c>
      <c r="F21" t="s">
        <v>2</v>
      </c>
      <c r="G21">
        <v>3166</v>
      </c>
      <c r="H21">
        <v>5</v>
      </c>
      <c r="I21" t="s">
        <v>8</v>
      </c>
      <c r="J21">
        <v>17335</v>
      </c>
      <c r="K21">
        <f t="shared" si="0"/>
        <v>70845</v>
      </c>
      <c r="L21">
        <f t="shared" si="1"/>
        <v>4.4753632343651297</v>
      </c>
    </row>
    <row r="22" spans="5:12" x14ac:dyDescent="0.25">
      <c r="E22" s="3" t="s">
        <v>59</v>
      </c>
      <c r="F22" t="s">
        <v>7</v>
      </c>
      <c r="G22">
        <v>272</v>
      </c>
      <c r="H22">
        <v>13</v>
      </c>
      <c r="I22" t="s">
        <v>6</v>
      </c>
      <c r="J22">
        <v>855</v>
      </c>
      <c r="K22">
        <f t="shared" si="0"/>
        <v>7579</v>
      </c>
      <c r="L22">
        <f t="shared" si="1"/>
        <v>2.1433823529411766</v>
      </c>
    </row>
    <row r="23" spans="5:12" x14ac:dyDescent="0.25">
      <c r="E23" s="3" t="s">
        <v>27</v>
      </c>
      <c r="F23" t="s">
        <v>5</v>
      </c>
      <c r="G23">
        <v>1500</v>
      </c>
      <c r="H23">
        <v>5</v>
      </c>
      <c r="I23" t="s">
        <v>7</v>
      </c>
      <c r="J23">
        <v>11662</v>
      </c>
      <c r="K23">
        <f t="shared" si="0"/>
        <v>50810</v>
      </c>
      <c r="L23">
        <f t="shared" si="1"/>
        <v>6.7746666666666666</v>
      </c>
    </row>
    <row r="24" spans="5:12" x14ac:dyDescent="0.25">
      <c r="E24" s="14" t="s">
        <v>58</v>
      </c>
      <c r="F24" t="s">
        <v>7</v>
      </c>
      <c r="G24">
        <v>11333</v>
      </c>
      <c r="H24">
        <v>1</v>
      </c>
      <c r="I24" t="s">
        <v>5</v>
      </c>
      <c r="J24">
        <v>40005</v>
      </c>
      <c r="K24">
        <f t="shared" si="0"/>
        <v>28672</v>
      </c>
      <c r="L24">
        <f t="shared" si="1"/>
        <v>2.5299567634342188</v>
      </c>
    </row>
    <row r="25" spans="5:12" x14ac:dyDescent="0.25">
      <c r="E25" s="3" t="s">
        <v>60</v>
      </c>
      <c r="F25" t="s">
        <v>6</v>
      </c>
      <c r="G25">
        <v>1171</v>
      </c>
      <c r="H25">
        <v>6</v>
      </c>
      <c r="I25" t="s">
        <v>4</v>
      </c>
      <c r="J25">
        <v>4271</v>
      </c>
      <c r="K25">
        <f t="shared" si="0"/>
        <v>18600</v>
      </c>
      <c r="L25">
        <f t="shared" si="1"/>
        <v>2.6473099914602902</v>
      </c>
    </row>
    <row r="26" spans="5:12" x14ac:dyDescent="0.25">
      <c r="E26" s="3" t="s">
        <v>30</v>
      </c>
      <c r="F26" t="s">
        <v>6</v>
      </c>
      <c r="G26">
        <v>15998</v>
      </c>
      <c r="H26">
        <v>1</v>
      </c>
      <c r="I26" t="s">
        <v>4</v>
      </c>
      <c r="J26">
        <v>35005</v>
      </c>
      <c r="K26">
        <f t="shared" si="0"/>
        <v>19007</v>
      </c>
      <c r="L26">
        <f t="shared" si="1"/>
        <v>1.188086010751344</v>
      </c>
    </row>
    <row r="27" spans="5:12" x14ac:dyDescent="0.25">
      <c r="E27" s="14" t="s">
        <v>53</v>
      </c>
      <c r="F27" t="s">
        <v>78</v>
      </c>
      <c r="G27">
        <v>9996</v>
      </c>
      <c r="H27">
        <v>1</v>
      </c>
      <c r="I27" t="s">
        <v>4</v>
      </c>
      <c r="J27">
        <v>29337</v>
      </c>
      <c r="K27">
        <f t="shared" si="0"/>
        <v>19341</v>
      </c>
      <c r="L27">
        <f t="shared" si="1"/>
        <v>1.9348739495798319</v>
      </c>
    </row>
    <row r="28" spans="5:12" x14ac:dyDescent="0.25">
      <c r="E28" s="3" t="s">
        <v>52</v>
      </c>
      <c r="F28" t="s">
        <v>6</v>
      </c>
      <c r="G28">
        <v>10663</v>
      </c>
      <c r="H28">
        <v>4</v>
      </c>
      <c r="I28" t="s">
        <v>6</v>
      </c>
      <c r="J28">
        <v>21336</v>
      </c>
      <c r="K28">
        <f t="shared" si="0"/>
        <v>42692</v>
      </c>
      <c r="L28">
        <f t="shared" si="1"/>
        <v>1.0009378223764418</v>
      </c>
    </row>
    <row r="29" spans="5:12" x14ac:dyDescent="0.25">
      <c r="E29" s="3" t="s">
        <v>51</v>
      </c>
      <c r="F29" t="s">
        <v>4</v>
      </c>
      <c r="G29">
        <v>7995</v>
      </c>
      <c r="H29">
        <v>4</v>
      </c>
      <c r="I29" t="s">
        <v>79</v>
      </c>
      <c r="J29">
        <v>16005</v>
      </c>
      <c r="K29">
        <f t="shared" si="0"/>
        <v>32040</v>
      </c>
      <c r="L29">
        <f t="shared" si="1"/>
        <v>1.00187617260788</v>
      </c>
    </row>
    <row r="30" spans="5:12" x14ac:dyDescent="0.25">
      <c r="E30" s="3" t="s">
        <v>54</v>
      </c>
      <c r="F30" t="s">
        <v>8</v>
      </c>
      <c r="G30">
        <v>14668</v>
      </c>
      <c r="H30">
        <v>3</v>
      </c>
      <c r="I30" t="s">
        <v>8</v>
      </c>
      <c r="J30">
        <v>29337</v>
      </c>
      <c r="K30">
        <f t="shared" si="0"/>
        <v>44007</v>
      </c>
      <c r="L30">
        <f t="shared" si="1"/>
        <v>1.0000681756203982</v>
      </c>
    </row>
    <row r="31" spans="5:12" x14ac:dyDescent="0.25">
      <c r="E31" s="3" t="s">
        <v>55</v>
      </c>
      <c r="F31" t="s">
        <v>78</v>
      </c>
      <c r="G31">
        <v>31995</v>
      </c>
      <c r="H31">
        <v>1</v>
      </c>
      <c r="I31" t="s">
        <v>4</v>
      </c>
      <c r="J31">
        <v>43005</v>
      </c>
      <c r="K31">
        <f t="shared" si="0"/>
        <v>11010</v>
      </c>
      <c r="L31">
        <f t="shared" si="1"/>
        <v>0.34411626816690105</v>
      </c>
    </row>
    <row r="32" spans="5:12" x14ac:dyDescent="0.25">
      <c r="E32" s="3" t="s">
        <v>36</v>
      </c>
      <c r="F32" t="s">
        <v>78</v>
      </c>
      <c r="G32">
        <v>13333</v>
      </c>
      <c r="H32">
        <v>2</v>
      </c>
      <c r="I32" t="s">
        <v>4</v>
      </c>
      <c r="J32">
        <v>65000</v>
      </c>
      <c r="K32">
        <f t="shared" si="0"/>
        <v>103334</v>
      </c>
      <c r="L32">
        <f t="shared" si="1"/>
        <v>3.8751218780469512</v>
      </c>
    </row>
  </sheetData>
  <conditionalFormatting sqref="L7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9"/>
  <sheetViews>
    <sheetView workbookViewId="0">
      <pane xSplit="1" topLeftCell="B1" activePane="topRight" state="frozen"/>
      <selection pane="topRight" activeCell="E15" sqref="E15"/>
    </sheetView>
  </sheetViews>
  <sheetFormatPr defaultRowHeight="15" x14ac:dyDescent="0.25"/>
  <cols>
    <col min="1" max="1" width="19.85546875" customWidth="1"/>
    <col min="2" max="2" width="7.42578125" customWidth="1"/>
    <col min="6" max="6" width="13.85546875" customWidth="1"/>
    <col min="7" max="7" width="11.42578125" customWidth="1"/>
    <col min="8" max="8" width="9.42578125" customWidth="1"/>
    <col min="14" max="14" width="9.7109375" customWidth="1"/>
    <col min="16" max="16" width="12.140625" customWidth="1"/>
    <col min="19" max="19" width="10.85546875" customWidth="1"/>
  </cols>
  <sheetData>
    <row r="2" spans="1:36" x14ac:dyDescent="0.25">
      <c r="D2" s="1" t="s">
        <v>102</v>
      </c>
      <c r="Q2" s="1" t="s">
        <v>103</v>
      </c>
    </row>
    <row r="3" spans="1:36" x14ac:dyDescent="0.25">
      <c r="A3" s="2" t="s">
        <v>9</v>
      </c>
      <c r="B3" s="7" t="s">
        <v>3</v>
      </c>
      <c r="C3" s="7" t="s">
        <v>1</v>
      </c>
      <c r="D3" s="7" t="s">
        <v>2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4</v>
      </c>
      <c r="J3" t="s">
        <v>44</v>
      </c>
      <c r="K3" t="s">
        <v>0</v>
      </c>
      <c r="L3" t="s">
        <v>104</v>
      </c>
      <c r="O3" s="7" t="s">
        <v>3</v>
      </c>
      <c r="P3" s="7" t="s">
        <v>1</v>
      </c>
      <c r="Q3" s="7" t="s">
        <v>2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4</v>
      </c>
      <c r="W3" t="s">
        <v>44</v>
      </c>
      <c r="X3" t="s">
        <v>0</v>
      </c>
      <c r="Y3" t="s">
        <v>104</v>
      </c>
      <c r="AA3" s="5"/>
      <c r="AB3" s="5"/>
      <c r="AC3" s="5"/>
      <c r="AG3" s="1"/>
      <c r="AH3" s="1"/>
      <c r="AI3" s="1"/>
      <c r="AJ3" s="1"/>
    </row>
    <row r="4" spans="1:36" x14ac:dyDescent="0.25">
      <c r="A4" s="11" t="s">
        <v>10</v>
      </c>
      <c r="B4" s="6"/>
      <c r="C4" s="6">
        <v>385</v>
      </c>
      <c r="D4" s="6">
        <v>165</v>
      </c>
      <c r="E4" s="6">
        <v>620</v>
      </c>
      <c r="F4" s="6"/>
      <c r="G4" s="6"/>
      <c r="H4" s="6"/>
      <c r="I4" s="6"/>
      <c r="J4" s="4">
        <f>MIN(B4:I4)</f>
        <v>165</v>
      </c>
      <c r="K4" s="4">
        <f>MAX(B4:I4)</f>
        <v>620</v>
      </c>
      <c r="L4">
        <f t="shared" ref="L4:L29" si="0">AVERAGE(B4:I4)</f>
        <v>390</v>
      </c>
      <c r="O4" s="6"/>
      <c r="P4" s="6">
        <v>315</v>
      </c>
      <c r="Q4" s="6">
        <v>135</v>
      </c>
      <c r="R4" s="6">
        <v>480</v>
      </c>
      <c r="S4" s="6"/>
      <c r="T4" s="6"/>
      <c r="U4" s="6"/>
      <c r="V4" s="6"/>
      <c r="W4" s="4">
        <f>MIN(O4:V4)</f>
        <v>135</v>
      </c>
      <c r="X4" s="4">
        <f>MAX(O4:V4)</f>
        <v>480</v>
      </c>
      <c r="Y4">
        <f t="shared" ref="Y4:Y29" si="1">AVERAGE(O4:V4)</f>
        <v>310</v>
      </c>
      <c r="AA4" s="4"/>
      <c r="AB4" s="4"/>
      <c r="AC4" s="4"/>
    </row>
    <row r="5" spans="1:36" x14ac:dyDescent="0.25">
      <c r="A5" s="12" t="s">
        <v>11</v>
      </c>
      <c r="B5" s="6">
        <v>500</v>
      </c>
      <c r="C5" s="6">
        <v>1500</v>
      </c>
      <c r="D5" s="6"/>
      <c r="E5" s="6">
        <v>2750</v>
      </c>
      <c r="F5" s="6"/>
      <c r="G5" s="6"/>
      <c r="H5" s="6"/>
      <c r="I5" s="6"/>
      <c r="J5" s="4">
        <f t="shared" ref="J5:J29" si="2">MIN(B5:I5)</f>
        <v>500</v>
      </c>
      <c r="K5" s="4">
        <f t="shared" ref="K5:K29" si="3">MAX(B5:I5)</f>
        <v>2750</v>
      </c>
      <c r="L5">
        <f t="shared" si="0"/>
        <v>1583.3333333333333</v>
      </c>
      <c r="O5" s="6">
        <v>300</v>
      </c>
      <c r="P5" s="6">
        <v>1500</v>
      </c>
      <c r="Q5" s="6"/>
      <c r="R5" s="6">
        <v>1100</v>
      </c>
      <c r="S5" s="6"/>
      <c r="T5" s="6"/>
      <c r="U5" s="6"/>
      <c r="V5" s="6"/>
      <c r="W5" s="4">
        <f t="shared" ref="W5:W29" si="4">MIN(O5:V5)</f>
        <v>300</v>
      </c>
      <c r="X5" s="4">
        <f t="shared" ref="X5:X29" si="5">MAX(O5:V5)</f>
        <v>1500</v>
      </c>
      <c r="Y5">
        <f t="shared" si="1"/>
        <v>966.66666666666663</v>
      </c>
      <c r="AA5" s="4"/>
      <c r="AB5" s="4"/>
      <c r="AC5" s="4"/>
      <c r="AG5" s="1"/>
      <c r="AI5" s="1"/>
    </row>
    <row r="6" spans="1:36" x14ac:dyDescent="0.25">
      <c r="A6" s="11" t="s">
        <v>12</v>
      </c>
      <c r="B6" s="6">
        <v>1168</v>
      </c>
      <c r="C6" s="6">
        <v>420</v>
      </c>
      <c r="D6" s="6"/>
      <c r="E6" s="6"/>
      <c r="F6" s="6">
        <v>800</v>
      </c>
      <c r="G6" s="6"/>
      <c r="H6" s="6">
        <v>850</v>
      </c>
      <c r="I6" s="6"/>
      <c r="J6" s="4">
        <f t="shared" si="2"/>
        <v>420</v>
      </c>
      <c r="K6" s="4">
        <f t="shared" si="3"/>
        <v>1168</v>
      </c>
      <c r="L6">
        <f t="shared" si="0"/>
        <v>809.5</v>
      </c>
      <c r="O6" s="6">
        <v>238</v>
      </c>
      <c r="P6" s="6">
        <v>280</v>
      </c>
      <c r="Q6" s="6"/>
      <c r="R6" s="6"/>
      <c r="S6" s="6">
        <v>200</v>
      </c>
      <c r="T6" s="6"/>
      <c r="U6" s="6">
        <v>570</v>
      </c>
      <c r="V6" s="6"/>
      <c r="W6" s="4">
        <f t="shared" si="4"/>
        <v>200</v>
      </c>
      <c r="X6" s="4">
        <f t="shared" si="5"/>
        <v>570</v>
      </c>
      <c r="Y6">
        <f t="shared" si="1"/>
        <v>322</v>
      </c>
      <c r="AA6" s="4"/>
      <c r="AB6" s="4"/>
      <c r="AC6" s="4"/>
      <c r="AG6" s="1"/>
      <c r="AI6" s="1"/>
    </row>
    <row r="7" spans="1:36" x14ac:dyDescent="0.25">
      <c r="A7" s="11" t="s">
        <v>13</v>
      </c>
      <c r="B7" s="6"/>
      <c r="C7" s="6">
        <v>500</v>
      </c>
      <c r="D7" s="6">
        <v>550</v>
      </c>
      <c r="E7" s="6"/>
      <c r="F7" s="6"/>
      <c r="G7" s="6">
        <v>375</v>
      </c>
      <c r="H7" s="6"/>
      <c r="I7" s="6">
        <v>700</v>
      </c>
      <c r="J7" s="4">
        <f t="shared" si="2"/>
        <v>375</v>
      </c>
      <c r="K7" s="4">
        <f t="shared" si="3"/>
        <v>700</v>
      </c>
      <c r="L7">
        <f t="shared" si="0"/>
        <v>531.25</v>
      </c>
      <c r="O7" s="6"/>
      <c r="P7" s="6">
        <v>200</v>
      </c>
      <c r="Q7" s="6">
        <v>360</v>
      </c>
      <c r="R7" s="6"/>
      <c r="S7" s="6"/>
      <c r="T7" s="6">
        <v>225</v>
      </c>
      <c r="U7" s="6"/>
      <c r="V7" s="6">
        <v>465</v>
      </c>
      <c r="W7" s="4">
        <f t="shared" si="4"/>
        <v>200</v>
      </c>
      <c r="X7" s="4">
        <f t="shared" si="5"/>
        <v>465</v>
      </c>
      <c r="Y7">
        <f t="shared" si="1"/>
        <v>312.5</v>
      </c>
      <c r="AA7" s="4"/>
      <c r="AB7" s="4"/>
      <c r="AC7" s="4"/>
      <c r="AG7" s="1"/>
      <c r="AI7" s="1"/>
      <c r="AJ7" s="1"/>
    </row>
    <row r="8" spans="1:36" x14ac:dyDescent="0.25">
      <c r="A8" s="11" t="s">
        <v>14</v>
      </c>
      <c r="B8" s="6">
        <v>640</v>
      </c>
      <c r="C8" s="6">
        <v>800</v>
      </c>
      <c r="D8" s="6"/>
      <c r="E8" s="6">
        <v>438</v>
      </c>
      <c r="F8" s="6"/>
      <c r="G8" s="6">
        <v>240</v>
      </c>
      <c r="H8" s="6">
        <v>750</v>
      </c>
      <c r="I8" s="6"/>
      <c r="J8" s="4">
        <f t="shared" si="2"/>
        <v>240</v>
      </c>
      <c r="K8" s="4">
        <f t="shared" si="3"/>
        <v>800</v>
      </c>
      <c r="L8">
        <f t="shared" si="0"/>
        <v>573.6</v>
      </c>
      <c r="O8" s="6">
        <v>360</v>
      </c>
      <c r="P8" s="6">
        <v>400</v>
      </c>
      <c r="Q8" s="6"/>
      <c r="R8" s="6">
        <v>178</v>
      </c>
      <c r="S8" s="6"/>
      <c r="T8" s="6">
        <v>160</v>
      </c>
      <c r="U8" s="6">
        <v>500</v>
      </c>
      <c r="V8" s="6"/>
      <c r="W8" s="4">
        <f t="shared" si="4"/>
        <v>160</v>
      </c>
      <c r="X8" s="4">
        <f t="shared" si="5"/>
        <v>500</v>
      </c>
      <c r="Y8">
        <f t="shared" si="1"/>
        <v>319.60000000000002</v>
      </c>
      <c r="AA8" s="4"/>
      <c r="AB8" s="4"/>
      <c r="AC8" s="4"/>
      <c r="AG8" s="1"/>
      <c r="AI8" s="1"/>
      <c r="AJ8" s="1"/>
    </row>
    <row r="9" spans="1:36" x14ac:dyDescent="0.25">
      <c r="A9" s="12" t="s">
        <v>15</v>
      </c>
      <c r="B9" s="6"/>
      <c r="C9" s="6">
        <v>1166</v>
      </c>
      <c r="D9" s="6">
        <v>35000</v>
      </c>
      <c r="E9" s="6"/>
      <c r="F9" s="6">
        <v>29335</v>
      </c>
      <c r="G9" s="6"/>
      <c r="H9" s="6"/>
      <c r="I9" s="6"/>
      <c r="J9" s="4">
        <f t="shared" si="2"/>
        <v>1166</v>
      </c>
      <c r="K9" s="4">
        <f t="shared" si="3"/>
        <v>35000</v>
      </c>
      <c r="L9">
        <f t="shared" si="0"/>
        <v>21833.666666666668</v>
      </c>
      <c r="O9" s="6"/>
      <c r="P9" s="6">
        <v>468</v>
      </c>
      <c r="Q9" s="6">
        <v>23335</v>
      </c>
      <c r="R9" s="6"/>
      <c r="S9" s="6">
        <v>14665</v>
      </c>
      <c r="T9" s="6"/>
      <c r="U9" s="6"/>
      <c r="V9" s="6"/>
      <c r="W9" s="4">
        <f t="shared" si="4"/>
        <v>468</v>
      </c>
      <c r="X9" s="4">
        <f t="shared" si="5"/>
        <v>23335</v>
      </c>
      <c r="Y9">
        <f t="shared" si="1"/>
        <v>12822.666666666666</v>
      </c>
      <c r="AA9" s="4"/>
      <c r="AB9" s="4"/>
      <c r="AC9" s="4"/>
      <c r="AG9" s="1"/>
      <c r="AI9" s="1"/>
      <c r="AJ9" s="1"/>
    </row>
    <row r="10" spans="1:36" x14ac:dyDescent="0.25">
      <c r="A10" s="12" t="s">
        <v>16</v>
      </c>
      <c r="B10" s="6">
        <v>670</v>
      </c>
      <c r="C10" s="6">
        <v>7000</v>
      </c>
      <c r="D10" s="6">
        <v>835</v>
      </c>
      <c r="E10" s="6"/>
      <c r="F10" s="6"/>
      <c r="G10" s="6">
        <v>665</v>
      </c>
      <c r="H10" s="6">
        <v>300</v>
      </c>
      <c r="I10" s="6"/>
      <c r="J10" s="4">
        <f t="shared" si="2"/>
        <v>300</v>
      </c>
      <c r="K10" s="4">
        <f t="shared" si="3"/>
        <v>7000</v>
      </c>
      <c r="L10">
        <f t="shared" si="0"/>
        <v>1894</v>
      </c>
      <c r="O10" s="6">
        <v>265</v>
      </c>
      <c r="P10" s="6">
        <v>4670</v>
      </c>
      <c r="Q10" s="6">
        <v>335</v>
      </c>
      <c r="R10" s="6"/>
      <c r="S10" s="6"/>
      <c r="T10" s="6">
        <v>265</v>
      </c>
      <c r="U10" s="6">
        <v>200</v>
      </c>
      <c r="V10" s="6"/>
      <c r="W10" s="4">
        <f t="shared" si="4"/>
        <v>200</v>
      </c>
      <c r="X10" s="4">
        <f t="shared" si="5"/>
        <v>4670</v>
      </c>
      <c r="Y10">
        <f t="shared" si="1"/>
        <v>1147</v>
      </c>
      <c r="AA10" s="4"/>
      <c r="AB10" s="4"/>
      <c r="AC10" s="4"/>
      <c r="AG10" s="1"/>
      <c r="AI10" s="1"/>
      <c r="AJ10" s="1"/>
    </row>
    <row r="11" spans="1:36" x14ac:dyDescent="0.25">
      <c r="A11" s="11" t="s">
        <v>17</v>
      </c>
      <c r="B11" s="6">
        <v>310</v>
      </c>
      <c r="C11" s="6"/>
      <c r="D11" s="6">
        <v>620</v>
      </c>
      <c r="E11" s="6"/>
      <c r="F11" s="6"/>
      <c r="G11" s="6">
        <v>815</v>
      </c>
      <c r="H11" s="6"/>
      <c r="I11" s="6"/>
      <c r="J11" s="4">
        <f t="shared" si="2"/>
        <v>310</v>
      </c>
      <c r="K11" s="4">
        <f t="shared" si="3"/>
        <v>815</v>
      </c>
      <c r="L11">
        <f t="shared" si="0"/>
        <v>581.66666666666663</v>
      </c>
      <c r="O11" s="6">
        <v>235</v>
      </c>
      <c r="P11" s="6"/>
      <c r="Q11" s="6">
        <v>480</v>
      </c>
      <c r="R11" s="6"/>
      <c r="S11" s="6"/>
      <c r="T11" s="6">
        <v>585</v>
      </c>
      <c r="U11" s="6"/>
      <c r="V11" s="6"/>
      <c r="W11" s="4">
        <f t="shared" si="4"/>
        <v>235</v>
      </c>
      <c r="X11" s="4">
        <f t="shared" si="5"/>
        <v>585</v>
      </c>
      <c r="Y11">
        <f t="shared" si="1"/>
        <v>433.33333333333331</v>
      </c>
      <c r="AA11" s="4"/>
      <c r="AB11" s="4"/>
      <c r="AC11" s="4"/>
      <c r="AG11" s="1"/>
      <c r="AI11" s="1"/>
      <c r="AJ11" s="1"/>
    </row>
    <row r="12" spans="1:36" x14ac:dyDescent="0.25">
      <c r="A12" s="11" t="s">
        <v>18</v>
      </c>
      <c r="B12" s="6">
        <v>800</v>
      </c>
      <c r="C12" s="6"/>
      <c r="D12" s="6">
        <v>500</v>
      </c>
      <c r="E12" s="6"/>
      <c r="F12" s="6"/>
      <c r="G12" s="6"/>
      <c r="H12" s="6"/>
      <c r="I12" s="6"/>
      <c r="J12" s="4">
        <f t="shared" si="2"/>
        <v>500</v>
      </c>
      <c r="K12" s="4">
        <f t="shared" si="3"/>
        <v>800</v>
      </c>
      <c r="L12">
        <f t="shared" si="0"/>
        <v>650</v>
      </c>
      <c r="O12" s="6">
        <v>800</v>
      </c>
      <c r="P12" s="6"/>
      <c r="Q12" s="6">
        <v>300</v>
      </c>
      <c r="R12" s="6"/>
      <c r="S12" s="6"/>
      <c r="T12" s="6"/>
      <c r="U12" s="6"/>
      <c r="V12" s="6"/>
      <c r="W12" s="4">
        <f t="shared" si="4"/>
        <v>300</v>
      </c>
      <c r="X12" s="4">
        <f t="shared" si="5"/>
        <v>800</v>
      </c>
      <c r="Y12">
        <f t="shared" si="1"/>
        <v>550</v>
      </c>
      <c r="AA12" s="4"/>
      <c r="AB12" s="4"/>
      <c r="AC12" s="4"/>
      <c r="AG12" s="1"/>
      <c r="AI12" s="1"/>
      <c r="AJ12" s="1"/>
    </row>
    <row r="13" spans="1:36" x14ac:dyDescent="0.25">
      <c r="A13" s="11" t="s">
        <v>19</v>
      </c>
      <c r="B13" s="6"/>
      <c r="C13" s="6"/>
      <c r="D13" s="6">
        <v>960</v>
      </c>
      <c r="E13" s="6"/>
      <c r="F13" s="6"/>
      <c r="G13" s="6"/>
      <c r="H13" s="6">
        <v>1500</v>
      </c>
      <c r="I13" s="6">
        <v>1650</v>
      </c>
      <c r="J13" s="4">
        <f t="shared" si="2"/>
        <v>960</v>
      </c>
      <c r="K13" s="4">
        <f t="shared" si="3"/>
        <v>1650</v>
      </c>
      <c r="L13">
        <f t="shared" si="0"/>
        <v>1370</v>
      </c>
      <c r="O13" s="6"/>
      <c r="P13" s="6"/>
      <c r="Q13" s="6">
        <v>180</v>
      </c>
      <c r="R13" s="6"/>
      <c r="S13" s="6"/>
      <c r="T13" s="6"/>
      <c r="U13" s="6">
        <v>300</v>
      </c>
      <c r="V13" s="6">
        <v>370</v>
      </c>
      <c r="W13" s="4">
        <f t="shared" si="4"/>
        <v>180</v>
      </c>
      <c r="X13" s="4">
        <f t="shared" si="5"/>
        <v>370</v>
      </c>
      <c r="Y13">
        <f t="shared" si="1"/>
        <v>283.33333333333331</v>
      </c>
      <c r="AA13" s="4"/>
      <c r="AB13" s="4"/>
      <c r="AC13" s="4"/>
      <c r="AG13" s="1"/>
      <c r="AI13" s="1"/>
      <c r="AJ13" s="1"/>
    </row>
    <row r="14" spans="1:36" x14ac:dyDescent="0.25">
      <c r="A14" s="11" t="s">
        <v>20</v>
      </c>
      <c r="B14" s="6"/>
      <c r="C14" s="6"/>
      <c r="D14" s="6">
        <v>1000</v>
      </c>
      <c r="E14" s="6"/>
      <c r="F14" s="6">
        <v>650</v>
      </c>
      <c r="G14" s="6"/>
      <c r="H14" s="6">
        <v>1870</v>
      </c>
      <c r="I14" s="6">
        <v>2530</v>
      </c>
      <c r="J14" s="4">
        <f t="shared" si="2"/>
        <v>650</v>
      </c>
      <c r="K14" s="4">
        <f t="shared" si="3"/>
        <v>2530</v>
      </c>
      <c r="L14">
        <f t="shared" si="0"/>
        <v>1512.5</v>
      </c>
      <c r="O14" s="6"/>
      <c r="P14" s="6"/>
      <c r="Q14" s="6">
        <v>670</v>
      </c>
      <c r="R14" s="6"/>
      <c r="S14" s="6">
        <v>435</v>
      </c>
      <c r="T14" s="6"/>
      <c r="U14" s="6">
        <v>1130</v>
      </c>
      <c r="V14" s="6">
        <v>1270</v>
      </c>
      <c r="W14" s="4">
        <f t="shared" si="4"/>
        <v>435</v>
      </c>
      <c r="X14" s="4">
        <f t="shared" si="5"/>
        <v>1270</v>
      </c>
      <c r="Y14">
        <f t="shared" si="1"/>
        <v>876.25</v>
      </c>
      <c r="AA14" s="4"/>
      <c r="AB14" s="4"/>
      <c r="AC14" s="4"/>
      <c r="AG14" s="1"/>
      <c r="AI14" s="1"/>
      <c r="AJ14" s="1"/>
    </row>
    <row r="15" spans="1:36" x14ac:dyDescent="0.25">
      <c r="A15" s="11" t="s">
        <v>21</v>
      </c>
      <c r="B15" s="6"/>
      <c r="C15" s="6"/>
      <c r="D15" s="6">
        <v>1830</v>
      </c>
      <c r="E15" s="6">
        <v>4000</v>
      </c>
      <c r="F15" s="6"/>
      <c r="G15" s="6">
        <v>4670</v>
      </c>
      <c r="H15" s="6"/>
      <c r="I15" s="6"/>
      <c r="J15" s="4">
        <f t="shared" si="2"/>
        <v>1830</v>
      </c>
      <c r="K15" s="4">
        <f t="shared" si="3"/>
        <v>4670</v>
      </c>
      <c r="L15">
        <f t="shared" si="0"/>
        <v>3500</v>
      </c>
      <c r="O15" s="6"/>
      <c r="P15" s="6"/>
      <c r="Q15" s="6">
        <v>730</v>
      </c>
      <c r="R15" s="6">
        <v>4000</v>
      </c>
      <c r="S15" s="6"/>
      <c r="T15" s="6">
        <v>2335</v>
      </c>
      <c r="U15" s="6"/>
      <c r="V15" s="6"/>
      <c r="W15" s="4">
        <f t="shared" si="4"/>
        <v>730</v>
      </c>
      <c r="X15" s="4">
        <f t="shared" si="5"/>
        <v>4000</v>
      </c>
      <c r="Y15">
        <f t="shared" si="1"/>
        <v>2355</v>
      </c>
      <c r="AA15" s="4"/>
      <c r="AB15" s="4"/>
      <c r="AC15" s="4"/>
      <c r="AG15" s="1"/>
      <c r="AI15" s="1"/>
      <c r="AJ15" s="1"/>
    </row>
    <row r="16" spans="1:36" x14ac:dyDescent="0.25">
      <c r="A16" s="11" t="s">
        <v>22</v>
      </c>
      <c r="B16" s="6">
        <v>1905</v>
      </c>
      <c r="C16" s="6"/>
      <c r="D16" s="6">
        <v>1200</v>
      </c>
      <c r="E16" s="6">
        <v>2500</v>
      </c>
      <c r="F16" s="6">
        <v>1000</v>
      </c>
      <c r="G16" s="6"/>
      <c r="H16" s="6"/>
      <c r="I16" s="6"/>
      <c r="J16" s="4">
        <f t="shared" si="2"/>
        <v>1000</v>
      </c>
      <c r="K16" s="4">
        <f t="shared" si="3"/>
        <v>2500</v>
      </c>
      <c r="L16">
        <f t="shared" si="0"/>
        <v>1651.25</v>
      </c>
      <c r="O16" s="6">
        <v>1265</v>
      </c>
      <c r="P16" s="6"/>
      <c r="Q16" s="6">
        <v>1200</v>
      </c>
      <c r="R16" s="6">
        <v>1670</v>
      </c>
      <c r="S16" s="6">
        <v>600</v>
      </c>
      <c r="T16" s="6"/>
      <c r="U16" s="6"/>
      <c r="V16" s="6"/>
      <c r="W16" s="4">
        <f t="shared" si="4"/>
        <v>600</v>
      </c>
      <c r="X16" s="4">
        <f t="shared" si="5"/>
        <v>1670</v>
      </c>
      <c r="Y16">
        <f t="shared" si="1"/>
        <v>1183.75</v>
      </c>
      <c r="AA16" s="4"/>
      <c r="AB16" s="4"/>
      <c r="AC16" s="4"/>
      <c r="AG16" s="1"/>
      <c r="AI16" s="1"/>
      <c r="AJ16" s="1"/>
    </row>
    <row r="17" spans="1:36" x14ac:dyDescent="0.25">
      <c r="A17" s="11" t="s">
        <v>23</v>
      </c>
      <c r="B17" s="6"/>
      <c r="C17" s="6"/>
      <c r="D17" s="6">
        <v>3500</v>
      </c>
      <c r="E17" s="6">
        <v>5330</v>
      </c>
      <c r="F17" s="6"/>
      <c r="G17" s="6"/>
      <c r="H17" s="6">
        <v>8000</v>
      </c>
      <c r="I17" s="6">
        <v>9735</v>
      </c>
      <c r="J17" s="4">
        <f t="shared" si="2"/>
        <v>3500</v>
      </c>
      <c r="K17" s="4">
        <f t="shared" si="3"/>
        <v>9735</v>
      </c>
      <c r="L17">
        <f t="shared" si="0"/>
        <v>6641.25</v>
      </c>
      <c r="O17" s="6"/>
      <c r="P17" s="6"/>
      <c r="Q17" s="6">
        <v>3500</v>
      </c>
      <c r="R17" s="6">
        <v>1335</v>
      </c>
      <c r="S17" s="6"/>
      <c r="T17" s="6"/>
      <c r="U17" s="6">
        <v>4000</v>
      </c>
      <c r="V17" s="6">
        <v>4870</v>
      </c>
      <c r="W17" s="4">
        <f t="shared" si="4"/>
        <v>1335</v>
      </c>
      <c r="X17" s="4">
        <f t="shared" si="5"/>
        <v>4870</v>
      </c>
      <c r="Y17">
        <f t="shared" si="1"/>
        <v>3426.25</v>
      </c>
      <c r="AA17" s="4"/>
      <c r="AB17" s="4"/>
      <c r="AC17" s="4"/>
      <c r="AG17" s="1"/>
      <c r="AI17" s="1"/>
      <c r="AJ17" s="1"/>
    </row>
    <row r="18" spans="1:36" x14ac:dyDescent="0.25">
      <c r="A18" s="11" t="s">
        <v>25</v>
      </c>
      <c r="B18" s="6"/>
      <c r="C18" s="6"/>
      <c r="D18" s="6">
        <v>12665</v>
      </c>
      <c r="E18" s="6"/>
      <c r="F18" s="6"/>
      <c r="G18" s="6"/>
      <c r="H18" s="6">
        <v>17335</v>
      </c>
      <c r="I18" s="6"/>
      <c r="J18" s="4">
        <f t="shared" si="2"/>
        <v>12665</v>
      </c>
      <c r="K18" s="4">
        <f t="shared" si="3"/>
        <v>17335</v>
      </c>
      <c r="L18">
        <f t="shared" si="0"/>
        <v>15000</v>
      </c>
      <c r="O18" s="6"/>
      <c r="P18" s="6"/>
      <c r="Q18" s="6">
        <v>3170</v>
      </c>
      <c r="R18" s="6"/>
      <c r="S18" s="6"/>
      <c r="T18" s="6"/>
      <c r="U18" s="6">
        <v>8665</v>
      </c>
      <c r="V18" s="6"/>
      <c r="W18" s="4">
        <f t="shared" si="4"/>
        <v>3170</v>
      </c>
      <c r="X18" s="4">
        <f t="shared" si="5"/>
        <v>8665</v>
      </c>
      <c r="Y18">
        <f t="shared" si="1"/>
        <v>5917.5</v>
      </c>
      <c r="AA18" s="4"/>
      <c r="AB18" s="4"/>
      <c r="AC18" s="4"/>
      <c r="AG18" s="1"/>
      <c r="AI18" s="1"/>
      <c r="AJ18" s="1"/>
    </row>
    <row r="19" spans="1:36" x14ac:dyDescent="0.25">
      <c r="A19" s="11" t="s">
        <v>26</v>
      </c>
      <c r="B19" s="6"/>
      <c r="C19" s="6"/>
      <c r="D19" s="6"/>
      <c r="E19" s="6"/>
      <c r="F19" s="6">
        <v>850</v>
      </c>
      <c r="G19" s="6">
        <v>325</v>
      </c>
      <c r="H19" s="6"/>
      <c r="I19" s="6"/>
      <c r="J19" s="4">
        <f t="shared" si="2"/>
        <v>325</v>
      </c>
      <c r="K19" s="4">
        <f t="shared" si="3"/>
        <v>850</v>
      </c>
      <c r="L19">
        <f t="shared" si="0"/>
        <v>587.5</v>
      </c>
      <c r="O19" s="6"/>
      <c r="P19" s="6"/>
      <c r="Q19" s="6"/>
      <c r="R19" s="6"/>
      <c r="S19" s="6">
        <v>680</v>
      </c>
      <c r="T19" s="6">
        <v>275</v>
      </c>
      <c r="U19" s="6"/>
      <c r="V19" s="6"/>
      <c r="W19" s="4">
        <f t="shared" si="4"/>
        <v>275</v>
      </c>
      <c r="X19" s="4">
        <f t="shared" si="5"/>
        <v>680</v>
      </c>
      <c r="Y19">
        <f t="shared" si="1"/>
        <v>477.5</v>
      </c>
      <c r="AA19" s="4"/>
      <c r="AB19" s="4"/>
      <c r="AC19" s="4"/>
      <c r="AG19" s="1"/>
      <c r="AI19" s="1"/>
      <c r="AJ19" s="1"/>
    </row>
    <row r="20" spans="1:36" x14ac:dyDescent="0.25">
      <c r="A20" s="11" t="s">
        <v>27</v>
      </c>
      <c r="B20" s="6"/>
      <c r="C20" s="6"/>
      <c r="D20" s="6"/>
      <c r="E20" s="6">
        <v>7500</v>
      </c>
      <c r="F20" s="6"/>
      <c r="G20" s="6">
        <v>11665</v>
      </c>
      <c r="H20" s="6">
        <v>11335</v>
      </c>
      <c r="I20" s="6"/>
      <c r="J20" s="4">
        <f t="shared" si="2"/>
        <v>7500</v>
      </c>
      <c r="K20" s="4">
        <f t="shared" si="3"/>
        <v>11665</v>
      </c>
      <c r="L20">
        <f t="shared" si="0"/>
        <v>10166.666666666666</v>
      </c>
      <c r="O20" s="6"/>
      <c r="P20" s="6"/>
      <c r="Q20" s="6"/>
      <c r="R20" s="6">
        <v>1500</v>
      </c>
      <c r="S20" s="6"/>
      <c r="T20" s="6">
        <v>2335</v>
      </c>
      <c r="U20" s="6">
        <v>2835</v>
      </c>
      <c r="V20" s="6"/>
      <c r="W20" s="4">
        <f t="shared" si="4"/>
        <v>1500</v>
      </c>
      <c r="X20" s="4">
        <f t="shared" si="5"/>
        <v>2835</v>
      </c>
      <c r="Y20">
        <f t="shared" si="1"/>
        <v>2223.3333333333335</v>
      </c>
      <c r="AA20" s="4"/>
      <c r="AB20" s="4"/>
      <c r="AC20" s="4"/>
      <c r="AG20" s="1"/>
      <c r="AI20" s="1"/>
      <c r="AJ20" s="1"/>
    </row>
    <row r="21" spans="1:36" x14ac:dyDescent="0.25">
      <c r="A21" s="12" t="s">
        <v>28</v>
      </c>
      <c r="B21" s="6"/>
      <c r="C21" s="6"/>
      <c r="D21" s="6"/>
      <c r="E21" s="6">
        <v>40000</v>
      </c>
      <c r="F21" s="6"/>
      <c r="G21" s="6">
        <v>28335</v>
      </c>
      <c r="H21" s="6">
        <v>30000</v>
      </c>
      <c r="I21" s="6"/>
      <c r="J21" s="4">
        <f t="shared" si="2"/>
        <v>28335</v>
      </c>
      <c r="K21" s="4">
        <f t="shared" si="3"/>
        <v>40000</v>
      </c>
      <c r="L21">
        <f t="shared" si="0"/>
        <v>32778.333333333336</v>
      </c>
      <c r="O21" s="6"/>
      <c r="P21" s="6"/>
      <c r="Q21" s="6"/>
      <c r="R21" s="6">
        <v>40000</v>
      </c>
      <c r="S21" s="6"/>
      <c r="T21" s="6">
        <v>11335</v>
      </c>
      <c r="U21" s="6">
        <v>20000</v>
      </c>
      <c r="V21" s="6"/>
      <c r="W21" s="4">
        <f t="shared" si="4"/>
        <v>11335</v>
      </c>
      <c r="X21" s="4">
        <f t="shared" si="5"/>
        <v>40000</v>
      </c>
      <c r="Y21">
        <f t="shared" si="1"/>
        <v>23778.333333333332</v>
      </c>
      <c r="AA21" s="4"/>
      <c r="AB21" s="4"/>
      <c r="AC21" s="4"/>
      <c r="AG21" s="1"/>
      <c r="AI21" s="1"/>
      <c r="AJ21" s="1"/>
    </row>
    <row r="22" spans="1:36" x14ac:dyDescent="0.25">
      <c r="A22" s="11" t="s">
        <v>29</v>
      </c>
      <c r="B22" s="6"/>
      <c r="C22" s="6"/>
      <c r="D22" s="6"/>
      <c r="E22" s="6"/>
      <c r="F22" s="6">
        <v>2935</v>
      </c>
      <c r="G22" s="6"/>
      <c r="H22" s="6">
        <v>1200</v>
      </c>
      <c r="I22" s="6">
        <v>4270</v>
      </c>
      <c r="J22" s="4">
        <f t="shared" si="2"/>
        <v>1200</v>
      </c>
      <c r="K22" s="4">
        <f t="shared" si="3"/>
        <v>4270</v>
      </c>
      <c r="L22">
        <f t="shared" si="0"/>
        <v>2801.6666666666665</v>
      </c>
      <c r="O22" s="6"/>
      <c r="P22" s="6"/>
      <c r="Q22" s="6"/>
      <c r="R22" s="6"/>
      <c r="S22" s="6">
        <v>1175</v>
      </c>
      <c r="T22" s="6"/>
      <c r="U22" s="6">
        <v>1200</v>
      </c>
      <c r="V22" s="6">
        <v>1070</v>
      </c>
      <c r="W22" s="4">
        <f t="shared" si="4"/>
        <v>1070</v>
      </c>
      <c r="X22" s="4">
        <f t="shared" si="5"/>
        <v>1200</v>
      </c>
      <c r="Y22">
        <f t="shared" si="1"/>
        <v>1148.3333333333333</v>
      </c>
      <c r="AA22" s="4"/>
      <c r="AB22" s="4"/>
      <c r="AC22" s="4"/>
      <c r="AG22" s="1"/>
      <c r="AI22" s="1"/>
      <c r="AJ22" s="1"/>
    </row>
    <row r="23" spans="1:36" x14ac:dyDescent="0.25">
      <c r="A23" s="11" t="s">
        <v>30</v>
      </c>
      <c r="B23" s="6"/>
      <c r="C23" s="6"/>
      <c r="D23" s="6"/>
      <c r="E23" s="6"/>
      <c r="F23" s="6">
        <v>24000</v>
      </c>
      <c r="G23" s="6"/>
      <c r="H23" s="6"/>
      <c r="I23" s="6">
        <v>35000</v>
      </c>
      <c r="J23" s="4">
        <f t="shared" si="2"/>
        <v>24000</v>
      </c>
      <c r="K23" s="4">
        <f t="shared" si="3"/>
        <v>35000</v>
      </c>
      <c r="L23">
        <f t="shared" si="0"/>
        <v>29500</v>
      </c>
      <c r="O23" s="6"/>
      <c r="P23" s="6"/>
      <c r="Q23" s="6"/>
      <c r="R23" s="6"/>
      <c r="S23" s="6">
        <v>16000</v>
      </c>
      <c r="T23" s="6"/>
      <c r="U23" s="6"/>
      <c r="V23" s="6">
        <v>23335</v>
      </c>
      <c r="W23" s="4">
        <f t="shared" si="4"/>
        <v>16000</v>
      </c>
      <c r="X23" s="4">
        <f t="shared" si="5"/>
        <v>23335</v>
      </c>
      <c r="Y23">
        <f t="shared" si="1"/>
        <v>19667.5</v>
      </c>
      <c r="AA23" s="4"/>
      <c r="AB23" s="4"/>
      <c r="AC23" s="4"/>
      <c r="AG23" s="1"/>
      <c r="AI23" s="1"/>
      <c r="AJ23" s="1"/>
    </row>
    <row r="24" spans="1:36" x14ac:dyDescent="0.25">
      <c r="A24" s="12" t="s">
        <v>31</v>
      </c>
      <c r="B24" s="6">
        <v>20000</v>
      </c>
      <c r="C24" s="6"/>
      <c r="D24" s="6"/>
      <c r="E24" s="6"/>
      <c r="F24" s="6">
        <v>21335</v>
      </c>
      <c r="G24" s="6"/>
      <c r="H24" s="6"/>
      <c r="I24" s="6">
        <v>29330</v>
      </c>
      <c r="J24" s="4">
        <f t="shared" si="2"/>
        <v>20000</v>
      </c>
      <c r="K24" s="4">
        <f t="shared" si="3"/>
        <v>29330</v>
      </c>
      <c r="L24">
        <f t="shared" si="0"/>
        <v>23555</v>
      </c>
      <c r="O24" s="6">
        <v>10000</v>
      </c>
      <c r="P24" s="6"/>
      <c r="Q24" s="6"/>
      <c r="R24" s="6"/>
      <c r="S24" s="6">
        <v>10665</v>
      </c>
      <c r="T24" s="6"/>
      <c r="U24" s="6"/>
      <c r="V24" s="6">
        <v>14670</v>
      </c>
      <c r="W24" s="4">
        <f t="shared" si="4"/>
        <v>10000</v>
      </c>
      <c r="X24" s="4">
        <f t="shared" si="5"/>
        <v>14670</v>
      </c>
      <c r="Y24">
        <f t="shared" si="1"/>
        <v>11778.333333333334</v>
      </c>
      <c r="AA24" s="4"/>
      <c r="AB24" s="4"/>
      <c r="AC24" s="4"/>
      <c r="AG24" s="1"/>
      <c r="AI24" s="1"/>
      <c r="AJ24" s="1"/>
    </row>
    <row r="25" spans="1:36" x14ac:dyDescent="0.25">
      <c r="A25" s="11" t="s">
        <v>32</v>
      </c>
      <c r="B25" s="6">
        <v>14000</v>
      </c>
      <c r="C25" s="6"/>
      <c r="D25" s="6"/>
      <c r="E25" s="6"/>
      <c r="F25" s="6">
        <v>21335</v>
      </c>
      <c r="G25" s="6"/>
      <c r="H25" s="6"/>
      <c r="I25" s="6"/>
      <c r="J25" s="4">
        <f t="shared" si="2"/>
        <v>14000</v>
      </c>
      <c r="K25" s="4">
        <f t="shared" si="3"/>
        <v>21335</v>
      </c>
      <c r="L25">
        <f t="shared" si="0"/>
        <v>17667.5</v>
      </c>
      <c r="O25" s="6">
        <v>14000</v>
      </c>
      <c r="P25" s="6"/>
      <c r="Q25" s="6"/>
      <c r="R25" s="6"/>
      <c r="S25" s="6">
        <v>10665</v>
      </c>
      <c r="T25" s="6"/>
      <c r="U25" s="6"/>
      <c r="V25" s="6"/>
      <c r="W25" s="4">
        <f t="shared" si="4"/>
        <v>10665</v>
      </c>
      <c r="X25" s="4">
        <f t="shared" si="5"/>
        <v>14000</v>
      </c>
      <c r="Y25">
        <f t="shared" si="1"/>
        <v>12332.5</v>
      </c>
      <c r="AA25" s="4"/>
      <c r="AB25" s="4"/>
      <c r="AC25" s="4"/>
      <c r="AG25" s="1"/>
      <c r="AI25" s="1"/>
      <c r="AJ25" s="1"/>
    </row>
    <row r="26" spans="1:36" x14ac:dyDescent="0.25">
      <c r="A26" s="11" t="s">
        <v>33</v>
      </c>
      <c r="B26" s="6">
        <v>16000</v>
      </c>
      <c r="C26" s="6"/>
      <c r="D26" s="6"/>
      <c r="E26" s="6"/>
      <c r="F26" s="6"/>
      <c r="G26" s="6"/>
      <c r="H26" s="6"/>
      <c r="I26" s="6">
        <v>16000</v>
      </c>
      <c r="J26" s="4">
        <f t="shared" si="2"/>
        <v>16000</v>
      </c>
      <c r="K26" s="4">
        <f t="shared" si="3"/>
        <v>16000</v>
      </c>
      <c r="L26">
        <f t="shared" si="0"/>
        <v>16000</v>
      </c>
      <c r="O26" s="6">
        <v>8000</v>
      </c>
      <c r="P26" s="6"/>
      <c r="Q26" s="6"/>
      <c r="R26" s="6"/>
      <c r="S26" s="6"/>
      <c r="T26" s="6"/>
      <c r="U26" s="6"/>
      <c r="V26" s="6">
        <v>8000</v>
      </c>
      <c r="W26" s="4">
        <f t="shared" si="4"/>
        <v>8000</v>
      </c>
      <c r="X26" s="4">
        <f t="shared" si="5"/>
        <v>8000</v>
      </c>
      <c r="Y26">
        <f t="shared" si="1"/>
        <v>8000</v>
      </c>
      <c r="AA26" s="4"/>
      <c r="AB26" s="4"/>
      <c r="AC26" s="4"/>
      <c r="AG26" s="1"/>
      <c r="AI26" s="1"/>
      <c r="AJ26" s="1"/>
    </row>
    <row r="27" spans="1:36" x14ac:dyDescent="0.25">
      <c r="A27" s="11" t="s">
        <v>34</v>
      </c>
      <c r="B27" s="6">
        <v>16000</v>
      </c>
      <c r="C27" s="6"/>
      <c r="D27" s="6"/>
      <c r="E27" s="6"/>
      <c r="F27" s="6"/>
      <c r="G27" s="6"/>
      <c r="H27" s="6">
        <v>29330</v>
      </c>
      <c r="I27" s="6"/>
      <c r="J27" s="4">
        <f t="shared" si="2"/>
        <v>16000</v>
      </c>
      <c r="K27" s="4">
        <f t="shared" si="3"/>
        <v>29330</v>
      </c>
      <c r="L27">
        <f t="shared" si="0"/>
        <v>22665</v>
      </c>
      <c r="O27" s="6">
        <v>16000</v>
      </c>
      <c r="P27" s="6"/>
      <c r="Q27" s="6"/>
      <c r="R27" s="6"/>
      <c r="S27" s="6"/>
      <c r="T27" s="6"/>
      <c r="U27" s="6">
        <v>14670</v>
      </c>
      <c r="V27" s="6"/>
      <c r="W27" s="4">
        <f t="shared" si="4"/>
        <v>14670</v>
      </c>
      <c r="X27" s="4">
        <f t="shared" si="5"/>
        <v>16000</v>
      </c>
      <c r="Y27">
        <f t="shared" si="1"/>
        <v>15335</v>
      </c>
      <c r="AA27" s="4"/>
      <c r="AB27" s="4"/>
      <c r="AC27" s="4"/>
      <c r="AG27" s="1"/>
      <c r="AI27" s="1"/>
      <c r="AJ27" s="1"/>
    </row>
    <row r="28" spans="1:36" x14ac:dyDescent="0.25">
      <c r="A28" s="11" t="s">
        <v>35</v>
      </c>
      <c r="B28" s="6">
        <v>32000</v>
      </c>
      <c r="C28" s="6"/>
      <c r="D28" s="6"/>
      <c r="E28" s="6"/>
      <c r="F28" s="6"/>
      <c r="G28" s="6"/>
      <c r="H28" s="6"/>
      <c r="I28" s="6">
        <v>43000</v>
      </c>
      <c r="J28" s="4">
        <f t="shared" si="2"/>
        <v>32000</v>
      </c>
      <c r="K28" s="4">
        <f t="shared" si="3"/>
        <v>43000</v>
      </c>
      <c r="L28">
        <f t="shared" si="0"/>
        <v>37500</v>
      </c>
      <c r="O28" s="6">
        <v>32000</v>
      </c>
      <c r="P28" s="6"/>
      <c r="Q28" s="6"/>
      <c r="R28" s="6"/>
      <c r="S28" s="6"/>
      <c r="T28" s="6"/>
      <c r="U28" s="6"/>
      <c r="V28" s="6">
        <v>43000</v>
      </c>
      <c r="W28" s="4">
        <f t="shared" si="4"/>
        <v>32000</v>
      </c>
      <c r="X28" s="4">
        <f t="shared" si="5"/>
        <v>43000</v>
      </c>
      <c r="Y28">
        <f t="shared" si="1"/>
        <v>37500</v>
      </c>
      <c r="AA28" s="4"/>
      <c r="AB28" s="4"/>
      <c r="AC28" s="4"/>
      <c r="AG28" s="1"/>
      <c r="AI28" s="1"/>
      <c r="AJ28" s="1"/>
    </row>
    <row r="29" spans="1:36" x14ac:dyDescent="0.25">
      <c r="A29" s="13" t="s">
        <v>36</v>
      </c>
      <c r="B29" s="8">
        <v>53335</v>
      </c>
      <c r="C29" s="8"/>
      <c r="D29" s="8"/>
      <c r="E29" s="8"/>
      <c r="F29" s="8"/>
      <c r="G29" s="8"/>
      <c r="H29" s="8"/>
      <c r="I29" s="8">
        <v>65000</v>
      </c>
      <c r="J29" s="4">
        <f t="shared" si="2"/>
        <v>53335</v>
      </c>
      <c r="K29" s="4">
        <f t="shared" si="3"/>
        <v>65000</v>
      </c>
      <c r="L29">
        <f t="shared" si="0"/>
        <v>59167.5</v>
      </c>
      <c r="O29" s="6">
        <v>13335</v>
      </c>
      <c r="P29" s="6"/>
      <c r="Q29" s="6"/>
      <c r="R29" s="6"/>
      <c r="S29" s="6"/>
      <c r="T29" s="6"/>
      <c r="U29" s="6"/>
      <c r="V29" s="6">
        <v>36665</v>
      </c>
      <c r="W29" s="4">
        <f t="shared" si="4"/>
        <v>13335</v>
      </c>
      <c r="X29" s="4">
        <f t="shared" si="5"/>
        <v>36665</v>
      </c>
      <c r="Y29">
        <f t="shared" si="1"/>
        <v>25000</v>
      </c>
      <c r="AA29" s="4"/>
      <c r="AB29" s="4"/>
      <c r="AC29" s="4"/>
      <c r="AG29" s="1"/>
      <c r="AI29" s="1"/>
      <c r="AJ29" s="1"/>
    </row>
    <row r="30" spans="1:36" x14ac:dyDescent="0.25">
      <c r="A30" s="9"/>
      <c r="B30" s="9"/>
      <c r="C30" s="9"/>
      <c r="D30" s="9"/>
      <c r="E30" s="9"/>
      <c r="F30" s="9"/>
      <c r="G30" s="9"/>
      <c r="H30" s="9"/>
      <c r="I30" s="9"/>
      <c r="AG30" s="1"/>
      <c r="AI30" s="1"/>
      <c r="AJ30" s="1"/>
    </row>
    <row r="31" spans="1:36" x14ac:dyDescent="0.25">
      <c r="A31" s="10"/>
      <c r="AJ31" s="1"/>
    </row>
    <row r="32" spans="1:36" x14ac:dyDescent="0.25">
      <c r="A32" s="10"/>
      <c r="X32" s="1"/>
      <c r="Z32" s="1"/>
      <c r="AJ32" s="1"/>
    </row>
    <row r="33" spans="1:36" x14ac:dyDescent="0.25">
      <c r="A33" s="10"/>
      <c r="L33" s="1"/>
      <c r="N33" s="1"/>
      <c r="R33" s="1"/>
      <c r="T33" s="1"/>
      <c r="X33" s="1"/>
      <c r="Z33" s="1"/>
      <c r="AJ33" s="1"/>
    </row>
    <row r="34" spans="1:36" x14ac:dyDescent="0.25">
      <c r="J34" s="1"/>
      <c r="L34" s="1"/>
      <c r="N34" s="1"/>
      <c r="R34" s="1"/>
      <c r="T34" s="1"/>
      <c r="X34" s="1"/>
      <c r="Z34" s="1"/>
    </row>
    <row r="35" spans="1:36" x14ac:dyDescent="0.25">
      <c r="J35" s="1"/>
      <c r="L35" s="1"/>
      <c r="N35" s="1"/>
      <c r="R35" s="1"/>
      <c r="T35" s="1"/>
      <c r="X35" s="1"/>
      <c r="Z35" s="1"/>
    </row>
    <row r="36" spans="1:36" x14ac:dyDescent="0.25">
      <c r="J36" s="1"/>
      <c r="L36" s="1"/>
      <c r="N36" s="1"/>
      <c r="R36" s="1"/>
      <c r="T36" s="1"/>
      <c r="X36" s="1"/>
      <c r="Z36" s="1"/>
    </row>
    <row r="37" spans="1:36" x14ac:dyDescent="0.25">
      <c r="J37" s="1"/>
      <c r="L37" s="1"/>
      <c r="N37" s="1"/>
      <c r="R37" s="1"/>
      <c r="T37" s="1"/>
      <c r="X37" s="1"/>
      <c r="Z37" s="1"/>
    </row>
    <row r="38" spans="1:36" x14ac:dyDescent="0.25">
      <c r="J38" s="1"/>
      <c r="L38" s="1"/>
      <c r="N38" s="1"/>
      <c r="R38" s="1"/>
      <c r="T38" s="1"/>
      <c r="X38" s="1"/>
      <c r="Z38" s="1"/>
    </row>
    <row r="39" spans="1:36" x14ac:dyDescent="0.25">
      <c r="J39" s="1"/>
      <c r="L39" s="1"/>
      <c r="N39" s="1"/>
      <c r="R39" s="1"/>
      <c r="T39" s="1"/>
      <c r="X39" s="1"/>
      <c r="Z39" s="1"/>
    </row>
    <row r="40" spans="1:36" x14ac:dyDescent="0.25">
      <c r="J40" s="1"/>
      <c r="L40" s="1"/>
      <c r="N40" s="1"/>
      <c r="R40" s="1"/>
      <c r="T40" s="1"/>
      <c r="X40" s="1"/>
      <c r="Z40" s="1"/>
    </row>
    <row r="41" spans="1:36" x14ac:dyDescent="0.25">
      <c r="J41" s="1"/>
      <c r="L41" s="1"/>
      <c r="N41" s="1"/>
      <c r="R41" s="1"/>
      <c r="T41" s="1"/>
      <c r="X41" s="1"/>
      <c r="Z41" s="1"/>
    </row>
    <row r="42" spans="1:36" x14ac:dyDescent="0.25">
      <c r="J42" s="1"/>
      <c r="L42" s="1"/>
      <c r="N42" s="1"/>
      <c r="R42" s="1"/>
      <c r="T42" s="1"/>
      <c r="X42" s="1"/>
      <c r="Z42" s="1"/>
    </row>
    <row r="43" spans="1:36" x14ac:dyDescent="0.25">
      <c r="J43" s="1"/>
      <c r="L43" s="1"/>
      <c r="N43" s="1"/>
      <c r="R43" s="1"/>
      <c r="T43" s="1"/>
    </row>
    <row r="44" spans="1:36" x14ac:dyDescent="0.25">
      <c r="J44" s="1"/>
      <c r="L44" s="1"/>
      <c r="N44" s="1"/>
      <c r="R44" s="1"/>
      <c r="T44" s="1"/>
      <c r="U44" s="1"/>
    </row>
    <row r="45" spans="1:36" x14ac:dyDescent="0.25">
      <c r="J45" s="1"/>
      <c r="L45" s="1"/>
      <c r="N45" s="1"/>
      <c r="R45" s="1"/>
      <c r="T45" s="1"/>
      <c r="U45" s="1"/>
    </row>
    <row r="46" spans="1:36" x14ac:dyDescent="0.25">
      <c r="L46" s="1"/>
      <c r="N46" s="1"/>
      <c r="S46" s="1"/>
      <c r="U46" s="1"/>
    </row>
    <row r="47" spans="1:36" x14ac:dyDescent="0.25">
      <c r="L47" s="1"/>
      <c r="N47" s="1"/>
    </row>
    <row r="49" spans="34:36" x14ac:dyDescent="0.25">
      <c r="AH49" s="1"/>
      <c r="AJ49" s="1"/>
    </row>
    <row r="50" spans="34:36" x14ac:dyDescent="0.25">
      <c r="AH50" s="1"/>
      <c r="AJ50" s="1"/>
    </row>
    <row r="88" spans="34:36" x14ac:dyDescent="0.25">
      <c r="AH88" s="1"/>
      <c r="AJ88" s="1"/>
    </row>
    <row r="89" spans="34:36" x14ac:dyDescent="0.25">
      <c r="AH89" s="1"/>
      <c r="AJ89" s="1"/>
    </row>
  </sheetData>
  <conditionalFormatting sqref="AB4:AB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I29">
    <cfRule type="cellIs" dxfId="1" priority="2" operator="greaterThan">
      <formula>0</formula>
    </cfRule>
  </conditionalFormatting>
  <conditionalFormatting sqref="O4:V2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5"/>
  <sheetViews>
    <sheetView workbookViewId="0">
      <pane ySplit="1" topLeftCell="A24" activePane="bottomLeft" state="frozen"/>
      <selection pane="bottomLeft" activeCell="C54" sqref="C54"/>
    </sheetView>
  </sheetViews>
  <sheetFormatPr defaultRowHeight="15" x14ac:dyDescent="0.25"/>
  <cols>
    <col min="3" max="3" width="20.28515625" customWidth="1"/>
    <col min="4" max="4" width="17.28515625" customWidth="1"/>
    <col min="5" max="5" width="16.42578125" customWidth="1"/>
    <col min="6" max="6" width="17.42578125" customWidth="1"/>
    <col min="7" max="7" width="17.28515625" customWidth="1"/>
  </cols>
  <sheetData>
    <row r="1" spans="2:6" x14ac:dyDescent="0.25">
      <c r="C1" s="1" t="s">
        <v>99</v>
      </c>
      <c r="D1" s="1" t="s">
        <v>100</v>
      </c>
      <c r="E1" s="1" t="s">
        <v>97</v>
      </c>
      <c r="F1" s="1" t="s">
        <v>98</v>
      </c>
    </row>
    <row r="4" spans="2:6" x14ac:dyDescent="0.25">
      <c r="B4" s="1" t="s">
        <v>1</v>
      </c>
    </row>
    <row r="6" spans="2:6" x14ac:dyDescent="0.25">
      <c r="B6" s="3" t="s">
        <v>10</v>
      </c>
      <c r="C6" s="3">
        <v>385</v>
      </c>
      <c r="D6" s="2">
        <v>9</v>
      </c>
      <c r="E6" s="3">
        <v>315</v>
      </c>
      <c r="F6" s="2">
        <v>11</v>
      </c>
    </row>
    <row r="7" spans="2:6" x14ac:dyDescent="0.25">
      <c r="B7" s="3" t="s">
        <v>38</v>
      </c>
      <c r="C7" s="3">
        <v>1500</v>
      </c>
      <c r="D7" s="2">
        <v>3</v>
      </c>
      <c r="E7" s="3">
        <v>1500</v>
      </c>
      <c r="F7" s="2">
        <v>3</v>
      </c>
    </row>
    <row r="8" spans="2:6" x14ac:dyDescent="0.25">
      <c r="B8" s="3" t="s">
        <v>39</v>
      </c>
      <c r="C8" s="3">
        <v>420</v>
      </c>
      <c r="D8" s="2">
        <v>4</v>
      </c>
      <c r="E8" s="3">
        <v>280</v>
      </c>
      <c r="F8" s="2">
        <v>6</v>
      </c>
    </row>
    <row r="9" spans="2:6" x14ac:dyDescent="0.25">
      <c r="B9" s="3" t="s">
        <v>13</v>
      </c>
      <c r="C9" s="3">
        <v>500</v>
      </c>
      <c r="D9" s="2">
        <v>3</v>
      </c>
      <c r="E9" s="3">
        <v>200</v>
      </c>
      <c r="F9" s="2">
        <v>6</v>
      </c>
    </row>
    <row r="10" spans="2:6" x14ac:dyDescent="0.25">
      <c r="B10" s="3" t="s">
        <v>14</v>
      </c>
      <c r="C10" s="3">
        <v>800</v>
      </c>
      <c r="D10" s="2">
        <v>2</v>
      </c>
      <c r="E10" s="3">
        <v>400</v>
      </c>
      <c r="F10" s="2">
        <v>4</v>
      </c>
    </row>
    <row r="11" spans="2:6" x14ac:dyDescent="0.25">
      <c r="B11" s="3" t="s">
        <v>40</v>
      </c>
      <c r="C11" s="3">
        <v>1166</v>
      </c>
      <c r="D11" s="2">
        <v>0</v>
      </c>
      <c r="E11" s="3">
        <v>468</v>
      </c>
      <c r="F11" s="2">
        <v>1</v>
      </c>
    </row>
    <row r="12" spans="2:6" x14ac:dyDescent="0.25">
      <c r="B12" s="3" t="s">
        <v>41</v>
      </c>
      <c r="C12" s="3">
        <v>7000</v>
      </c>
      <c r="D12" s="2">
        <v>0</v>
      </c>
      <c r="E12" s="3">
        <v>4670</v>
      </c>
      <c r="F12" s="2">
        <v>1</v>
      </c>
    </row>
    <row r="13" spans="2:6" x14ac:dyDescent="0.25">
      <c r="D13" s="1"/>
      <c r="F13" s="1"/>
    </row>
    <row r="14" spans="2:6" x14ac:dyDescent="0.25">
      <c r="D14" s="1"/>
      <c r="F14" s="1"/>
    </row>
    <row r="15" spans="2:6" x14ac:dyDescent="0.25">
      <c r="B15" s="1" t="s">
        <v>2</v>
      </c>
      <c r="D15" s="1"/>
      <c r="F15" s="1"/>
    </row>
    <row r="16" spans="2:6" x14ac:dyDescent="0.25">
      <c r="D16" s="1"/>
      <c r="F16" s="1"/>
    </row>
    <row r="17" spans="2:6" x14ac:dyDescent="0.25">
      <c r="B17" s="3" t="s">
        <v>10</v>
      </c>
      <c r="C17" s="3">
        <v>165</v>
      </c>
      <c r="D17" s="2">
        <v>23</v>
      </c>
      <c r="E17" s="3">
        <v>135</v>
      </c>
      <c r="F17" s="2">
        <v>28</v>
      </c>
    </row>
    <row r="18" spans="2:6" x14ac:dyDescent="0.25">
      <c r="B18" s="3" t="s">
        <v>17</v>
      </c>
      <c r="C18" s="3">
        <v>620</v>
      </c>
      <c r="D18" s="2">
        <v>7</v>
      </c>
      <c r="E18" s="3">
        <v>480</v>
      </c>
      <c r="F18" s="2">
        <v>9</v>
      </c>
    </row>
    <row r="19" spans="2:6" x14ac:dyDescent="0.25">
      <c r="B19" s="3" t="s">
        <v>18</v>
      </c>
      <c r="C19" s="3">
        <v>500</v>
      </c>
      <c r="D19" s="2">
        <v>3</v>
      </c>
      <c r="E19" s="3">
        <v>300</v>
      </c>
      <c r="F19" s="2">
        <v>5</v>
      </c>
    </row>
    <row r="20" spans="2:6" x14ac:dyDescent="0.25">
      <c r="B20" s="3" t="s">
        <v>41</v>
      </c>
      <c r="C20" s="3">
        <v>835</v>
      </c>
      <c r="D20" s="2">
        <v>0</v>
      </c>
      <c r="E20" s="3">
        <v>335</v>
      </c>
      <c r="F20" s="2">
        <v>1</v>
      </c>
    </row>
    <row r="21" spans="2:6" x14ac:dyDescent="0.25">
      <c r="B21" s="3" t="s">
        <v>13</v>
      </c>
      <c r="C21" s="3">
        <v>550</v>
      </c>
      <c r="D21" s="2">
        <v>3</v>
      </c>
      <c r="E21" s="3">
        <v>360</v>
      </c>
      <c r="F21" s="2">
        <v>4</v>
      </c>
    </row>
    <row r="22" spans="2:6" x14ac:dyDescent="0.25">
      <c r="B22" s="3" t="s">
        <v>46</v>
      </c>
      <c r="C22" s="3">
        <v>961</v>
      </c>
      <c r="D22" s="2">
        <v>1</v>
      </c>
      <c r="E22" s="3">
        <v>180</v>
      </c>
      <c r="F22" s="2">
        <v>7</v>
      </c>
    </row>
    <row r="23" spans="2:6" x14ac:dyDescent="0.25">
      <c r="B23" s="3" t="s">
        <v>20</v>
      </c>
      <c r="C23" s="3">
        <v>1000</v>
      </c>
      <c r="D23" s="2">
        <v>2</v>
      </c>
      <c r="E23" s="3">
        <v>670</v>
      </c>
      <c r="F23" s="2">
        <v>3</v>
      </c>
    </row>
    <row r="24" spans="2:6" x14ac:dyDescent="0.25">
      <c r="B24" s="3" t="s">
        <v>47</v>
      </c>
      <c r="C24" s="3">
        <v>1830</v>
      </c>
      <c r="D24" s="2">
        <v>0</v>
      </c>
      <c r="E24" s="3">
        <v>730</v>
      </c>
      <c r="F24" s="2">
        <v>1</v>
      </c>
    </row>
    <row r="25" spans="2:6" x14ac:dyDescent="0.25">
      <c r="B25" s="3" t="s">
        <v>48</v>
      </c>
      <c r="C25" s="3">
        <v>1200</v>
      </c>
      <c r="D25" s="2">
        <v>3</v>
      </c>
      <c r="E25" s="3">
        <v>1200</v>
      </c>
      <c r="F25" s="2">
        <v>3</v>
      </c>
    </row>
    <row r="26" spans="2:6" x14ac:dyDescent="0.25">
      <c r="B26" s="3" t="s">
        <v>23</v>
      </c>
      <c r="C26" s="3">
        <v>3500</v>
      </c>
      <c r="D26" s="2">
        <v>2</v>
      </c>
      <c r="E26" s="3">
        <v>3500</v>
      </c>
      <c r="F26" s="2">
        <v>2</v>
      </c>
    </row>
    <row r="27" spans="2:6" x14ac:dyDescent="0.25">
      <c r="B27" s="3" t="s">
        <v>40</v>
      </c>
      <c r="C27" s="3">
        <v>35000</v>
      </c>
      <c r="D27" s="2">
        <v>0</v>
      </c>
      <c r="E27" s="3">
        <v>23335</v>
      </c>
      <c r="F27" s="2">
        <v>1</v>
      </c>
    </row>
    <row r="28" spans="2:6" x14ac:dyDescent="0.25">
      <c r="B28" s="3" t="s">
        <v>24</v>
      </c>
      <c r="C28" s="3">
        <v>8930</v>
      </c>
      <c r="D28" s="2">
        <v>2</v>
      </c>
      <c r="E28" s="3">
        <v>4468</v>
      </c>
      <c r="F28" s="2">
        <v>4</v>
      </c>
    </row>
    <row r="29" spans="2:6" x14ac:dyDescent="0.25">
      <c r="B29" s="3" t="s">
        <v>25</v>
      </c>
      <c r="C29" s="3">
        <v>12665</v>
      </c>
      <c r="D29" s="2">
        <v>2</v>
      </c>
      <c r="E29" s="3">
        <v>3170</v>
      </c>
      <c r="F29" s="2">
        <v>5</v>
      </c>
    </row>
    <row r="30" spans="2:6" x14ac:dyDescent="0.25">
      <c r="D30" s="1"/>
      <c r="F30" s="1"/>
    </row>
    <row r="31" spans="2:6" x14ac:dyDescent="0.25">
      <c r="D31" s="1"/>
      <c r="F31" s="1"/>
    </row>
    <row r="32" spans="2:6" x14ac:dyDescent="0.25">
      <c r="B32" s="1" t="s">
        <v>37</v>
      </c>
      <c r="D32" s="1"/>
      <c r="F32" s="1"/>
    </row>
    <row r="33" spans="2:6" x14ac:dyDescent="0.25">
      <c r="D33" s="1"/>
      <c r="F33" s="1"/>
    </row>
    <row r="34" spans="2:6" x14ac:dyDescent="0.25">
      <c r="B34" s="3" t="s">
        <v>17</v>
      </c>
      <c r="C34" s="3">
        <v>310</v>
      </c>
      <c r="D34" s="2">
        <v>13</v>
      </c>
      <c r="E34" s="3">
        <v>235</v>
      </c>
      <c r="F34" s="2">
        <v>17</v>
      </c>
    </row>
    <row r="35" spans="2:6" x14ac:dyDescent="0.25">
      <c r="B35" s="3" t="s">
        <v>38</v>
      </c>
      <c r="C35" s="3">
        <v>500</v>
      </c>
      <c r="D35" s="2">
        <v>3</v>
      </c>
      <c r="E35" s="3">
        <v>300</v>
      </c>
      <c r="F35" s="2">
        <v>5</v>
      </c>
    </row>
    <row r="36" spans="2:6" x14ac:dyDescent="0.25">
      <c r="B36" s="3" t="s">
        <v>41</v>
      </c>
      <c r="C36" s="3">
        <v>670</v>
      </c>
      <c r="D36" s="2">
        <v>0</v>
      </c>
      <c r="E36" s="3">
        <v>265</v>
      </c>
      <c r="F36" s="2">
        <v>1</v>
      </c>
    </row>
    <row r="37" spans="2:6" x14ac:dyDescent="0.25">
      <c r="B37" s="3" t="s">
        <v>14</v>
      </c>
      <c r="C37" s="3">
        <v>640</v>
      </c>
      <c r="D37" s="2">
        <v>5</v>
      </c>
      <c r="E37" s="3">
        <v>360</v>
      </c>
      <c r="F37" s="2">
        <v>9</v>
      </c>
    </row>
    <row r="38" spans="2:6" x14ac:dyDescent="0.25">
      <c r="B38" s="3" t="s">
        <v>39</v>
      </c>
      <c r="C38" s="3">
        <v>1168</v>
      </c>
      <c r="D38" s="2">
        <v>0</v>
      </c>
      <c r="E38" s="3">
        <v>238</v>
      </c>
      <c r="F38" s="2">
        <v>4</v>
      </c>
    </row>
    <row r="39" spans="2:6" x14ac:dyDescent="0.25">
      <c r="B39" s="3" t="s">
        <v>18</v>
      </c>
      <c r="C39" s="3">
        <v>800</v>
      </c>
      <c r="D39" s="2">
        <v>3</v>
      </c>
      <c r="E39" s="3">
        <v>800</v>
      </c>
      <c r="F39" s="2">
        <v>3</v>
      </c>
    </row>
    <row r="40" spans="2:6" x14ac:dyDescent="0.25">
      <c r="B40" s="3" t="s">
        <v>48</v>
      </c>
      <c r="C40" s="3">
        <v>1905</v>
      </c>
      <c r="D40" s="2">
        <v>2</v>
      </c>
      <c r="E40" s="3">
        <v>1265</v>
      </c>
      <c r="F40" s="2">
        <v>3</v>
      </c>
    </row>
    <row r="41" spans="2:6" x14ac:dyDescent="0.25">
      <c r="B41" s="3" t="s">
        <v>51</v>
      </c>
      <c r="C41" s="3">
        <v>16000</v>
      </c>
      <c r="D41" s="2">
        <v>0</v>
      </c>
      <c r="E41" s="3">
        <v>8000</v>
      </c>
      <c r="F41" s="2">
        <v>2</v>
      </c>
    </row>
    <row r="42" spans="2:6" x14ac:dyDescent="0.25">
      <c r="B42" s="3" t="s">
        <v>52</v>
      </c>
      <c r="C42" s="3">
        <v>14000</v>
      </c>
      <c r="D42" s="2">
        <v>1</v>
      </c>
      <c r="E42" s="3">
        <v>14000</v>
      </c>
      <c r="F42" s="2">
        <v>1</v>
      </c>
    </row>
    <row r="43" spans="2:6" x14ac:dyDescent="0.25">
      <c r="B43" s="3" t="s">
        <v>53</v>
      </c>
      <c r="C43" s="3">
        <v>20000</v>
      </c>
      <c r="D43" s="2">
        <v>0</v>
      </c>
      <c r="E43" s="3">
        <v>10000</v>
      </c>
      <c r="F43" s="2">
        <v>1</v>
      </c>
    </row>
    <row r="44" spans="2:6" x14ac:dyDescent="0.25">
      <c r="B44" s="3" t="s">
        <v>54</v>
      </c>
      <c r="C44" s="3">
        <v>16000</v>
      </c>
      <c r="D44" s="2">
        <v>1</v>
      </c>
      <c r="E44" s="3">
        <v>16000</v>
      </c>
      <c r="F44" s="2">
        <v>1</v>
      </c>
    </row>
    <row r="45" spans="2:6" x14ac:dyDescent="0.25">
      <c r="B45" s="3" t="s">
        <v>55</v>
      </c>
      <c r="C45" s="3">
        <v>32000</v>
      </c>
      <c r="D45" s="2">
        <v>1</v>
      </c>
      <c r="E45" s="3">
        <v>32000</v>
      </c>
      <c r="F45" s="2">
        <v>1</v>
      </c>
    </row>
    <row r="46" spans="2:6" x14ac:dyDescent="0.25">
      <c r="B46" s="3" t="s">
        <v>36</v>
      </c>
      <c r="C46" s="3">
        <v>53335</v>
      </c>
      <c r="D46" s="2">
        <v>0</v>
      </c>
      <c r="E46" s="3">
        <v>13335</v>
      </c>
      <c r="F46" s="2">
        <v>2</v>
      </c>
    </row>
    <row r="47" spans="2:6" x14ac:dyDescent="0.25">
      <c r="D47" s="1"/>
      <c r="F47" s="1"/>
    </row>
    <row r="48" spans="2:6" x14ac:dyDescent="0.25">
      <c r="D48" s="1"/>
      <c r="F48" s="1"/>
    </row>
    <row r="49" spans="2:6" x14ac:dyDescent="0.25">
      <c r="B49" s="1" t="s">
        <v>5</v>
      </c>
      <c r="D49" s="1"/>
      <c r="F49" s="1"/>
    </row>
    <row r="50" spans="2:6" x14ac:dyDescent="0.25">
      <c r="D50" s="1"/>
      <c r="F50" s="1"/>
    </row>
    <row r="51" spans="2:6" x14ac:dyDescent="0.25">
      <c r="B51" s="3" t="s">
        <v>10</v>
      </c>
      <c r="C51" s="3">
        <v>620</v>
      </c>
      <c r="D51" s="2">
        <v>7</v>
      </c>
      <c r="E51" s="3">
        <v>480</v>
      </c>
      <c r="F51" s="2">
        <v>9</v>
      </c>
    </row>
    <row r="52" spans="2:6" x14ac:dyDescent="0.25">
      <c r="B52" s="3" t="s">
        <v>38</v>
      </c>
      <c r="C52" s="3">
        <v>2750</v>
      </c>
      <c r="D52" s="2">
        <v>3</v>
      </c>
      <c r="E52" s="3">
        <v>1100</v>
      </c>
      <c r="F52" s="2">
        <v>6</v>
      </c>
    </row>
    <row r="53" spans="2:6" x14ac:dyDescent="0.25">
      <c r="B53" s="3" t="s">
        <v>14</v>
      </c>
      <c r="C53" s="3">
        <v>438</v>
      </c>
      <c r="D53" s="2">
        <v>3</v>
      </c>
      <c r="E53" s="3">
        <v>178</v>
      </c>
      <c r="F53" s="2">
        <v>6</v>
      </c>
    </row>
    <row r="54" spans="2:6" x14ac:dyDescent="0.25">
      <c r="B54" s="3" t="s">
        <v>48</v>
      </c>
      <c r="C54" s="3">
        <v>2500</v>
      </c>
      <c r="D54" s="2">
        <v>3</v>
      </c>
      <c r="E54" s="3">
        <v>1670</v>
      </c>
      <c r="F54" s="2">
        <v>4</v>
      </c>
    </row>
    <row r="55" spans="2:6" x14ac:dyDescent="0.25">
      <c r="B55" s="3" t="s">
        <v>47</v>
      </c>
      <c r="C55" s="3">
        <v>4000</v>
      </c>
      <c r="D55" s="2">
        <v>2</v>
      </c>
      <c r="E55" s="3">
        <v>4000</v>
      </c>
      <c r="F55" s="2">
        <v>2</v>
      </c>
    </row>
    <row r="56" spans="2:6" x14ac:dyDescent="0.25">
      <c r="B56" s="3" t="s">
        <v>23</v>
      </c>
      <c r="C56" s="3">
        <v>5330</v>
      </c>
      <c r="D56" s="2">
        <v>1</v>
      </c>
      <c r="E56" s="3">
        <v>1335</v>
      </c>
      <c r="F56" s="2">
        <v>4</v>
      </c>
    </row>
    <row r="57" spans="2:6" x14ac:dyDescent="0.25">
      <c r="B57" s="3" t="s">
        <v>27</v>
      </c>
      <c r="C57" s="3">
        <v>7500</v>
      </c>
      <c r="D57" s="2">
        <v>1</v>
      </c>
      <c r="E57" s="3">
        <v>1500</v>
      </c>
      <c r="F57" s="2">
        <v>5</v>
      </c>
    </row>
    <row r="58" spans="2:6" x14ac:dyDescent="0.25">
      <c r="B58" s="3" t="s">
        <v>58</v>
      </c>
      <c r="C58" s="3">
        <v>40000</v>
      </c>
      <c r="D58" s="2">
        <v>1</v>
      </c>
      <c r="E58" s="3">
        <v>40000</v>
      </c>
      <c r="F58" s="2">
        <v>1</v>
      </c>
    </row>
    <row r="59" spans="2:6" x14ac:dyDescent="0.25">
      <c r="D59" s="1"/>
      <c r="F59" s="1"/>
    </row>
    <row r="60" spans="2:6" x14ac:dyDescent="0.25">
      <c r="D60" s="1"/>
      <c r="F60" s="1"/>
    </row>
    <row r="61" spans="2:6" x14ac:dyDescent="0.25">
      <c r="B61" s="1" t="s">
        <v>6</v>
      </c>
      <c r="D61" s="1"/>
      <c r="F61" s="1"/>
    </row>
    <row r="62" spans="2:6" x14ac:dyDescent="0.25">
      <c r="D62" s="1"/>
      <c r="F62" s="1"/>
    </row>
    <row r="63" spans="2:6" x14ac:dyDescent="0.25">
      <c r="B63" s="3" t="s">
        <v>59</v>
      </c>
      <c r="C63" s="3">
        <v>850</v>
      </c>
      <c r="D63" s="2">
        <v>5</v>
      </c>
      <c r="E63" s="3">
        <v>680</v>
      </c>
      <c r="F63" s="2">
        <v>6</v>
      </c>
    </row>
    <row r="64" spans="2:6" x14ac:dyDescent="0.25">
      <c r="B64" s="3" t="s">
        <v>39</v>
      </c>
      <c r="C64" s="3">
        <v>800</v>
      </c>
      <c r="D64" s="2">
        <v>2</v>
      </c>
      <c r="E64" s="3">
        <v>200</v>
      </c>
      <c r="F64" s="2">
        <v>5</v>
      </c>
    </row>
    <row r="65" spans="2:6" x14ac:dyDescent="0.25">
      <c r="B65" s="3" t="s">
        <v>20</v>
      </c>
      <c r="C65" s="3">
        <v>650</v>
      </c>
      <c r="D65" s="2">
        <v>3</v>
      </c>
      <c r="E65" s="3">
        <v>435</v>
      </c>
      <c r="F65" s="2">
        <v>4</v>
      </c>
    </row>
    <row r="66" spans="2:6" x14ac:dyDescent="0.25">
      <c r="B66" s="3" t="s">
        <v>48</v>
      </c>
      <c r="C66" s="3">
        <v>1000</v>
      </c>
      <c r="D66" s="2">
        <v>3</v>
      </c>
      <c r="E66" s="3">
        <v>600</v>
      </c>
      <c r="F66" s="2">
        <v>5</v>
      </c>
    </row>
    <row r="67" spans="2:6" x14ac:dyDescent="0.25">
      <c r="B67" s="3" t="s">
        <v>60</v>
      </c>
      <c r="C67" s="3">
        <v>2935</v>
      </c>
      <c r="D67" s="2">
        <v>3</v>
      </c>
      <c r="E67" s="3">
        <v>1175</v>
      </c>
      <c r="F67" s="2">
        <v>6</v>
      </c>
    </row>
    <row r="68" spans="2:6" x14ac:dyDescent="0.25">
      <c r="B68" s="3" t="s">
        <v>40</v>
      </c>
      <c r="C68" s="3">
        <v>29335</v>
      </c>
      <c r="D68" s="2">
        <v>0</v>
      </c>
      <c r="E68" s="3">
        <v>14665</v>
      </c>
      <c r="F68" s="2">
        <v>2</v>
      </c>
    </row>
    <row r="69" spans="2:6" x14ac:dyDescent="0.25">
      <c r="B69" s="3" t="s">
        <v>30</v>
      </c>
      <c r="C69" s="3">
        <v>24000</v>
      </c>
      <c r="D69" s="2">
        <v>0</v>
      </c>
      <c r="E69" s="3">
        <v>16000</v>
      </c>
      <c r="F69" s="2">
        <v>1</v>
      </c>
    </row>
    <row r="70" spans="2:6" x14ac:dyDescent="0.25">
      <c r="B70" s="3" t="s">
        <v>53</v>
      </c>
      <c r="C70" s="3">
        <v>21335</v>
      </c>
      <c r="D70" s="2">
        <v>0</v>
      </c>
      <c r="E70" s="3">
        <v>10665</v>
      </c>
      <c r="F70" s="2">
        <v>1</v>
      </c>
    </row>
    <row r="71" spans="2:6" x14ac:dyDescent="0.25">
      <c r="B71" s="3" t="s">
        <v>52</v>
      </c>
      <c r="C71" s="3">
        <v>21335</v>
      </c>
      <c r="D71" s="2">
        <v>2</v>
      </c>
      <c r="E71" s="3">
        <v>10665</v>
      </c>
      <c r="F71" s="2">
        <v>4</v>
      </c>
    </row>
    <row r="72" spans="2:6" x14ac:dyDescent="0.25">
      <c r="B72" s="3" t="s">
        <v>61</v>
      </c>
      <c r="C72" s="3">
        <v>30665</v>
      </c>
      <c r="D72" s="2">
        <v>1</v>
      </c>
      <c r="E72" s="3">
        <v>7665</v>
      </c>
      <c r="F72" s="2">
        <v>4</v>
      </c>
    </row>
    <row r="73" spans="2:6" x14ac:dyDescent="0.25">
      <c r="D73" s="1"/>
      <c r="F73" s="1"/>
    </row>
    <row r="74" spans="2:6" x14ac:dyDescent="0.25">
      <c r="D74" s="1"/>
      <c r="F74" s="1"/>
    </row>
    <row r="75" spans="2:6" x14ac:dyDescent="0.25">
      <c r="B75" s="1" t="s">
        <v>7</v>
      </c>
      <c r="D75" s="1"/>
      <c r="F75" s="1"/>
    </row>
    <row r="76" spans="2:6" x14ac:dyDescent="0.25">
      <c r="D76" s="1"/>
      <c r="F76" s="1"/>
    </row>
    <row r="77" spans="2:6" x14ac:dyDescent="0.25">
      <c r="B77" s="3" t="s">
        <v>59</v>
      </c>
      <c r="C77" s="3">
        <v>325</v>
      </c>
      <c r="D77" s="2">
        <v>11</v>
      </c>
      <c r="E77" s="3">
        <v>275</v>
      </c>
      <c r="F77" s="2">
        <v>13</v>
      </c>
    </row>
    <row r="78" spans="2:6" x14ac:dyDescent="0.25">
      <c r="B78" s="3" t="s">
        <v>17</v>
      </c>
      <c r="C78" s="3">
        <v>815</v>
      </c>
      <c r="D78" s="2">
        <v>5</v>
      </c>
      <c r="E78" s="3">
        <v>585</v>
      </c>
      <c r="F78" s="2">
        <v>7</v>
      </c>
    </row>
    <row r="79" spans="2:6" x14ac:dyDescent="0.25">
      <c r="B79" s="3" t="s">
        <v>14</v>
      </c>
      <c r="C79" s="3">
        <v>240</v>
      </c>
      <c r="D79" s="2">
        <v>4</v>
      </c>
      <c r="E79" s="3">
        <v>160</v>
      </c>
      <c r="F79" s="2">
        <v>6</v>
      </c>
    </row>
    <row r="80" spans="2:6" x14ac:dyDescent="0.25">
      <c r="B80" s="3" t="s">
        <v>13</v>
      </c>
      <c r="C80" s="3">
        <v>375</v>
      </c>
      <c r="D80" s="2">
        <v>3</v>
      </c>
      <c r="E80" s="3">
        <v>225</v>
      </c>
      <c r="F80" s="2">
        <v>5</v>
      </c>
    </row>
    <row r="81" spans="2:6" x14ac:dyDescent="0.25">
      <c r="B81" s="3" t="s">
        <v>41</v>
      </c>
      <c r="C81" s="3">
        <v>665</v>
      </c>
      <c r="D81" s="2">
        <v>0</v>
      </c>
      <c r="E81" s="3">
        <v>265</v>
      </c>
      <c r="F81" s="2">
        <v>1</v>
      </c>
    </row>
    <row r="82" spans="2:6" x14ac:dyDescent="0.25">
      <c r="B82" s="3" t="s">
        <v>27</v>
      </c>
      <c r="C82" s="3">
        <v>11665</v>
      </c>
      <c r="D82" s="2">
        <v>1</v>
      </c>
      <c r="E82" s="3">
        <v>2335</v>
      </c>
      <c r="F82" s="2">
        <v>5</v>
      </c>
    </row>
    <row r="83" spans="2:6" x14ac:dyDescent="0.25">
      <c r="B83" s="3" t="s">
        <v>58</v>
      </c>
      <c r="C83" s="3">
        <v>28335</v>
      </c>
      <c r="D83" s="2">
        <v>0</v>
      </c>
      <c r="E83" s="3">
        <v>11335</v>
      </c>
      <c r="F83" s="2">
        <v>1</v>
      </c>
    </row>
    <row r="84" spans="2:6" x14ac:dyDescent="0.25">
      <c r="B84" s="3" t="s">
        <v>47</v>
      </c>
      <c r="C84" s="3">
        <v>4670</v>
      </c>
      <c r="D84" s="2">
        <v>1</v>
      </c>
      <c r="E84" s="3">
        <v>2335</v>
      </c>
      <c r="F84" s="2">
        <v>3</v>
      </c>
    </row>
    <row r="85" spans="2:6" x14ac:dyDescent="0.25">
      <c r="B85" s="3" t="s">
        <v>62</v>
      </c>
      <c r="C85" s="3">
        <v>11335</v>
      </c>
      <c r="D85" s="2">
        <v>2</v>
      </c>
      <c r="E85" s="3">
        <v>2835</v>
      </c>
      <c r="F85" s="2">
        <v>5</v>
      </c>
    </row>
    <row r="86" spans="2:6" x14ac:dyDescent="0.25">
      <c r="D86" s="1"/>
      <c r="F86" s="1"/>
    </row>
    <row r="87" spans="2:6" x14ac:dyDescent="0.25">
      <c r="D87" s="1"/>
      <c r="F87" s="1"/>
    </row>
    <row r="88" spans="2:6" x14ac:dyDescent="0.25">
      <c r="B88" s="1" t="s">
        <v>4</v>
      </c>
      <c r="D88" s="1"/>
      <c r="F88" s="1"/>
    </row>
    <row r="89" spans="2:6" x14ac:dyDescent="0.25">
      <c r="D89" s="1"/>
      <c r="F89" s="1"/>
    </row>
    <row r="90" spans="2:6" x14ac:dyDescent="0.25">
      <c r="B90" s="3" t="s">
        <v>60</v>
      </c>
      <c r="C90" s="3">
        <v>4270</v>
      </c>
      <c r="D90" s="2">
        <v>2</v>
      </c>
      <c r="E90" s="3">
        <v>1070</v>
      </c>
      <c r="F90" s="2">
        <v>5</v>
      </c>
    </row>
    <row r="91" spans="2:6" x14ac:dyDescent="0.25">
      <c r="B91" s="3" t="s">
        <v>13</v>
      </c>
      <c r="C91" s="3">
        <v>700</v>
      </c>
      <c r="D91" s="2">
        <v>3</v>
      </c>
      <c r="E91" s="3">
        <v>465</v>
      </c>
      <c r="F91" s="2">
        <v>4</v>
      </c>
    </row>
    <row r="92" spans="2:6" x14ac:dyDescent="0.25">
      <c r="B92" s="3" t="s">
        <v>46</v>
      </c>
      <c r="C92" s="3">
        <v>1650</v>
      </c>
      <c r="D92" s="2">
        <v>2</v>
      </c>
      <c r="E92" s="3">
        <v>370</v>
      </c>
      <c r="F92" s="2">
        <v>7</v>
      </c>
    </row>
    <row r="93" spans="2:6" x14ac:dyDescent="0.25">
      <c r="B93" s="3" t="s">
        <v>20</v>
      </c>
      <c r="C93" s="3">
        <v>2530</v>
      </c>
      <c r="D93" s="2">
        <v>2</v>
      </c>
      <c r="E93" s="3">
        <v>1270</v>
      </c>
      <c r="F93" s="2">
        <v>4</v>
      </c>
    </row>
    <row r="94" spans="2:6" x14ac:dyDescent="0.25">
      <c r="B94" s="3" t="s">
        <v>23</v>
      </c>
      <c r="C94" s="3">
        <v>9735</v>
      </c>
      <c r="D94" s="2">
        <v>0</v>
      </c>
      <c r="E94" s="3">
        <v>4870</v>
      </c>
      <c r="F94" s="2">
        <v>2</v>
      </c>
    </row>
    <row r="95" spans="2:6" x14ac:dyDescent="0.25">
      <c r="B95" s="3" t="s">
        <v>30</v>
      </c>
      <c r="C95" s="3">
        <v>35000</v>
      </c>
      <c r="D95" s="2">
        <v>0</v>
      </c>
      <c r="E95" s="3">
        <v>23335</v>
      </c>
      <c r="F95" s="2">
        <v>1</v>
      </c>
    </row>
    <row r="96" spans="2:6" x14ac:dyDescent="0.25">
      <c r="B96" s="3" t="s">
        <v>51</v>
      </c>
      <c r="C96" s="3">
        <v>16000</v>
      </c>
      <c r="D96" s="2">
        <v>2</v>
      </c>
      <c r="E96" s="3">
        <v>8000</v>
      </c>
      <c r="F96" s="2">
        <v>4</v>
      </c>
    </row>
    <row r="97" spans="2:6" x14ac:dyDescent="0.25">
      <c r="B97" s="3" t="s">
        <v>53</v>
      </c>
      <c r="C97" s="3">
        <v>29330</v>
      </c>
      <c r="D97" s="2">
        <v>0</v>
      </c>
      <c r="E97" s="3">
        <v>14670</v>
      </c>
      <c r="F97" s="2">
        <v>2</v>
      </c>
    </row>
    <row r="98" spans="2:6" x14ac:dyDescent="0.25">
      <c r="B98" s="3" t="s">
        <v>55</v>
      </c>
      <c r="C98" s="3">
        <v>43000</v>
      </c>
      <c r="D98" s="2">
        <v>2</v>
      </c>
      <c r="E98" s="3">
        <v>43000</v>
      </c>
      <c r="F98" s="2">
        <v>2</v>
      </c>
    </row>
    <row r="99" spans="2:6" x14ac:dyDescent="0.25">
      <c r="B99" s="3" t="s">
        <v>36</v>
      </c>
      <c r="C99" s="3">
        <v>65000</v>
      </c>
      <c r="D99" s="2">
        <v>0</v>
      </c>
      <c r="E99" s="3">
        <v>36665</v>
      </c>
      <c r="F99" s="2">
        <v>1</v>
      </c>
    </row>
    <row r="100" spans="2:6" x14ac:dyDescent="0.25">
      <c r="D100" s="1"/>
      <c r="F100" s="1"/>
    </row>
    <row r="101" spans="2:6" x14ac:dyDescent="0.25">
      <c r="D101" s="1"/>
      <c r="F101" s="1"/>
    </row>
    <row r="102" spans="2:6" x14ac:dyDescent="0.25">
      <c r="D102" s="1"/>
      <c r="F102" s="1"/>
    </row>
    <row r="103" spans="2:6" x14ac:dyDescent="0.25">
      <c r="B103" s="1" t="s">
        <v>8</v>
      </c>
      <c r="D103" s="1"/>
      <c r="F103" s="1"/>
    </row>
    <row r="104" spans="2:6" x14ac:dyDescent="0.25">
      <c r="D104" s="1"/>
      <c r="F104" s="1"/>
    </row>
    <row r="105" spans="2:6" x14ac:dyDescent="0.25">
      <c r="B105" s="3" t="s">
        <v>60</v>
      </c>
      <c r="C105" s="3">
        <v>1200</v>
      </c>
      <c r="D105" s="2">
        <v>4</v>
      </c>
      <c r="E105" s="3">
        <v>1200</v>
      </c>
      <c r="F105" s="2">
        <v>4</v>
      </c>
    </row>
    <row r="106" spans="2:6" x14ac:dyDescent="0.25">
      <c r="B106" s="3" t="s">
        <v>41</v>
      </c>
      <c r="C106" s="3">
        <v>300</v>
      </c>
      <c r="D106" s="2">
        <v>0</v>
      </c>
      <c r="E106" s="3">
        <v>200</v>
      </c>
      <c r="F106" s="2">
        <v>1</v>
      </c>
    </row>
    <row r="107" spans="2:6" x14ac:dyDescent="0.25">
      <c r="B107" s="3" t="s">
        <v>14</v>
      </c>
      <c r="C107" s="3">
        <v>750</v>
      </c>
      <c r="D107" s="2">
        <v>2</v>
      </c>
      <c r="E107" s="3">
        <v>500</v>
      </c>
      <c r="F107" s="2">
        <v>3</v>
      </c>
    </row>
    <row r="108" spans="2:6" x14ac:dyDescent="0.25">
      <c r="B108" s="3" t="s">
        <v>39</v>
      </c>
      <c r="C108" s="3">
        <v>850</v>
      </c>
      <c r="D108" s="2">
        <v>3</v>
      </c>
      <c r="E108" s="3">
        <v>570</v>
      </c>
      <c r="F108" s="2">
        <v>4</v>
      </c>
    </row>
    <row r="109" spans="2:6" x14ac:dyDescent="0.25">
      <c r="B109" s="3" t="s">
        <v>46</v>
      </c>
      <c r="C109" s="3">
        <v>1500</v>
      </c>
      <c r="D109" s="2">
        <v>1</v>
      </c>
      <c r="E109" s="3">
        <v>300</v>
      </c>
      <c r="F109" s="2">
        <v>5</v>
      </c>
    </row>
    <row r="110" spans="2:6" x14ac:dyDescent="0.25">
      <c r="B110" s="3" t="s">
        <v>20</v>
      </c>
      <c r="C110" s="3">
        <v>1870</v>
      </c>
      <c r="D110" s="2">
        <v>3</v>
      </c>
      <c r="E110" s="3">
        <v>1130</v>
      </c>
      <c r="F110" s="2">
        <v>5</v>
      </c>
    </row>
    <row r="111" spans="2:6" x14ac:dyDescent="0.25">
      <c r="B111" s="3" t="s">
        <v>23</v>
      </c>
      <c r="C111" s="3">
        <v>8000</v>
      </c>
      <c r="D111" s="2">
        <v>0</v>
      </c>
      <c r="E111" s="3">
        <v>4000</v>
      </c>
      <c r="F111" s="2">
        <v>2</v>
      </c>
    </row>
    <row r="112" spans="2:6" x14ac:dyDescent="0.25">
      <c r="B112" s="3" t="s">
        <v>27</v>
      </c>
      <c r="C112" s="3">
        <v>11335</v>
      </c>
      <c r="D112" s="2">
        <v>1</v>
      </c>
      <c r="E112" s="3">
        <v>2835</v>
      </c>
      <c r="F112" s="2">
        <v>4</v>
      </c>
    </row>
    <row r="113" spans="2:6" x14ac:dyDescent="0.25">
      <c r="B113" s="3" t="s">
        <v>58</v>
      </c>
      <c r="C113" s="3">
        <v>30000</v>
      </c>
      <c r="D113" s="2">
        <v>1</v>
      </c>
      <c r="E113" s="3">
        <v>20000</v>
      </c>
      <c r="F113" s="2">
        <v>2</v>
      </c>
    </row>
    <row r="114" spans="2:6" x14ac:dyDescent="0.25">
      <c r="B114" s="3" t="s">
        <v>25</v>
      </c>
      <c r="C114" s="3">
        <v>17335</v>
      </c>
      <c r="D114" s="2">
        <v>2</v>
      </c>
      <c r="E114" s="3">
        <v>8665</v>
      </c>
      <c r="F114" s="2">
        <v>4</v>
      </c>
    </row>
    <row r="115" spans="2:6" x14ac:dyDescent="0.25">
      <c r="B115" s="3" t="s">
        <v>54</v>
      </c>
      <c r="C115" s="3">
        <v>29330</v>
      </c>
      <c r="D115" s="2">
        <v>1</v>
      </c>
      <c r="E115" s="3">
        <v>14670</v>
      </c>
      <c r="F115" s="2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44"/>
  <sheetViews>
    <sheetView topLeftCell="E4" workbookViewId="0">
      <selection activeCell="I49" sqref="I49"/>
    </sheetView>
  </sheetViews>
  <sheetFormatPr defaultRowHeight="15" x14ac:dyDescent="0.25"/>
  <cols>
    <col min="5" max="5" width="32.140625" customWidth="1"/>
    <col min="6" max="6" width="17.5703125" customWidth="1"/>
    <col min="7" max="7" width="19" customWidth="1"/>
    <col min="9" max="9" width="15.42578125" customWidth="1"/>
    <col min="10" max="10" width="11" customWidth="1"/>
  </cols>
  <sheetData>
    <row r="6" spans="5:14" x14ac:dyDescent="0.25">
      <c r="E6" s="1"/>
      <c r="F6" t="s">
        <v>73</v>
      </c>
      <c r="G6" s="1" t="s">
        <v>76</v>
      </c>
      <c r="H6" t="s">
        <v>77</v>
      </c>
      <c r="I6" t="s">
        <v>74</v>
      </c>
      <c r="J6" s="1" t="s">
        <v>75</v>
      </c>
      <c r="K6" s="1" t="s">
        <v>80</v>
      </c>
      <c r="L6" s="1" t="s">
        <v>81</v>
      </c>
      <c r="M6" s="1" t="s">
        <v>82</v>
      </c>
      <c r="N6" s="1"/>
    </row>
    <row r="7" spans="5:14" x14ac:dyDescent="0.25">
      <c r="E7" s="3" t="s">
        <v>10</v>
      </c>
      <c r="F7" t="s">
        <v>2</v>
      </c>
      <c r="G7">
        <v>130</v>
      </c>
      <c r="H7">
        <v>28</v>
      </c>
      <c r="I7" t="s">
        <v>5</v>
      </c>
      <c r="J7">
        <v>623</v>
      </c>
      <c r="K7">
        <f>(J7-G7)*H7</f>
        <v>13804</v>
      </c>
      <c r="L7">
        <f>K7/(G7*H7)</f>
        <v>3.7923076923076922</v>
      </c>
      <c r="M7">
        <f>K7/(50000*(0.1*H7+1))</f>
        <v>7.2652631578947371E-2</v>
      </c>
    </row>
    <row r="8" spans="5:14" x14ac:dyDescent="0.25">
      <c r="E8" s="2" t="s">
        <v>38</v>
      </c>
      <c r="F8" t="s">
        <v>78</v>
      </c>
      <c r="G8">
        <v>298</v>
      </c>
      <c r="H8">
        <v>5</v>
      </c>
      <c r="I8" t="s">
        <v>5</v>
      </c>
      <c r="J8">
        <v>2754</v>
      </c>
      <c r="K8">
        <f t="shared" ref="K8:K27" si="0">(J8-G8)*H8</f>
        <v>12280</v>
      </c>
      <c r="L8">
        <f t="shared" ref="L8:L27" si="1">K8/(G8*H8)</f>
        <v>8.2416107382550337</v>
      </c>
      <c r="M8">
        <f t="shared" ref="M8:M27" si="2">K8/(50000*(0.1*H8+1))</f>
        <v>0.16373333333333334</v>
      </c>
    </row>
    <row r="9" spans="5:14" x14ac:dyDescent="0.25">
      <c r="E9" s="3" t="s">
        <v>39</v>
      </c>
      <c r="F9" t="s">
        <v>1</v>
      </c>
      <c r="G9">
        <v>276</v>
      </c>
      <c r="H9">
        <v>6</v>
      </c>
      <c r="I9" t="s">
        <v>78</v>
      </c>
      <c r="J9">
        <v>1171</v>
      </c>
      <c r="K9">
        <f t="shared" si="0"/>
        <v>5370</v>
      </c>
      <c r="L9">
        <f t="shared" si="1"/>
        <v>3.2427536231884058</v>
      </c>
      <c r="M9">
        <f t="shared" si="2"/>
        <v>6.7125000000000004E-2</v>
      </c>
    </row>
    <row r="10" spans="5:14" x14ac:dyDescent="0.25">
      <c r="E10" s="3" t="s">
        <v>13</v>
      </c>
      <c r="F10" t="s">
        <v>1</v>
      </c>
      <c r="G10">
        <v>195</v>
      </c>
      <c r="H10">
        <v>6</v>
      </c>
      <c r="I10" t="s">
        <v>2</v>
      </c>
      <c r="J10">
        <v>551</v>
      </c>
      <c r="K10">
        <f t="shared" si="0"/>
        <v>2136</v>
      </c>
      <c r="L10">
        <f t="shared" si="1"/>
        <v>1.8256410256410256</v>
      </c>
      <c r="M10">
        <f t="shared" si="2"/>
        <v>2.6700000000000002E-2</v>
      </c>
    </row>
    <row r="11" spans="5:14" x14ac:dyDescent="0.25">
      <c r="E11" s="3" t="s">
        <v>14</v>
      </c>
      <c r="F11" t="s">
        <v>5</v>
      </c>
      <c r="G11">
        <v>174</v>
      </c>
      <c r="H11">
        <v>6</v>
      </c>
      <c r="I11" t="s">
        <v>1</v>
      </c>
      <c r="J11">
        <v>805</v>
      </c>
      <c r="K11">
        <f t="shared" si="0"/>
        <v>3786</v>
      </c>
      <c r="L11">
        <f t="shared" si="1"/>
        <v>3.6264367816091956</v>
      </c>
      <c r="M11">
        <f t="shared" si="2"/>
        <v>4.7324999999999999E-2</v>
      </c>
    </row>
    <row r="12" spans="5:14" x14ac:dyDescent="0.25">
      <c r="E12" s="2" t="s">
        <v>40</v>
      </c>
      <c r="F12" t="s">
        <v>1</v>
      </c>
      <c r="G12">
        <v>464</v>
      </c>
      <c r="H12">
        <v>1</v>
      </c>
      <c r="I12" t="s">
        <v>2</v>
      </c>
      <c r="J12">
        <v>35003</v>
      </c>
      <c r="K12">
        <f t="shared" si="0"/>
        <v>34539</v>
      </c>
      <c r="L12">
        <f t="shared" si="1"/>
        <v>74.4375</v>
      </c>
      <c r="M12">
        <f t="shared" si="2"/>
        <v>0.62798181818181809</v>
      </c>
    </row>
    <row r="13" spans="5:14" x14ac:dyDescent="0.25">
      <c r="E13" s="2" t="s">
        <v>41</v>
      </c>
      <c r="F13" t="s">
        <v>78</v>
      </c>
      <c r="G13">
        <v>262</v>
      </c>
      <c r="H13">
        <v>1</v>
      </c>
      <c r="I13" t="s">
        <v>1</v>
      </c>
      <c r="J13">
        <v>7005</v>
      </c>
      <c r="K13">
        <f t="shared" si="0"/>
        <v>6743</v>
      </c>
      <c r="L13">
        <f t="shared" si="1"/>
        <v>25.736641221374047</v>
      </c>
      <c r="M13">
        <f t="shared" si="2"/>
        <v>0.12259999999999999</v>
      </c>
    </row>
    <row r="14" spans="5:14" x14ac:dyDescent="0.25">
      <c r="E14" s="3" t="s">
        <v>17</v>
      </c>
      <c r="F14" t="s">
        <v>78</v>
      </c>
      <c r="G14">
        <v>229</v>
      </c>
      <c r="H14">
        <v>17</v>
      </c>
      <c r="I14" t="s">
        <v>2</v>
      </c>
      <c r="J14">
        <v>623</v>
      </c>
      <c r="K14">
        <f t="shared" si="0"/>
        <v>6698</v>
      </c>
      <c r="L14">
        <f t="shared" si="1"/>
        <v>1.7205240174672489</v>
      </c>
      <c r="M14">
        <f t="shared" si="2"/>
        <v>4.9614814814814813E-2</v>
      </c>
    </row>
    <row r="15" spans="5:14" x14ac:dyDescent="0.25">
      <c r="E15" s="3" t="s">
        <v>18</v>
      </c>
      <c r="F15" t="s">
        <v>2</v>
      </c>
      <c r="G15">
        <v>298</v>
      </c>
      <c r="H15">
        <v>5</v>
      </c>
      <c r="I15" t="s">
        <v>78</v>
      </c>
      <c r="J15">
        <v>805</v>
      </c>
      <c r="K15">
        <f t="shared" si="0"/>
        <v>2535</v>
      </c>
      <c r="L15">
        <f t="shared" si="1"/>
        <v>1.7013422818791946</v>
      </c>
      <c r="M15">
        <f t="shared" si="2"/>
        <v>3.3799999999999997E-2</v>
      </c>
    </row>
    <row r="16" spans="5:14" x14ac:dyDescent="0.25">
      <c r="E16" s="3" t="s">
        <v>46</v>
      </c>
      <c r="F16" t="s">
        <v>2</v>
      </c>
      <c r="G16">
        <v>183</v>
      </c>
      <c r="H16">
        <v>7</v>
      </c>
      <c r="I16" t="s">
        <v>2</v>
      </c>
      <c r="J16">
        <v>966</v>
      </c>
      <c r="K16">
        <f t="shared" si="0"/>
        <v>5481</v>
      </c>
      <c r="L16">
        <f t="shared" si="1"/>
        <v>4.278688524590164</v>
      </c>
      <c r="M16">
        <f t="shared" si="2"/>
        <v>6.4482352941176463E-2</v>
      </c>
    </row>
    <row r="17" spans="5:13" x14ac:dyDescent="0.25">
      <c r="E17" s="3" t="s">
        <v>20</v>
      </c>
      <c r="F17" t="s">
        <v>2</v>
      </c>
      <c r="G17">
        <v>663</v>
      </c>
      <c r="H17">
        <v>3</v>
      </c>
      <c r="I17" t="s">
        <v>2</v>
      </c>
      <c r="J17">
        <v>1005</v>
      </c>
      <c r="K17">
        <f t="shared" si="0"/>
        <v>1026</v>
      </c>
      <c r="L17">
        <f t="shared" si="1"/>
        <v>0.51583710407239824</v>
      </c>
      <c r="M17">
        <f t="shared" si="2"/>
        <v>1.5784615384615383E-2</v>
      </c>
    </row>
    <row r="18" spans="5:13" x14ac:dyDescent="0.25">
      <c r="E18" s="3" t="s">
        <v>47</v>
      </c>
      <c r="F18" t="s">
        <v>2</v>
      </c>
      <c r="G18">
        <v>729</v>
      </c>
      <c r="H18">
        <v>1</v>
      </c>
      <c r="I18" t="s">
        <v>5</v>
      </c>
      <c r="J18">
        <v>4005</v>
      </c>
      <c r="K18">
        <f t="shared" si="0"/>
        <v>3276</v>
      </c>
      <c r="L18">
        <f t="shared" si="1"/>
        <v>4.4938271604938276</v>
      </c>
      <c r="M18">
        <f t="shared" si="2"/>
        <v>5.9563636363636353E-2</v>
      </c>
    </row>
    <row r="19" spans="5:13" x14ac:dyDescent="0.25">
      <c r="E19" s="3" t="s">
        <v>48</v>
      </c>
      <c r="F19" t="s">
        <v>2</v>
      </c>
      <c r="G19">
        <v>1195</v>
      </c>
      <c r="H19">
        <v>3</v>
      </c>
      <c r="I19" t="s">
        <v>5</v>
      </c>
      <c r="J19">
        <v>2504</v>
      </c>
      <c r="K19">
        <f t="shared" si="0"/>
        <v>3927</v>
      </c>
      <c r="L19">
        <f t="shared" si="1"/>
        <v>1.0953974895397489</v>
      </c>
      <c r="M19">
        <f t="shared" si="2"/>
        <v>6.0415384615384614E-2</v>
      </c>
    </row>
    <row r="20" spans="5:13" x14ac:dyDescent="0.25">
      <c r="E20" s="3" t="s">
        <v>23</v>
      </c>
      <c r="F20" t="s">
        <v>5</v>
      </c>
      <c r="G20">
        <v>1333</v>
      </c>
      <c r="H20">
        <v>4</v>
      </c>
      <c r="I20" t="s">
        <v>5</v>
      </c>
      <c r="J20">
        <v>5334</v>
      </c>
      <c r="K20">
        <f t="shared" si="0"/>
        <v>16004</v>
      </c>
      <c r="L20">
        <f t="shared" si="1"/>
        <v>3.0015003750937734</v>
      </c>
      <c r="M20">
        <f t="shared" si="2"/>
        <v>0.22862857142857143</v>
      </c>
    </row>
    <row r="21" spans="5:13" x14ac:dyDescent="0.25">
      <c r="E21" s="3" t="s">
        <v>25</v>
      </c>
      <c r="F21" t="s">
        <v>2</v>
      </c>
      <c r="G21">
        <v>3166</v>
      </c>
      <c r="H21">
        <v>5</v>
      </c>
      <c r="I21" t="s">
        <v>2</v>
      </c>
      <c r="J21">
        <v>12669</v>
      </c>
      <c r="K21">
        <f t="shared" si="0"/>
        <v>47515</v>
      </c>
      <c r="L21">
        <f t="shared" si="1"/>
        <v>3.0015792798483893</v>
      </c>
      <c r="M21">
        <f t="shared" si="2"/>
        <v>0.63353333333333328</v>
      </c>
    </row>
    <row r="22" spans="5:13" x14ac:dyDescent="0.25">
      <c r="E22" s="3" t="s">
        <v>27</v>
      </c>
      <c r="F22" t="s">
        <v>5</v>
      </c>
      <c r="G22">
        <v>1500</v>
      </c>
      <c r="H22">
        <v>5</v>
      </c>
      <c r="I22" t="s">
        <v>5</v>
      </c>
      <c r="J22">
        <v>7505</v>
      </c>
      <c r="K22">
        <f t="shared" si="0"/>
        <v>30025</v>
      </c>
      <c r="L22">
        <f t="shared" si="1"/>
        <v>4.003333333333333</v>
      </c>
      <c r="M22">
        <f t="shared" si="2"/>
        <v>0.40033333333333332</v>
      </c>
    </row>
    <row r="23" spans="5:13" x14ac:dyDescent="0.25">
      <c r="E23" s="2" t="s">
        <v>58</v>
      </c>
      <c r="F23" t="s">
        <v>5</v>
      </c>
      <c r="G23">
        <v>39995</v>
      </c>
      <c r="H23">
        <v>1</v>
      </c>
      <c r="I23" t="s">
        <v>5</v>
      </c>
      <c r="J23">
        <v>40005</v>
      </c>
      <c r="K23">
        <f t="shared" si="0"/>
        <v>10</v>
      </c>
      <c r="L23">
        <f t="shared" si="1"/>
        <v>2.5003125390673836E-4</v>
      </c>
      <c r="M23">
        <f t="shared" si="2"/>
        <v>1.8181818181818181E-4</v>
      </c>
    </row>
    <row r="24" spans="5:13" x14ac:dyDescent="0.25">
      <c r="E24" s="2" t="s">
        <v>53</v>
      </c>
      <c r="F24" t="s">
        <v>78</v>
      </c>
      <c r="G24">
        <v>9996</v>
      </c>
      <c r="H24">
        <v>1</v>
      </c>
      <c r="I24" t="s">
        <v>6</v>
      </c>
      <c r="J24">
        <v>21338</v>
      </c>
      <c r="K24">
        <f t="shared" si="0"/>
        <v>11342</v>
      </c>
      <c r="L24">
        <f t="shared" si="1"/>
        <v>1.1346538615446178</v>
      </c>
      <c r="M24">
        <f t="shared" si="2"/>
        <v>0.2062181818181818</v>
      </c>
    </row>
    <row r="25" spans="5:13" x14ac:dyDescent="0.25">
      <c r="E25" s="2" t="s">
        <v>52</v>
      </c>
      <c r="F25" t="s">
        <v>78</v>
      </c>
      <c r="G25">
        <v>13995</v>
      </c>
      <c r="H25">
        <v>1</v>
      </c>
      <c r="I25" t="s">
        <v>6</v>
      </c>
      <c r="J25">
        <v>21336</v>
      </c>
      <c r="K25">
        <f t="shared" si="0"/>
        <v>7341</v>
      </c>
      <c r="L25">
        <f t="shared" si="1"/>
        <v>0.5245444801714898</v>
      </c>
      <c r="M25">
        <f t="shared" si="2"/>
        <v>0.13347272727272724</v>
      </c>
    </row>
    <row r="26" spans="5:13" x14ac:dyDescent="0.25">
      <c r="E26" s="2" t="s">
        <v>51</v>
      </c>
      <c r="F26" t="s">
        <v>78</v>
      </c>
      <c r="G26">
        <v>7995</v>
      </c>
      <c r="H26">
        <v>2</v>
      </c>
      <c r="I26" t="s">
        <v>78</v>
      </c>
      <c r="J26">
        <v>16005</v>
      </c>
      <c r="K26">
        <f t="shared" si="0"/>
        <v>16020</v>
      </c>
      <c r="L26">
        <f t="shared" si="1"/>
        <v>1.00187617260788</v>
      </c>
      <c r="M26">
        <f t="shared" si="2"/>
        <v>0.26700000000000002</v>
      </c>
    </row>
    <row r="27" spans="5:13" x14ac:dyDescent="0.25">
      <c r="E27" s="3" t="s">
        <v>36</v>
      </c>
      <c r="F27" t="s">
        <v>78</v>
      </c>
      <c r="G27">
        <v>13333</v>
      </c>
      <c r="H27">
        <v>2</v>
      </c>
      <c r="I27" t="s">
        <v>78</v>
      </c>
      <c r="J27">
        <v>53338</v>
      </c>
      <c r="K27">
        <f t="shared" si="0"/>
        <v>80010</v>
      </c>
      <c r="L27">
        <f t="shared" si="1"/>
        <v>3.0004500112502814</v>
      </c>
      <c r="M27">
        <f t="shared" si="2"/>
        <v>1.3334999999999999</v>
      </c>
    </row>
    <row r="32" spans="5:13" x14ac:dyDescent="0.25">
      <c r="E32" t="s">
        <v>65</v>
      </c>
    </row>
    <row r="33" spans="5:11" x14ac:dyDescent="0.25">
      <c r="F33" t="s">
        <v>66</v>
      </c>
      <c r="G33" t="s">
        <v>83</v>
      </c>
      <c r="H33" t="s">
        <v>84</v>
      </c>
      <c r="I33" t="s">
        <v>67</v>
      </c>
      <c r="K33" t="s">
        <v>90</v>
      </c>
    </row>
    <row r="34" spans="5:11" x14ac:dyDescent="0.25">
      <c r="E34" t="s">
        <v>68</v>
      </c>
      <c r="F34">
        <f>7005-262</f>
        <v>6743</v>
      </c>
      <c r="G34">
        <v>0</v>
      </c>
      <c r="H34">
        <v>4405</v>
      </c>
      <c r="I34">
        <v>0</v>
      </c>
    </row>
    <row r="35" spans="5:11" x14ac:dyDescent="0.25">
      <c r="E35" t="s">
        <v>69</v>
      </c>
      <c r="F35">
        <f>35003-464</f>
        <v>34539</v>
      </c>
      <c r="G35">
        <v>0</v>
      </c>
      <c r="H35">
        <v>22866</v>
      </c>
      <c r="I35">
        <v>0</v>
      </c>
      <c r="K35" t="s">
        <v>91</v>
      </c>
    </row>
    <row r="36" spans="5:11" x14ac:dyDescent="0.25">
      <c r="E36" t="s">
        <v>70</v>
      </c>
      <c r="F36">
        <f>5*Data!Q56-(5*298)</f>
        <v>12280</v>
      </c>
      <c r="G36">
        <f>-3*502+3*2754</f>
        <v>6756</v>
      </c>
      <c r="H36">
        <f>-5*298+5*1096</f>
        <v>3990</v>
      </c>
      <c r="I36">
        <f>3*1096-(3*502)</f>
        <v>1782</v>
      </c>
      <c r="K36" t="s">
        <v>92</v>
      </c>
    </row>
    <row r="37" spans="5:11" x14ac:dyDescent="0.25">
      <c r="E37" t="s">
        <v>71</v>
      </c>
      <c r="F37">
        <v>11300</v>
      </c>
      <c r="G37">
        <v>0</v>
      </c>
      <c r="H37">
        <v>660</v>
      </c>
      <c r="I37">
        <v>0</v>
      </c>
      <c r="K37" t="s">
        <v>93</v>
      </c>
    </row>
    <row r="38" spans="5:11" x14ac:dyDescent="0.25">
      <c r="E38" t="s">
        <v>72</v>
      </c>
      <c r="F38">
        <v>9000</v>
      </c>
      <c r="G38">
        <v>9000</v>
      </c>
      <c r="H38">
        <v>0</v>
      </c>
      <c r="I38">
        <v>0</v>
      </c>
      <c r="K38" t="s">
        <v>94</v>
      </c>
    </row>
    <row r="39" spans="5:11" x14ac:dyDescent="0.25">
      <c r="E39" t="s">
        <v>85</v>
      </c>
      <c r="F39">
        <v>30025</v>
      </c>
      <c r="G39">
        <v>0</v>
      </c>
      <c r="H39">
        <v>0</v>
      </c>
      <c r="I39">
        <v>0</v>
      </c>
      <c r="K39" t="s">
        <v>95</v>
      </c>
    </row>
    <row r="40" spans="5:11" x14ac:dyDescent="0.25">
      <c r="E40" t="s">
        <v>86</v>
      </c>
      <c r="F40">
        <v>16004</v>
      </c>
      <c r="G40">
        <v>0</v>
      </c>
      <c r="H40">
        <v>0</v>
      </c>
      <c r="I40">
        <v>0</v>
      </c>
      <c r="K40" t="s">
        <v>96</v>
      </c>
    </row>
    <row r="41" spans="5:11" x14ac:dyDescent="0.25">
      <c r="E41" t="s">
        <v>87</v>
      </c>
      <c r="F41">
        <f>-3*1504+2754*3</f>
        <v>3750</v>
      </c>
      <c r="G41">
        <v>3750</v>
      </c>
      <c r="H41">
        <v>0</v>
      </c>
      <c r="I41">
        <v>0</v>
      </c>
    </row>
    <row r="42" spans="5:11" x14ac:dyDescent="0.25">
      <c r="E42" t="s">
        <v>88</v>
      </c>
      <c r="F42">
        <f>-6*1006+2754*6</f>
        <v>10488</v>
      </c>
      <c r="G42">
        <v>0</v>
      </c>
      <c r="H42">
        <v>0</v>
      </c>
      <c r="I42">
        <v>0</v>
      </c>
    </row>
    <row r="43" spans="5:11" x14ac:dyDescent="0.25">
      <c r="E43" t="s">
        <v>89</v>
      </c>
      <c r="F43">
        <v>80010</v>
      </c>
      <c r="G43">
        <v>0</v>
      </c>
      <c r="H43">
        <v>0</v>
      </c>
      <c r="I43">
        <v>0</v>
      </c>
    </row>
    <row r="44" spans="5:11" x14ac:dyDescent="0.25">
      <c r="F44">
        <f>SUM(F34:F40)</f>
        <v>119891</v>
      </c>
      <c r="G44">
        <f>SUM(G34:G40)</f>
        <v>15756</v>
      </c>
      <c r="H44">
        <f>SUM(H34:H40)</f>
        <v>31921</v>
      </c>
      <c r="I44">
        <f>SUM(I34:I40)</f>
        <v>1782</v>
      </c>
    </row>
  </sheetData>
  <conditionalFormatting sqref="L7:L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M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H119"/>
  <sheetViews>
    <sheetView topLeftCell="B4" workbookViewId="0">
      <pane ySplit="1" topLeftCell="A83" activePane="bottomLeft" state="frozen"/>
      <selection activeCell="A4" sqref="A4"/>
      <selection pane="bottomLeft" activeCell="Q33" sqref="Q33"/>
    </sheetView>
  </sheetViews>
  <sheetFormatPr defaultRowHeight="15" x14ac:dyDescent="0.25"/>
  <cols>
    <col min="3" max="3" width="15.42578125" customWidth="1"/>
    <col min="4" max="14" width="5.7109375" customWidth="1"/>
    <col min="15" max="15" width="8" customWidth="1"/>
    <col min="16" max="17" width="9.140625" style="1"/>
    <col min="18" max="18" width="8.42578125" customWidth="1"/>
    <col min="19" max="19" width="8.85546875" customWidth="1"/>
    <col min="20" max="20" width="9.85546875" customWidth="1"/>
    <col min="21" max="22" width="9.140625" style="1"/>
  </cols>
  <sheetData>
    <row r="4" spans="3:34" x14ac:dyDescent="0.25"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 t="s">
        <v>43</v>
      </c>
      <c r="P4" s="1" t="s">
        <v>44</v>
      </c>
      <c r="Q4" s="1" t="s">
        <v>0</v>
      </c>
      <c r="R4" s="1" t="s">
        <v>45</v>
      </c>
      <c r="S4" s="1" t="s">
        <v>49</v>
      </c>
      <c r="T4" s="1" t="s">
        <v>50</v>
      </c>
      <c r="U4" s="1" t="s">
        <v>56</v>
      </c>
      <c r="V4" s="1" t="s">
        <v>57</v>
      </c>
      <c r="W4" s="1" t="s">
        <v>63</v>
      </c>
      <c r="X4" s="1" t="s">
        <v>64</v>
      </c>
    </row>
    <row r="7" spans="3:34" x14ac:dyDescent="0.25">
      <c r="C7" t="s">
        <v>1</v>
      </c>
    </row>
    <row r="8" spans="3:34" x14ac:dyDescent="0.25">
      <c r="D8" t="s">
        <v>42</v>
      </c>
    </row>
    <row r="10" spans="3:34" x14ac:dyDescent="0.25">
      <c r="C10" t="s">
        <v>10</v>
      </c>
      <c r="D10">
        <v>320</v>
      </c>
      <c r="E10">
        <v>320</v>
      </c>
      <c r="F10">
        <v>314</v>
      </c>
      <c r="G10">
        <v>316</v>
      </c>
      <c r="H10">
        <v>384</v>
      </c>
      <c r="I10">
        <v>382</v>
      </c>
      <c r="J10">
        <v>388</v>
      </c>
      <c r="K10">
        <v>381</v>
      </c>
      <c r="L10">
        <v>311</v>
      </c>
      <c r="M10">
        <v>319</v>
      </c>
      <c r="N10">
        <v>388</v>
      </c>
      <c r="O10">
        <f t="shared" ref="O10:O16" si="0">AVERAGE(D10:N10)</f>
        <v>347.54545454545456</v>
      </c>
      <c r="P10" s="1">
        <f t="shared" ref="P10:P16" si="1">MIN(D10:N10)</f>
        <v>311</v>
      </c>
      <c r="Q10" s="1">
        <f t="shared" ref="Q10:Q16" si="2">MAX(D10:N10)</f>
        <v>388</v>
      </c>
      <c r="R10">
        <f t="shared" ref="R10:R16" si="3">Q10-P10</f>
        <v>77</v>
      </c>
      <c r="S10">
        <f t="shared" ref="S10:S16" si="4">CEILING(R10-20,10)</f>
        <v>60</v>
      </c>
      <c r="T10">
        <f t="shared" ref="T10:T16" si="5">S10/2</f>
        <v>30</v>
      </c>
      <c r="U10" s="1">
        <v>9</v>
      </c>
      <c r="V10" s="1">
        <v>11</v>
      </c>
      <c r="W10">
        <f>U10*Q10</f>
        <v>3492</v>
      </c>
      <c r="X10">
        <f>V10*P10</f>
        <v>3421</v>
      </c>
      <c r="Z10">
        <f>CEILING(P10,5)</f>
        <v>315</v>
      </c>
      <c r="AA10">
        <f>FLOOR(Q10,5)</f>
        <v>385</v>
      </c>
      <c r="AB10">
        <f t="shared" ref="AB10:AB16" si="6">AA10-Z10</f>
        <v>70</v>
      </c>
      <c r="AD10">
        <f>AVERAGEIF(D10:N10,"&lt;="&amp;P10+10)</f>
        <v>316.66666666666669</v>
      </c>
      <c r="AE10">
        <f>AVERAGEIF(D10:N10,"&gt;"&amp;P10+10)</f>
        <v>384.6</v>
      </c>
      <c r="AF10">
        <v>315</v>
      </c>
      <c r="AG10">
        <v>385</v>
      </c>
    </row>
    <row r="11" spans="3:34" x14ac:dyDescent="0.25">
      <c r="C11" t="s">
        <v>38</v>
      </c>
      <c r="D11">
        <v>1497</v>
      </c>
      <c r="E11">
        <v>1496</v>
      </c>
      <c r="F11">
        <v>1496</v>
      </c>
      <c r="G11">
        <v>1500</v>
      </c>
      <c r="H11">
        <v>1499</v>
      </c>
      <c r="I11">
        <v>1501</v>
      </c>
      <c r="J11">
        <v>1495</v>
      </c>
      <c r="K11">
        <v>1497</v>
      </c>
      <c r="L11">
        <v>1496</v>
      </c>
      <c r="M11">
        <v>1502</v>
      </c>
      <c r="N11">
        <v>1504</v>
      </c>
      <c r="O11">
        <f t="shared" si="0"/>
        <v>1498.4545454545455</v>
      </c>
      <c r="P11" s="1">
        <f t="shared" si="1"/>
        <v>1495</v>
      </c>
      <c r="Q11" s="1">
        <f t="shared" si="2"/>
        <v>1504</v>
      </c>
      <c r="R11">
        <f t="shared" si="3"/>
        <v>9</v>
      </c>
      <c r="S11">
        <f t="shared" si="4"/>
        <v>-10</v>
      </c>
      <c r="T11">
        <f t="shared" si="5"/>
        <v>-5</v>
      </c>
      <c r="U11" s="1">
        <v>3</v>
      </c>
      <c r="V11" s="1">
        <v>3</v>
      </c>
      <c r="W11">
        <f t="shared" ref="W11:W16" si="7">U11*Q11</f>
        <v>4512</v>
      </c>
      <c r="X11">
        <f t="shared" ref="X11:X16" si="8">V11*P11</f>
        <v>4485</v>
      </c>
      <c r="Z11">
        <v>1500</v>
      </c>
      <c r="AA11">
        <f t="shared" ref="AA11:AA16" si="9">FLOOR(Q11,5)</f>
        <v>1500</v>
      </c>
      <c r="AB11">
        <f t="shared" si="6"/>
        <v>0</v>
      </c>
      <c r="AD11">
        <f t="shared" ref="AD11:AD16" si="10">AVERAGEIF(D11:N11,"&lt;="&amp;P11+10)</f>
        <v>1498.4545454545455</v>
      </c>
      <c r="AE11" t="e">
        <f t="shared" ref="AE11:AE16" si="11">AVERAGEIF(D11:N11,"&gt;"&amp;P11+10)</f>
        <v>#DIV/0!</v>
      </c>
      <c r="AF11">
        <v>1500</v>
      </c>
      <c r="AG11">
        <v>1500</v>
      </c>
    </row>
    <row r="12" spans="3:34" x14ac:dyDescent="0.25">
      <c r="C12" t="s">
        <v>39</v>
      </c>
      <c r="D12">
        <v>416</v>
      </c>
      <c r="E12">
        <v>425</v>
      </c>
      <c r="F12">
        <v>281</v>
      </c>
      <c r="G12">
        <v>419</v>
      </c>
      <c r="H12">
        <v>419</v>
      </c>
      <c r="I12">
        <v>415</v>
      </c>
      <c r="J12">
        <v>423</v>
      </c>
      <c r="K12">
        <v>422</v>
      </c>
      <c r="L12">
        <v>424</v>
      </c>
      <c r="M12">
        <v>276</v>
      </c>
      <c r="N12">
        <v>280</v>
      </c>
      <c r="O12">
        <f t="shared" si="0"/>
        <v>381.81818181818181</v>
      </c>
      <c r="P12" s="1">
        <f t="shared" si="1"/>
        <v>276</v>
      </c>
      <c r="Q12" s="1">
        <f t="shared" si="2"/>
        <v>425</v>
      </c>
      <c r="R12">
        <f t="shared" si="3"/>
        <v>149</v>
      </c>
      <c r="S12">
        <f t="shared" si="4"/>
        <v>130</v>
      </c>
      <c r="T12">
        <f t="shared" si="5"/>
        <v>65</v>
      </c>
      <c r="U12" s="1">
        <v>4</v>
      </c>
      <c r="V12" s="1">
        <v>6</v>
      </c>
      <c r="W12">
        <f t="shared" si="7"/>
        <v>1700</v>
      </c>
      <c r="X12">
        <f t="shared" si="8"/>
        <v>1656</v>
      </c>
      <c r="Z12">
        <f t="shared" ref="Z12:Z16" si="12">CEILING(P12,5)</f>
        <v>280</v>
      </c>
      <c r="AA12">
        <v>420</v>
      </c>
      <c r="AB12">
        <f t="shared" si="6"/>
        <v>140</v>
      </c>
      <c r="AD12">
        <f t="shared" si="10"/>
        <v>279</v>
      </c>
      <c r="AE12">
        <f t="shared" si="11"/>
        <v>420.375</v>
      </c>
      <c r="AF12">
        <v>280</v>
      </c>
      <c r="AG12">
        <v>420</v>
      </c>
    </row>
    <row r="13" spans="3:34" x14ac:dyDescent="0.25">
      <c r="C13" t="s">
        <v>13</v>
      </c>
      <c r="D13">
        <v>200</v>
      </c>
      <c r="E13">
        <v>205</v>
      </c>
      <c r="F13">
        <v>498</v>
      </c>
      <c r="G13">
        <v>504</v>
      </c>
      <c r="H13">
        <v>501</v>
      </c>
      <c r="I13">
        <v>496</v>
      </c>
      <c r="J13">
        <v>497</v>
      </c>
      <c r="K13">
        <v>202</v>
      </c>
      <c r="L13">
        <v>498</v>
      </c>
      <c r="M13">
        <v>195</v>
      </c>
      <c r="N13">
        <v>195</v>
      </c>
      <c r="O13">
        <f t="shared" si="0"/>
        <v>362.81818181818181</v>
      </c>
      <c r="P13" s="1">
        <f t="shared" si="1"/>
        <v>195</v>
      </c>
      <c r="Q13" s="1">
        <f t="shared" si="2"/>
        <v>504</v>
      </c>
      <c r="R13">
        <f t="shared" si="3"/>
        <v>309</v>
      </c>
      <c r="S13">
        <f t="shared" si="4"/>
        <v>290</v>
      </c>
      <c r="T13">
        <f t="shared" si="5"/>
        <v>145</v>
      </c>
      <c r="U13" s="1">
        <v>3</v>
      </c>
      <c r="V13" s="1">
        <v>6</v>
      </c>
      <c r="W13">
        <f t="shared" si="7"/>
        <v>1512</v>
      </c>
      <c r="X13">
        <f t="shared" si="8"/>
        <v>1170</v>
      </c>
      <c r="Z13">
        <v>200</v>
      </c>
      <c r="AA13">
        <f t="shared" si="9"/>
        <v>500</v>
      </c>
      <c r="AB13">
        <f t="shared" si="6"/>
        <v>300</v>
      </c>
      <c r="AD13">
        <f t="shared" si="10"/>
        <v>199.4</v>
      </c>
      <c r="AE13">
        <f t="shared" si="11"/>
        <v>499</v>
      </c>
      <c r="AF13">
        <v>200</v>
      </c>
      <c r="AG13">
        <v>500</v>
      </c>
    </row>
    <row r="14" spans="3:34" x14ac:dyDescent="0.25">
      <c r="C14" t="s">
        <v>14</v>
      </c>
      <c r="D14">
        <v>397</v>
      </c>
      <c r="E14">
        <v>401</v>
      </c>
      <c r="F14">
        <v>805</v>
      </c>
      <c r="G14">
        <v>799</v>
      </c>
      <c r="H14">
        <v>405</v>
      </c>
      <c r="I14">
        <v>796</v>
      </c>
      <c r="J14">
        <v>801</v>
      </c>
      <c r="K14">
        <v>802</v>
      </c>
      <c r="L14">
        <v>396</v>
      </c>
      <c r="M14">
        <v>802</v>
      </c>
      <c r="N14">
        <v>804</v>
      </c>
      <c r="O14">
        <f t="shared" si="0"/>
        <v>655.27272727272725</v>
      </c>
      <c r="P14" s="1">
        <f t="shared" si="1"/>
        <v>396</v>
      </c>
      <c r="Q14" s="1">
        <f t="shared" si="2"/>
        <v>805</v>
      </c>
      <c r="R14">
        <f t="shared" si="3"/>
        <v>409</v>
      </c>
      <c r="S14">
        <f t="shared" si="4"/>
        <v>390</v>
      </c>
      <c r="T14">
        <f t="shared" si="5"/>
        <v>195</v>
      </c>
      <c r="U14" s="1">
        <v>2</v>
      </c>
      <c r="V14" s="1">
        <v>4</v>
      </c>
      <c r="W14">
        <f t="shared" si="7"/>
        <v>1610</v>
      </c>
      <c r="X14">
        <f t="shared" si="8"/>
        <v>1584</v>
      </c>
      <c r="Z14">
        <f t="shared" si="12"/>
        <v>400</v>
      </c>
      <c r="AA14">
        <v>800</v>
      </c>
      <c r="AB14">
        <f t="shared" si="6"/>
        <v>400</v>
      </c>
      <c r="AD14">
        <f t="shared" si="10"/>
        <v>399.75</v>
      </c>
      <c r="AE14">
        <f t="shared" si="11"/>
        <v>801.28571428571433</v>
      </c>
      <c r="AF14">
        <v>400</v>
      </c>
      <c r="AG14">
        <v>800</v>
      </c>
    </row>
    <row r="15" spans="3:34" x14ac:dyDescent="0.25">
      <c r="C15" t="s">
        <v>40</v>
      </c>
      <c r="D15">
        <v>1168</v>
      </c>
      <c r="E15">
        <v>1171</v>
      </c>
      <c r="F15">
        <v>469</v>
      </c>
      <c r="G15">
        <v>464</v>
      </c>
      <c r="H15">
        <v>468</v>
      </c>
      <c r="I15">
        <v>1170</v>
      </c>
      <c r="J15">
        <v>1161</v>
      </c>
      <c r="K15">
        <v>1166</v>
      </c>
      <c r="L15">
        <v>1161</v>
      </c>
      <c r="M15">
        <v>1168</v>
      </c>
      <c r="N15">
        <v>472</v>
      </c>
      <c r="O15">
        <f t="shared" si="0"/>
        <v>912.5454545454545</v>
      </c>
      <c r="P15" s="1">
        <f t="shared" si="1"/>
        <v>464</v>
      </c>
      <c r="Q15" s="1">
        <f t="shared" si="2"/>
        <v>1171</v>
      </c>
      <c r="R15">
        <f t="shared" si="3"/>
        <v>707</v>
      </c>
      <c r="S15">
        <f t="shared" si="4"/>
        <v>690</v>
      </c>
      <c r="T15">
        <f t="shared" si="5"/>
        <v>345</v>
      </c>
      <c r="U15" s="1">
        <v>0</v>
      </c>
      <c r="V15" s="1">
        <v>1</v>
      </c>
      <c r="W15">
        <f t="shared" si="7"/>
        <v>0</v>
      </c>
      <c r="X15">
        <f t="shared" si="8"/>
        <v>464</v>
      </c>
      <c r="Z15">
        <v>469</v>
      </c>
      <c r="AA15">
        <v>1166</v>
      </c>
      <c r="AB15">
        <f t="shared" si="6"/>
        <v>697</v>
      </c>
      <c r="AD15">
        <f t="shared" si="10"/>
        <v>468.25</v>
      </c>
      <c r="AE15">
        <f t="shared" si="11"/>
        <v>1166.4285714285713</v>
      </c>
      <c r="AF15">
        <v>468</v>
      </c>
      <c r="AG15">
        <v>1166</v>
      </c>
      <c r="AH15" t="s">
        <v>101</v>
      </c>
    </row>
    <row r="16" spans="3:34" x14ac:dyDescent="0.25">
      <c r="C16" t="s">
        <v>41</v>
      </c>
      <c r="D16">
        <v>7005</v>
      </c>
      <c r="E16">
        <v>7004</v>
      </c>
      <c r="F16">
        <v>6996</v>
      </c>
      <c r="G16">
        <v>4667</v>
      </c>
      <c r="H16">
        <v>6999</v>
      </c>
      <c r="I16">
        <v>7003</v>
      </c>
      <c r="J16">
        <v>6996</v>
      </c>
      <c r="K16">
        <v>4672</v>
      </c>
      <c r="L16">
        <v>4669</v>
      </c>
      <c r="M16">
        <v>7000</v>
      </c>
      <c r="N16">
        <v>4668</v>
      </c>
      <c r="O16">
        <f t="shared" si="0"/>
        <v>6152.636363636364</v>
      </c>
      <c r="P16" s="1">
        <f t="shared" si="1"/>
        <v>4667</v>
      </c>
      <c r="Q16" s="1">
        <f t="shared" si="2"/>
        <v>7005</v>
      </c>
      <c r="R16">
        <f t="shared" si="3"/>
        <v>2338</v>
      </c>
      <c r="S16">
        <f t="shared" si="4"/>
        <v>2320</v>
      </c>
      <c r="T16">
        <f t="shared" si="5"/>
        <v>1160</v>
      </c>
      <c r="U16" s="1">
        <v>0</v>
      </c>
      <c r="V16" s="1">
        <v>1</v>
      </c>
      <c r="W16">
        <f t="shared" si="7"/>
        <v>0</v>
      </c>
      <c r="X16">
        <f t="shared" si="8"/>
        <v>4667</v>
      </c>
      <c r="Z16">
        <f t="shared" si="12"/>
        <v>4670</v>
      </c>
      <c r="AA16">
        <f t="shared" si="9"/>
        <v>7005</v>
      </c>
      <c r="AB16">
        <f t="shared" si="6"/>
        <v>2335</v>
      </c>
      <c r="AD16">
        <f t="shared" si="10"/>
        <v>4669</v>
      </c>
      <c r="AE16">
        <f t="shared" si="11"/>
        <v>7000.4285714285716</v>
      </c>
      <c r="AF16">
        <v>4670</v>
      </c>
      <c r="AG16">
        <v>7000</v>
      </c>
    </row>
    <row r="19" spans="3:34" x14ac:dyDescent="0.25">
      <c r="C19" t="s">
        <v>2</v>
      </c>
    </row>
    <row r="20" spans="3:34" x14ac:dyDescent="0.25">
      <c r="D20" t="s">
        <v>42</v>
      </c>
    </row>
    <row r="21" spans="3:34" x14ac:dyDescent="0.25">
      <c r="C21" t="s">
        <v>10</v>
      </c>
      <c r="D21">
        <v>130</v>
      </c>
      <c r="E21">
        <v>136</v>
      </c>
      <c r="F21">
        <v>135</v>
      </c>
      <c r="G21">
        <v>160</v>
      </c>
      <c r="H21">
        <v>167</v>
      </c>
      <c r="I21">
        <v>132</v>
      </c>
      <c r="J21">
        <v>161</v>
      </c>
      <c r="K21">
        <v>157</v>
      </c>
      <c r="L21">
        <v>167</v>
      </c>
      <c r="M21">
        <v>163</v>
      </c>
      <c r="N21">
        <v>159</v>
      </c>
      <c r="O21">
        <f t="shared" ref="O21:O33" si="13">AVERAGE(D21:N21)</f>
        <v>151.54545454545453</v>
      </c>
      <c r="P21" s="1">
        <f t="shared" ref="P21:P33" si="14">MIN(D21:N21)</f>
        <v>130</v>
      </c>
      <c r="Q21" s="1">
        <f t="shared" ref="Q21:Q33" si="15">MAX(D21:N21)</f>
        <v>167</v>
      </c>
      <c r="R21">
        <f t="shared" ref="R21:R33" si="16">Q21-P21</f>
        <v>37</v>
      </c>
      <c r="S21">
        <f t="shared" ref="S21:S33" si="17">CEILING(R21-20,10)</f>
        <v>20</v>
      </c>
      <c r="T21">
        <f t="shared" ref="T21:T33" si="18">S21/2</f>
        <v>10</v>
      </c>
      <c r="U21" s="1">
        <v>23</v>
      </c>
      <c r="V21" s="1">
        <v>28</v>
      </c>
      <c r="W21">
        <f t="shared" ref="W21:W33" si="19">U21*Q21</f>
        <v>3841</v>
      </c>
      <c r="X21">
        <f t="shared" ref="X21:X33" si="20">V21*P21</f>
        <v>3640</v>
      </c>
      <c r="Z21">
        <f t="shared" ref="Z21:Z33" si="21">CEILING(P21,10)</f>
        <v>130</v>
      </c>
      <c r="AA21">
        <f t="shared" ref="AA21:AA33" si="22">FLOOR(Q21,10)</f>
        <v>160</v>
      </c>
      <c r="AB21">
        <f t="shared" ref="AB21:AB33" si="23">AA21-Z21</f>
        <v>30</v>
      </c>
      <c r="AD21">
        <f t="shared" ref="AD21:AD33" si="24">AVERAGEIF(D21:N21,"&lt;="&amp;P21+10)</f>
        <v>133.25</v>
      </c>
      <c r="AE21">
        <f t="shared" ref="AE21:AE33" si="25">AVERAGEIF(D21:N21,"&gt;"&amp;P21+10)</f>
        <v>162</v>
      </c>
      <c r="AF21">
        <v>135</v>
      </c>
      <c r="AG21">
        <v>165</v>
      </c>
    </row>
    <row r="22" spans="3:34" x14ac:dyDescent="0.25">
      <c r="C22" t="s">
        <v>17</v>
      </c>
      <c r="D22">
        <v>477</v>
      </c>
      <c r="E22">
        <v>622</v>
      </c>
      <c r="F22">
        <v>478</v>
      </c>
      <c r="G22">
        <v>482</v>
      </c>
      <c r="H22">
        <v>623</v>
      </c>
      <c r="I22">
        <v>622</v>
      </c>
      <c r="J22">
        <v>616</v>
      </c>
      <c r="K22">
        <v>479</v>
      </c>
      <c r="L22">
        <v>485</v>
      </c>
      <c r="M22">
        <v>622</v>
      </c>
      <c r="N22">
        <v>617</v>
      </c>
      <c r="O22">
        <f t="shared" si="13"/>
        <v>556.63636363636363</v>
      </c>
      <c r="P22" s="1">
        <f t="shared" si="14"/>
        <v>477</v>
      </c>
      <c r="Q22" s="1">
        <f t="shared" si="15"/>
        <v>623</v>
      </c>
      <c r="R22">
        <f t="shared" si="16"/>
        <v>146</v>
      </c>
      <c r="S22">
        <f t="shared" si="17"/>
        <v>130</v>
      </c>
      <c r="T22">
        <f t="shared" si="18"/>
        <v>65</v>
      </c>
      <c r="U22" s="1">
        <v>7</v>
      </c>
      <c r="V22" s="1">
        <v>9</v>
      </c>
      <c r="W22">
        <f t="shared" si="19"/>
        <v>4361</v>
      </c>
      <c r="X22">
        <f t="shared" si="20"/>
        <v>4293</v>
      </c>
      <c r="Z22">
        <f t="shared" si="21"/>
        <v>480</v>
      </c>
      <c r="AA22">
        <f t="shared" si="22"/>
        <v>620</v>
      </c>
      <c r="AB22">
        <f t="shared" si="23"/>
        <v>140</v>
      </c>
      <c r="AD22">
        <f t="shared" si="24"/>
        <v>480.2</v>
      </c>
      <c r="AE22">
        <f t="shared" si="25"/>
        <v>620.33333333333337</v>
      </c>
      <c r="AF22">
        <v>480</v>
      </c>
      <c r="AG22">
        <v>620</v>
      </c>
    </row>
    <row r="23" spans="3:34" x14ac:dyDescent="0.25">
      <c r="C23" t="s">
        <v>18</v>
      </c>
      <c r="D23">
        <v>505</v>
      </c>
      <c r="E23">
        <v>299</v>
      </c>
      <c r="F23">
        <v>298</v>
      </c>
      <c r="G23">
        <v>502</v>
      </c>
      <c r="H23">
        <v>302</v>
      </c>
      <c r="I23">
        <v>302</v>
      </c>
      <c r="J23">
        <v>301</v>
      </c>
      <c r="K23">
        <v>495</v>
      </c>
      <c r="L23">
        <v>298</v>
      </c>
      <c r="M23">
        <v>496</v>
      </c>
      <c r="N23">
        <v>501</v>
      </c>
      <c r="O23">
        <f t="shared" si="13"/>
        <v>390.81818181818181</v>
      </c>
      <c r="P23" s="1">
        <f t="shared" si="14"/>
        <v>298</v>
      </c>
      <c r="Q23" s="1">
        <f t="shared" si="15"/>
        <v>505</v>
      </c>
      <c r="R23">
        <f t="shared" si="16"/>
        <v>207</v>
      </c>
      <c r="S23">
        <f t="shared" si="17"/>
        <v>190</v>
      </c>
      <c r="T23">
        <f t="shared" si="18"/>
        <v>95</v>
      </c>
      <c r="U23" s="1">
        <v>3</v>
      </c>
      <c r="V23" s="1">
        <v>5</v>
      </c>
      <c r="W23">
        <f t="shared" si="19"/>
        <v>1515</v>
      </c>
      <c r="X23">
        <f t="shared" si="20"/>
        <v>1490</v>
      </c>
      <c r="Z23">
        <f t="shared" si="21"/>
        <v>300</v>
      </c>
      <c r="AA23">
        <f t="shared" si="22"/>
        <v>500</v>
      </c>
      <c r="AB23">
        <f t="shared" si="23"/>
        <v>200</v>
      </c>
      <c r="AD23">
        <f t="shared" si="24"/>
        <v>300</v>
      </c>
      <c r="AE23">
        <f t="shared" si="25"/>
        <v>499.8</v>
      </c>
      <c r="AF23">
        <v>300</v>
      </c>
      <c r="AG23">
        <v>500</v>
      </c>
    </row>
    <row r="24" spans="3:34" x14ac:dyDescent="0.25">
      <c r="C24" t="s">
        <v>41</v>
      </c>
      <c r="D24">
        <v>832</v>
      </c>
      <c r="E24">
        <v>833</v>
      </c>
      <c r="F24">
        <v>834</v>
      </c>
      <c r="G24">
        <v>334</v>
      </c>
      <c r="H24">
        <v>334</v>
      </c>
      <c r="I24">
        <v>837</v>
      </c>
      <c r="J24">
        <v>331</v>
      </c>
      <c r="K24">
        <v>833</v>
      </c>
      <c r="L24">
        <v>333</v>
      </c>
      <c r="M24">
        <v>338</v>
      </c>
      <c r="N24">
        <v>338</v>
      </c>
      <c r="O24">
        <f t="shared" si="13"/>
        <v>561.5454545454545</v>
      </c>
      <c r="P24" s="1">
        <f t="shared" si="14"/>
        <v>331</v>
      </c>
      <c r="Q24" s="1">
        <f t="shared" si="15"/>
        <v>837</v>
      </c>
      <c r="R24">
        <f t="shared" si="16"/>
        <v>506</v>
      </c>
      <c r="S24">
        <f t="shared" si="17"/>
        <v>490</v>
      </c>
      <c r="T24">
        <f t="shared" si="18"/>
        <v>245</v>
      </c>
      <c r="U24" s="1">
        <v>0</v>
      </c>
      <c r="V24" s="1">
        <v>1</v>
      </c>
      <c r="W24">
        <f t="shared" si="19"/>
        <v>0</v>
      </c>
      <c r="X24">
        <f t="shared" si="20"/>
        <v>331</v>
      </c>
      <c r="Z24">
        <f t="shared" si="21"/>
        <v>340</v>
      </c>
      <c r="AA24">
        <f t="shared" si="22"/>
        <v>830</v>
      </c>
      <c r="AB24">
        <f t="shared" si="23"/>
        <v>490</v>
      </c>
      <c r="AD24">
        <f t="shared" si="24"/>
        <v>334.66666666666669</v>
      </c>
      <c r="AE24">
        <f t="shared" si="25"/>
        <v>833.8</v>
      </c>
      <c r="AF24">
        <v>335</v>
      </c>
      <c r="AG24">
        <v>835</v>
      </c>
    </row>
    <row r="25" spans="3:34" x14ac:dyDescent="0.25">
      <c r="C25" t="s">
        <v>13</v>
      </c>
      <c r="D25">
        <v>551</v>
      </c>
      <c r="E25">
        <v>362</v>
      </c>
      <c r="F25">
        <v>545</v>
      </c>
      <c r="G25">
        <v>550</v>
      </c>
      <c r="H25">
        <v>362</v>
      </c>
      <c r="I25">
        <v>550</v>
      </c>
      <c r="J25">
        <v>546</v>
      </c>
      <c r="K25">
        <v>549</v>
      </c>
      <c r="L25">
        <v>548</v>
      </c>
      <c r="M25">
        <v>545</v>
      </c>
      <c r="N25">
        <v>545</v>
      </c>
      <c r="O25">
        <f t="shared" si="13"/>
        <v>513.90909090909088</v>
      </c>
      <c r="P25" s="1">
        <f t="shared" si="14"/>
        <v>362</v>
      </c>
      <c r="Q25" s="1">
        <f t="shared" si="15"/>
        <v>551</v>
      </c>
      <c r="R25">
        <f t="shared" si="16"/>
        <v>189</v>
      </c>
      <c r="S25">
        <f t="shared" si="17"/>
        <v>170</v>
      </c>
      <c r="T25">
        <f t="shared" si="18"/>
        <v>85</v>
      </c>
      <c r="U25" s="1">
        <v>3</v>
      </c>
      <c r="V25" s="1">
        <v>4</v>
      </c>
      <c r="W25">
        <f t="shared" si="19"/>
        <v>1653</v>
      </c>
      <c r="X25">
        <f t="shared" si="20"/>
        <v>1448</v>
      </c>
      <c r="Z25">
        <f t="shared" si="21"/>
        <v>370</v>
      </c>
      <c r="AA25">
        <f t="shared" si="22"/>
        <v>550</v>
      </c>
      <c r="AB25">
        <f t="shared" si="23"/>
        <v>180</v>
      </c>
      <c r="AD25">
        <f t="shared" si="24"/>
        <v>362</v>
      </c>
      <c r="AE25">
        <f t="shared" si="25"/>
        <v>547.66666666666663</v>
      </c>
      <c r="AF25">
        <v>360</v>
      </c>
      <c r="AG25">
        <v>550</v>
      </c>
    </row>
    <row r="26" spans="3:34" x14ac:dyDescent="0.25">
      <c r="C26" t="s">
        <v>46</v>
      </c>
      <c r="D26">
        <v>183</v>
      </c>
      <c r="E26">
        <v>966</v>
      </c>
      <c r="F26">
        <v>183</v>
      </c>
      <c r="G26">
        <v>183</v>
      </c>
      <c r="H26">
        <v>964</v>
      </c>
      <c r="I26">
        <v>183</v>
      </c>
      <c r="J26">
        <v>966</v>
      </c>
      <c r="K26">
        <v>183</v>
      </c>
      <c r="L26">
        <v>958</v>
      </c>
      <c r="M26">
        <v>957</v>
      </c>
      <c r="N26">
        <v>961</v>
      </c>
      <c r="O26">
        <f t="shared" si="13"/>
        <v>607.90909090909088</v>
      </c>
      <c r="P26" s="1">
        <f t="shared" si="14"/>
        <v>183</v>
      </c>
      <c r="Q26" s="1">
        <f t="shared" si="15"/>
        <v>966</v>
      </c>
      <c r="R26">
        <f t="shared" si="16"/>
        <v>783</v>
      </c>
      <c r="S26">
        <f t="shared" si="17"/>
        <v>770</v>
      </c>
      <c r="T26">
        <f t="shared" si="18"/>
        <v>385</v>
      </c>
      <c r="U26" s="1">
        <v>1</v>
      </c>
      <c r="V26" s="1">
        <v>7</v>
      </c>
      <c r="W26">
        <f t="shared" si="19"/>
        <v>966</v>
      </c>
      <c r="X26">
        <f t="shared" si="20"/>
        <v>1281</v>
      </c>
      <c r="Z26">
        <f t="shared" si="21"/>
        <v>190</v>
      </c>
      <c r="AA26">
        <f t="shared" si="22"/>
        <v>960</v>
      </c>
      <c r="AB26">
        <f t="shared" si="23"/>
        <v>770</v>
      </c>
      <c r="AD26">
        <f t="shared" si="24"/>
        <v>183</v>
      </c>
      <c r="AE26">
        <f t="shared" si="25"/>
        <v>962</v>
      </c>
      <c r="AF26">
        <v>180</v>
      </c>
      <c r="AG26">
        <v>961</v>
      </c>
      <c r="AH26" t="s">
        <v>101</v>
      </c>
    </row>
    <row r="27" spans="3:34" x14ac:dyDescent="0.25">
      <c r="C27" t="s">
        <v>20</v>
      </c>
      <c r="D27">
        <v>666</v>
      </c>
      <c r="E27">
        <v>1001</v>
      </c>
      <c r="F27">
        <v>671</v>
      </c>
      <c r="G27">
        <v>1003</v>
      </c>
      <c r="H27">
        <v>669</v>
      </c>
      <c r="I27">
        <v>665</v>
      </c>
      <c r="J27">
        <v>1001</v>
      </c>
      <c r="K27">
        <v>671</v>
      </c>
      <c r="L27">
        <v>1000</v>
      </c>
      <c r="M27">
        <v>1005</v>
      </c>
      <c r="N27">
        <v>663</v>
      </c>
      <c r="O27">
        <f t="shared" si="13"/>
        <v>819.5454545454545</v>
      </c>
      <c r="P27" s="1">
        <f t="shared" si="14"/>
        <v>663</v>
      </c>
      <c r="Q27" s="1">
        <f t="shared" si="15"/>
        <v>1005</v>
      </c>
      <c r="R27">
        <f t="shared" si="16"/>
        <v>342</v>
      </c>
      <c r="S27">
        <f t="shared" si="17"/>
        <v>330</v>
      </c>
      <c r="T27">
        <f t="shared" si="18"/>
        <v>165</v>
      </c>
      <c r="U27" s="1">
        <v>2</v>
      </c>
      <c r="V27" s="1">
        <v>3</v>
      </c>
      <c r="W27">
        <f t="shared" si="19"/>
        <v>2010</v>
      </c>
      <c r="X27">
        <f t="shared" si="20"/>
        <v>1989</v>
      </c>
      <c r="Z27">
        <f t="shared" si="21"/>
        <v>670</v>
      </c>
      <c r="AA27">
        <f t="shared" si="22"/>
        <v>1000</v>
      </c>
      <c r="AB27">
        <f t="shared" si="23"/>
        <v>330</v>
      </c>
      <c r="AD27">
        <f t="shared" si="24"/>
        <v>667.5</v>
      </c>
      <c r="AE27">
        <f t="shared" si="25"/>
        <v>1002</v>
      </c>
      <c r="AF27">
        <v>670</v>
      </c>
      <c r="AG27">
        <v>1000</v>
      </c>
    </row>
    <row r="28" spans="3:34" x14ac:dyDescent="0.25">
      <c r="C28" t="s">
        <v>47</v>
      </c>
      <c r="D28">
        <v>1832</v>
      </c>
      <c r="E28">
        <v>732</v>
      </c>
      <c r="F28">
        <v>732</v>
      </c>
      <c r="G28">
        <v>1832</v>
      </c>
      <c r="H28">
        <v>739</v>
      </c>
      <c r="I28">
        <v>729</v>
      </c>
      <c r="J28">
        <v>1830</v>
      </c>
      <c r="K28">
        <v>731</v>
      </c>
      <c r="L28">
        <v>1828</v>
      </c>
      <c r="M28">
        <v>1832</v>
      </c>
      <c r="N28">
        <v>730</v>
      </c>
      <c r="O28">
        <f t="shared" si="13"/>
        <v>1231.5454545454545</v>
      </c>
      <c r="P28" s="1">
        <f t="shared" si="14"/>
        <v>729</v>
      </c>
      <c r="Q28" s="1">
        <f t="shared" si="15"/>
        <v>1832</v>
      </c>
      <c r="R28">
        <f t="shared" si="16"/>
        <v>1103</v>
      </c>
      <c r="S28">
        <f t="shared" si="17"/>
        <v>1090</v>
      </c>
      <c r="T28">
        <f t="shared" si="18"/>
        <v>545</v>
      </c>
      <c r="U28" s="1">
        <v>0</v>
      </c>
      <c r="V28" s="1">
        <v>1</v>
      </c>
      <c r="W28">
        <f t="shared" si="19"/>
        <v>0</v>
      </c>
      <c r="X28">
        <f t="shared" si="20"/>
        <v>729</v>
      </c>
      <c r="Z28">
        <f t="shared" si="21"/>
        <v>730</v>
      </c>
      <c r="AA28">
        <f t="shared" si="22"/>
        <v>1830</v>
      </c>
      <c r="AB28">
        <f t="shared" si="23"/>
        <v>1100</v>
      </c>
      <c r="AD28">
        <f t="shared" si="24"/>
        <v>732.16666666666663</v>
      </c>
      <c r="AE28">
        <f t="shared" si="25"/>
        <v>1830.8</v>
      </c>
      <c r="AF28">
        <v>730</v>
      </c>
      <c r="AG28">
        <v>1830</v>
      </c>
    </row>
    <row r="29" spans="3:34" x14ac:dyDescent="0.25">
      <c r="C29" t="s">
        <v>48</v>
      </c>
      <c r="D29">
        <v>1197</v>
      </c>
      <c r="E29">
        <v>1198</v>
      </c>
      <c r="F29">
        <v>1199</v>
      </c>
      <c r="G29">
        <v>1195</v>
      </c>
      <c r="H29">
        <v>1200</v>
      </c>
      <c r="I29">
        <v>1203</v>
      </c>
      <c r="J29">
        <v>1198</v>
      </c>
      <c r="K29">
        <v>1205</v>
      </c>
      <c r="L29">
        <v>1199</v>
      </c>
      <c r="M29">
        <v>1195</v>
      </c>
      <c r="N29">
        <v>1201</v>
      </c>
      <c r="O29">
        <f t="shared" si="13"/>
        <v>1199.090909090909</v>
      </c>
      <c r="P29" s="1">
        <f t="shared" si="14"/>
        <v>1195</v>
      </c>
      <c r="Q29" s="1">
        <f t="shared" si="15"/>
        <v>1205</v>
      </c>
      <c r="R29">
        <f t="shared" si="16"/>
        <v>10</v>
      </c>
      <c r="S29">
        <f t="shared" si="17"/>
        <v>-10</v>
      </c>
      <c r="T29">
        <f t="shared" si="18"/>
        <v>-5</v>
      </c>
      <c r="U29" s="1">
        <v>3</v>
      </c>
      <c r="V29" s="1">
        <v>3</v>
      </c>
      <c r="W29">
        <f t="shared" si="19"/>
        <v>3615</v>
      </c>
      <c r="X29">
        <f t="shared" si="20"/>
        <v>3585</v>
      </c>
      <c r="Z29">
        <f t="shared" si="21"/>
        <v>1200</v>
      </c>
      <c r="AA29">
        <f t="shared" si="22"/>
        <v>1200</v>
      </c>
      <c r="AB29">
        <f t="shared" si="23"/>
        <v>0</v>
      </c>
      <c r="AD29">
        <f t="shared" si="24"/>
        <v>1199.090909090909</v>
      </c>
      <c r="AE29" t="e">
        <f t="shared" si="25"/>
        <v>#DIV/0!</v>
      </c>
      <c r="AF29">
        <v>1200</v>
      </c>
      <c r="AG29">
        <v>1200</v>
      </c>
    </row>
    <row r="30" spans="3:34" x14ac:dyDescent="0.25">
      <c r="C30" t="s">
        <v>23</v>
      </c>
      <c r="D30">
        <v>3504</v>
      </c>
      <c r="E30">
        <v>3499</v>
      </c>
      <c r="F30">
        <v>3498</v>
      </c>
      <c r="G30">
        <v>3498</v>
      </c>
      <c r="H30">
        <v>3501</v>
      </c>
      <c r="I30">
        <v>3498</v>
      </c>
      <c r="J30">
        <v>3497</v>
      </c>
      <c r="K30">
        <v>3503</v>
      </c>
      <c r="L30">
        <v>3496</v>
      </c>
      <c r="M30">
        <v>3501</v>
      </c>
      <c r="N30">
        <v>3504</v>
      </c>
      <c r="O30">
        <f t="shared" si="13"/>
        <v>3499.909090909091</v>
      </c>
      <c r="P30" s="1">
        <f t="shared" si="14"/>
        <v>3496</v>
      </c>
      <c r="Q30" s="1">
        <f t="shared" si="15"/>
        <v>3504</v>
      </c>
      <c r="R30">
        <f t="shared" si="16"/>
        <v>8</v>
      </c>
      <c r="S30">
        <f t="shared" si="17"/>
        <v>-10</v>
      </c>
      <c r="T30">
        <f t="shared" si="18"/>
        <v>-5</v>
      </c>
      <c r="U30" s="1">
        <v>2</v>
      </c>
      <c r="V30" s="1">
        <v>2</v>
      </c>
      <c r="W30">
        <f t="shared" si="19"/>
        <v>7008</v>
      </c>
      <c r="X30">
        <f t="shared" si="20"/>
        <v>6992</v>
      </c>
      <c r="Z30">
        <f t="shared" si="21"/>
        <v>3500</v>
      </c>
      <c r="AA30">
        <f t="shared" si="22"/>
        <v>3500</v>
      </c>
      <c r="AB30">
        <f t="shared" si="23"/>
        <v>0</v>
      </c>
      <c r="AD30">
        <f t="shared" si="24"/>
        <v>3499.909090909091</v>
      </c>
      <c r="AE30" t="e">
        <f t="shared" si="25"/>
        <v>#DIV/0!</v>
      </c>
      <c r="AF30">
        <v>3500</v>
      </c>
      <c r="AG30">
        <v>3500</v>
      </c>
    </row>
    <row r="31" spans="3:34" x14ac:dyDescent="0.25">
      <c r="C31" t="s">
        <v>40</v>
      </c>
      <c r="D31">
        <v>23337</v>
      </c>
      <c r="E31">
        <v>35003</v>
      </c>
      <c r="F31">
        <v>23336</v>
      </c>
      <c r="G31">
        <v>35003</v>
      </c>
      <c r="H31">
        <v>34999</v>
      </c>
      <c r="I31">
        <v>35000</v>
      </c>
      <c r="J31">
        <v>23331</v>
      </c>
      <c r="K31">
        <v>23332</v>
      </c>
      <c r="L31">
        <v>23330</v>
      </c>
      <c r="M31">
        <v>23338</v>
      </c>
      <c r="N31">
        <v>35002</v>
      </c>
      <c r="O31">
        <f t="shared" si="13"/>
        <v>28637.363636363636</v>
      </c>
      <c r="P31" s="1">
        <f t="shared" si="14"/>
        <v>23330</v>
      </c>
      <c r="Q31" s="1">
        <f t="shared" si="15"/>
        <v>35003</v>
      </c>
      <c r="R31">
        <f t="shared" si="16"/>
        <v>11673</v>
      </c>
      <c r="S31">
        <f t="shared" si="17"/>
        <v>11660</v>
      </c>
      <c r="T31">
        <f t="shared" si="18"/>
        <v>5830</v>
      </c>
      <c r="U31" s="1">
        <v>0</v>
      </c>
      <c r="V31" s="1">
        <v>1</v>
      </c>
      <c r="W31">
        <f t="shared" si="19"/>
        <v>0</v>
      </c>
      <c r="X31">
        <f t="shared" si="20"/>
        <v>23330</v>
      </c>
      <c r="Z31">
        <f t="shared" si="21"/>
        <v>23330</v>
      </c>
      <c r="AA31">
        <f t="shared" si="22"/>
        <v>35000</v>
      </c>
      <c r="AB31">
        <f t="shared" si="23"/>
        <v>11670</v>
      </c>
      <c r="AD31">
        <f t="shared" si="24"/>
        <v>23334</v>
      </c>
      <c r="AE31">
        <f t="shared" si="25"/>
        <v>35001.4</v>
      </c>
      <c r="AF31">
        <v>23335</v>
      </c>
      <c r="AG31">
        <v>35000</v>
      </c>
    </row>
    <row r="32" spans="3:34" x14ac:dyDescent="0.25">
      <c r="C32" t="s">
        <v>24</v>
      </c>
      <c r="D32">
        <v>4467</v>
      </c>
      <c r="E32">
        <v>4466</v>
      </c>
      <c r="F32">
        <v>4470</v>
      </c>
      <c r="G32">
        <v>4462</v>
      </c>
      <c r="H32">
        <v>8935</v>
      </c>
      <c r="I32">
        <v>4472</v>
      </c>
      <c r="J32">
        <v>4467</v>
      </c>
      <c r="K32">
        <v>8928</v>
      </c>
      <c r="L32">
        <v>8934</v>
      </c>
      <c r="M32">
        <v>4471</v>
      </c>
      <c r="N32">
        <v>8933</v>
      </c>
      <c r="O32">
        <f t="shared" si="13"/>
        <v>6091.363636363636</v>
      </c>
      <c r="P32" s="1">
        <f t="shared" si="14"/>
        <v>4462</v>
      </c>
      <c r="Q32" s="1">
        <f t="shared" si="15"/>
        <v>8935</v>
      </c>
      <c r="R32">
        <f t="shared" si="16"/>
        <v>4473</v>
      </c>
      <c r="S32">
        <f t="shared" si="17"/>
        <v>4460</v>
      </c>
      <c r="T32">
        <f t="shared" si="18"/>
        <v>2230</v>
      </c>
      <c r="U32" s="1">
        <v>2</v>
      </c>
      <c r="V32" s="1">
        <v>4</v>
      </c>
      <c r="W32">
        <f t="shared" si="19"/>
        <v>17870</v>
      </c>
      <c r="X32">
        <f t="shared" si="20"/>
        <v>17848</v>
      </c>
      <c r="Z32">
        <f t="shared" si="21"/>
        <v>4470</v>
      </c>
      <c r="AA32">
        <f t="shared" si="22"/>
        <v>8930</v>
      </c>
      <c r="AB32">
        <f t="shared" si="23"/>
        <v>4460</v>
      </c>
      <c r="AD32">
        <f t="shared" si="24"/>
        <v>4467.8571428571431</v>
      </c>
      <c r="AE32">
        <f t="shared" si="25"/>
        <v>8932.5</v>
      </c>
      <c r="AF32">
        <v>4468</v>
      </c>
      <c r="AG32">
        <v>8930</v>
      </c>
      <c r="AH32" t="s">
        <v>101</v>
      </c>
    </row>
    <row r="33" spans="3:34" x14ac:dyDescent="0.25">
      <c r="C33" t="s">
        <v>25</v>
      </c>
      <c r="D33">
        <v>12662</v>
      </c>
      <c r="E33">
        <v>12668</v>
      </c>
      <c r="F33">
        <v>12669</v>
      </c>
      <c r="G33">
        <v>3172</v>
      </c>
      <c r="H33">
        <v>12661</v>
      </c>
      <c r="I33">
        <v>12663</v>
      </c>
      <c r="J33">
        <v>3171</v>
      </c>
      <c r="K33">
        <v>3171</v>
      </c>
      <c r="L33">
        <v>3166</v>
      </c>
      <c r="M33">
        <v>3166</v>
      </c>
      <c r="N33">
        <v>3167</v>
      </c>
      <c r="O33">
        <f t="shared" si="13"/>
        <v>7485.090909090909</v>
      </c>
      <c r="P33" s="1">
        <f t="shared" si="14"/>
        <v>3166</v>
      </c>
      <c r="Q33" s="1">
        <f t="shared" si="15"/>
        <v>12669</v>
      </c>
      <c r="R33">
        <f t="shared" si="16"/>
        <v>9503</v>
      </c>
      <c r="S33">
        <f t="shared" si="17"/>
        <v>9490</v>
      </c>
      <c r="T33">
        <f t="shared" si="18"/>
        <v>4745</v>
      </c>
      <c r="U33" s="1">
        <v>2</v>
      </c>
      <c r="V33" s="1">
        <v>5</v>
      </c>
      <c r="W33">
        <f t="shared" si="19"/>
        <v>25338</v>
      </c>
      <c r="X33">
        <f t="shared" si="20"/>
        <v>15830</v>
      </c>
      <c r="Z33">
        <f t="shared" si="21"/>
        <v>3170</v>
      </c>
      <c r="AA33">
        <f t="shared" si="22"/>
        <v>12660</v>
      </c>
      <c r="AB33">
        <f t="shared" si="23"/>
        <v>9490</v>
      </c>
      <c r="AD33">
        <f t="shared" si="24"/>
        <v>3168.8333333333335</v>
      </c>
      <c r="AE33">
        <f t="shared" si="25"/>
        <v>12664.6</v>
      </c>
      <c r="AF33">
        <v>3170</v>
      </c>
      <c r="AG33">
        <v>12665</v>
      </c>
      <c r="AH33" t="s">
        <v>101</v>
      </c>
    </row>
    <row r="36" spans="3:34" x14ac:dyDescent="0.25">
      <c r="C36" t="s">
        <v>37</v>
      </c>
    </row>
    <row r="37" spans="3:34" x14ac:dyDescent="0.25">
      <c r="D37" t="s">
        <v>42</v>
      </c>
    </row>
    <row r="38" spans="3:34" x14ac:dyDescent="0.25">
      <c r="C38" t="s">
        <v>17</v>
      </c>
      <c r="D38">
        <v>310</v>
      </c>
      <c r="E38">
        <v>310</v>
      </c>
      <c r="F38">
        <v>309</v>
      </c>
      <c r="G38">
        <v>229</v>
      </c>
      <c r="H38">
        <v>238</v>
      </c>
      <c r="I38">
        <v>229</v>
      </c>
      <c r="J38">
        <v>238</v>
      </c>
      <c r="K38">
        <v>308</v>
      </c>
      <c r="L38">
        <v>311</v>
      </c>
      <c r="M38">
        <v>301</v>
      </c>
      <c r="N38">
        <v>236</v>
      </c>
      <c r="O38">
        <f t="shared" ref="O38:O50" si="26">AVERAGE(D38:N38)</f>
        <v>274.45454545454544</v>
      </c>
      <c r="P38" s="1">
        <f t="shared" ref="P38:P50" si="27">MIN(D38:N38)</f>
        <v>229</v>
      </c>
      <c r="Q38" s="1">
        <f t="shared" ref="Q38:Q50" si="28">MAX(D38:N38)</f>
        <v>311</v>
      </c>
      <c r="R38">
        <f t="shared" ref="R38:R50" si="29">Q38-P38</f>
        <v>82</v>
      </c>
      <c r="S38">
        <f t="shared" ref="S38:S50" si="30">CEILING(R38-20,10)</f>
        <v>70</v>
      </c>
      <c r="T38">
        <f t="shared" ref="T38:T50" si="31">S38/2</f>
        <v>35</v>
      </c>
      <c r="U38" s="1">
        <v>13</v>
      </c>
      <c r="V38" s="1">
        <v>17</v>
      </c>
      <c r="W38">
        <f t="shared" ref="W38:W50" si="32">U38*Q38</f>
        <v>4043</v>
      </c>
      <c r="X38">
        <f t="shared" ref="X38:X50" si="33">V38*P38</f>
        <v>3893</v>
      </c>
      <c r="Z38">
        <f t="shared" ref="Z38:Z50" si="34">CEILING(P38,10)</f>
        <v>230</v>
      </c>
      <c r="AA38">
        <f t="shared" ref="AA38:AA50" si="35">FLOOR(Q38,10)</f>
        <v>310</v>
      </c>
      <c r="AB38">
        <f t="shared" ref="AB38:AB50" si="36">AA38-Z38</f>
        <v>80</v>
      </c>
      <c r="AD38">
        <f t="shared" ref="AD38:AD50" si="37">AVERAGEIF(D38:N38,"&lt;="&amp;P38+10)</f>
        <v>234</v>
      </c>
      <c r="AE38">
        <f t="shared" ref="AE38:AE50" si="38">AVERAGEIF(D38:N38,"&gt;"&amp;P38+10)</f>
        <v>308.16666666666669</v>
      </c>
      <c r="AF38">
        <v>235</v>
      </c>
      <c r="AG38">
        <v>310</v>
      </c>
    </row>
    <row r="39" spans="3:34" x14ac:dyDescent="0.25">
      <c r="C39" t="s">
        <v>38</v>
      </c>
      <c r="D39">
        <v>500</v>
      </c>
      <c r="E39">
        <v>305</v>
      </c>
      <c r="F39">
        <v>298</v>
      </c>
      <c r="G39">
        <v>304</v>
      </c>
      <c r="H39">
        <v>502</v>
      </c>
      <c r="I39">
        <v>302</v>
      </c>
      <c r="J39">
        <v>299</v>
      </c>
      <c r="K39">
        <v>499</v>
      </c>
      <c r="L39">
        <v>305</v>
      </c>
      <c r="M39">
        <v>502</v>
      </c>
      <c r="N39">
        <v>501</v>
      </c>
      <c r="O39">
        <f t="shared" si="26"/>
        <v>392.45454545454544</v>
      </c>
      <c r="P39" s="1">
        <f t="shared" si="27"/>
        <v>298</v>
      </c>
      <c r="Q39" s="1">
        <f t="shared" si="28"/>
        <v>502</v>
      </c>
      <c r="R39">
        <f t="shared" si="29"/>
        <v>204</v>
      </c>
      <c r="S39">
        <f t="shared" si="30"/>
        <v>190</v>
      </c>
      <c r="T39">
        <f t="shared" si="31"/>
        <v>95</v>
      </c>
      <c r="U39" s="1">
        <v>3</v>
      </c>
      <c r="V39" s="1">
        <v>5</v>
      </c>
      <c r="W39">
        <f t="shared" si="32"/>
        <v>1506</v>
      </c>
      <c r="X39">
        <f t="shared" si="33"/>
        <v>1490</v>
      </c>
      <c r="Z39">
        <f t="shared" si="34"/>
        <v>300</v>
      </c>
      <c r="AA39">
        <f t="shared" si="35"/>
        <v>500</v>
      </c>
      <c r="AB39">
        <f t="shared" si="36"/>
        <v>200</v>
      </c>
      <c r="AD39">
        <f t="shared" si="37"/>
        <v>302.16666666666669</v>
      </c>
      <c r="AE39">
        <f t="shared" si="38"/>
        <v>500.8</v>
      </c>
      <c r="AF39">
        <v>300</v>
      </c>
      <c r="AG39">
        <v>500</v>
      </c>
    </row>
    <row r="40" spans="3:34" x14ac:dyDescent="0.25">
      <c r="C40" t="s">
        <v>41</v>
      </c>
      <c r="D40">
        <v>670</v>
      </c>
      <c r="E40">
        <v>669</v>
      </c>
      <c r="F40">
        <v>671</v>
      </c>
      <c r="G40">
        <v>268</v>
      </c>
      <c r="H40">
        <v>670</v>
      </c>
      <c r="I40">
        <v>271</v>
      </c>
      <c r="J40">
        <v>669</v>
      </c>
      <c r="K40">
        <v>262</v>
      </c>
      <c r="L40">
        <v>266</v>
      </c>
      <c r="M40">
        <v>664</v>
      </c>
      <c r="N40">
        <v>668</v>
      </c>
      <c r="O40">
        <f t="shared" si="26"/>
        <v>522.5454545454545</v>
      </c>
      <c r="P40" s="1">
        <f t="shared" si="27"/>
        <v>262</v>
      </c>
      <c r="Q40" s="1">
        <f t="shared" si="28"/>
        <v>671</v>
      </c>
      <c r="R40">
        <f t="shared" si="29"/>
        <v>409</v>
      </c>
      <c r="S40">
        <f t="shared" si="30"/>
        <v>390</v>
      </c>
      <c r="T40">
        <f t="shared" si="31"/>
        <v>195</v>
      </c>
      <c r="U40" s="1">
        <v>0</v>
      </c>
      <c r="V40" s="1">
        <v>1</v>
      </c>
      <c r="W40">
        <f t="shared" si="32"/>
        <v>0</v>
      </c>
      <c r="X40">
        <f t="shared" si="33"/>
        <v>262</v>
      </c>
      <c r="Z40">
        <f t="shared" si="34"/>
        <v>270</v>
      </c>
      <c r="AA40">
        <f t="shared" si="35"/>
        <v>670</v>
      </c>
      <c r="AB40">
        <f t="shared" si="36"/>
        <v>400</v>
      </c>
      <c r="AD40">
        <f t="shared" si="37"/>
        <v>266.75</v>
      </c>
      <c r="AE40">
        <f t="shared" si="38"/>
        <v>668.71428571428567</v>
      </c>
      <c r="AF40">
        <v>265</v>
      </c>
      <c r="AG40">
        <v>670</v>
      </c>
    </row>
    <row r="41" spans="3:34" x14ac:dyDescent="0.25">
      <c r="C41" t="s">
        <v>14</v>
      </c>
      <c r="D41">
        <v>644</v>
      </c>
      <c r="E41">
        <v>642</v>
      </c>
      <c r="F41">
        <v>639</v>
      </c>
      <c r="G41">
        <v>644</v>
      </c>
      <c r="H41">
        <v>363</v>
      </c>
      <c r="I41">
        <v>357</v>
      </c>
      <c r="J41">
        <v>639</v>
      </c>
      <c r="K41">
        <v>362</v>
      </c>
      <c r="L41">
        <v>642</v>
      </c>
      <c r="M41">
        <v>358</v>
      </c>
      <c r="N41">
        <v>641</v>
      </c>
      <c r="O41">
        <f t="shared" si="26"/>
        <v>539.18181818181813</v>
      </c>
      <c r="P41" s="1">
        <f t="shared" si="27"/>
        <v>357</v>
      </c>
      <c r="Q41" s="1">
        <f t="shared" si="28"/>
        <v>644</v>
      </c>
      <c r="R41">
        <f t="shared" si="29"/>
        <v>287</v>
      </c>
      <c r="S41">
        <f t="shared" si="30"/>
        <v>270</v>
      </c>
      <c r="T41">
        <f t="shared" si="31"/>
        <v>135</v>
      </c>
      <c r="U41" s="1">
        <v>5</v>
      </c>
      <c r="V41" s="1">
        <v>9</v>
      </c>
      <c r="W41">
        <f t="shared" si="32"/>
        <v>3220</v>
      </c>
      <c r="X41">
        <f t="shared" si="33"/>
        <v>3213</v>
      </c>
      <c r="Z41">
        <f t="shared" si="34"/>
        <v>360</v>
      </c>
      <c r="AA41">
        <f t="shared" si="35"/>
        <v>640</v>
      </c>
      <c r="AB41">
        <f t="shared" si="36"/>
        <v>280</v>
      </c>
      <c r="AD41">
        <f t="shared" si="37"/>
        <v>360</v>
      </c>
      <c r="AE41">
        <f t="shared" si="38"/>
        <v>641.57142857142856</v>
      </c>
      <c r="AF41">
        <f t="shared" ref="AF41:AF50" si="39">ROUND(AD41,0)</f>
        <v>360</v>
      </c>
      <c r="AG41">
        <v>640</v>
      </c>
    </row>
    <row r="42" spans="3:34" x14ac:dyDescent="0.25">
      <c r="C42" t="s">
        <v>39</v>
      </c>
      <c r="D42">
        <v>1171</v>
      </c>
      <c r="E42">
        <v>1170</v>
      </c>
      <c r="F42">
        <v>1164</v>
      </c>
      <c r="G42">
        <v>237</v>
      </c>
      <c r="H42">
        <v>1170</v>
      </c>
      <c r="I42">
        <v>1167</v>
      </c>
      <c r="J42">
        <v>238</v>
      </c>
      <c r="K42">
        <v>239</v>
      </c>
      <c r="L42">
        <v>237</v>
      </c>
      <c r="M42">
        <v>1164</v>
      </c>
      <c r="N42">
        <v>238</v>
      </c>
      <c r="O42">
        <f t="shared" si="26"/>
        <v>745</v>
      </c>
      <c r="P42" s="1">
        <f t="shared" si="27"/>
        <v>237</v>
      </c>
      <c r="Q42" s="1">
        <f t="shared" si="28"/>
        <v>1171</v>
      </c>
      <c r="R42">
        <f t="shared" si="29"/>
        <v>934</v>
      </c>
      <c r="S42">
        <f t="shared" si="30"/>
        <v>920</v>
      </c>
      <c r="T42">
        <f t="shared" si="31"/>
        <v>460</v>
      </c>
      <c r="U42" s="1">
        <v>0</v>
      </c>
      <c r="V42" s="1">
        <v>4</v>
      </c>
      <c r="W42">
        <f t="shared" si="32"/>
        <v>0</v>
      </c>
      <c r="X42">
        <f t="shared" si="33"/>
        <v>948</v>
      </c>
      <c r="Z42">
        <f t="shared" si="34"/>
        <v>240</v>
      </c>
      <c r="AA42">
        <f t="shared" si="35"/>
        <v>1170</v>
      </c>
      <c r="AB42">
        <f t="shared" si="36"/>
        <v>930</v>
      </c>
      <c r="AD42">
        <f t="shared" si="37"/>
        <v>237.8</v>
      </c>
      <c r="AE42">
        <f t="shared" si="38"/>
        <v>1167.6666666666667</v>
      </c>
      <c r="AF42">
        <f t="shared" si="39"/>
        <v>238</v>
      </c>
      <c r="AG42">
        <f t="shared" ref="AG42:AG45" si="40">ROUND(AE42,0)</f>
        <v>1168</v>
      </c>
    </row>
    <row r="43" spans="3:34" x14ac:dyDescent="0.25">
      <c r="C43" t="s">
        <v>18</v>
      </c>
      <c r="D43">
        <v>802</v>
      </c>
      <c r="E43">
        <v>799</v>
      </c>
      <c r="F43">
        <v>804</v>
      </c>
      <c r="G43">
        <v>805</v>
      </c>
      <c r="H43">
        <v>798</v>
      </c>
      <c r="I43">
        <v>795</v>
      </c>
      <c r="J43">
        <v>804</v>
      </c>
      <c r="K43">
        <v>796</v>
      </c>
      <c r="L43">
        <v>804</v>
      </c>
      <c r="M43">
        <v>798</v>
      </c>
      <c r="N43">
        <v>797</v>
      </c>
      <c r="O43">
        <f t="shared" si="26"/>
        <v>800.18181818181813</v>
      </c>
      <c r="P43" s="1">
        <f t="shared" si="27"/>
        <v>795</v>
      </c>
      <c r="Q43" s="1">
        <f t="shared" si="28"/>
        <v>805</v>
      </c>
      <c r="R43">
        <f t="shared" si="29"/>
        <v>10</v>
      </c>
      <c r="S43">
        <f t="shared" si="30"/>
        <v>-10</v>
      </c>
      <c r="T43">
        <f t="shared" si="31"/>
        <v>-5</v>
      </c>
      <c r="U43" s="1">
        <v>3</v>
      </c>
      <c r="V43" s="1">
        <v>3</v>
      </c>
      <c r="W43">
        <f t="shared" si="32"/>
        <v>2415</v>
      </c>
      <c r="X43">
        <f t="shared" si="33"/>
        <v>2385</v>
      </c>
      <c r="Z43">
        <f t="shared" si="34"/>
        <v>800</v>
      </c>
      <c r="AA43">
        <f t="shared" si="35"/>
        <v>800</v>
      </c>
      <c r="AB43">
        <f t="shared" si="36"/>
        <v>0</v>
      </c>
      <c r="AD43">
        <f t="shared" si="37"/>
        <v>800.18181818181813</v>
      </c>
      <c r="AE43" t="e">
        <f t="shared" si="38"/>
        <v>#DIV/0!</v>
      </c>
      <c r="AF43">
        <f t="shared" si="39"/>
        <v>800</v>
      </c>
      <c r="AG43">
        <v>800</v>
      </c>
    </row>
    <row r="44" spans="3:34" x14ac:dyDescent="0.25">
      <c r="C44" t="s">
        <v>48</v>
      </c>
      <c r="D44">
        <v>1265</v>
      </c>
      <c r="E44">
        <v>1265</v>
      </c>
      <c r="F44">
        <v>1271</v>
      </c>
      <c r="G44">
        <v>1270</v>
      </c>
      <c r="H44">
        <v>1265</v>
      </c>
      <c r="I44">
        <v>1263</v>
      </c>
      <c r="J44">
        <v>1267</v>
      </c>
      <c r="K44">
        <v>1904</v>
      </c>
      <c r="L44">
        <v>1902</v>
      </c>
      <c r="M44">
        <v>1262</v>
      </c>
      <c r="N44">
        <v>1262</v>
      </c>
      <c r="O44">
        <f t="shared" si="26"/>
        <v>1381.4545454545455</v>
      </c>
      <c r="P44" s="1">
        <f t="shared" si="27"/>
        <v>1262</v>
      </c>
      <c r="Q44" s="1">
        <f t="shared" si="28"/>
        <v>1904</v>
      </c>
      <c r="R44">
        <f t="shared" si="29"/>
        <v>642</v>
      </c>
      <c r="S44">
        <f t="shared" si="30"/>
        <v>630</v>
      </c>
      <c r="T44">
        <f t="shared" si="31"/>
        <v>315</v>
      </c>
      <c r="U44" s="1">
        <v>2</v>
      </c>
      <c r="V44" s="1">
        <v>3</v>
      </c>
      <c r="W44">
        <f t="shared" si="32"/>
        <v>3808</v>
      </c>
      <c r="X44">
        <f t="shared" si="33"/>
        <v>3786</v>
      </c>
      <c r="Z44">
        <f t="shared" si="34"/>
        <v>1270</v>
      </c>
      <c r="AA44">
        <f t="shared" si="35"/>
        <v>1900</v>
      </c>
      <c r="AB44">
        <f t="shared" si="36"/>
        <v>630</v>
      </c>
      <c r="AD44">
        <f t="shared" si="37"/>
        <v>1265.5555555555557</v>
      </c>
      <c r="AE44">
        <f t="shared" si="38"/>
        <v>1903</v>
      </c>
      <c r="AF44">
        <v>1265</v>
      </c>
      <c r="AG44">
        <v>1905</v>
      </c>
    </row>
    <row r="45" spans="3:34" x14ac:dyDescent="0.25">
      <c r="C45" t="s">
        <v>51</v>
      </c>
      <c r="D45">
        <v>16005</v>
      </c>
      <c r="E45">
        <v>8002</v>
      </c>
      <c r="F45">
        <v>7996</v>
      </c>
      <c r="G45">
        <v>15997</v>
      </c>
      <c r="H45">
        <v>7998</v>
      </c>
      <c r="I45">
        <v>8001</v>
      </c>
      <c r="J45">
        <v>16001</v>
      </c>
      <c r="K45">
        <v>15997</v>
      </c>
      <c r="L45">
        <v>15995</v>
      </c>
      <c r="M45">
        <v>8003</v>
      </c>
      <c r="N45">
        <v>16005</v>
      </c>
      <c r="O45">
        <f t="shared" si="26"/>
        <v>12363.636363636364</v>
      </c>
      <c r="P45" s="1">
        <f t="shared" si="27"/>
        <v>7996</v>
      </c>
      <c r="Q45" s="1">
        <f t="shared" si="28"/>
        <v>16005</v>
      </c>
      <c r="R45">
        <f t="shared" si="29"/>
        <v>8009</v>
      </c>
      <c r="S45">
        <f t="shared" si="30"/>
        <v>7990</v>
      </c>
      <c r="T45">
        <f t="shared" si="31"/>
        <v>3995</v>
      </c>
      <c r="U45" s="1">
        <v>0</v>
      </c>
      <c r="V45" s="1">
        <v>2</v>
      </c>
      <c r="W45">
        <f t="shared" si="32"/>
        <v>0</v>
      </c>
      <c r="X45">
        <f t="shared" si="33"/>
        <v>15992</v>
      </c>
      <c r="Z45">
        <f t="shared" si="34"/>
        <v>8000</v>
      </c>
      <c r="AA45">
        <f t="shared" si="35"/>
        <v>16000</v>
      </c>
      <c r="AB45">
        <f t="shared" si="36"/>
        <v>8000</v>
      </c>
      <c r="AD45">
        <f t="shared" si="37"/>
        <v>8000</v>
      </c>
      <c r="AE45">
        <f t="shared" si="38"/>
        <v>16000</v>
      </c>
      <c r="AF45">
        <f t="shared" si="39"/>
        <v>8000</v>
      </c>
      <c r="AG45">
        <f t="shared" si="40"/>
        <v>16000</v>
      </c>
    </row>
    <row r="46" spans="3:34" x14ac:dyDescent="0.25">
      <c r="C46" t="s">
        <v>52</v>
      </c>
      <c r="D46">
        <v>14000</v>
      </c>
      <c r="E46">
        <v>13998</v>
      </c>
      <c r="F46">
        <v>13997</v>
      </c>
      <c r="G46">
        <v>13997</v>
      </c>
      <c r="H46">
        <v>13995</v>
      </c>
      <c r="I46">
        <v>14002</v>
      </c>
      <c r="J46">
        <v>14001</v>
      </c>
      <c r="K46">
        <v>14000</v>
      </c>
      <c r="L46">
        <v>14000</v>
      </c>
      <c r="M46">
        <v>14005</v>
      </c>
      <c r="N46">
        <v>14005</v>
      </c>
      <c r="O46">
        <f t="shared" si="26"/>
        <v>14000</v>
      </c>
      <c r="P46" s="1">
        <f t="shared" si="27"/>
        <v>13995</v>
      </c>
      <c r="Q46" s="1">
        <f t="shared" si="28"/>
        <v>14005</v>
      </c>
      <c r="R46">
        <f t="shared" si="29"/>
        <v>10</v>
      </c>
      <c r="S46">
        <f t="shared" si="30"/>
        <v>-10</v>
      </c>
      <c r="T46">
        <f t="shared" si="31"/>
        <v>-5</v>
      </c>
      <c r="U46" s="1">
        <v>1</v>
      </c>
      <c r="V46" s="1">
        <v>1</v>
      </c>
      <c r="W46">
        <f t="shared" si="32"/>
        <v>14005</v>
      </c>
      <c r="X46">
        <f t="shared" si="33"/>
        <v>13995</v>
      </c>
      <c r="Z46">
        <f t="shared" si="34"/>
        <v>14000</v>
      </c>
      <c r="AA46">
        <f t="shared" si="35"/>
        <v>14000</v>
      </c>
      <c r="AB46">
        <f t="shared" si="36"/>
        <v>0</v>
      </c>
      <c r="AD46">
        <f t="shared" si="37"/>
        <v>14000</v>
      </c>
      <c r="AE46" t="e">
        <f t="shared" si="38"/>
        <v>#DIV/0!</v>
      </c>
      <c r="AF46">
        <f t="shared" si="39"/>
        <v>14000</v>
      </c>
      <c r="AG46">
        <v>14000</v>
      </c>
    </row>
    <row r="47" spans="3:34" x14ac:dyDescent="0.25">
      <c r="C47" t="s">
        <v>53</v>
      </c>
      <c r="D47">
        <v>9996</v>
      </c>
      <c r="E47">
        <v>9998</v>
      </c>
      <c r="F47">
        <v>19996</v>
      </c>
      <c r="G47">
        <v>19998</v>
      </c>
      <c r="H47">
        <v>10004</v>
      </c>
      <c r="I47">
        <v>9997</v>
      </c>
      <c r="J47">
        <v>10005</v>
      </c>
      <c r="K47">
        <v>10000</v>
      </c>
      <c r="L47">
        <v>9996</v>
      </c>
      <c r="M47">
        <v>20003</v>
      </c>
      <c r="N47">
        <v>10000</v>
      </c>
      <c r="O47">
        <f t="shared" si="26"/>
        <v>12726.636363636364</v>
      </c>
      <c r="P47" s="1">
        <f t="shared" si="27"/>
        <v>9996</v>
      </c>
      <c r="Q47" s="1">
        <f t="shared" si="28"/>
        <v>20003</v>
      </c>
      <c r="R47">
        <f t="shared" si="29"/>
        <v>10007</v>
      </c>
      <c r="S47">
        <f t="shared" si="30"/>
        <v>9990</v>
      </c>
      <c r="T47">
        <f t="shared" si="31"/>
        <v>4995</v>
      </c>
      <c r="U47" s="1">
        <v>0</v>
      </c>
      <c r="V47" s="1">
        <v>1</v>
      </c>
      <c r="W47">
        <f t="shared" si="32"/>
        <v>0</v>
      </c>
      <c r="X47">
        <f t="shared" si="33"/>
        <v>9996</v>
      </c>
      <c r="Z47">
        <f t="shared" si="34"/>
        <v>10000</v>
      </c>
      <c r="AA47">
        <f t="shared" si="35"/>
        <v>20000</v>
      </c>
      <c r="AB47">
        <f t="shared" si="36"/>
        <v>10000</v>
      </c>
      <c r="AD47">
        <f t="shared" si="37"/>
        <v>9999.5</v>
      </c>
      <c r="AE47">
        <f t="shared" si="38"/>
        <v>19999</v>
      </c>
      <c r="AF47">
        <f t="shared" si="39"/>
        <v>10000</v>
      </c>
      <c r="AG47">
        <v>20000</v>
      </c>
    </row>
    <row r="48" spans="3:34" x14ac:dyDescent="0.25">
      <c r="C48" t="s">
        <v>54</v>
      </c>
      <c r="D48">
        <v>15999</v>
      </c>
      <c r="E48">
        <v>15997</v>
      </c>
      <c r="F48">
        <v>16005</v>
      </c>
      <c r="G48">
        <v>16004</v>
      </c>
      <c r="H48">
        <v>16004</v>
      </c>
      <c r="I48">
        <v>16005</v>
      </c>
      <c r="J48">
        <v>15995</v>
      </c>
      <c r="K48">
        <v>15996</v>
      </c>
      <c r="L48">
        <v>16001</v>
      </c>
      <c r="M48">
        <v>16005</v>
      </c>
      <c r="N48">
        <v>16004</v>
      </c>
      <c r="O48">
        <f t="shared" si="26"/>
        <v>16001.363636363636</v>
      </c>
      <c r="P48" s="1">
        <f t="shared" si="27"/>
        <v>15995</v>
      </c>
      <c r="Q48" s="1">
        <f t="shared" si="28"/>
        <v>16005</v>
      </c>
      <c r="R48">
        <f t="shared" si="29"/>
        <v>10</v>
      </c>
      <c r="S48">
        <f t="shared" si="30"/>
        <v>-10</v>
      </c>
      <c r="T48">
        <f t="shared" si="31"/>
        <v>-5</v>
      </c>
      <c r="U48" s="1">
        <v>1</v>
      </c>
      <c r="V48" s="1">
        <v>1</v>
      </c>
      <c r="W48">
        <f t="shared" si="32"/>
        <v>16005</v>
      </c>
      <c r="X48">
        <f t="shared" si="33"/>
        <v>15995</v>
      </c>
      <c r="Z48">
        <f t="shared" si="34"/>
        <v>16000</v>
      </c>
      <c r="AA48">
        <f t="shared" si="35"/>
        <v>16000</v>
      </c>
      <c r="AB48">
        <f t="shared" si="36"/>
        <v>0</v>
      </c>
      <c r="AD48">
        <f t="shared" si="37"/>
        <v>16001.363636363636</v>
      </c>
      <c r="AE48" t="e">
        <f t="shared" si="38"/>
        <v>#DIV/0!</v>
      </c>
      <c r="AF48">
        <v>16000</v>
      </c>
      <c r="AG48">
        <v>16000</v>
      </c>
    </row>
    <row r="49" spans="3:33" x14ac:dyDescent="0.25">
      <c r="C49" t="s">
        <v>55</v>
      </c>
      <c r="D49">
        <v>32001</v>
      </c>
      <c r="E49">
        <v>32003</v>
      </c>
      <c r="F49">
        <v>31996</v>
      </c>
      <c r="G49">
        <v>31998</v>
      </c>
      <c r="H49">
        <v>31996</v>
      </c>
      <c r="I49">
        <v>31995</v>
      </c>
      <c r="J49">
        <v>32004</v>
      </c>
      <c r="K49">
        <v>31995</v>
      </c>
      <c r="L49">
        <v>31997</v>
      </c>
      <c r="M49">
        <v>31997</v>
      </c>
      <c r="N49">
        <v>31996</v>
      </c>
      <c r="O49">
        <f t="shared" si="26"/>
        <v>31998</v>
      </c>
      <c r="P49" s="1">
        <f t="shared" si="27"/>
        <v>31995</v>
      </c>
      <c r="Q49" s="1">
        <f t="shared" si="28"/>
        <v>32004</v>
      </c>
      <c r="R49">
        <f t="shared" si="29"/>
        <v>9</v>
      </c>
      <c r="S49">
        <f t="shared" si="30"/>
        <v>-10</v>
      </c>
      <c r="T49">
        <f t="shared" si="31"/>
        <v>-5</v>
      </c>
      <c r="U49" s="1">
        <v>1</v>
      </c>
      <c r="V49" s="1">
        <v>1</v>
      </c>
      <c r="W49">
        <f t="shared" si="32"/>
        <v>32004</v>
      </c>
      <c r="X49">
        <f t="shared" si="33"/>
        <v>31995</v>
      </c>
      <c r="Z49">
        <f t="shared" si="34"/>
        <v>32000</v>
      </c>
      <c r="AA49">
        <f t="shared" si="35"/>
        <v>32000</v>
      </c>
      <c r="AB49">
        <f t="shared" si="36"/>
        <v>0</v>
      </c>
      <c r="AD49">
        <f t="shared" si="37"/>
        <v>31998</v>
      </c>
      <c r="AE49" t="e">
        <f t="shared" si="38"/>
        <v>#DIV/0!</v>
      </c>
      <c r="AF49">
        <v>32000</v>
      </c>
      <c r="AG49">
        <v>32000</v>
      </c>
    </row>
    <row r="50" spans="3:33" x14ac:dyDescent="0.25">
      <c r="C50" t="s">
        <v>36</v>
      </c>
      <c r="D50">
        <v>53330</v>
      </c>
      <c r="E50">
        <v>53338</v>
      </c>
      <c r="F50">
        <v>13333</v>
      </c>
      <c r="G50">
        <v>13333</v>
      </c>
      <c r="H50">
        <v>13337</v>
      </c>
      <c r="I50">
        <v>53331</v>
      </c>
      <c r="J50">
        <v>53328</v>
      </c>
      <c r="K50">
        <v>13333</v>
      </c>
      <c r="L50">
        <v>13333</v>
      </c>
      <c r="M50">
        <v>13338</v>
      </c>
      <c r="N50">
        <v>53336</v>
      </c>
      <c r="O50">
        <f t="shared" si="26"/>
        <v>31515.454545454544</v>
      </c>
      <c r="P50" s="1">
        <f t="shared" si="27"/>
        <v>13333</v>
      </c>
      <c r="Q50" s="1">
        <f t="shared" si="28"/>
        <v>53338</v>
      </c>
      <c r="R50">
        <f t="shared" si="29"/>
        <v>40005</v>
      </c>
      <c r="S50">
        <f t="shared" si="30"/>
        <v>39990</v>
      </c>
      <c r="T50">
        <f t="shared" si="31"/>
        <v>19995</v>
      </c>
      <c r="U50" s="1">
        <v>0</v>
      </c>
      <c r="V50" s="1">
        <v>2</v>
      </c>
      <c r="W50">
        <f t="shared" si="32"/>
        <v>0</v>
      </c>
      <c r="X50">
        <f t="shared" si="33"/>
        <v>26666</v>
      </c>
      <c r="Z50">
        <f t="shared" si="34"/>
        <v>13340</v>
      </c>
      <c r="AA50">
        <f t="shared" si="35"/>
        <v>53330</v>
      </c>
      <c r="AB50">
        <f t="shared" si="36"/>
        <v>39990</v>
      </c>
      <c r="AD50">
        <f t="shared" si="37"/>
        <v>13334.5</v>
      </c>
      <c r="AE50">
        <f t="shared" si="38"/>
        <v>53332.6</v>
      </c>
      <c r="AF50">
        <f t="shared" si="39"/>
        <v>13335</v>
      </c>
      <c r="AG50">
        <v>53335</v>
      </c>
    </row>
    <row r="53" spans="3:33" x14ac:dyDescent="0.25">
      <c r="C53" t="s">
        <v>5</v>
      </c>
    </row>
    <row r="54" spans="3:33" x14ac:dyDescent="0.25">
      <c r="D54" t="s">
        <v>42</v>
      </c>
    </row>
    <row r="55" spans="3:33" x14ac:dyDescent="0.25">
      <c r="C55" t="s">
        <v>10</v>
      </c>
      <c r="D55">
        <v>622</v>
      </c>
      <c r="E55">
        <v>478</v>
      </c>
      <c r="F55">
        <v>484</v>
      </c>
      <c r="G55">
        <v>480</v>
      </c>
      <c r="H55">
        <v>622</v>
      </c>
      <c r="I55">
        <v>613</v>
      </c>
      <c r="J55">
        <v>479</v>
      </c>
      <c r="K55">
        <v>623</v>
      </c>
      <c r="L55">
        <v>479</v>
      </c>
      <c r="M55">
        <v>481</v>
      </c>
      <c r="N55">
        <v>617</v>
      </c>
      <c r="O55">
        <f t="shared" ref="O55:O62" si="41">AVERAGE(D55:N55)</f>
        <v>543.4545454545455</v>
      </c>
      <c r="P55" s="1">
        <f t="shared" ref="P55:P62" si="42">MIN(D55:N55)</f>
        <v>478</v>
      </c>
      <c r="Q55" s="1">
        <f t="shared" ref="Q55:Q62" si="43">MAX(D55:N55)</f>
        <v>623</v>
      </c>
      <c r="R55">
        <f t="shared" ref="R55:R62" si="44">Q55-P55</f>
        <v>145</v>
      </c>
      <c r="S55">
        <f t="shared" ref="S55:S62" si="45">CEILING(R55-20,10)</f>
        <v>130</v>
      </c>
      <c r="T55">
        <f t="shared" ref="T55:T62" si="46">S55/2</f>
        <v>65</v>
      </c>
      <c r="U55" s="1">
        <v>7</v>
      </c>
      <c r="V55" s="1">
        <v>9</v>
      </c>
      <c r="W55">
        <f t="shared" ref="W55:W62" si="47">U55*Q55</f>
        <v>4361</v>
      </c>
      <c r="X55">
        <f t="shared" ref="X55:X62" si="48">V55*P55</f>
        <v>4302</v>
      </c>
      <c r="Z55">
        <f t="shared" ref="Z55:Z62" si="49">CEILING(P55,10)</f>
        <v>480</v>
      </c>
      <c r="AA55">
        <f t="shared" ref="AA55:AA62" si="50">FLOOR(Q55,10)</f>
        <v>620</v>
      </c>
      <c r="AB55">
        <f t="shared" ref="AB55:AB62" si="51">AA55-Z55</f>
        <v>140</v>
      </c>
      <c r="AD55">
        <f t="shared" ref="AD55:AD62" si="52">AVERAGEIF(D55:N55,"&lt;="&amp;P55+10)</f>
        <v>480.16666666666669</v>
      </c>
      <c r="AE55">
        <f t="shared" ref="AE55:AE62" si="53">AVERAGEIF(D55:N55,"&gt;"&amp;P55+10)</f>
        <v>619.4</v>
      </c>
      <c r="AF55">
        <f t="shared" ref="AF55:AF59" si="54">ROUND(AD55,0)</f>
        <v>480</v>
      </c>
      <c r="AG55">
        <v>620</v>
      </c>
    </row>
    <row r="56" spans="3:33" x14ac:dyDescent="0.25">
      <c r="C56" t="s">
        <v>38</v>
      </c>
      <c r="D56">
        <v>1102</v>
      </c>
      <c r="E56">
        <v>1098</v>
      </c>
      <c r="F56">
        <v>2752</v>
      </c>
      <c r="G56">
        <v>1096</v>
      </c>
      <c r="H56">
        <v>2746</v>
      </c>
      <c r="I56">
        <v>2746</v>
      </c>
      <c r="J56">
        <v>2754</v>
      </c>
      <c r="K56">
        <v>1096</v>
      </c>
      <c r="L56">
        <v>1099</v>
      </c>
      <c r="M56">
        <v>1096</v>
      </c>
      <c r="N56">
        <v>2749</v>
      </c>
      <c r="O56">
        <f t="shared" si="41"/>
        <v>1848.5454545454545</v>
      </c>
      <c r="P56" s="1">
        <f t="shared" si="42"/>
        <v>1096</v>
      </c>
      <c r="Q56" s="1">
        <f t="shared" si="43"/>
        <v>2754</v>
      </c>
      <c r="R56">
        <f t="shared" si="44"/>
        <v>1658</v>
      </c>
      <c r="S56">
        <f t="shared" si="45"/>
        <v>1640</v>
      </c>
      <c r="T56">
        <f t="shared" si="46"/>
        <v>820</v>
      </c>
      <c r="U56" s="1">
        <v>3</v>
      </c>
      <c r="V56" s="1">
        <v>6</v>
      </c>
      <c r="W56">
        <f t="shared" si="47"/>
        <v>8262</v>
      </c>
      <c r="X56">
        <f t="shared" si="48"/>
        <v>6576</v>
      </c>
      <c r="Z56">
        <f t="shared" si="49"/>
        <v>1100</v>
      </c>
      <c r="AA56">
        <f t="shared" si="50"/>
        <v>2750</v>
      </c>
      <c r="AB56">
        <f t="shared" si="51"/>
        <v>1650</v>
      </c>
      <c r="AD56">
        <f t="shared" si="52"/>
        <v>1097.8333333333333</v>
      </c>
      <c r="AE56">
        <f t="shared" si="53"/>
        <v>2749.4</v>
      </c>
      <c r="AF56">
        <v>1100</v>
      </c>
      <c r="AG56">
        <v>2750</v>
      </c>
    </row>
    <row r="57" spans="3:33" x14ac:dyDescent="0.25">
      <c r="C57" t="s">
        <v>14</v>
      </c>
      <c r="D57">
        <v>441</v>
      </c>
      <c r="E57">
        <v>175</v>
      </c>
      <c r="F57">
        <v>180</v>
      </c>
      <c r="G57">
        <v>178</v>
      </c>
      <c r="H57">
        <v>179</v>
      </c>
      <c r="I57">
        <v>174</v>
      </c>
      <c r="J57">
        <v>176</v>
      </c>
      <c r="K57">
        <v>177</v>
      </c>
      <c r="L57">
        <v>436</v>
      </c>
      <c r="M57">
        <v>180</v>
      </c>
      <c r="N57">
        <v>176</v>
      </c>
      <c r="O57">
        <f t="shared" si="41"/>
        <v>224.72727272727272</v>
      </c>
      <c r="P57" s="1">
        <f t="shared" si="42"/>
        <v>174</v>
      </c>
      <c r="Q57" s="1">
        <f t="shared" si="43"/>
        <v>441</v>
      </c>
      <c r="R57">
        <f t="shared" si="44"/>
        <v>267</v>
      </c>
      <c r="S57">
        <f t="shared" si="45"/>
        <v>250</v>
      </c>
      <c r="T57">
        <f t="shared" si="46"/>
        <v>125</v>
      </c>
      <c r="U57" s="1">
        <v>3</v>
      </c>
      <c r="V57" s="1">
        <v>6</v>
      </c>
      <c r="W57">
        <f t="shared" si="47"/>
        <v>1323</v>
      </c>
      <c r="X57">
        <f t="shared" si="48"/>
        <v>1044</v>
      </c>
      <c r="Z57">
        <f t="shared" si="49"/>
        <v>180</v>
      </c>
      <c r="AA57">
        <f t="shared" si="50"/>
        <v>440</v>
      </c>
      <c r="AB57">
        <f t="shared" si="51"/>
        <v>260</v>
      </c>
      <c r="AD57">
        <f t="shared" si="52"/>
        <v>177.22222222222223</v>
      </c>
      <c r="AE57">
        <f t="shared" si="53"/>
        <v>438.5</v>
      </c>
      <c r="AF57">
        <v>178</v>
      </c>
      <c r="AG57">
        <v>438</v>
      </c>
    </row>
    <row r="58" spans="3:33" x14ac:dyDescent="0.25">
      <c r="C58" t="s">
        <v>48</v>
      </c>
      <c r="D58">
        <v>2499</v>
      </c>
      <c r="E58">
        <v>1665</v>
      </c>
      <c r="F58">
        <v>2499</v>
      </c>
      <c r="G58">
        <v>2501</v>
      </c>
      <c r="H58">
        <v>2497</v>
      </c>
      <c r="I58">
        <v>1669</v>
      </c>
      <c r="J58">
        <v>1670</v>
      </c>
      <c r="K58">
        <v>2504</v>
      </c>
      <c r="L58">
        <v>2499</v>
      </c>
      <c r="M58">
        <v>2499</v>
      </c>
      <c r="N58">
        <v>1671</v>
      </c>
      <c r="O58">
        <f t="shared" si="41"/>
        <v>2197.5454545454545</v>
      </c>
      <c r="P58" s="1">
        <f t="shared" si="42"/>
        <v>1665</v>
      </c>
      <c r="Q58" s="1">
        <f t="shared" si="43"/>
        <v>2504</v>
      </c>
      <c r="R58">
        <f t="shared" si="44"/>
        <v>839</v>
      </c>
      <c r="S58">
        <f t="shared" si="45"/>
        <v>820</v>
      </c>
      <c r="T58">
        <f t="shared" si="46"/>
        <v>410</v>
      </c>
      <c r="U58" s="1">
        <v>3</v>
      </c>
      <c r="V58" s="1">
        <v>4</v>
      </c>
      <c r="W58">
        <f t="shared" si="47"/>
        <v>7512</v>
      </c>
      <c r="X58">
        <f t="shared" si="48"/>
        <v>6660</v>
      </c>
      <c r="Z58">
        <f t="shared" si="49"/>
        <v>1670</v>
      </c>
      <c r="AA58">
        <f t="shared" si="50"/>
        <v>2500</v>
      </c>
      <c r="AB58">
        <f t="shared" si="51"/>
        <v>830</v>
      </c>
      <c r="AD58">
        <f t="shared" si="52"/>
        <v>1668.75</v>
      </c>
      <c r="AE58">
        <f t="shared" si="53"/>
        <v>2499.7142857142858</v>
      </c>
      <c r="AF58">
        <v>1670</v>
      </c>
      <c r="AG58">
        <f t="shared" ref="AG58" si="55">ROUND(AE58,0)</f>
        <v>2500</v>
      </c>
    </row>
    <row r="59" spans="3:33" x14ac:dyDescent="0.25">
      <c r="C59" t="s">
        <v>47</v>
      </c>
      <c r="D59">
        <v>3999</v>
      </c>
      <c r="E59">
        <v>3995</v>
      </c>
      <c r="F59">
        <v>3997</v>
      </c>
      <c r="G59">
        <v>4005</v>
      </c>
      <c r="H59">
        <v>4003</v>
      </c>
      <c r="I59">
        <v>3995</v>
      </c>
      <c r="J59">
        <v>4002</v>
      </c>
      <c r="K59">
        <v>4004</v>
      </c>
      <c r="L59">
        <v>4002</v>
      </c>
      <c r="M59">
        <v>4001</v>
      </c>
      <c r="N59">
        <v>3998</v>
      </c>
      <c r="O59">
        <f t="shared" si="41"/>
        <v>4000.090909090909</v>
      </c>
      <c r="P59" s="1">
        <f t="shared" si="42"/>
        <v>3995</v>
      </c>
      <c r="Q59" s="1">
        <f t="shared" si="43"/>
        <v>4005</v>
      </c>
      <c r="R59">
        <f t="shared" si="44"/>
        <v>10</v>
      </c>
      <c r="S59">
        <f t="shared" si="45"/>
        <v>-10</v>
      </c>
      <c r="T59">
        <f t="shared" si="46"/>
        <v>-5</v>
      </c>
      <c r="U59" s="1">
        <v>2</v>
      </c>
      <c r="V59" s="1">
        <v>2</v>
      </c>
      <c r="W59">
        <f t="shared" si="47"/>
        <v>8010</v>
      </c>
      <c r="X59">
        <f t="shared" si="48"/>
        <v>7990</v>
      </c>
      <c r="Z59">
        <f t="shared" si="49"/>
        <v>4000</v>
      </c>
      <c r="AA59">
        <f t="shared" si="50"/>
        <v>4000</v>
      </c>
      <c r="AB59">
        <f t="shared" si="51"/>
        <v>0</v>
      </c>
      <c r="AD59">
        <f t="shared" si="52"/>
        <v>4000.090909090909</v>
      </c>
      <c r="AE59" t="e">
        <f t="shared" si="53"/>
        <v>#DIV/0!</v>
      </c>
      <c r="AF59">
        <f t="shared" si="54"/>
        <v>4000</v>
      </c>
      <c r="AG59">
        <v>4000</v>
      </c>
    </row>
    <row r="60" spans="3:33" x14ac:dyDescent="0.25">
      <c r="C60" t="s">
        <v>23</v>
      </c>
      <c r="D60">
        <v>1333</v>
      </c>
      <c r="E60">
        <v>5334</v>
      </c>
      <c r="F60">
        <v>1337</v>
      </c>
      <c r="G60">
        <v>5333</v>
      </c>
      <c r="H60">
        <v>5329</v>
      </c>
      <c r="I60">
        <v>1333</v>
      </c>
      <c r="J60">
        <v>5334</v>
      </c>
      <c r="K60">
        <v>5328</v>
      </c>
      <c r="L60">
        <v>1333</v>
      </c>
      <c r="M60">
        <v>5332</v>
      </c>
      <c r="N60">
        <v>1334</v>
      </c>
      <c r="O60">
        <f t="shared" si="41"/>
        <v>3514.5454545454545</v>
      </c>
      <c r="P60" s="1">
        <f t="shared" si="42"/>
        <v>1333</v>
      </c>
      <c r="Q60" s="1">
        <f t="shared" si="43"/>
        <v>5334</v>
      </c>
      <c r="R60">
        <f t="shared" si="44"/>
        <v>4001</v>
      </c>
      <c r="S60">
        <f t="shared" si="45"/>
        <v>3990</v>
      </c>
      <c r="T60">
        <f t="shared" si="46"/>
        <v>1995</v>
      </c>
      <c r="U60" s="1">
        <v>1</v>
      </c>
      <c r="V60" s="1">
        <v>4</v>
      </c>
      <c r="W60">
        <f t="shared" si="47"/>
        <v>5334</v>
      </c>
      <c r="X60">
        <f t="shared" si="48"/>
        <v>5332</v>
      </c>
      <c r="Z60">
        <f t="shared" si="49"/>
        <v>1340</v>
      </c>
      <c r="AA60">
        <f t="shared" si="50"/>
        <v>5330</v>
      </c>
      <c r="AB60">
        <f t="shared" si="51"/>
        <v>3990</v>
      </c>
      <c r="AD60">
        <f t="shared" si="52"/>
        <v>1334</v>
      </c>
      <c r="AE60">
        <f t="shared" si="53"/>
        <v>5331.666666666667</v>
      </c>
      <c r="AF60">
        <v>1335</v>
      </c>
      <c r="AG60">
        <v>5330</v>
      </c>
    </row>
    <row r="61" spans="3:33" x14ac:dyDescent="0.25">
      <c r="C61" t="s">
        <v>27</v>
      </c>
      <c r="D61">
        <v>1504</v>
      </c>
      <c r="E61">
        <v>7504</v>
      </c>
      <c r="F61">
        <v>1500</v>
      </c>
      <c r="G61">
        <v>1500</v>
      </c>
      <c r="H61">
        <v>1500</v>
      </c>
      <c r="I61">
        <v>7505</v>
      </c>
      <c r="J61">
        <v>7503</v>
      </c>
      <c r="K61">
        <v>7496</v>
      </c>
      <c r="L61">
        <v>1500</v>
      </c>
      <c r="M61">
        <v>1501</v>
      </c>
      <c r="N61">
        <v>1501</v>
      </c>
      <c r="O61">
        <f t="shared" si="41"/>
        <v>3683.090909090909</v>
      </c>
      <c r="P61" s="1">
        <f t="shared" si="42"/>
        <v>1500</v>
      </c>
      <c r="Q61" s="1">
        <f t="shared" si="43"/>
        <v>7505</v>
      </c>
      <c r="R61">
        <f t="shared" si="44"/>
        <v>6005</v>
      </c>
      <c r="S61">
        <f t="shared" si="45"/>
        <v>5990</v>
      </c>
      <c r="T61">
        <f t="shared" si="46"/>
        <v>2995</v>
      </c>
      <c r="U61" s="1">
        <v>1</v>
      </c>
      <c r="V61" s="1">
        <v>5</v>
      </c>
      <c r="W61">
        <f t="shared" si="47"/>
        <v>7505</v>
      </c>
      <c r="X61">
        <f t="shared" si="48"/>
        <v>7500</v>
      </c>
      <c r="Z61">
        <f t="shared" si="49"/>
        <v>1500</v>
      </c>
      <c r="AA61">
        <f t="shared" si="50"/>
        <v>7500</v>
      </c>
      <c r="AB61">
        <f t="shared" si="51"/>
        <v>6000</v>
      </c>
      <c r="AD61">
        <f t="shared" si="52"/>
        <v>1500.8571428571429</v>
      </c>
      <c r="AE61">
        <f t="shared" si="53"/>
        <v>7502</v>
      </c>
      <c r="AF61">
        <v>1500</v>
      </c>
      <c r="AG61">
        <v>7500</v>
      </c>
    </row>
    <row r="62" spans="3:33" x14ac:dyDescent="0.25">
      <c r="C62" t="s">
        <v>58</v>
      </c>
      <c r="D62">
        <v>40001</v>
      </c>
      <c r="E62">
        <v>39998</v>
      </c>
      <c r="F62">
        <v>39995</v>
      </c>
      <c r="G62">
        <v>40003</v>
      </c>
      <c r="H62">
        <v>40001</v>
      </c>
      <c r="I62">
        <v>40005</v>
      </c>
      <c r="J62">
        <v>39996</v>
      </c>
      <c r="K62">
        <v>40004</v>
      </c>
      <c r="L62">
        <v>40005</v>
      </c>
      <c r="M62">
        <v>39997</v>
      </c>
      <c r="N62">
        <v>40002</v>
      </c>
      <c r="O62">
        <f t="shared" si="41"/>
        <v>40000.63636363636</v>
      </c>
      <c r="P62" s="1">
        <f t="shared" si="42"/>
        <v>39995</v>
      </c>
      <c r="Q62" s="1">
        <f t="shared" si="43"/>
        <v>40005</v>
      </c>
      <c r="R62">
        <f t="shared" si="44"/>
        <v>10</v>
      </c>
      <c r="S62">
        <f t="shared" si="45"/>
        <v>-10</v>
      </c>
      <c r="T62">
        <f t="shared" si="46"/>
        <v>-5</v>
      </c>
      <c r="U62" s="1">
        <v>1</v>
      </c>
      <c r="V62" s="1">
        <v>1</v>
      </c>
      <c r="W62">
        <f t="shared" si="47"/>
        <v>40005</v>
      </c>
      <c r="X62">
        <f t="shared" si="48"/>
        <v>39995</v>
      </c>
      <c r="Z62">
        <f t="shared" si="49"/>
        <v>40000</v>
      </c>
      <c r="AA62">
        <f t="shared" si="50"/>
        <v>40000</v>
      </c>
      <c r="AB62">
        <f t="shared" si="51"/>
        <v>0</v>
      </c>
      <c r="AD62">
        <f t="shared" si="52"/>
        <v>40000.63636363636</v>
      </c>
      <c r="AE62" t="e">
        <f t="shared" si="53"/>
        <v>#DIV/0!</v>
      </c>
      <c r="AF62">
        <v>40000</v>
      </c>
      <c r="AG62">
        <v>40000</v>
      </c>
    </row>
    <row r="65" spans="3:33" x14ac:dyDescent="0.25">
      <c r="C65" t="s">
        <v>6</v>
      </c>
    </row>
    <row r="66" spans="3:33" x14ac:dyDescent="0.25">
      <c r="D66" t="s">
        <v>42</v>
      </c>
    </row>
    <row r="67" spans="3:33" x14ac:dyDescent="0.25">
      <c r="C67" t="s">
        <v>59</v>
      </c>
      <c r="D67">
        <v>683</v>
      </c>
      <c r="E67">
        <v>851</v>
      </c>
      <c r="F67">
        <v>682</v>
      </c>
      <c r="G67">
        <v>684</v>
      </c>
      <c r="H67">
        <v>855</v>
      </c>
      <c r="I67">
        <v>849</v>
      </c>
      <c r="J67">
        <v>855</v>
      </c>
      <c r="K67">
        <v>848</v>
      </c>
      <c r="L67">
        <v>849</v>
      </c>
      <c r="M67">
        <v>679</v>
      </c>
      <c r="N67">
        <v>850</v>
      </c>
      <c r="O67">
        <f t="shared" ref="O67:O76" si="56">AVERAGE(D67:N67)</f>
        <v>789.5454545454545</v>
      </c>
      <c r="P67" s="1">
        <f t="shared" ref="P67:P76" si="57">MIN(D67:N67)</f>
        <v>679</v>
      </c>
      <c r="Q67" s="1">
        <f t="shared" ref="Q67:Q76" si="58">MAX(D67:N67)</f>
        <v>855</v>
      </c>
      <c r="R67">
        <f t="shared" ref="R67:R76" si="59">Q67-P67</f>
        <v>176</v>
      </c>
      <c r="S67">
        <f t="shared" ref="S67:S76" si="60">CEILING(R67-20,10)</f>
        <v>160</v>
      </c>
      <c r="T67">
        <f t="shared" ref="T67:T76" si="61">S67/2</f>
        <v>80</v>
      </c>
      <c r="U67" s="1">
        <v>5</v>
      </c>
      <c r="V67" s="1">
        <v>6</v>
      </c>
      <c r="W67">
        <f t="shared" ref="W67:W76" si="62">U67*Q67</f>
        <v>4275</v>
      </c>
      <c r="X67">
        <f t="shared" ref="X67:X76" si="63">V67*P67</f>
        <v>4074</v>
      </c>
      <c r="Z67">
        <f t="shared" ref="Z67:Z76" si="64">CEILING(P67,10)</f>
        <v>680</v>
      </c>
      <c r="AA67">
        <f t="shared" ref="AA67:AA76" si="65">FLOOR(Q67,10)</f>
        <v>850</v>
      </c>
      <c r="AB67">
        <f t="shared" ref="AB67:AB76" si="66">AA67-Z67</f>
        <v>170</v>
      </c>
      <c r="AD67">
        <f t="shared" ref="AD67:AD76" si="67">AVERAGEIF(D67:N67,"&lt;="&amp;P67+10)</f>
        <v>682</v>
      </c>
      <c r="AE67">
        <f t="shared" ref="AE67:AE76" si="68">AVERAGEIF(D67:N67,"&gt;"&amp;P67+10)</f>
        <v>851</v>
      </c>
      <c r="AF67">
        <v>680</v>
      </c>
      <c r="AG67">
        <v>850</v>
      </c>
    </row>
    <row r="68" spans="3:33" x14ac:dyDescent="0.25">
      <c r="C68" t="s">
        <v>39</v>
      </c>
      <c r="D68">
        <v>200</v>
      </c>
      <c r="E68">
        <v>203</v>
      </c>
      <c r="F68">
        <v>200</v>
      </c>
      <c r="G68">
        <v>796</v>
      </c>
      <c r="H68">
        <v>798</v>
      </c>
      <c r="I68">
        <v>200</v>
      </c>
      <c r="J68">
        <v>203</v>
      </c>
      <c r="K68">
        <v>200</v>
      </c>
      <c r="L68">
        <v>801</v>
      </c>
      <c r="M68">
        <v>800</v>
      </c>
      <c r="N68">
        <v>200</v>
      </c>
      <c r="O68">
        <f t="shared" si="56"/>
        <v>418.27272727272725</v>
      </c>
      <c r="P68" s="1">
        <f t="shared" si="57"/>
        <v>200</v>
      </c>
      <c r="Q68" s="1">
        <f t="shared" si="58"/>
        <v>801</v>
      </c>
      <c r="R68">
        <f t="shared" si="59"/>
        <v>601</v>
      </c>
      <c r="S68">
        <f t="shared" si="60"/>
        <v>590</v>
      </c>
      <c r="T68">
        <f t="shared" si="61"/>
        <v>295</v>
      </c>
      <c r="U68" s="1">
        <v>2</v>
      </c>
      <c r="V68" s="1">
        <v>5</v>
      </c>
      <c r="W68">
        <f t="shared" si="62"/>
        <v>1602</v>
      </c>
      <c r="X68">
        <f t="shared" si="63"/>
        <v>1000</v>
      </c>
      <c r="Z68">
        <f t="shared" si="64"/>
        <v>200</v>
      </c>
      <c r="AA68">
        <f t="shared" si="65"/>
        <v>800</v>
      </c>
      <c r="AB68">
        <f t="shared" si="66"/>
        <v>600</v>
      </c>
      <c r="AD68">
        <f t="shared" si="67"/>
        <v>200.85714285714286</v>
      </c>
      <c r="AE68">
        <f t="shared" si="68"/>
        <v>798.75</v>
      </c>
      <c r="AF68">
        <v>200</v>
      </c>
      <c r="AG68">
        <v>800</v>
      </c>
    </row>
    <row r="69" spans="3:33" x14ac:dyDescent="0.25">
      <c r="C69" t="s">
        <v>20</v>
      </c>
      <c r="D69">
        <v>650</v>
      </c>
      <c r="E69">
        <v>430</v>
      </c>
      <c r="F69">
        <v>655</v>
      </c>
      <c r="G69">
        <v>655</v>
      </c>
      <c r="H69">
        <v>646</v>
      </c>
      <c r="I69">
        <v>647</v>
      </c>
      <c r="J69">
        <v>436</v>
      </c>
      <c r="K69">
        <v>435</v>
      </c>
      <c r="L69">
        <v>645</v>
      </c>
      <c r="M69">
        <v>645</v>
      </c>
      <c r="N69">
        <v>645</v>
      </c>
      <c r="O69">
        <f t="shared" si="56"/>
        <v>589.90909090909088</v>
      </c>
      <c r="P69" s="1">
        <f t="shared" si="57"/>
        <v>430</v>
      </c>
      <c r="Q69" s="1">
        <f t="shared" si="58"/>
        <v>655</v>
      </c>
      <c r="R69">
        <f t="shared" si="59"/>
        <v>225</v>
      </c>
      <c r="S69">
        <f t="shared" si="60"/>
        <v>210</v>
      </c>
      <c r="T69">
        <f t="shared" si="61"/>
        <v>105</v>
      </c>
      <c r="U69" s="1">
        <v>3</v>
      </c>
      <c r="V69" s="1">
        <v>4</v>
      </c>
      <c r="W69">
        <f t="shared" si="62"/>
        <v>1965</v>
      </c>
      <c r="X69">
        <f t="shared" si="63"/>
        <v>1720</v>
      </c>
      <c r="Z69">
        <f t="shared" si="64"/>
        <v>430</v>
      </c>
      <c r="AA69">
        <f t="shared" si="65"/>
        <v>650</v>
      </c>
      <c r="AB69">
        <f t="shared" si="66"/>
        <v>220</v>
      </c>
      <c r="AD69">
        <f t="shared" si="67"/>
        <v>433.66666666666669</v>
      </c>
      <c r="AE69">
        <f t="shared" si="68"/>
        <v>648.5</v>
      </c>
      <c r="AF69">
        <v>435</v>
      </c>
      <c r="AG69">
        <v>650</v>
      </c>
    </row>
    <row r="70" spans="3:33" x14ac:dyDescent="0.25">
      <c r="C70" t="s">
        <v>48</v>
      </c>
      <c r="D70">
        <v>998</v>
      </c>
      <c r="E70">
        <v>1003</v>
      </c>
      <c r="F70">
        <v>1005</v>
      </c>
      <c r="G70">
        <v>1000</v>
      </c>
      <c r="H70">
        <v>1004</v>
      </c>
      <c r="I70">
        <v>596</v>
      </c>
      <c r="J70">
        <v>604</v>
      </c>
      <c r="K70">
        <v>1004</v>
      </c>
      <c r="L70">
        <v>595</v>
      </c>
      <c r="M70">
        <v>995</v>
      </c>
      <c r="N70">
        <v>605</v>
      </c>
      <c r="O70">
        <f t="shared" si="56"/>
        <v>855.36363636363637</v>
      </c>
      <c r="P70" s="1">
        <f t="shared" si="57"/>
        <v>595</v>
      </c>
      <c r="Q70" s="1">
        <f t="shared" si="58"/>
        <v>1005</v>
      </c>
      <c r="R70">
        <f t="shared" si="59"/>
        <v>410</v>
      </c>
      <c r="S70">
        <f t="shared" si="60"/>
        <v>390</v>
      </c>
      <c r="T70">
        <f t="shared" si="61"/>
        <v>195</v>
      </c>
      <c r="U70" s="1">
        <v>3</v>
      </c>
      <c r="V70" s="1">
        <v>5</v>
      </c>
      <c r="W70">
        <f t="shared" si="62"/>
        <v>3015</v>
      </c>
      <c r="X70">
        <f t="shared" si="63"/>
        <v>2975</v>
      </c>
      <c r="Z70">
        <f t="shared" si="64"/>
        <v>600</v>
      </c>
      <c r="AA70">
        <f t="shared" si="65"/>
        <v>1000</v>
      </c>
      <c r="AB70">
        <f t="shared" si="66"/>
        <v>400</v>
      </c>
      <c r="AD70">
        <f t="shared" si="67"/>
        <v>600</v>
      </c>
      <c r="AE70">
        <f t="shared" si="68"/>
        <v>1001.2857142857143</v>
      </c>
      <c r="AF70">
        <f t="shared" ref="AF70:AF72" si="69">ROUND(AD70,0)</f>
        <v>600</v>
      </c>
      <c r="AG70">
        <v>1000</v>
      </c>
    </row>
    <row r="71" spans="3:33" x14ac:dyDescent="0.25">
      <c r="C71" t="s">
        <v>60</v>
      </c>
      <c r="D71">
        <v>2934</v>
      </c>
      <c r="E71">
        <v>1176</v>
      </c>
      <c r="F71">
        <v>1171</v>
      </c>
      <c r="G71">
        <v>2937</v>
      </c>
      <c r="H71">
        <v>1173</v>
      </c>
      <c r="I71">
        <v>2940</v>
      </c>
      <c r="J71">
        <v>2937</v>
      </c>
      <c r="K71">
        <v>1178</v>
      </c>
      <c r="L71">
        <v>1172</v>
      </c>
      <c r="M71">
        <v>1177</v>
      </c>
      <c r="N71">
        <v>1174</v>
      </c>
      <c r="O71">
        <f t="shared" si="56"/>
        <v>1815.3636363636363</v>
      </c>
      <c r="P71" s="1">
        <f t="shared" si="57"/>
        <v>1171</v>
      </c>
      <c r="Q71" s="1">
        <f t="shared" si="58"/>
        <v>2940</v>
      </c>
      <c r="R71">
        <f t="shared" si="59"/>
        <v>1769</v>
      </c>
      <c r="S71">
        <f t="shared" si="60"/>
        <v>1750</v>
      </c>
      <c r="T71">
        <f t="shared" si="61"/>
        <v>875</v>
      </c>
      <c r="U71" s="1">
        <v>3</v>
      </c>
      <c r="V71" s="1">
        <v>6</v>
      </c>
      <c r="W71">
        <f t="shared" si="62"/>
        <v>8820</v>
      </c>
      <c r="X71">
        <f t="shared" si="63"/>
        <v>7026</v>
      </c>
      <c r="Z71">
        <f t="shared" si="64"/>
        <v>1180</v>
      </c>
      <c r="AA71">
        <f t="shared" si="65"/>
        <v>2940</v>
      </c>
      <c r="AB71">
        <f t="shared" si="66"/>
        <v>1760</v>
      </c>
      <c r="AD71">
        <f t="shared" si="67"/>
        <v>1174.4285714285713</v>
      </c>
      <c r="AE71">
        <f t="shared" si="68"/>
        <v>2937</v>
      </c>
      <c r="AF71">
        <v>1175</v>
      </c>
      <c r="AG71">
        <v>2935</v>
      </c>
    </row>
    <row r="72" spans="3:33" x14ac:dyDescent="0.25">
      <c r="C72" t="s">
        <v>40</v>
      </c>
      <c r="D72">
        <v>29336</v>
      </c>
      <c r="E72">
        <v>14662</v>
      </c>
      <c r="F72">
        <v>14667</v>
      </c>
      <c r="G72">
        <v>29330</v>
      </c>
      <c r="H72">
        <v>14664</v>
      </c>
      <c r="I72">
        <v>14669</v>
      </c>
      <c r="J72">
        <v>14665</v>
      </c>
      <c r="K72">
        <v>14663</v>
      </c>
      <c r="L72">
        <v>14662</v>
      </c>
      <c r="M72">
        <v>29330</v>
      </c>
      <c r="N72">
        <v>29336</v>
      </c>
      <c r="O72">
        <f t="shared" si="56"/>
        <v>19998.545454545456</v>
      </c>
      <c r="P72" s="1">
        <f t="shared" si="57"/>
        <v>14662</v>
      </c>
      <c r="Q72" s="1">
        <f t="shared" si="58"/>
        <v>29336</v>
      </c>
      <c r="R72">
        <f t="shared" si="59"/>
        <v>14674</v>
      </c>
      <c r="S72">
        <f t="shared" si="60"/>
        <v>14660</v>
      </c>
      <c r="T72">
        <f t="shared" si="61"/>
        <v>7330</v>
      </c>
      <c r="U72" s="1">
        <v>0</v>
      </c>
      <c r="V72" s="1">
        <v>2</v>
      </c>
      <c r="W72">
        <f t="shared" si="62"/>
        <v>0</v>
      </c>
      <c r="X72">
        <f t="shared" si="63"/>
        <v>29324</v>
      </c>
      <c r="Z72">
        <f t="shared" si="64"/>
        <v>14670</v>
      </c>
      <c r="AA72">
        <f t="shared" si="65"/>
        <v>29330</v>
      </c>
      <c r="AB72">
        <f t="shared" si="66"/>
        <v>14660</v>
      </c>
      <c r="AD72">
        <f t="shared" si="67"/>
        <v>14664.571428571429</v>
      </c>
      <c r="AE72">
        <f t="shared" si="68"/>
        <v>29333</v>
      </c>
      <c r="AF72">
        <f t="shared" si="69"/>
        <v>14665</v>
      </c>
      <c r="AG72">
        <v>29335</v>
      </c>
    </row>
    <row r="73" spans="3:33" x14ac:dyDescent="0.25">
      <c r="C73" t="s">
        <v>30</v>
      </c>
      <c r="D73">
        <v>24000</v>
      </c>
      <c r="E73">
        <v>24000</v>
      </c>
      <c r="F73">
        <v>16004</v>
      </c>
      <c r="G73">
        <v>16001</v>
      </c>
      <c r="H73">
        <v>24003</v>
      </c>
      <c r="I73">
        <v>23996</v>
      </c>
      <c r="J73">
        <v>16000</v>
      </c>
      <c r="K73">
        <v>24005</v>
      </c>
      <c r="L73">
        <v>16005</v>
      </c>
      <c r="M73">
        <v>16005</v>
      </c>
      <c r="N73">
        <v>15998</v>
      </c>
      <c r="O73">
        <f t="shared" si="56"/>
        <v>19637.909090909092</v>
      </c>
      <c r="P73" s="1">
        <f t="shared" si="57"/>
        <v>15998</v>
      </c>
      <c r="Q73" s="1">
        <f t="shared" si="58"/>
        <v>24005</v>
      </c>
      <c r="R73">
        <f t="shared" si="59"/>
        <v>8007</v>
      </c>
      <c r="S73">
        <f t="shared" si="60"/>
        <v>7990</v>
      </c>
      <c r="T73">
        <f t="shared" si="61"/>
        <v>3995</v>
      </c>
      <c r="U73" s="1">
        <v>0</v>
      </c>
      <c r="V73" s="1">
        <v>1</v>
      </c>
      <c r="W73">
        <f t="shared" si="62"/>
        <v>0</v>
      </c>
      <c r="X73">
        <f t="shared" si="63"/>
        <v>15998</v>
      </c>
      <c r="Z73">
        <f t="shared" si="64"/>
        <v>16000</v>
      </c>
      <c r="AA73">
        <f t="shared" si="65"/>
        <v>24000</v>
      </c>
      <c r="AB73">
        <f t="shared" si="66"/>
        <v>8000</v>
      </c>
      <c r="AD73">
        <f t="shared" si="67"/>
        <v>16002.166666666666</v>
      </c>
      <c r="AE73">
        <f t="shared" si="68"/>
        <v>24000.799999999999</v>
      </c>
      <c r="AF73">
        <v>16000</v>
      </c>
      <c r="AG73">
        <v>24000</v>
      </c>
    </row>
    <row r="74" spans="3:33" x14ac:dyDescent="0.25">
      <c r="C74" t="s">
        <v>53</v>
      </c>
      <c r="D74">
        <v>10668</v>
      </c>
      <c r="E74">
        <v>10671</v>
      </c>
      <c r="F74">
        <v>21337</v>
      </c>
      <c r="G74">
        <v>21332</v>
      </c>
      <c r="H74">
        <v>21337</v>
      </c>
      <c r="I74">
        <v>21334</v>
      </c>
      <c r="J74">
        <v>21336</v>
      </c>
      <c r="K74">
        <v>21331</v>
      </c>
      <c r="L74">
        <v>21338</v>
      </c>
      <c r="M74">
        <v>10667</v>
      </c>
      <c r="N74">
        <v>10663</v>
      </c>
      <c r="O74">
        <f t="shared" si="56"/>
        <v>17455.81818181818</v>
      </c>
      <c r="P74" s="1">
        <f t="shared" si="57"/>
        <v>10663</v>
      </c>
      <c r="Q74" s="1">
        <f t="shared" si="58"/>
        <v>21338</v>
      </c>
      <c r="R74">
        <f t="shared" si="59"/>
        <v>10675</v>
      </c>
      <c r="S74">
        <f t="shared" si="60"/>
        <v>10660</v>
      </c>
      <c r="T74">
        <f t="shared" si="61"/>
        <v>5330</v>
      </c>
      <c r="U74" s="1">
        <v>0</v>
      </c>
      <c r="V74" s="1">
        <v>1</v>
      </c>
      <c r="W74">
        <f t="shared" si="62"/>
        <v>0</v>
      </c>
      <c r="X74">
        <f t="shared" si="63"/>
        <v>10663</v>
      </c>
      <c r="Z74">
        <f t="shared" si="64"/>
        <v>10670</v>
      </c>
      <c r="AA74">
        <f t="shared" si="65"/>
        <v>21330</v>
      </c>
      <c r="AB74">
        <f t="shared" si="66"/>
        <v>10660</v>
      </c>
      <c r="AD74">
        <f t="shared" si="67"/>
        <v>10667.25</v>
      </c>
      <c r="AE74">
        <f t="shared" si="68"/>
        <v>21335</v>
      </c>
      <c r="AF74">
        <v>10665</v>
      </c>
      <c r="AG74">
        <f t="shared" ref="AG74" si="70">ROUND(AE74,0)</f>
        <v>21335</v>
      </c>
    </row>
    <row r="75" spans="3:33" x14ac:dyDescent="0.25">
      <c r="C75" t="s">
        <v>52</v>
      </c>
      <c r="D75">
        <v>21332</v>
      </c>
      <c r="E75">
        <v>10663</v>
      </c>
      <c r="F75">
        <v>10666</v>
      </c>
      <c r="G75">
        <v>21330</v>
      </c>
      <c r="H75">
        <v>10672</v>
      </c>
      <c r="I75">
        <v>21332</v>
      </c>
      <c r="J75">
        <v>21336</v>
      </c>
      <c r="K75">
        <v>21329</v>
      </c>
      <c r="L75">
        <v>10670</v>
      </c>
      <c r="M75">
        <v>10666</v>
      </c>
      <c r="N75">
        <v>21335</v>
      </c>
      <c r="O75">
        <f t="shared" si="56"/>
        <v>16484.636363636364</v>
      </c>
      <c r="P75" s="1">
        <f t="shared" si="57"/>
        <v>10663</v>
      </c>
      <c r="Q75" s="1">
        <f t="shared" si="58"/>
        <v>21336</v>
      </c>
      <c r="R75">
        <f t="shared" si="59"/>
        <v>10673</v>
      </c>
      <c r="S75">
        <f t="shared" si="60"/>
        <v>10660</v>
      </c>
      <c r="T75">
        <f t="shared" si="61"/>
        <v>5330</v>
      </c>
      <c r="U75" s="1">
        <v>2</v>
      </c>
      <c r="V75" s="1">
        <v>4</v>
      </c>
      <c r="W75">
        <f t="shared" si="62"/>
        <v>42672</v>
      </c>
      <c r="X75">
        <f t="shared" si="63"/>
        <v>42652</v>
      </c>
      <c r="Z75">
        <f t="shared" si="64"/>
        <v>10670</v>
      </c>
      <c r="AA75">
        <f t="shared" si="65"/>
        <v>21330</v>
      </c>
      <c r="AB75">
        <f t="shared" si="66"/>
        <v>10660</v>
      </c>
      <c r="AD75">
        <f t="shared" si="67"/>
        <v>10667.4</v>
      </c>
      <c r="AE75">
        <f t="shared" si="68"/>
        <v>21332.333333333332</v>
      </c>
      <c r="AF75">
        <v>10665</v>
      </c>
      <c r="AG75">
        <v>21335</v>
      </c>
    </row>
    <row r="76" spans="3:33" x14ac:dyDescent="0.25">
      <c r="C76" t="s">
        <v>61</v>
      </c>
      <c r="D76">
        <v>7666</v>
      </c>
      <c r="E76">
        <v>30668</v>
      </c>
      <c r="F76">
        <v>30667</v>
      </c>
      <c r="G76">
        <v>30663</v>
      </c>
      <c r="H76">
        <v>30662</v>
      </c>
      <c r="I76">
        <v>7666</v>
      </c>
      <c r="J76">
        <v>30671</v>
      </c>
      <c r="K76">
        <v>7666</v>
      </c>
      <c r="L76">
        <v>30665</v>
      </c>
      <c r="M76">
        <v>7671</v>
      </c>
      <c r="N76">
        <v>30667</v>
      </c>
      <c r="O76">
        <f t="shared" si="56"/>
        <v>22302.909090909092</v>
      </c>
      <c r="P76" s="1">
        <f t="shared" si="57"/>
        <v>7666</v>
      </c>
      <c r="Q76" s="1">
        <f t="shared" si="58"/>
        <v>30671</v>
      </c>
      <c r="R76">
        <f t="shared" si="59"/>
        <v>23005</v>
      </c>
      <c r="S76">
        <f t="shared" si="60"/>
        <v>22990</v>
      </c>
      <c r="T76">
        <f t="shared" si="61"/>
        <v>11495</v>
      </c>
      <c r="U76" s="1">
        <v>1</v>
      </c>
      <c r="V76" s="1">
        <v>4</v>
      </c>
      <c r="W76">
        <f t="shared" si="62"/>
        <v>30671</v>
      </c>
      <c r="X76">
        <f t="shared" si="63"/>
        <v>30664</v>
      </c>
      <c r="Z76">
        <f t="shared" si="64"/>
        <v>7670</v>
      </c>
      <c r="AA76">
        <f t="shared" si="65"/>
        <v>30670</v>
      </c>
      <c r="AB76">
        <f t="shared" si="66"/>
        <v>23000</v>
      </c>
      <c r="AD76">
        <f t="shared" si="67"/>
        <v>7667.25</v>
      </c>
      <c r="AE76">
        <f t="shared" si="68"/>
        <v>30666.142857142859</v>
      </c>
      <c r="AF76">
        <v>7665</v>
      </c>
      <c r="AG76">
        <v>30665</v>
      </c>
    </row>
    <row r="79" spans="3:33" x14ac:dyDescent="0.25">
      <c r="C79" t="s">
        <v>7</v>
      </c>
    </row>
    <row r="81" spans="3:33" x14ac:dyDescent="0.25">
      <c r="C81" t="s">
        <v>59</v>
      </c>
      <c r="D81">
        <v>330</v>
      </c>
      <c r="E81">
        <v>272</v>
      </c>
      <c r="F81">
        <v>276</v>
      </c>
      <c r="G81">
        <v>321</v>
      </c>
      <c r="H81">
        <v>325</v>
      </c>
      <c r="O81">
        <f t="shared" ref="O81:O89" si="71">AVERAGE(D81:N81)</f>
        <v>304.8</v>
      </c>
      <c r="P81" s="1">
        <f t="shared" ref="P81:P89" si="72">MIN(D81:N81)</f>
        <v>272</v>
      </c>
      <c r="Q81" s="1">
        <f t="shared" ref="Q81:Q89" si="73">MAX(D81:N81)</f>
        <v>330</v>
      </c>
      <c r="R81">
        <f t="shared" ref="R81:R89" si="74">Q81-P81</f>
        <v>58</v>
      </c>
      <c r="S81">
        <f t="shared" ref="S81:S89" si="75">CEILING(R81-20,10)</f>
        <v>40</v>
      </c>
      <c r="T81">
        <f t="shared" ref="T81:T89" si="76">S81/2</f>
        <v>20</v>
      </c>
      <c r="U81" s="1">
        <v>11</v>
      </c>
      <c r="V81" s="1">
        <v>13</v>
      </c>
      <c r="W81">
        <f t="shared" ref="W81:W89" si="77">U81*Q81</f>
        <v>3630</v>
      </c>
      <c r="X81">
        <f t="shared" ref="X81:X89" si="78">V81*P81</f>
        <v>3536</v>
      </c>
      <c r="Z81">
        <f t="shared" ref="Z81:Z89" si="79">CEILING(P81,10)</f>
        <v>280</v>
      </c>
      <c r="AA81">
        <f t="shared" ref="AA81:AA89" si="80">FLOOR(Q81,10)</f>
        <v>330</v>
      </c>
      <c r="AB81">
        <f t="shared" ref="AB81:AB89" si="81">AA81-Z81</f>
        <v>50</v>
      </c>
      <c r="AD81">
        <f t="shared" ref="AD81:AD89" si="82">AVERAGEIF(D81:N81,"&lt;="&amp;P81+10)</f>
        <v>274</v>
      </c>
      <c r="AE81">
        <f t="shared" ref="AE81:AE89" si="83">AVERAGEIF(D81:N81,"&gt;"&amp;P81+10)</f>
        <v>325.33333333333331</v>
      </c>
      <c r="AF81">
        <v>275</v>
      </c>
      <c r="AG81">
        <f t="shared" ref="AG81:AG82" si="84">ROUND(AE81,0)</f>
        <v>325</v>
      </c>
    </row>
    <row r="82" spans="3:33" x14ac:dyDescent="0.25">
      <c r="C82" t="s">
        <v>17</v>
      </c>
      <c r="D82">
        <v>588</v>
      </c>
      <c r="E82">
        <v>817</v>
      </c>
      <c r="F82">
        <v>587</v>
      </c>
      <c r="G82">
        <v>588</v>
      </c>
      <c r="H82">
        <v>812</v>
      </c>
      <c r="O82">
        <f t="shared" si="71"/>
        <v>678.4</v>
      </c>
      <c r="P82" s="1">
        <f t="shared" si="72"/>
        <v>587</v>
      </c>
      <c r="Q82" s="1">
        <f t="shared" si="73"/>
        <v>817</v>
      </c>
      <c r="R82">
        <f t="shared" si="74"/>
        <v>230</v>
      </c>
      <c r="S82">
        <f t="shared" si="75"/>
        <v>210</v>
      </c>
      <c r="T82">
        <f t="shared" si="76"/>
        <v>105</v>
      </c>
      <c r="U82" s="1">
        <v>5</v>
      </c>
      <c r="V82" s="1">
        <v>7</v>
      </c>
      <c r="W82">
        <f t="shared" si="77"/>
        <v>4085</v>
      </c>
      <c r="X82">
        <f t="shared" si="78"/>
        <v>4109</v>
      </c>
      <c r="Z82">
        <f t="shared" si="79"/>
        <v>590</v>
      </c>
      <c r="AA82">
        <f t="shared" si="80"/>
        <v>810</v>
      </c>
      <c r="AB82">
        <f t="shared" si="81"/>
        <v>220</v>
      </c>
      <c r="AD82">
        <f t="shared" si="82"/>
        <v>587.66666666666663</v>
      </c>
      <c r="AE82">
        <f t="shared" si="83"/>
        <v>814.5</v>
      </c>
      <c r="AF82">
        <v>585</v>
      </c>
      <c r="AG82">
        <f t="shared" si="84"/>
        <v>815</v>
      </c>
    </row>
    <row r="83" spans="3:33" x14ac:dyDescent="0.25">
      <c r="C83" t="s">
        <v>14</v>
      </c>
      <c r="D83">
        <v>235</v>
      </c>
      <c r="E83">
        <v>165</v>
      </c>
      <c r="F83">
        <v>245</v>
      </c>
      <c r="G83">
        <v>158</v>
      </c>
      <c r="H83">
        <v>244</v>
      </c>
      <c r="O83">
        <f t="shared" si="71"/>
        <v>209.4</v>
      </c>
      <c r="P83" s="1">
        <f t="shared" si="72"/>
        <v>158</v>
      </c>
      <c r="Q83" s="1">
        <f t="shared" si="73"/>
        <v>245</v>
      </c>
      <c r="R83">
        <f t="shared" si="74"/>
        <v>87</v>
      </c>
      <c r="S83">
        <f t="shared" si="75"/>
        <v>70</v>
      </c>
      <c r="T83">
        <f t="shared" si="76"/>
        <v>35</v>
      </c>
      <c r="U83" s="1">
        <v>4</v>
      </c>
      <c r="V83" s="1">
        <v>6</v>
      </c>
      <c r="W83">
        <f t="shared" si="77"/>
        <v>980</v>
      </c>
      <c r="X83">
        <f t="shared" si="78"/>
        <v>948</v>
      </c>
      <c r="Z83">
        <f t="shared" si="79"/>
        <v>160</v>
      </c>
      <c r="AA83">
        <f t="shared" si="80"/>
        <v>240</v>
      </c>
      <c r="AB83">
        <f t="shared" si="81"/>
        <v>80</v>
      </c>
      <c r="AD83">
        <f t="shared" si="82"/>
        <v>161.5</v>
      </c>
      <c r="AE83">
        <f t="shared" si="83"/>
        <v>241.33333333333334</v>
      </c>
      <c r="AF83">
        <v>160</v>
      </c>
      <c r="AG83">
        <v>240</v>
      </c>
    </row>
    <row r="84" spans="3:33" x14ac:dyDescent="0.25">
      <c r="C84" t="s">
        <v>13</v>
      </c>
      <c r="D84">
        <v>230</v>
      </c>
      <c r="E84">
        <v>379</v>
      </c>
      <c r="F84">
        <v>370</v>
      </c>
      <c r="G84">
        <v>221</v>
      </c>
      <c r="H84">
        <v>379</v>
      </c>
      <c r="O84">
        <f t="shared" si="71"/>
        <v>315.8</v>
      </c>
      <c r="P84" s="1">
        <f t="shared" si="72"/>
        <v>221</v>
      </c>
      <c r="Q84" s="1">
        <f t="shared" si="73"/>
        <v>379</v>
      </c>
      <c r="R84">
        <f t="shared" si="74"/>
        <v>158</v>
      </c>
      <c r="S84">
        <f t="shared" si="75"/>
        <v>140</v>
      </c>
      <c r="T84">
        <f t="shared" si="76"/>
        <v>70</v>
      </c>
      <c r="U84" s="1">
        <v>3</v>
      </c>
      <c r="V84" s="1">
        <v>5</v>
      </c>
      <c r="W84">
        <f t="shared" si="77"/>
        <v>1137</v>
      </c>
      <c r="X84">
        <f t="shared" si="78"/>
        <v>1105</v>
      </c>
      <c r="Z84">
        <f t="shared" si="79"/>
        <v>230</v>
      </c>
      <c r="AA84">
        <f t="shared" si="80"/>
        <v>370</v>
      </c>
      <c r="AB84">
        <f t="shared" si="81"/>
        <v>140</v>
      </c>
      <c r="AD84">
        <f t="shared" si="82"/>
        <v>225.5</v>
      </c>
      <c r="AE84">
        <f t="shared" si="83"/>
        <v>376</v>
      </c>
      <c r="AF84">
        <v>225</v>
      </c>
      <c r="AG84">
        <v>375</v>
      </c>
    </row>
    <row r="85" spans="3:33" x14ac:dyDescent="0.25">
      <c r="C85" t="s">
        <v>41</v>
      </c>
      <c r="D85">
        <v>668</v>
      </c>
      <c r="E85">
        <v>663</v>
      </c>
      <c r="F85">
        <v>666</v>
      </c>
      <c r="G85">
        <v>667</v>
      </c>
      <c r="H85">
        <v>269</v>
      </c>
      <c r="O85">
        <f t="shared" si="71"/>
        <v>586.6</v>
      </c>
      <c r="P85" s="1">
        <f t="shared" si="72"/>
        <v>269</v>
      </c>
      <c r="Q85" s="1">
        <f t="shared" si="73"/>
        <v>668</v>
      </c>
      <c r="R85">
        <f t="shared" si="74"/>
        <v>399</v>
      </c>
      <c r="S85">
        <f t="shared" si="75"/>
        <v>380</v>
      </c>
      <c r="T85">
        <f t="shared" si="76"/>
        <v>190</v>
      </c>
      <c r="U85" s="1">
        <v>0</v>
      </c>
      <c r="V85" s="1">
        <v>1</v>
      </c>
      <c r="W85">
        <f t="shared" si="77"/>
        <v>0</v>
      </c>
      <c r="X85">
        <f t="shared" si="78"/>
        <v>269</v>
      </c>
      <c r="Z85">
        <f t="shared" si="79"/>
        <v>270</v>
      </c>
      <c r="AA85">
        <f t="shared" si="80"/>
        <v>660</v>
      </c>
      <c r="AB85">
        <f t="shared" si="81"/>
        <v>390</v>
      </c>
      <c r="AD85">
        <f t="shared" si="82"/>
        <v>269</v>
      </c>
      <c r="AE85">
        <f t="shared" si="83"/>
        <v>666</v>
      </c>
      <c r="AF85">
        <v>265</v>
      </c>
      <c r="AG85">
        <v>665</v>
      </c>
    </row>
    <row r="86" spans="3:33" x14ac:dyDescent="0.25">
      <c r="C86" t="s">
        <v>27</v>
      </c>
      <c r="D86">
        <v>2334</v>
      </c>
      <c r="E86">
        <v>2337</v>
      </c>
      <c r="F86">
        <v>2336</v>
      </c>
      <c r="G86">
        <v>11661</v>
      </c>
      <c r="H86">
        <v>11662</v>
      </c>
      <c r="O86">
        <f t="shared" si="71"/>
        <v>6066</v>
      </c>
      <c r="P86" s="1">
        <f t="shared" si="72"/>
        <v>2334</v>
      </c>
      <c r="Q86" s="1">
        <f t="shared" si="73"/>
        <v>11662</v>
      </c>
      <c r="R86">
        <f t="shared" si="74"/>
        <v>9328</v>
      </c>
      <c r="S86">
        <f t="shared" si="75"/>
        <v>9310</v>
      </c>
      <c r="T86">
        <f t="shared" si="76"/>
        <v>4655</v>
      </c>
      <c r="U86" s="1">
        <v>1</v>
      </c>
      <c r="V86" s="1">
        <v>5</v>
      </c>
      <c r="W86">
        <f t="shared" si="77"/>
        <v>11662</v>
      </c>
      <c r="X86">
        <f t="shared" si="78"/>
        <v>11670</v>
      </c>
      <c r="Z86">
        <f t="shared" si="79"/>
        <v>2340</v>
      </c>
      <c r="AA86">
        <f t="shared" si="80"/>
        <v>11660</v>
      </c>
      <c r="AB86">
        <f t="shared" si="81"/>
        <v>9320</v>
      </c>
      <c r="AD86">
        <f t="shared" si="82"/>
        <v>2335.6666666666665</v>
      </c>
      <c r="AE86">
        <f t="shared" si="83"/>
        <v>11661.5</v>
      </c>
      <c r="AF86">
        <v>2335</v>
      </c>
      <c r="AG86">
        <v>11665</v>
      </c>
    </row>
    <row r="87" spans="3:33" x14ac:dyDescent="0.25">
      <c r="C87" t="s">
        <v>58</v>
      </c>
      <c r="D87">
        <v>11336</v>
      </c>
      <c r="E87">
        <v>28330</v>
      </c>
      <c r="F87">
        <v>28334</v>
      </c>
      <c r="G87">
        <v>11333</v>
      </c>
      <c r="H87">
        <v>11336</v>
      </c>
      <c r="O87">
        <f t="shared" si="71"/>
        <v>18133.8</v>
      </c>
      <c r="P87" s="1">
        <f t="shared" si="72"/>
        <v>11333</v>
      </c>
      <c r="Q87" s="1">
        <f t="shared" si="73"/>
        <v>28334</v>
      </c>
      <c r="R87">
        <f t="shared" si="74"/>
        <v>17001</v>
      </c>
      <c r="S87">
        <f t="shared" si="75"/>
        <v>16990</v>
      </c>
      <c r="T87">
        <f t="shared" si="76"/>
        <v>8495</v>
      </c>
      <c r="U87" s="1">
        <v>0</v>
      </c>
      <c r="V87" s="1">
        <v>1</v>
      </c>
      <c r="W87">
        <f t="shared" si="77"/>
        <v>0</v>
      </c>
      <c r="X87">
        <f t="shared" si="78"/>
        <v>11333</v>
      </c>
      <c r="Z87">
        <f t="shared" si="79"/>
        <v>11340</v>
      </c>
      <c r="AA87">
        <f t="shared" si="80"/>
        <v>28330</v>
      </c>
      <c r="AB87">
        <f t="shared" si="81"/>
        <v>16990</v>
      </c>
      <c r="AD87">
        <f t="shared" si="82"/>
        <v>11335</v>
      </c>
      <c r="AE87">
        <f t="shared" si="83"/>
        <v>28332</v>
      </c>
      <c r="AF87">
        <f t="shared" ref="AF87:AF89" si="85">ROUND(AD87,0)</f>
        <v>11335</v>
      </c>
      <c r="AG87">
        <v>28335</v>
      </c>
    </row>
    <row r="88" spans="3:33" x14ac:dyDescent="0.25">
      <c r="C88" t="s">
        <v>47</v>
      </c>
      <c r="D88">
        <v>2331</v>
      </c>
      <c r="E88">
        <v>4671</v>
      </c>
      <c r="F88">
        <v>2339</v>
      </c>
      <c r="G88">
        <v>4671</v>
      </c>
      <c r="H88">
        <v>2339</v>
      </c>
      <c r="O88">
        <f t="shared" si="71"/>
        <v>3270.2</v>
      </c>
      <c r="P88" s="1">
        <f t="shared" si="72"/>
        <v>2331</v>
      </c>
      <c r="Q88" s="1">
        <f t="shared" si="73"/>
        <v>4671</v>
      </c>
      <c r="R88">
        <f t="shared" si="74"/>
        <v>2340</v>
      </c>
      <c r="S88">
        <f t="shared" si="75"/>
        <v>2320</v>
      </c>
      <c r="T88">
        <f t="shared" si="76"/>
        <v>1160</v>
      </c>
      <c r="U88" s="1">
        <v>1</v>
      </c>
      <c r="V88" s="1">
        <v>3</v>
      </c>
      <c r="W88">
        <f t="shared" si="77"/>
        <v>4671</v>
      </c>
      <c r="X88">
        <f t="shared" si="78"/>
        <v>6993</v>
      </c>
      <c r="Z88">
        <f t="shared" si="79"/>
        <v>2340</v>
      </c>
      <c r="AA88">
        <f t="shared" si="80"/>
        <v>4670</v>
      </c>
      <c r="AB88">
        <f t="shared" si="81"/>
        <v>2330</v>
      </c>
      <c r="AD88">
        <f t="shared" si="82"/>
        <v>2336.3333333333335</v>
      </c>
      <c r="AE88">
        <f t="shared" si="83"/>
        <v>4671</v>
      </c>
      <c r="AF88">
        <v>2335</v>
      </c>
      <c r="AG88">
        <v>4670</v>
      </c>
    </row>
    <row r="89" spans="3:33" x14ac:dyDescent="0.25">
      <c r="C89" t="s">
        <v>62</v>
      </c>
      <c r="D89">
        <v>11335</v>
      </c>
      <c r="E89">
        <v>2833</v>
      </c>
      <c r="F89">
        <v>2836</v>
      </c>
      <c r="G89">
        <v>2837</v>
      </c>
      <c r="H89">
        <v>11333</v>
      </c>
      <c r="O89">
        <f t="shared" si="71"/>
        <v>6234.8</v>
      </c>
      <c r="P89" s="1">
        <f t="shared" si="72"/>
        <v>2833</v>
      </c>
      <c r="Q89" s="1">
        <f t="shared" si="73"/>
        <v>11335</v>
      </c>
      <c r="R89">
        <f t="shared" si="74"/>
        <v>8502</v>
      </c>
      <c r="S89">
        <f t="shared" si="75"/>
        <v>8490</v>
      </c>
      <c r="T89">
        <f t="shared" si="76"/>
        <v>4245</v>
      </c>
      <c r="U89" s="1">
        <v>2</v>
      </c>
      <c r="V89" s="1">
        <v>5</v>
      </c>
      <c r="W89">
        <f t="shared" si="77"/>
        <v>22670</v>
      </c>
      <c r="X89">
        <f t="shared" si="78"/>
        <v>14165</v>
      </c>
      <c r="Z89">
        <f t="shared" si="79"/>
        <v>2840</v>
      </c>
      <c r="AA89">
        <f t="shared" si="80"/>
        <v>11330</v>
      </c>
      <c r="AB89">
        <f t="shared" si="81"/>
        <v>8490</v>
      </c>
      <c r="AD89">
        <f t="shared" si="82"/>
        <v>2835.3333333333335</v>
      </c>
      <c r="AE89">
        <f t="shared" si="83"/>
        <v>11334</v>
      </c>
      <c r="AF89">
        <f t="shared" si="85"/>
        <v>2835</v>
      </c>
      <c r="AG89">
        <v>11335</v>
      </c>
    </row>
    <row r="92" spans="3:33" x14ac:dyDescent="0.25">
      <c r="C92" t="s">
        <v>4</v>
      </c>
    </row>
    <row r="94" spans="3:33" x14ac:dyDescent="0.25">
      <c r="C94" t="s">
        <v>60</v>
      </c>
      <c r="D94">
        <v>4263</v>
      </c>
      <c r="E94">
        <v>4269</v>
      </c>
      <c r="F94">
        <v>4265</v>
      </c>
      <c r="G94">
        <v>4271</v>
      </c>
      <c r="H94">
        <v>4269</v>
      </c>
      <c r="I94">
        <v>1071</v>
      </c>
      <c r="J94">
        <v>4271</v>
      </c>
      <c r="K94">
        <v>4270</v>
      </c>
      <c r="L94">
        <v>4267</v>
      </c>
      <c r="M94">
        <v>4265</v>
      </c>
      <c r="N94">
        <v>1070</v>
      </c>
      <c r="O94">
        <f t="shared" ref="O94:O103" si="86">AVERAGE(D94:N94)</f>
        <v>3686.4545454545455</v>
      </c>
      <c r="P94" s="1">
        <f t="shared" ref="P94:P103" si="87">MIN(D94:N94)</f>
        <v>1070</v>
      </c>
      <c r="Q94" s="1">
        <f t="shared" ref="Q94:Q103" si="88">MAX(D94:N94)</f>
        <v>4271</v>
      </c>
      <c r="R94">
        <f t="shared" ref="R94:R103" si="89">Q94-P94</f>
        <v>3201</v>
      </c>
      <c r="S94">
        <f t="shared" ref="S94:S103" si="90">CEILING(R94-20,10)</f>
        <v>3190</v>
      </c>
      <c r="T94">
        <f t="shared" ref="T94:T103" si="91">S94/2</f>
        <v>1595</v>
      </c>
      <c r="U94" s="1">
        <v>2</v>
      </c>
      <c r="V94" s="1">
        <v>5</v>
      </c>
      <c r="W94">
        <f t="shared" ref="W94:W103" si="92">U94*Q94</f>
        <v>8542</v>
      </c>
      <c r="X94">
        <f t="shared" ref="X94:X103" si="93">V94*P94</f>
        <v>5350</v>
      </c>
      <c r="Z94">
        <f t="shared" ref="Z94:Z103" si="94">CEILING(P94,10)</f>
        <v>1070</v>
      </c>
      <c r="AA94">
        <f t="shared" ref="AA94:AA103" si="95">FLOOR(Q94,10)</f>
        <v>4270</v>
      </c>
      <c r="AB94">
        <f t="shared" ref="AB94:AB103" si="96">AA94-Z94</f>
        <v>3200</v>
      </c>
      <c r="AD94">
        <f t="shared" ref="AD94:AD103" si="97">AVERAGEIF(D94:N94,"&lt;="&amp;P94+10)</f>
        <v>1070.5</v>
      </c>
      <c r="AE94">
        <f t="shared" ref="AE94:AE103" si="98">AVERAGEIF(D94:N94,"&gt;"&amp;P94+10)</f>
        <v>4267.7777777777774</v>
      </c>
      <c r="AF94">
        <v>1070</v>
      </c>
      <c r="AG94">
        <v>4270</v>
      </c>
    </row>
    <row r="95" spans="3:33" x14ac:dyDescent="0.25">
      <c r="C95" t="s">
        <v>13</v>
      </c>
      <c r="D95">
        <v>701</v>
      </c>
      <c r="E95">
        <v>704</v>
      </c>
      <c r="F95">
        <v>466</v>
      </c>
      <c r="G95">
        <v>463</v>
      </c>
      <c r="H95">
        <v>701</v>
      </c>
      <c r="I95">
        <v>700</v>
      </c>
      <c r="J95">
        <v>705</v>
      </c>
      <c r="K95">
        <v>469</v>
      </c>
      <c r="L95">
        <v>696</v>
      </c>
      <c r="M95">
        <v>465</v>
      </c>
      <c r="N95">
        <v>705</v>
      </c>
      <c r="O95">
        <f t="shared" si="86"/>
        <v>615.90909090909088</v>
      </c>
      <c r="P95" s="1">
        <f t="shared" si="87"/>
        <v>463</v>
      </c>
      <c r="Q95" s="1">
        <f t="shared" si="88"/>
        <v>705</v>
      </c>
      <c r="R95">
        <f t="shared" si="89"/>
        <v>242</v>
      </c>
      <c r="S95">
        <f t="shared" si="90"/>
        <v>230</v>
      </c>
      <c r="T95">
        <f t="shared" si="91"/>
        <v>115</v>
      </c>
      <c r="U95" s="1">
        <v>3</v>
      </c>
      <c r="V95" s="1">
        <v>4</v>
      </c>
      <c r="W95">
        <f t="shared" si="92"/>
        <v>2115</v>
      </c>
      <c r="X95">
        <f t="shared" si="93"/>
        <v>1852</v>
      </c>
      <c r="Z95">
        <f t="shared" si="94"/>
        <v>470</v>
      </c>
      <c r="AA95">
        <f t="shared" si="95"/>
        <v>700</v>
      </c>
      <c r="AB95">
        <f t="shared" si="96"/>
        <v>230</v>
      </c>
      <c r="AD95">
        <f t="shared" si="97"/>
        <v>465.75</v>
      </c>
      <c r="AE95">
        <f t="shared" si="98"/>
        <v>701.71428571428567</v>
      </c>
      <c r="AF95">
        <v>465</v>
      </c>
      <c r="AG95">
        <v>700</v>
      </c>
    </row>
    <row r="96" spans="3:33" x14ac:dyDescent="0.25">
      <c r="C96" t="s">
        <v>46</v>
      </c>
      <c r="D96">
        <v>1650</v>
      </c>
      <c r="E96">
        <v>1651</v>
      </c>
      <c r="F96">
        <v>366</v>
      </c>
      <c r="G96">
        <v>1648</v>
      </c>
      <c r="H96">
        <v>1645</v>
      </c>
      <c r="I96">
        <v>1649</v>
      </c>
      <c r="J96">
        <v>1650</v>
      </c>
      <c r="K96">
        <v>1654</v>
      </c>
      <c r="L96">
        <v>366</v>
      </c>
      <c r="M96">
        <v>1652</v>
      </c>
      <c r="N96">
        <v>1651</v>
      </c>
      <c r="O96">
        <f t="shared" si="86"/>
        <v>1416.5454545454545</v>
      </c>
      <c r="P96" s="1">
        <f t="shared" si="87"/>
        <v>366</v>
      </c>
      <c r="Q96" s="1">
        <f t="shared" si="88"/>
        <v>1654</v>
      </c>
      <c r="R96">
        <f t="shared" si="89"/>
        <v>1288</v>
      </c>
      <c r="S96">
        <f t="shared" si="90"/>
        <v>1270</v>
      </c>
      <c r="T96">
        <f t="shared" si="91"/>
        <v>635</v>
      </c>
      <c r="U96" s="1">
        <v>2</v>
      </c>
      <c r="V96" s="1">
        <v>7</v>
      </c>
      <c r="W96">
        <f t="shared" si="92"/>
        <v>3308</v>
      </c>
      <c r="X96">
        <f t="shared" si="93"/>
        <v>2562</v>
      </c>
      <c r="Z96">
        <f t="shared" si="94"/>
        <v>370</v>
      </c>
      <c r="AA96">
        <f t="shared" si="95"/>
        <v>1650</v>
      </c>
      <c r="AB96">
        <f t="shared" si="96"/>
        <v>1280</v>
      </c>
      <c r="AD96">
        <f t="shared" si="97"/>
        <v>366</v>
      </c>
      <c r="AE96">
        <f t="shared" si="98"/>
        <v>1650</v>
      </c>
      <c r="AF96">
        <v>370</v>
      </c>
      <c r="AG96">
        <f t="shared" ref="AG96:AG100" si="99">ROUND(AE96,0)</f>
        <v>1650</v>
      </c>
    </row>
    <row r="97" spans="3:33" x14ac:dyDescent="0.25">
      <c r="C97" t="s">
        <v>20</v>
      </c>
      <c r="D97">
        <v>2528</v>
      </c>
      <c r="E97">
        <v>2535</v>
      </c>
      <c r="F97">
        <v>2530</v>
      </c>
      <c r="G97">
        <v>2532</v>
      </c>
      <c r="H97">
        <v>2535</v>
      </c>
      <c r="I97">
        <v>2532</v>
      </c>
      <c r="J97">
        <v>1266</v>
      </c>
      <c r="K97">
        <v>2538</v>
      </c>
      <c r="L97">
        <v>1269</v>
      </c>
      <c r="M97">
        <v>2533</v>
      </c>
      <c r="N97">
        <v>2529</v>
      </c>
      <c r="O97">
        <f t="shared" si="86"/>
        <v>2302.4545454545455</v>
      </c>
      <c r="P97" s="1">
        <f t="shared" si="87"/>
        <v>1266</v>
      </c>
      <c r="Q97" s="1">
        <f t="shared" si="88"/>
        <v>2538</v>
      </c>
      <c r="R97">
        <f t="shared" si="89"/>
        <v>1272</v>
      </c>
      <c r="S97">
        <f t="shared" si="90"/>
        <v>1260</v>
      </c>
      <c r="T97">
        <f t="shared" si="91"/>
        <v>630</v>
      </c>
      <c r="U97" s="1">
        <v>2</v>
      </c>
      <c r="V97" s="1">
        <v>4</v>
      </c>
      <c r="W97">
        <f t="shared" si="92"/>
        <v>5076</v>
      </c>
      <c r="X97">
        <f t="shared" si="93"/>
        <v>5064</v>
      </c>
      <c r="Z97">
        <f t="shared" si="94"/>
        <v>1270</v>
      </c>
      <c r="AA97">
        <f t="shared" si="95"/>
        <v>2530</v>
      </c>
      <c r="AB97">
        <f t="shared" si="96"/>
        <v>1260</v>
      </c>
      <c r="AD97">
        <f t="shared" si="97"/>
        <v>1267.5</v>
      </c>
      <c r="AE97">
        <f t="shared" si="98"/>
        <v>2532.4444444444443</v>
      </c>
      <c r="AF97">
        <v>1270</v>
      </c>
      <c r="AG97">
        <v>2530</v>
      </c>
    </row>
    <row r="98" spans="3:33" x14ac:dyDescent="0.25">
      <c r="C98" t="s">
        <v>23</v>
      </c>
      <c r="D98">
        <v>9735</v>
      </c>
      <c r="E98">
        <v>4872</v>
      </c>
      <c r="F98">
        <v>4871</v>
      </c>
      <c r="G98">
        <v>4869</v>
      </c>
      <c r="H98">
        <v>9738</v>
      </c>
      <c r="I98">
        <v>4862</v>
      </c>
      <c r="J98">
        <v>9731</v>
      </c>
      <c r="K98">
        <v>4866</v>
      </c>
      <c r="L98">
        <v>4872</v>
      </c>
      <c r="M98">
        <v>4871</v>
      </c>
      <c r="N98">
        <v>4869</v>
      </c>
      <c r="O98">
        <f t="shared" si="86"/>
        <v>6196</v>
      </c>
      <c r="P98" s="1">
        <f t="shared" si="87"/>
        <v>4862</v>
      </c>
      <c r="Q98" s="1">
        <f t="shared" si="88"/>
        <v>9738</v>
      </c>
      <c r="R98">
        <f t="shared" si="89"/>
        <v>4876</v>
      </c>
      <c r="S98">
        <f t="shared" si="90"/>
        <v>4860</v>
      </c>
      <c r="T98">
        <f t="shared" si="91"/>
        <v>2430</v>
      </c>
      <c r="U98" s="1">
        <v>0</v>
      </c>
      <c r="V98" s="1">
        <v>2</v>
      </c>
      <c r="W98">
        <f t="shared" si="92"/>
        <v>0</v>
      </c>
      <c r="X98">
        <f t="shared" si="93"/>
        <v>9724</v>
      </c>
      <c r="Z98">
        <f t="shared" si="94"/>
        <v>4870</v>
      </c>
      <c r="AA98">
        <f t="shared" si="95"/>
        <v>9730</v>
      </c>
      <c r="AB98">
        <f t="shared" si="96"/>
        <v>4860</v>
      </c>
      <c r="AD98">
        <f t="shared" si="97"/>
        <v>4869</v>
      </c>
      <c r="AE98">
        <f t="shared" si="98"/>
        <v>9734.6666666666661</v>
      </c>
      <c r="AF98">
        <v>4870</v>
      </c>
      <c r="AG98">
        <f t="shared" si="99"/>
        <v>9735</v>
      </c>
    </row>
    <row r="99" spans="3:33" x14ac:dyDescent="0.25">
      <c r="C99" t="s">
        <v>30</v>
      </c>
      <c r="D99">
        <v>23330</v>
      </c>
      <c r="E99">
        <v>23334</v>
      </c>
      <c r="F99">
        <v>35000</v>
      </c>
      <c r="G99">
        <v>34996</v>
      </c>
      <c r="H99">
        <v>34996</v>
      </c>
      <c r="I99">
        <v>34995</v>
      </c>
      <c r="J99">
        <v>34998</v>
      </c>
      <c r="K99">
        <v>35004</v>
      </c>
      <c r="L99">
        <v>35005</v>
      </c>
      <c r="M99">
        <v>34997</v>
      </c>
      <c r="N99">
        <v>23336</v>
      </c>
      <c r="O99">
        <f t="shared" si="86"/>
        <v>31817.363636363636</v>
      </c>
      <c r="P99" s="1">
        <f t="shared" si="87"/>
        <v>23330</v>
      </c>
      <c r="Q99" s="1">
        <f t="shared" si="88"/>
        <v>35005</v>
      </c>
      <c r="R99">
        <f t="shared" si="89"/>
        <v>11675</v>
      </c>
      <c r="S99">
        <f t="shared" si="90"/>
        <v>11660</v>
      </c>
      <c r="T99">
        <f t="shared" si="91"/>
        <v>5830</v>
      </c>
      <c r="U99" s="1">
        <v>0</v>
      </c>
      <c r="V99" s="1">
        <v>1</v>
      </c>
      <c r="W99">
        <f t="shared" si="92"/>
        <v>0</v>
      </c>
      <c r="X99">
        <f t="shared" si="93"/>
        <v>23330</v>
      </c>
      <c r="Z99">
        <f t="shared" si="94"/>
        <v>23330</v>
      </c>
      <c r="AA99">
        <f t="shared" si="95"/>
        <v>35000</v>
      </c>
      <c r="AB99">
        <f t="shared" si="96"/>
        <v>11670</v>
      </c>
      <c r="AD99">
        <f t="shared" si="97"/>
        <v>23333.333333333332</v>
      </c>
      <c r="AE99">
        <f t="shared" si="98"/>
        <v>34998.875</v>
      </c>
      <c r="AF99">
        <v>23335</v>
      </c>
      <c r="AG99">
        <v>35000</v>
      </c>
    </row>
    <row r="100" spans="3:33" x14ac:dyDescent="0.25">
      <c r="C100" t="s">
        <v>51</v>
      </c>
      <c r="D100">
        <v>15998</v>
      </c>
      <c r="E100">
        <v>8003</v>
      </c>
      <c r="F100">
        <v>8001</v>
      </c>
      <c r="G100">
        <v>15996</v>
      </c>
      <c r="H100">
        <v>16004</v>
      </c>
      <c r="I100">
        <v>7996</v>
      </c>
      <c r="J100">
        <v>16000</v>
      </c>
      <c r="K100">
        <v>16004</v>
      </c>
      <c r="L100">
        <v>7995</v>
      </c>
      <c r="M100">
        <v>8000</v>
      </c>
      <c r="N100">
        <v>7999</v>
      </c>
      <c r="O100">
        <f t="shared" si="86"/>
        <v>11636</v>
      </c>
      <c r="P100" s="1">
        <f t="shared" si="87"/>
        <v>7995</v>
      </c>
      <c r="Q100" s="1">
        <f t="shared" si="88"/>
        <v>16004</v>
      </c>
      <c r="R100">
        <f t="shared" si="89"/>
        <v>8009</v>
      </c>
      <c r="S100">
        <f t="shared" si="90"/>
        <v>7990</v>
      </c>
      <c r="T100">
        <f t="shared" si="91"/>
        <v>3995</v>
      </c>
      <c r="U100" s="1">
        <v>2</v>
      </c>
      <c r="V100" s="1">
        <v>4</v>
      </c>
      <c r="W100">
        <f t="shared" si="92"/>
        <v>32008</v>
      </c>
      <c r="X100">
        <f t="shared" si="93"/>
        <v>31980</v>
      </c>
      <c r="Z100">
        <f t="shared" si="94"/>
        <v>8000</v>
      </c>
      <c r="AA100">
        <f t="shared" si="95"/>
        <v>16000</v>
      </c>
      <c r="AB100">
        <f t="shared" si="96"/>
        <v>8000</v>
      </c>
      <c r="AD100">
        <f t="shared" si="97"/>
        <v>7999</v>
      </c>
      <c r="AE100">
        <f t="shared" si="98"/>
        <v>16000.4</v>
      </c>
      <c r="AF100">
        <v>8000</v>
      </c>
      <c r="AG100">
        <f t="shared" si="99"/>
        <v>16000</v>
      </c>
    </row>
    <row r="101" spans="3:33" x14ac:dyDescent="0.25">
      <c r="C101" t="s">
        <v>53</v>
      </c>
      <c r="D101">
        <v>29335</v>
      </c>
      <c r="E101">
        <v>29330</v>
      </c>
      <c r="F101">
        <v>29337</v>
      </c>
      <c r="G101">
        <v>29336</v>
      </c>
      <c r="H101">
        <v>14671</v>
      </c>
      <c r="I101">
        <v>29337</v>
      </c>
      <c r="J101">
        <v>14667</v>
      </c>
      <c r="K101">
        <v>14665</v>
      </c>
      <c r="L101">
        <v>29335</v>
      </c>
      <c r="M101">
        <v>29328</v>
      </c>
      <c r="N101">
        <v>29329</v>
      </c>
      <c r="O101">
        <f t="shared" si="86"/>
        <v>25333.636363636364</v>
      </c>
      <c r="P101" s="1">
        <f t="shared" si="87"/>
        <v>14665</v>
      </c>
      <c r="Q101" s="1">
        <f t="shared" si="88"/>
        <v>29337</v>
      </c>
      <c r="R101">
        <f t="shared" si="89"/>
        <v>14672</v>
      </c>
      <c r="S101">
        <f t="shared" si="90"/>
        <v>14660</v>
      </c>
      <c r="T101">
        <f t="shared" si="91"/>
        <v>7330</v>
      </c>
      <c r="U101" s="1">
        <v>0</v>
      </c>
      <c r="V101" s="1">
        <v>2</v>
      </c>
      <c r="W101">
        <f t="shared" si="92"/>
        <v>0</v>
      </c>
      <c r="X101">
        <f t="shared" si="93"/>
        <v>29330</v>
      </c>
      <c r="Z101">
        <f t="shared" si="94"/>
        <v>14670</v>
      </c>
      <c r="AA101">
        <f t="shared" si="95"/>
        <v>29330</v>
      </c>
      <c r="AB101">
        <f t="shared" si="96"/>
        <v>14660</v>
      </c>
      <c r="AD101">
        <f t="shared" si="97"/>
        <v>14667.666666666666</v>
      </c>
      <c r="AE101">
        <f t="shared" si="98"/>
        <v>29333.375</v>
      </c>
      <c r="AF101">
        <v>14670</v>
      </c>
      <c r="AG101">
        <v>29330</v>
      </c>
    </row>
    <row r="102" spans="3:33" x14ac:dyDescent="0.25">
      <c r="C102" t="s">
        <v>55</v>
      </c>
      <c r="D102">
        <v>43005</v>
      </c>
      <c r="E102">
        <v>43002</v>
      </c>
      <c r="F102">
        <v>42999</v>
      </c>
      <c r="G102">
        <v>43005</v>
      </c>
      <c r="H102">
        <v>42995</v>
      </c>
      <c r="I102">
        <v>43004</v>
      </c>
      <c r="J102">
        <v>42995</v>
      </c>
      <c r="K102">
        <v>43005</v>
      </c>
      <c r="L102">
        <v>43004</v>
      </c>
      <c r="M102">
        <v>43004</v>
      </c>
      <c r="N102">
        <v>43003</v>
      </c>
      <c r="O102">
        <f t="shared" si="86"/>
        <v>43001.909090909088</v>
      </c>
      <c r="P102" s="1">
        <f t="shared" si="87"/>
        <v>42995</v>
      </c>
      <c r="Q102" s="1">
        <f t="shared" si="88"/>
        <v>43005</v>
      </c>
      <c r="R102">
        <f t="shared" si="89"/>
        <v>10</v>
      </c>
      <c r="S102">
        <f t="shared" si="90"/>
        <v>-10</v>
      </c>
      <c r="T102">
        <f t="shared" si="91"/>
        <v>-5</v>
      </c>
      <c r="U102" s="1">
        <v>2</v>
      </c>
      <c r="V102" s="1">
        <v>2</v>
      </c>
      <c r="W102">
        <f t="shared" si="92"/>
        <v>86010</v>
      </c>
      <c r="X102">
        <f t="shared" si="93"/>
        <v>85990</v>
      </c>
      <c r="Z102">
        <f t="shared" si="94"/>
        <v>43000</v>
      </c>
      <c r="AA102">
        <f t="shared" si="95"/>
        <v>43000</v>
      </c>
      <c r="AB102">
        <f t="shared" si="96"/>
        <v>0</v>
      </c>
      <c r="AD102">
        <f t="shared" si="97"/>
        <v>43001.909090909088</v>
      </c>
      <c r="AE102" t="e">
        <f t="shared" si="98"/>
        <v>#DIV/0!</v>
      </c>
      <c r="AF102">
        <v>43000</v>
      </c>
      <c r="AG102">
        <f>AF102</f>
        <v>43000</v>
      </c>
    </row>
    <row r="103" spans="3:33" x14ac:dyDescent="0.25">
      <c r="C103" t="s">
        <v>36</v>
      </c>
      <c r="D103">
        <v>36667</v>
      </c>
      <c r="E103">
        <v>65000</v>
      </c>
      <c r="F103">
        <v>36669</v>
      </c>
      <c r="G103">
        <v>65000</v>
      </c>
      <c r="H103">
        <v>36668</v>
      </c>
      <c r="I103">
        <v>36666</v>
      </c>
      <c r="J103">
        <v>64997</v>
      </c>
      <c r="K103">
        <v>64996</v>
      </c>
      <c r="L103">
        <v>65000</v>
      </c>
      <c r="M103">
        <v>36662</v>
      </c>
      <c r="N103">
        <v>65000</v>
      </c>
      <c r="O103">
        <f t="shared" si="86"/>
        <v>52120.454545454544</v>
      </c>
      <c r="P103" s="1">
        <f t="shared" si="87"/>
        <v>36662</v>
      </c>
      <c r="Q103" s="1">
        <f t="shared" si="88"/>
        <v>65000</v>
      </c>
      <c r="R103">
        <f t="shared" si="89"/>
        <v>28338</v>
      </c>
      <c r="S103">
        <f t="shared" si="90"/>
        <v>28320</v>
      </c>
      <c r="T103">
        <f t="shared" si="91"/>
        <v>14160</v>
      </c>
      <c r="U103" s="1">
        <v>0</v>
      </c>
      <c r="V103" s="1">
        <v>1</v>
      </c>
      <c r="W103">
        <f t="shared" si="92"/>
        <v>0</v>
      </c>
      <c r="X103">
        <f t="shared" si="93"/>
        <v>36662</v>
      </c>
      <c r="Z103">
        <f t="shared" si="94"/>
        <v>36670</v>
      </c>
      <c r="AA103">
        <f t="shared" si="95"/>
        <v>65000</v>
      </c>
      <c r="AB103">
        <f t="shared" si="96"/>
        <v>28330</v>
      </c>
      <c r="AD103">
        <f t="shared" si="97"/>
        <v>36666.400000000001</v>
      </c>
      <c r="AE103">
        <f t="shared" si="98"/>
        <v>64998.833333333336</v>
      </c>
      <c r="AF103">
        <v>36665</v>
      </c>
      <c r="AG103">
        <v>65000</v>
      </c>
    </row>
    <row r="107" spans="3:33" x14ac:dyDescent="0.25">
      <c r="C107" t="s">
        <v>8</v>
      </c>
    </row>
    <row r="109" spans="3:33" x14ac:dyDescent="0.25">
      <c r="C109" t="s">
        <v>60</v>
      </c>
      <c r="D109">
        <v>1195</v>
      </c>
      <c r="E109">
        <v>1202</v>
      </c>
      <c r="F109">
        <v>1196</v>
      </c>
      <c r="G109">
        <v>1195</v>
      </c>
      <c r="H109">
        <v>1200</v>
      </c>
      <c r="I109">
        <v>1202</v>
      </c>
      <c r="J109">
        <v>1201</v>
      </c>
      <c r="K109">
        <v>1196</v>
      </c>
      <c r="L109">
        <v>1203</v>
      </c>
      <c r="M109">
        <v>1204</v>
      </c>
      <c r="N109">
        <v>1201</v>
      </c>
      <c r="O109">
        <f t="shared" ref="O109:O118" si="100">AVERAGE(D109:N109)</f>
        <v>1199.5454545454545</v>
      </c>
      <c r="P109" s="1">
        <f t="shared" ref="P109:P118" si="101">MIN(D109:N109)</f>
        <v>1195</v>
      </c>
      <c r="Q109" s="1">
        <f t="shared" ref="Q109:Q118" si="102">MAX(D109:N109)</f>
        <v>1204</v>
      </c>
      <c r="R109">
        <f t="shared" ref="R109:R118" si="103">Q109-P109</f>
        <v>9</v>
      </c>
      <c r="S109">
        <f t="shared" ref="S109:S118" si="104">CEILING(R109-20,10)</f>
        <v>-10</v>
      </c>
      <c r="T109">
        <f t="shared" ref="T109:T118" si="105">S109/2</f>
        <v>-5</v>
      </c>
      <c r="U109" s="1">
        <v>4</v>
      </c>
      <c r="V109" s="1">
        <v>4</v>
      </c>
      <c r="W109">
        <f t="shared" ref="W109:W118" si="106">U109*Q109</f>
        <v>4816</v>
      </c>
      <c r="X109">
        <f t="shared" ref="X109:X118" si="107">V109*P109</f>
        <v>4780</v>
      </c>
      <c r="Z109">
        <f t="shared" ref="Z109:Z119" si="108">CEILING(P109,10)</f>
        <v>1200</v>
      </c>
      <c r="AA109">
        <f t="shared" ref="AA109:AA119" si="109">FLOOR(Q109,10)</f>
        <v>1200</v>
      </c>
      <c r="AB109">
        <f t="shared" ref="AB109:AB119" si="110">AA109-Z109</f>
        <v>0</v>
      </c>
      <c r="AD109">
        <f t="shared" ref="AD109:AD119" si="111">AVERAGEIF(D109:N109,"&lt;="&amp;P109+10)</f>
        <v>1199.5454545454545</v>
      </c>
      <c r="AE109" t="e">
        <f t="shared" ref="AE109:AE119" si="112">AVERAGEIF(D109:N109,"&gt;"&amp;P109+10)</f>
        <v>#DIV/0!</v>
      </c>
      <c r="AF109">
        <f t="shared" ref="AF109:AF119" si="113">ROUND(AD109,0)</f>
        <v>1200</v>
      </c>
      <c r="AG109">
        <f>AF109</f>
        <v>1200</v>
      </c>
    </row>
    <row r="110" spans="3:33" x14ac:dyDescent="0.25">
      <c r="C110" t="s">
        <v>41</v>
      </c>
      <c r="D110">
        <v>202</v>
      </c>
      <c r="E110">
        <v>297</v>
      </c>
      <c r="F110">
        <v>197</v>
      </c>
      <c r="G110">
        <v>305</v>
      </c>
      <c r="H110">
        <v>298</v>
      </c>
      <c r="I110">
        <v>205</v>
      </c>
      <c r="J110">
        <v>199</v>
      </c>
      <c r="K110">
        <v>196</v>
      </c>
      <c r="L110">
        <v>295</v>
      </c>
      <c r="M110">
        <v>199</v>
      </c>
      <c r="N110">
        <v>201</v>
      </c>
      <c r="O110">
        <f t="shared" si="100"/>
        <v>235.81818181818181</v>
      </c>
      <c r="P110" s="1">
        <f t="shared" si="101"/>
        <v>196</v>
      </c>
      <c r="Q110" s="1">
        <f t="shared" si="102"/>
        <v>305</v>
      </c>
      <c r="R110">
        <f t="shared" si="103"/>
        <v>109</v>
      </c>
      <c r="S110">
        <f t="shared" si="104"/>
        <v>90</v>
      </c>
      <c r="T110">
        <f t="shared" si="105"/>
        <v>45</v>
      </c>
      <c r="U110" s="1">
        <v>0</v>
      </c>
      <c r="V110" s="1">
        <v>1</v>
      </c>
      <c r="W110">
        <f t="shared" si="106"/>
        <v>0</v>
      </c>
      <c r="X110">
        <f t="shared" si="107"/>
        <v>196</v>
      </c>
      <c r="Z110">
        <f t="shared" si="108"/>
        <v>200</v>
      </c>
      <c r="AA110">
        <f t="shared" si="109"/>
        <v>300</v>
      </c>
      <c r="AB110">
        <f t="shared" si="110"/>
        <v>100</v>
      </c>
      <c r="AD110">
        <f t="shared" si="111"/>
        <v>199.85714285714286</v>
      </c>
      <c r="AE110">
        <f t="shared" si="112"/>
        <v>298.75</v>
      </c>
      <c r="AF110">
        <f t="shared" si="113"/>
        <v>200</v>
      </c>
      <c r="AG110">
        <v>300</v>
      </c>
    </row>
    <row r="111" spans="3:33" x14ac:dyDescent="0.25">
      <c r="C111" t="s">
        <v>14</v>
      </c>
      <c r="D111">
        <v>754</v>
      </c>
      <c r="E111">
        <v>745</v>
      </c>
      <c r="F111">
        <v>502</v>
      </c>
      <c r="G111">
        <v>745</v>
      </c>
      <c r="H111">
        <v>498</v>
      </c>
      <c r="I111">
        <v>752</v>
      </c>
      <c r="J111">
        <v>752</v>
      </c>
      <c r="K111">
        <v>501</v>
      </c>
      <c r="L111">
        <v>755</v>
      </c>
      <c r="M111">
        <v>504</v>
      </c>
      <c r="N111">
        <v>501</v>
      </c>
      <c r="O111">
        <f t="shared" si="100"/>
        <v>637.18181818181813</v>
      </c>
      <c r="P111" s="1">
        <f t="shared" si="101"/>
        <v>498</v>
      </c>
      <c r="Q111" s="1">
        <f t="shared" si="102"/>
        <v>755</v>
      </c>
      <c r="R111">
        <f t="shared" si="103"/>
        <v>257</v>
      </c>
      <c r="S111">
        <f t="shared" si="104"/>
        <v>240</v>
      </c>
      <c r="T111">
        <f t="shared" si="105"/>
        <v>120</v>
      </c>
      <c r="U111" s="1">
        <v>2</v>
      </c>
      <c r="V111" s="1">
        <v>3</v>
      </c>
      <c r="W111">
        <f t="shared" si="106"/>
        <v>1510</v>
      </c>
      <c r="X111">
        <f t="shared" si="107"/>
        <v>1494</v>
      </c>
      <c r="Z111">
        <f t="shared" si="108"/>
        <v>500</v>
      </c>
      <c r="AA111">
        <f t="shared" si="109"/>
        <v>750</v>
      </c>
      <c r="AB111">
        <f t="shared" si="110"/>
        <v>250</v>
      </c>
      <c r="AD111">
        <f t="shared" si="111"/>
        <v>501.2</v>
      </c>
      <c r="AE111">
        <f t="shared" si="112"/>
        <v>750.5</v>
      </c>
      <c r="AF111">
        <v>500</v>
      </c>
      <c r="AG111">
        <v>750</v>
      </c>
    </row>
    <row r="112" spans="3:33" x14ac:dyDescent="0.25">
      <c r="C112" t="s">
        <v>39</v>
      </c>
      <c r="D112">
        <v>845</v>
      </c>
      <c r="E112">
        <v>570</v>
      </c>
      <c r="F112">
        <v>571</v>
      </c>
      <c r="G112">
        <v>845</v>
      </c>
      <c r="H112">
        <v>855</v>
      </c>
      <c r="I112">
        <v>567</v>
      </c>
      <c r="J112">
        <v>567</v>
      </c>
      <c r="K112">
        <v>846</v>
      </c>
      <c r="L112">
        <v>845</v>
      </c>
      <c r="M112">
        <v>846</v>
      </c>
      <c r="N112">
        <v>566</v>
      </c>
      <c r="O112">
        <f t="shared" si="100"/>
        <v>720.27272727272725</v>
      </c>
      <c r="P112" s="1">
        <f t="shared" si="101"/>
        <v>566</v>
      </c>
      <c r="Q112" s="1">
        <f t="shared" si="102"/>
        <v>855</v>
      </c>
      <c r="R112">
        <f t="shared" si="103"/>
        <v>289</v>
      </c>
      <c r="S112">
        <f t="shared" si="104"/>
        <v>270</v>
      </c>
      <c r="T112">
        <f t="shared" si="105"/>
        <v>135</v>
      </c>
      <c r="U112" s="1">
        <v>3</v>
      </c>
      <c r="V112" s="1">
        <v>4</v>
      </c>
      <c r="W112">
        <f t="shared" si="106"/>
        <v>2565</v>
      </c>
      <c r="X112">
        <f t="shared" si="107"/>
        <v>2264</v>
      </c>
      <c r="Z112">
        <f t="shared" si="108"/>
        <v>570</v>
      </c>
      <c r="AA112">
        <f t="shared" si="109"/>
        <v>850</v>
      </c>
      <c r="AB112">
        <f t="shared" si="110"/>
        <v>280</v>
      </c>
      <c r="AD112">
        <f t="shared" si="111"/>
        <v>568.20000000000005</v>
      </c>
      <c r="AE112">
        <f t="shared" si="112"/>
        <v>847</v>
      </c>
      <c r="AF112">
        <v>570</v>
      </c>
      <c r="AG112">
        <v>850</v>
      </c>
    </row>
    <row r="113" spans="3:33" x14ac:dyDescent="0.25">
      <c r="C113" t="s">
        <v>46</v>
      </c>
      <c r="D113">
        <v>304</v>
      </c>
      <c r="E113">
        <v>300</v>
      </c>
      <c r="F113">
        <v>300</v>
      </c>
      <c r="G113">
        <v>300</v>
      </c>
      <c r="H113">
        <v>1505</v>
      </c>
      <c r="I113">
        <v>300</v>
      </c>
      <c r="J113">
        <v>1502</v>
      </c>
      <c r="K113">
        <v>302</v>
      </c>
      <c r="L113">
        <v>1495</v>
      </c>
      <c r="M113">
        <v>1500</v>
      </c>
      <c r="N113">
        <v>300</v>
      </c>
      <c r="O113">
        <f t="shared" si="100"/>
        <v>737.09090909090912</v>
      </c>
      <c r="P113" s="1">
        <f t="shared" si="101"/>
        <v>300</v>
      </c>
      <c r="Q113" s="1">
        <f t="shared" si="102"/>
        <v>1505</v>
      </c>
      <c r="R113">
        <f t="shared" si="103"/>
        <v>1205</v>
      </c>
      <c r="S113">
        <f t="shared" si="104"/>
        <v>1190</v>
      </c>
      <c r="T113">
        <f t="shared" si="105"/>
        <v>595</v>
      </c>
      <c r="U113" s="1">
        <v>1</v>
      </c>
      <c r="V113" s="1">
        <v>5</v>
      </c>
      <c r="W113">
        <f t="shared" si="106"/>
        <v>1505</v>
      </c>
      <c r="X113">
        <f t="shared" si="107"/>
        <v>1500</v>
      </c>
      <c r="Z113">
        <f t="shared" si="108"/>
        <v>300</v>
      </c>
      <c r="AA113">
        <f t="shared" si="109"/>
        <v>1500</v>
      </c>
      <c r="AB113">
        <f t="shared" si="110"/>
        <v>1200</v>
      </c>
      <c r="AD113">
        <f t="shared" si="111"/>
        <v>300.85714285714283</v>
      </c>
      <c r="AE113">
        <f t="shared" si="112"/>
        <v>1500.5</v>
      </c>
      <c r="AF113">
        <v>300</v>
      </c>
      <c r="AG113">
        <v>1500</v>
      </c>
    </row>
    <row r="114" spans="3:33" x14ac:dyDescent="0.25">
      <c r="C114" t="s">
        <v>20</v>
      </c>
      <c r="D114">
        <v>1872</v>
      </c>
      <c r="E114">
        <v>1870</v>
      </c>
      <c r="F114">
        <v>1130</v>
      </c>
      <c r="G114">
        <v>1126</v>
      </c>
      <c r="H114">
        <v>1876</v>
      </c>
      <c r="I114">
        <v>1128</v>
      </c>
      <c r="J114">
        <v>1129</v>
      </c>
      <c r="K114">
        <v>1128</v>
      </c>
      <c r="L114">
        <v>1125</v>
      </c>
      <c r="M114">
        <v>1870</v>
      </c>
      <c r="N114">
        <v>1122</v>
      </c>
      <c r="O114">
        <f t="shared" si="100"/>
        <v>1397.8181818181818</v>
      </c>
      <c r="P114" s="1">
        <f t="shared" si="101"/>
        <v>1122</v>
      </c>
      <c r="Q114" s="1">
        <f t="shared" si="102"/>
        <v>1876</v>
      </c>
      <c r="R114">
        <f t="shared" si="103"/>
        <v>754</v>
      </c>
      <c r="S114">
        <f t="shared" si="104"/>
        <v>740</v>
      </c>
      <c r="T114">
        <f t="shared" si="105"/>
        <v>370</v>
      </c>
      <c r="U114" s="1">
        <v>3</v>
      </c>
      <c r="V114" s="1">
        <v>5</v>
      </c>
      <c r="W114">
        <f t="shared" si="106"/>
        <v>5628</v>
      </c>
      <c r="X114">
        <f t="shared" si="107"/>
        <v>5610</v>
      </c>
      <c r="Z114">
        <f t="shared" si="108"/>
        <v>1130</v>
      </c>
      <c r="AA114">
        <f t="shared" si="109"/>
        <v>1870</v>
      </c>
      <c r="AB114">
        <f t="shared" si="110"/>
        <v>740</v>
      </c>
      <c r="AD114">
        <f t="shared" si="111"/>
        <v>1126.8571428571429</v>
      </c>
      <c r="AE114">
        <f t="shared" si="112"/>
        <v>1872</v>
      </c>
      <c r="AF114">
        <v>1130</v>
      </c>
      <c r="AG114">
        <v>1870</v>
      </c>
    </row>
    <row r="115" spans="3:33" x14ac:dyDescent="0.25">
      <c r="C115" t="s">
        <v>23</v>
      </c>
      <c r="D115">
        <v>7999</v>
      </c>
      <c r="E115">
        <v>3998</v>
      </c>
      <c r="F115">
        <v>8000</v>
      </c>
      <c r="G115">
        <v>8004</v>
      </c>
      <c r="H115">
        <v>8003</v>
      </c>
      <c r="I115">
        <v>3996</v>
      </c>
      <c r="J115">
        <v>7999</v>
      </c>
      <c r="K115">
        <v>3995</v>
      </c>
      <c r="L115">
        <v>3999</v>
      </c>
      <c r="M115">
        <v>3996</v>
      </c>
      <c r="N115">
        <v>4001</v>
      </c>
      <c r="O115">
        <f t="shared" si="100"/>
        <v>5817.272727272727</v>
      </c>
      <c r="P115" s="1">
        <f t="shared" si="101"/>
        <v>3995</v>
      </c>
      <c r="Q115" s="1">
        <f t="shared" si="102"/>
        <v>8004</v>
      </c>
      <c r="R115">
        <f t="shared" si="103"/>
        <v>4009</v>
      </c>
      <c r="S115">
        <f t="shared" si="104"/>
        <v>3990</v>
      </c>
      <c r="T115">
        <f t="shared" si="105"/>
        <v>1995</v>
      </c>
      <c r="U115" s="1">
        <v>0</v>
      </c>
      <c r="V115" s="1">
        <v>2</v>
      </c>
      <c r="W115">
        <f t="shared" si="106"/>
        <v>0</v>
      </c>
      <c r="X115">
        <f t="shared" si="107"/>
        <v>7990</v>
      </c>
      <c r="Z115">
        <f t="shared" si="108"/>
        <v>4000</v>
      </c>
      <c r="AA115">
        <f t="shared" si="109"/>
        <v>8000</v>
      </c>
      <c r="AB115">
        <f t="shared" si="110"/>
        <v>4000</v>
      </c>
      <c r="AD115">
        <f t="shared" si="111"/>
        <v>3997.5</v>
      </c>
      <c r="AE115">
        <f t="shared" si="112"/>
        <v>8001</v>
      </c>
      <c r="AF115">
        <v>4000</v>
      </c>
      <c r="AG115">
        <v>8000</v>
      </c>
    </row>
    <row r="116" spans="3:33" x14ac:dyDescent="0.25">
      <c r="C116" t="s">
        <v>27</v>
      </c>
      <c r="D116">
        <v>2833</v>
      </c>
      <c r="E116">
        <v>11331</v>
      </c>
      <c r="F116">
        <v>2838</v>
      </c>
      <c r="G116">
        <v>11336</v>
      </c>
      <c r="H116">
        <v>11330</v>
      </c>
      <c r="I116">
        <v>11332</v>
      </c>
      <c r="J116">
        <v>2833</v>
      </c>
      <c r="K116">
        <v>2836</v>
      </c>
      <c r="L116">
        <v>2833</v>
      </c>
      <c r="M116">
        <v>11336</v>
      </c>
      <c r="N116">
        <v>2833</v>
      </c>
      <c r="O116">
        <f t="shared" si="100"/>
        <v>6697.363636363636</v>
      </c>
      <c r="P116" s="1">
        <f t="shared" si="101"/>
        <v>2833</v>
      </c>
      <c r="Q116" s="1">
        <f t="shared" si="102"/>
        <v>11336</v>
      </c>
      <c r="R116">
        <f t="shared" si="103"/>
        <v>8503</v>
      </c>
      <c r="S116">
        <f t="shared" si="104"/>
        <v>8490</v>
      </c>
      <c r="T116">
        <f t="shared" si="105"/>
        <v>4245</v>
      </c>
      <c r="U116" s="1">
        <v>1</v>
      </c>
      <c r="V116" s="1">
        <v>4</v>
      </c>
      <c r="W116">
        <f t="shared" si="106"/>
        <v>11336</v>
      </c>
      <c r="X116">
        <f t="shared" si="107"/>
        <v>11332</v>
      </c>
      <c r="Z116">
        <f t="shared" si="108"/>
        <v>2840</v>
      </c>
      <c r="AA116">
        <f t="shared" si="109"/>
        <v>11330</v>
      </c>
      <c r="AB116">
        <f t="shared" si="110"/>
        <v>8490</v>
      </c>
      <c r="AD116">
        <f t="shared" si="111"/>
        <v>2834.3333333333335</v>
      </c>
      <c r="AE116">
        <f t="shared" si="112"/>
        <v>11333</v>
      </c>
      <c r="AF116">
        <v>2835</v>
      </c>
      <c r="AG116">
        <v>11335</v>
      </c>
    </row>
    <row r="117" spans="3:33" x14ac:dyDescent="0.25">
      <c r="C117" t="s">
        <v>58</v>
      </c>
      <c r="D117">
        <v>30003</v>
      </c>
      <c r="E117">
        <v>29997</v>
      </c>
      <c r="F117">
        <v>20004</v>
      </c>
      <c r="G117">
        <v>30001</v>
      </c>
      <c r="H117">
        <v>29996</v>
      </c>
      <c r="I117">
        <v>19996</v>
      </c>
      <c r="J117">
        <v>30002</v>
      </c>
      <c r="K117">
        <v>19996</v>
      </c>
      <c r="L117">
        <v>20004</v>
      </c>
      <c r="M117">
        <v>20002</v>
      </c>
      <c r="N117">
        <v>30000</v>
      </c>
      <c r="O117">
        <f t="shared" si="100"/>
        <v>25454.636363636364</v>
      </c>
      <c r="P117" s="1">
        <f t="shared" si="101"/>
        <v>19996</v>
      </c>
      <c r="Q117" s="1">
        <f t="shared" si="102"/>
        <v>30003</v>
      </c>
      <c r="R117">
        <f t="shared" si="103"/>
        <v>10007</v>
      </c>
      <c r="S117">
        <f t="shared" si="104"/>
        <v>9990</v>
      </c>
      <c r="T117">
        <f t="shared" si="105"/>
        <v>4995</v>
      </c>
      <c r="U117" s="1">
        <v>1</v>
      </c>
      <c r="V117" s="1">
        <v>2</v>
      </c>
      <c r="W117">
        <f t="shared" si="106"/>
        <v>30003</v>
      </c>
      <c r="X117">
        <f t="shared" si="107"/>
        <v>39992</v>
      </c>
      <c r="Z117">
        <f t="shared" si="108"/>
        <v>20000</v>
      </c>
      <c r="AA117">
        <f t="shared" si="109"/>
        <v>30000</v>
      </c>
      <c r="AB117">
        <f t="shared" si="110"/>
        <v>10000</v>
      </c>
      <c r="AD117">
        <f t="shared" si="111"/>
        <v>20000.400000000001</v>
      </c>
      <c r="AE117">
        <f t="shared" si="112"/>
        <v>29999.833333333332</v>
      </c>
      <c r="AF117">
        <f t="shared" si="113"/>
        <v>20000</v>
      </c>
      <c r="AG117">
        <f t="shared" ref="AG117" si="114">ROUND(AE117,0)</f>
        <v>30000</v>
      </c>
    </row>
    <row r="118" spans="3:33" x14ac:dyDescent="0.25">
      <c r="C118" t="s">
        <v>25</v>
      </c>
      <c r="D118">
        <v>8662</v>
      </c>
      <c r="E118">
        <v>8672</v>
      </c>
      <c r="F118">
        <v>17334</v>
      </c>
      <c r="G118">
        <v>8668</v>
      </c>
      <c r="H118">
        <v>17335</v>
      </c>
      <c r="I118">
        <v>8663</v>
      </c>
      <c r="J118">
        <v>8671</v>
      </c>
      <c r="K118">
        <v>8666</v>
      </c>
      <c r="L118">
        <v>17333</v>
      </c>
      <c r="M118">
        <v>17333</v>
      </c>
      <c r="N118">
        <v>8666</v>
      </c>
      <c r="O118">
        <f t="shared" si="100"/>
        <v>11818.454545454546</v>
      </c>
      <c r="P118" s="1">
        <f t="shared" si="101"/>
        <v>8662</v>
      </c>
      <c r="Q118" s="1">
        <f t="shared" si="102"/>
        <v>17335</v>
      </c>
      <c r="R118">
        <f t="shared" si="103"/>
        <v>8673</v>
      </c>
      <c r="S118">
        <f t="shared" si="104"/>
        <v>8660</v>
      </c>
      <c r="T118">
        <f t="shared" si="105"/>
        <v>4330</v>
      </c>
      <c r="U118" s="1">
        <v>2</v>
      </c>
      <c r="V118" s="1">
        <v>4</v>
      </c>
      <c r="W118">
        <f t="shared" si="106"/>
        <v>34670</v>
      </c>
      <c r="X118">
        <f t="shared" si="107"/>
        <v>34648</v>
      </c>
      <c r="Z118">
        <f t="shared" si="108"/>
        <v>8670</v>
      </c>
      <c r="AA118">
        <f t="shared" si="109"/>
        <v>17330</v>
      </c>
      <c r="AB118">
        <f t="shared" si="110"/>
        <v>8660</v>
      </c>
      <c r="AD118">
        <f t="shared" si="111"/>
        <v>8666.8571428571431</v>
      </c>
      <c r="AE118">
        <f t="shared" si="112"/>
        <v>17333.75</v>
      </c>
      <c r="AF118">
        <v>8665</v>
      </c>
      <c r="AG118">
        <v>17335</v>
      </c>
    </row>
    <row r="119" spans="3:33" x14ac:dyDescent="0.25">
      <c r="C119" t="s">
        <v>54</v>
      </c>
      <c r="D119">
        <v>29337</v>
      </c>
      <c r="E119">
        <v>29333</v>
      </c>
      <c r="F119">
        <v>29329</v>
      </c>
      <c r="G119">
        <v>14668</v>
      </c>
      <c r="H119">
        <v>14672</v>
      </c>
      <c r="I119">
        <v>14671</v>
      </c>
      <c r="J119">
        <v>14670</v>
      </c>
      <c r="K119">
        <v>14671</v>
      </c>
      <c r="L119">
        <v>14670</v>
      </c>
      <c r="M119">
        <v>29328</v>
      </c>
      <c r="N119">
        <v>29333</v>
      </c>
      <c r="O119">
        <f t="shared" ref="O119" si="115">AVERAGE(D119:N119)</f>
        <v>21334.727272727272</v>
      </c>
      <c r="P119" s="1">
        <f t="shared" ref="P119" si="116">MIN(D119:N119)</f>
        <v>14668</v>
      </c>
      <c r="Q119" s="1">
        <f t="shared" ref="Q119" si="117">MAX(D119:N119)</f>
        <v>29337</v>
      </c>
      <c r="R119">
        <f t="shared" ref="R119" si="118">Q119-P119</f>
        <v>14669</v>
      </c>
      <c r="S119">
        <f t="shared" ref="S119" si="119">CEILING(R119-20,10)</f>
        <v>14650</v>
      </c>
      <c r="T119">
        <f t="shared" ref="T119" si="120">S119/2</f>
        <v>7325</v>
      </c>
      <c r="U119" s="1">
        <v>1</v>
      </c>
      <c r="V119" s="1">
        <v>3</v>
      </c>
      <c r="W119">
        <f t="shared" ref="W119" si="121">U119*Q119</f>
        <v>29337</v>
      </c>
      <c r="X119">
        <f t="shared" ref="X119" si="122">V119*P119</f>
        <v>44004</v>
      </c>
      <c r="Z119">
        <f t="shared" si="108"/>
        <v>14670</v>
      </c>
      <c r="AA119">
        <f t="shared" si="109"/>
        <v>29330</v>
      </c>
      <c r="AB119">
        <f t="shared" si="110"/>
        <v>14660</v>
      </c>
      <c r="AD119">
        <f t="shared" si="111"/>
        <v>14670.333333333334</v>
      </c>
      <c r="AE119">
        <f t="shared" si="112"/>
        <v>29332</v>
      </c>
      <c r="AF119">
        <f t="shared" si="113"/>
        <v>14670</v>
      </c>
      <c r="AG119">
        <v>29330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0"/>
  <sheetViews>
    <sheetView workbookViewId="0">
      <selection activeCell="W79" sqref="W79"/>
    </sheetView>
  </sheetViews>
  <sheetFormatPr defaultRowHeight="15" x14ac:dyDescent="0.25"/>
  <sheetData>
    <row r="2" spans="2:10" x14ac:dyDescent="0.25">
      <c r="C2">
        <v>0</v>
      </c>
      <c r="E2" s="15">
        <v>28</v>
      </c>
      <c r="G2">
        <v>44</v>
      </c>
      <c r="I2" s="16">
        <v>6.5972222222222224E-2</v>
      </c>
    </row>
    <row r="3" spans="2:10" x14ac:dyDescent="0.25">
      <c r="C3" t="s">
        <v>106</v>
      </c>
      <c r="D3" t="s">
        <v>107</v>
      </c>
      <c r="E3" t="s">
        <v>106</v>
      </c>
      <c r="F3" t="s">
        <v>107</v>
      </c>
      <c r="G3" t="s">
        <v>106</v>
      </c>
      <c r="H3" t="s">
        <v>107</v>
      </c>
      <c r="I3" t="s">
        <v>106</v>
      </c>
      <c r="J3" t="s">
        <v>107</v>
      </c>
    </row>
    <row r="4" spans="2:10" x14ac:dyDescent="0.25">
      <c r="B4" t="s">
        <v>17</v>
      </c>
      <c r="C4">
        <v>17</v>
      </c>
      <c r="D4">
        <v>236</v>
      </c>
      <c r="E4">
        <v>13</v>
      </c>
      <c r="F4">
        <v>275</v>
      </c>
      <c r="G4">
        <v>12</v>
      </c>
      <c r="H4">
        <v>291</v>
      </c>
      <c r="I4">
        <v>13</v>
      </c>
      <c r="J4">
        <v>304</v>
      </c>
    </row>
    <row r="5" spans="2:10" x14ac:dyDescent="0.25">
      <c r="B5" t="s">
        <v>38</v>
      </c>
      <c r="C5">
        <v>5</v>
      </c>
      <c r="D5">
        <v>305</v>
      </c>
      <c r="E5">
        <v>5</v>
      </c>
      <c r="F5">
        <v>302</v>
      </c>
      <c r="G5">
        <v>2</v>
      </c>
      <c r="H5">
        <v>378</v>
      </c>
      <c r="I5">
        <v>3</v>
      </c>
      <c r="J5">
        <v>495</v>
      </c>
    </row>
    <row r="6" spans="2:10" x14ac:dyDescent="0.25">
      <c r="B6" t="s">
        <v>41</v>
      </c>
      <c r="C6">
        <v>1</v>
      </c>
      <c r="D6">
        <v>263</v>
      </c>
      <c r="E6">
        <v>1</v>
      </c>
      <c r="F6">
        <v>266</v>
      </c>
      <c r="G6">
        <v>1</v>
      </c>
      <c r="H6">
        <v>262</v>
      </c>
      <c r="I6">
        <v>1</v>
      </c>
      <c r="J6">
        <v>271</v>
      </c>
    </row>
    <row r="7" spans="2:10" x14ac:dyDescent="0.25">
      <c r="B7" t="s">
        <v>14</v>
      </c>
      <c r="C7">
        <v>5</v>
      </c>
      <c r="D7">
        <v>637</v>
      </c>
      <c r="E7">
        <v>5</v>
      </c>
      <c r="F7">
        <v>644</v>
      </c>
      <c r="G7">
        <v>5</v>
      </c>
      <c r="H7">
        <v>645</v>
      </c>
      <c r="I7">
        <v>9</v>
      </c>
      <c r="J7">
        <v>359</v>
      </c>
    </row>
    <row r="8" spans="2:10" x14ac:dyDescent="0.25">
      <c r="B8" t="s">
        <v>39</v>
      </c>
      <c r="C8">
        <v>0</v>
      </c>
      <c r="D8">
        <v>1170</v>
      </c>
      <c r="E8">
        <v>4</v>
      </c>
      <c r="F8">
        <v>703</v>
      </c>
      <c r="G8">
        <v>4</v>
      </c>
      <c r="H8">
        <v>581</v>
      </c>
      <c r="I8">
        <v>0</v>
      </c>
      <c r="J8">
        <v>1168</v>
      </c>
    </row>
    <row r="9" spans="2:10" x14ac:dyDescent="0.25">
      <c r="B9" t="s">
        <v>18</v>
      </c>
      <c r="C9">
        <v>3</v>
      </c>
      <c r="D9">
        <v>802</v>
      </c>
      <c r="E9">
        <v>3</v>
      </c>
      <c r="F9">
        <v>796</v>
      </c>
      <c r="G9">
        <v>3</v>
      </c>
      <c r="H9">
        <v>797</v>
      </c>
      <c r="I9">
        <v>3</v>
      </c>
      <c r="J9">
        <v>800</v>
      </c>
    </row>
    <row r="10" spans="2:10" x14ac:dyDescent="0.25">
      <c r="B10" t="s">
        <v>48</v>
      </c>
      <c r="C10">
        <v>2</v>
      </c>
      <c r="D10">
        <v>1895</v>
      </c>
      <c r="E10">
        <v>2</v>
      </c>
      <c r="F10">
        <v>1900</v>
      </c>
      <c r="G10">
        <v>2</v>
      </c>
      <c r="H10">
        <v>1901</v>
      </c>
      <c r="I10">
        <v>3</v>
      </c>
      <c r="J10">
        <v>1270</v>
      </c>
    </row>
    <row r="11" spans="2:10" x14ac:dyDescent="0.25">
      <c r="B11" t="s">
        <v>51</v>
      </c>
      <c r="C11">
        <v>0</v>
      </c>
      <c r="D11">
        <v>15995</v>
      </c>
      <c r="E11">
        <v>0</v>
      </c>
      <c r="F11">
        <v>15992</v>
      </c>
      <c r="G11">
        <v>0</v>
      </c>
      <c r="H11">
        <v>15992</v>
      </c>
      <c r="I11">
        <v>0</v>
      </c>
      <c r="J11">
        <v>16001</v>
      </c>
    </row>
    <row r="12" spans="2:10" x14ac:dyDescent="0.25">
      <c r="B12" t="s">
        <v>52</v>
      </c>
      <c r="C12">
        <v>1</v>
      </c>
      <c r="D12">
        <v>14005</v>
      </c>
      <c r="E12">
        <v>1</v>
      </c>
      <c r="F12">
        <v>14004</v>
      </c>
      <c r="G12">
        <v>0</v>
      </c>
      <c r="H12">
        <v>15172</v>
      </c>
      <c r="I12">
        <v>1</v>
      </c>
      <c r="J12">
        <v>13997</v>
      </c>
    </row>
    <row r="13" spans="2:10" x14ac:dyDescent="0.25">
      <c r="B13" t="s">
        <v>53</v>
      </c>
      <c r="C13">
        <v>1</v>
      </c>
      <c r="D13">
        <v>10004</v>
      </c>
      <c r="E13">
        <v>1</v>
      </c>
      <c r="F13">
        <v>10002</v>
      </c>
      <c r="G13">
        <v>0</v>
      </c>
      <c r="H13">
        <v>11255</v>
      </c>
      <c r="I13">
        <v>1</v>
      </c>
      <c r="J13">
        <v>10002</v>
      </c>
    </row>
    <row r="14" spans="2:10" x14ac:dyDescent="0.25">
      <c r="B14" t="s">
        <v>105</v>
      </c>
      <c r="C14">
        <v>1</v>
      </c>
      <c r="D14">
        <v>16004</v>
      </c>
      <c r="E14">
        <v>1</v>
      </c>
      <c r="F14">
        <v>16000</v>
      </c>
      <c r="G14">
        <v>0</v>
      </c>
      <c r="H14">
        <v>17330</v>
      </c>
      <c r="I14">
        <v>1</v>
      </c>
      <c r="J14">
        <v>15998</v>
      </c>
    </row>
    <row r="15" spans="2:10" x14ac:dyDescent="0.25">
      <c r="B15" t="s">
        <v>55</v>
      </c>
      <c r="C15">
        <v>1</v>
      </c>
      <c r="D15">
        <v>31997</v>
      </c>
      <c r="E15">
        <v>1</v>
      </c>
      <c r="F15">
        <v>32000</v>
      </c>
      <c r="G15">
        <v>0</v>
      </c>
      <c r="H15">
        <v>34670</v>
      </c>
      <c r="I15">
        <v>1</v>
      </c>
      <c r="J15">
        <v>32001</v>
      </c>
    </row>
    <row r="16" spans="2:10" x14ac:dyDescent="0.25">
      <c r="B16" t="s">
        <v>36</v>
      </c>
      <c r="C16">
        <v>0</v>
      </c>
      <c r="D16">
        <v>65000</v>
      </c>
      <c r="E16">
        <v>0</v>
      </c>
      <c r="F16">
        <v>52496</v>
      </c>
      <c r="G16">
        <v>0</v>
      </c>
      <c r="H16">
        <v>49374</v>
      </c>
      <c r="I16">
        <v>0</v>
      </c>
      <c r="J16">
        <v>40001</v>
      </c>
    </row>
    <row r="22" spans="5:17" x14ac:dyDescent="0.25">
      <c r="L22" t="s">
        <v>219</v>
      </c>
      <c r="M22" t="s">
        <v>220</v>
      </c>
      <c r="O22" t="s">
        <v>217</v>
      </c>
      <c r="P22" t="s">
        <v>218</v>
      </c>
      <c r="Q22" t="s">
        <v>221</v>
      </c>
    </row>
    <row r="23" spans="5:17" x14ac:dyDescent="0.25">
      <c r="N23" t="s">
        <v>38</v>
      </c>
      <c r="O23">
        <v>16800</v>
      </c>
      <c r="P23">
        <v>22200</v>
      </c>
    </row>
    <row r="24" spans="5:17" x14ac:dyDescent="0.25">
      <c r="E24">
        <v>28</v>
      </c>
      <c r="F24">
        <v>5</v>
      </c>
      <c r="L24">
        <v>2</v>
      </c>
      <c r="M24">
        <v>0.5</v>
      </c>
      <c r="N24" t="s">
        <v>127</v>
      </c>
      <c r="O24">
        <v>0</v>
      </c>
      <c r="P24">
        <f>4700-265</f>
        <v>4435</v>
      </c>
      <c r="Q24">
        <f>2*(7000-265)</f>
        <v>13470</v>
      </c>
    </row>
    <row r="25" spans="5:17" x14ac:dyDescent="0.25">
      <c r="E25">
        <v>38</v>
      </c>
      <c r="F25">
        <v>36</v>
      </c>
      <c r="L25">
        <v>1</v>
      </c>
      <c r="M25">
        <v>0.5</v>
      </c>
      <c r="N25" t="s">
        <v>222</v>
      </c>
      <c r="O25">
        <v>0</v>
      </c>
      <c r="P25">
        <v>22866</v>
      </c>
      <c r="Q25">
        <v>34539</v>
      </c>
    </row>
    <row r="26" spans="5:17" x14ac:dyDescent="0.25">
      <c r="E26">
        <v>44</v>
      </c>
      <c r="F26">
        <v>20</v>
      </c>
      <c r="L26">
        <v>2</v>
      </c>
      <c r="M26">
        <v>0.5</v>
      </c>
      <c r="N26" t="s">
        <v>36</v>
      </c>
      <c r="O26">
        <v>0</v>
      </c>
      <c r="P26">
        <v>0</v>
      </c>
      <c r="Q26">
        <f>65000-26667</f>
        <v>38333</v>
      </c>
    </row>
    <row r="28" spans="5:17" x14ac:dyDescent="0.25">
      <c r="P28">
        <f>P24+P25+O23</f>
        <v>44101</v>
      </c>
    </row>
    <row r="32" spans="5:17" x14ac:dyDescent="0.25">
      <c r="F32">
        <v>121</v>
      </c>
      <c r="G32">
        <f>F32*1.3</f>
        <v>157.30000000000001</v>
      </c>
      <c r="L32">
        <f>15*1500-(15*300)</f>
        <v>18000</v>
      </c>
    </row>
    <row r="34" spans="4:18" x14ac:dyDescent="0.25">
      <c r="L34">
        <f>12*2700-4500-4500</f>
        <v>23400</v>
      </c>
      <c r="M34">
        <f>14*2700-9000</f>
        <v>28800</v>
      </c>
      <c r="N34">
        <f>16*2700-9000</f>
        <v>34200</v>
      </c>
      <c r="O34">
        <f>17*2700-9000</f>
        <v>36900</v>
      </c>
    </row>
    <row r="42" spans="4:18" x14ac:dyDescent="0.25">
      <c r="N42" s="1" t="s">
        <v>1</v>
      </c>
    </row>
    <row r="43" spans="4:18" x14ac:dyDescent="0.25">
      <c r="O43" s="1" t="s">
        <v>99</v>
      </c>
      <c r="P43" s="1" t="s">
        <v>100</v>
      </c>
      <c r="Q43" s="1" t="s">
        <v>97</v>
      </c>
      <c r="R43" s="1" t="s">
        <v>98</v>
      </c>
    </row>
    <row r="44" spans="4:18" x14ac:dyDescent="0.25">
      <c r="N44" s="3" t="s">
        <v>10</v>
      </c>
      <c r="O44" s="3">
        <v>385</v>
      </c>
      <c r="P44" s="2">
        <v>9</v>
      </c>
      <c r="Q44" s="3">
        <v>315</v>
      </c>
      <c r="R44" s="2">
        <v>11</v>
      </c>
    </row>
    <row r="45" spans="4:18" x14ac:dyDescent="0.25">
      <c r="N45" s="3" t="s">
        <v>38</v>
      </c>
      <c r="O45" s="3">
        <v>1500</v>
      </c>
      <c r="P45" s="2">
        <v>3</v>
      </c>
      <c r="Q45" s="3">
        <v>1500</v>
      </c>
      <c r="R45" s="2">
        <v>3</v>
      </c>
    </row>
    <row r="46" spans="4:18" x14ac:dyDescent="0.25">
      <c r="N46" s="3" t="s">
        <v>39</v>
      </c>
      <c r="O46" s="3">
        <v>420</v>
      </c>
      <c r="P46" s="2">
        <v>4</v>
      </c>
      <c r="Q46" s="3">
        <v>280</v>
      </c>
      <c r="R46" s="2">
        <v>6</v>
      </c>
    </row>
    <row r="47" spans="4:18" x14ac:dyDescent="0.25">
      <c r="N47" s="3" t="s">
        <v>13</v>
      </c>
      <c r="O47" s="3">
        <v>500</v>
      </c>
      <c r="P47" s="2">
        <v>3</v>
      </c>
      <c r="Q47" s="3">
        <v>200</v>
      </c>
      <c r="R47" s="2">
        <v>6</v>
      </c>
    </row>
    <row r="48" spans="4:18" x14ac:dyDescent="0.25">
      <c r="D48" t="s">
        <v>223</v>
      </c>
      <c r="E48" t="s">
        <v>238</v>
      </c>
      <c r="N48" s="3" t="s">
        <v>14</v>
      </c>
      <c r="O48" s="3">
        <v>800</v>
      </c>
      <c r="P48" s="2">
        <v>2</v>
      </c>
      <c r="Q48" s="3">
        <v>400</v>
      </c>
      <c r="R48" s="2">
        <v>4</v>
      </c>
    </row>
    <row r="49" spans="4:26" x14ac:dyDescent="0.25">
      <c r="D49" t="s">
        <v>224</v>
      </c>
      <c r="E49" t="s">
        <v>239</v>
      </c>
      <c r="N49" s="3" t="s">
        <v>40</v>
      </c>
      <c r="O49" s="3">
        <v>1166</v>
      </c>
      <c r="P49" s="2">
        <v>0</v>
      </c>
      <c r="Q49" s="3">
        <v>468</v>
      </c>
      <c r="R49" s="2">
        <v>1</v>
      </c>
      <c r="U49" t="s">
        <v>240</v>
      </c>
    </row>
    <row r="50" spans="4:26" x14ac:dyDescent="0.25">
      <c r="D50" t="s">
        <v>225</v>
      </c>
      <c r="N50" s="3" t="s">
        <v>41</v>
      </c>
      <c r="O50" s="3">
        <v>7000</v>
      </c>
      <c r="P50" s="2">
        <v>0</v>
      </c>
      <c r="Q50" s="3">
        <v>4670</v>
      </c>
      <c r="R50" s="2">
        <v>1</v>
      </c>
    </row>
    <row r="51" spans="4:26" x14ac:dyDescent="0.25">
      <c r="D51" t="s">
        <v>226</v>
      </c>
      <c r="P51" s="1"/>
      <c r="R51" s="1"/>
      <c r="U51" t="s">
        <v>241</v>
      </c>
    </row>
    <row r="52" spans="4:26" x14ac:dyDescent="0.25">
      <c r="D52" t="s">
        <v>227</v>
      </c>
      <c r="P52" s="1"/>
      <c r="R52" s="1"/>
      <c r="U52" t="s">
        <v>47</v>
      </c>
      <c r="V52">
        <v>5332</v>
      </c>
    </row>
    <row r="53" spans="4:26" x14ac:dyDescent="0.25">
      <c r="D53" t="s">
        <v>230</v>
      </c>
      <c r="N53" s="1" t="s">
        <v>2</v>
      </c>
      <c r="P53" s="1"/>
      <c r="R53" s="1"/>
      <c r="U53" t="s">
        <v>242</v>
      </c>
      <c r="V53">
        <v>3660</v>
      </c>
      <c r="X53">
        <f>SUM(V52:V54)</f>
        <v>22325</v>
      </c>
    </row>
    <row r="54" spans="4:26" x14ac:dyDescent="0.25">
      <c r="D54" t="s">
        <v>231</v>
      </c>
      <c r="P54" s="1"/>
      <c r="R54" s="1"/>
      <c r="U54" t="s">
        <v>28</v>
      </c>
      <c r="V54">
        <v>13333</v>
      </c>
    </row>
    <row r="55" spans="4:26" x14ac:dyDescent="0.25">
      <c r="D55" t="s">
        <v>232</v>
      </c>
      <c r="N55" s="3" t="s">
        <v>10</v>
      </c>
      <c r="O55" s="3">
        <v>165</v>
      </c>
      <c r="P55" s="2">
        <v>23</v>
      </c>
      <c r="Q55" s="3">
        <v>135</v>
      </c>
      <c r="R55" s="2">
        <v>28</v>
      </c>
    </row>
    <row r="56" spans="4:26" x14ac:dyDescent="0.25">
      <c r="D56" t="s">
        <v>229</v>
      </c>
      <c r="N56" s="3" t="s">
        <v>17</v>
      </c>
      <c r="O56" s="3">
        <v>620</v>
      </c>
      <c r="P56" s="2">
        <v>7</v>
      </c>
      <c r="Q56" s="3">
        <v>480</v>
      </c>
      <c r="R56" s="2">
        <v>9</v>
      </c>
      <c r="U56" t="s">
        <v>243</v>
      </c>
      <c r="Z56">
        <f>SUM(X58,X53)</f>
        <v>58765</v>
      </c>
    </row>
    <row r="57" spans="4:26" x14ac:dyDescent="0.25">
      <c r="D57" t="s">
        <v>228</v>
      </c>
      <c r="N57" s="3" t="s">
        <v>18</v>
      </c>
      <c r="O57" s="3">
        <v>500</v>
      </c>
      <c r="P57" s="2">
        <v>3</v>
      </c>
      <c r="Q57" s="3">
        <v>300</v>
      </c>
      <c r="R57" s="2">
        <v>5</v>
      </c>
      <c r="U57" t="s">
        <v>38</v>
      </c>
      <c r="V57">
        <v>13500</v>
      </c>
    </row>
    <row r="58" spans="4:26" x14ac:dyDescent="0.25">
      <c r="F58" t="s">
        <v>200</v>
      </c>
      <c r="G58" t="s">
        <v>233</v>
      </c>
      <c r="H58" t="s">
        <v>234</v>
      </c>
      <c r="I58" t="s">
        <v>236</v>
      </c>
      <c r="J58" t="s">
        <v>235</v>
      </c>
      <c r="K58" t="s">
        <v>80</v>
      </c>
      <c r="N58" s="3" t="s">
        <v>41</v>
      </c>
      <c r="O58" s="3">
        <v>835</v>
      </c>
      <c r="P58" s="2">
        <v>0</v>
      </c>
      <c r="Q58" s="3">
        <v>335</v>
      </c>
      <c r="R58" s="2">
        <v>1</v>
      </c>
      <c r="U58" t="s">
        <v>244</v>
      </c>
      <c r="V58">
        <v>22940</v>
      </c>
      <c r="W58">
        <v>14610</v>
      </c>
      <c r="X58">
        <f>SUM(V57:V58)</f>
        <v>36440</v>
      </c>
    </row>
    <row r="59" spans="4:26" x14ac:dyDescent="0.25">
      <c r="D59" t="s">
        <v>224</v>
      </c>
      <c r="E59" t="s">
        <v>38</v>
      </c>
      <c r="F59">
        <v>6</v>
      </c>
      <c r="G59">
        <v>500</v>
      </c>
      <c r="H59">
        <f>F59*G59</f>
        <v>3000</v>
      </c>
      <c r="I59">
        <v>2750</v>
      </c>
      <c r="J59">
        <f>F59*I59</f>
        <v>16500</v>
      </c>
      <c r="K59">
        <f>J59-H59</f>
        <v>13500</v>
      </c>
      <c r="N59" s="3" t="s">
        <v>13</v>
      </c>
      <c r="O59" s="3">
        <v>550</v>
      </c>
      <c r="P59" s="2">
        <v>3</v>
      </c>
      <c r="Q59" s="3">
        <v>360</v>
      </c>
      <c r="R59" s="2">
        <v>4</v>
      </c>
      <c r="W59">
        <f>SUM(W58,V57,V54,V52)</f>
        <v>46775</v>
      </c>
      <c r="Z59">
        <f>SUM(X58,V54)</f>
        <v>49773</v>
      </c>
    </row>
    <row r="60" spans="4:26" x14ac:dyDescent="0.25">
      <c r="D60" t="s">
        <v>224</v>
      </c>
      <c r="E60" t="s">
        <v>48</v>
      </c>
      <c r="F60">
        <v>4</v>
      </c>
      <c r="G60">
        <v>1905</v>
      </c>
      <c r="H60">
        <f>G60*F60</f>
        <v>7620</v>
      </c>
      <c r="I60">
        <v>2500</v>
      </c>
      <c r="J60">
        <f>I60*F60</f>
        <v>10000</v>
      </c>
      <c r="K60">
        <f>J60-H60</f>
        <v>2380</v>
      </c>
      <c r="N60" s="3" t="s">
        <v>46</v>
      </c>
      <c r="O60" s="3">
        <v>961</v>
      </c>
      <c r="P60" s="2">
        <v>1</v>
      </c>
      <c r="Q60" s="3">
        <v>180</v>
      </c>
      <c r="R60" s="2">
        <v>7</v>
      </c>
    </row>
    <row r="61" spans="4:26" x14ac:dyDescent="0.25">
      <c r="D61" t="s">
        <v>226</v>
      </c>
      <c r="E61" t="s">
        <v>48</v>
      </c>
      <c r="F61">
        <v>3</v>
      </c>
      <c r="G61">
        <v>1200</v>
      </c>
      <c r="H61">
        <f>G61*F61</f>
        <v>3600</v>
      </c>
      <c r="I61">
        <v>2500</v>
      </c>
      <c r="J61">
        <f>I61*F61</f>
        <v>7500</v>
      </c>
      <c r="K61">
        <f>J61-H61</f>
        <v>3900</v>
      </c>
      <c r="N61" s="3" t="s">
        <v>20</v>
      </c>
      <c r="O61" s="3">
        <v>1000</v>
      </c>
      <c r="P61" s="2">
        <v>2</v>
      </c>
      <c r="Q61" s="3">
        <v>670</v>
      </c>
      <c r="R61" s="2">
        <v>3</v>
      </c>
      <c r="U61" t="s">
        <v>245</v>
      </c>
    </row>
    <row r="62" spans="4:26" x14ac:dyDescent="0.25">
      <c r="D62" t="s">
        <v>226</v>
      </c>
      <c r="E62" t="s">
        <v>23</v>
      </c>
      <c r="F62">
        <v>2</v>
      </c>
      <c r="G62">
        <v>3500</v>
      </c>
      <c r="H62">
        <f>G62*F62</f>
        <v>7000</v>
      </c>
      <c r="I62">
        <v>5330</v>
      </c>
      <c r="J62">
        <f>I62*F62</f>
        <v>10660</v>
      </c>
      <c r="K62">
        <f>J62-H62</f>
        <v>3660</v>
      </c>
      <c r="N62" s="3" t="s">
        <v>47</v>
      </c>
      <c r="O62" s="3">
        <v>1830</v>
      </c>
      <c r="P62" s="2">
        <v>0</v>
      </c>
      <c r="Q62" s="3">
        <v>730</v>
      </c>
      <c r="R62" s="2">
        <v>1</v>
      </c>
      <c r="U62" t="s">
        <v>27</v>
      </c>
      <c r="V62">
        <v>15000</v>
      </c>
    </row>
    <row r="63" spans="4:26" x14ac:dyDescent="0.25">
      <c r="N63" s="3" t="s">
        <v>48</v>
      </c>
      <c r="O63" s="3">
        <v>1200</v>
      </c>
      <c r="P63" s="2">
        <v>3</v>
      </c>
      <c r="Q63" s="3">
        <v>1200</v>
      </c>
      <c r="R63" s="2">
        <v>3</v>
      </c>
    </row>
    <row r="64" spans="4:26" x14ac:dyDescent="0.25">
      <c r="N64" s="3" t="s">
        <v>23</v>
      </c>
      <c r="O64" s="3">
        <v>3500</v>
      </c>
      <c r="P64" s="2">
        <v>2</v>
      </c>
      <c r="Q64" s="3">
        <v>3500</v>
      </c>
      <c r="R64" s="2">
        <v>2</v>
      </c>
      <c r="X64" t="s">
        <v>44</v>
      </c>
      <c r="Y64" t="s">
        <v>0</v>
      </c>
    </row>
    <row r="65" spans="4:25" x14ac:dyDescent="0.25">
      <c r="N65" s="3" t="s">
        <v>40</v>
      </c>
      <c r="O65" s="3">
        <v>35000</v>
      </c>
      <c r="P65" s="2">
        <v>0</v>
      </c>
      <c r="Q65" s="3">
        <v>23335</v>
      </c>
      <c r="R65" s="2">
        <v>1</v>
      </c>
      <c r="V65" t="s">
        <v>246</v>
      </c>
      <c r="W65" t="s">
        <v>47</v>
      </c>
      <c r="X65">
        <v>2</v>
      </c>
      <c r="Y65">
        <v>2</v>
      </c>
    </row>
    <row r="66" spans="4:25" x14ac:dyDescent="0.25">
      <c r="D66" t="s">
        <v>237</v>
      </c>
      <c r="E66" t="s">
        <v>58</v>
      </c>
      <c r="F66">
        <v>1</v>
      </c>
      <c r="G66">
        <v>40000</v>
      </c>
      <c r="H66">
        <f>G66*F66</f>
        <v>40000</v>
      </c>
      <c r="I66">
        <v>53333</v>
      </c>
      <c r="J66">
        <f>I66*F66</f>
        <v>53333</v>
      </c>
      <c r="K66">
        <f>J66-H66</f>
        <v>13333</v>
      </c>
      <c r="N66" s="3" t="s">
        <v>24</v>
      </c>
      <c r="O66" s="3">
        <v>8930</v>
      </c>
      <c r="P66" s="2">
        <v>2</v>
      </c>
      <c r="Q66" s="3">
        <v>4468</v>
      </c>
      <c r="R66" s="2">
        <v>4</v>
      </c>
      <c r="V66" t="s">
        <v>246</v>
      </c>
      <c r="W66" t="s">
        <v>242</v>
      </c>
      <c r="X66">
        <v>2</v>
      </c>
      <c r="Y66">
        <v>6</v>
      </c>
    </row>
    <row r="67" spans="4:25" x14ac:dyDescent="0.25">
      <c r="D67" t="s">
        <v>237</v>
      </c>
      <c r="E67" t="s">
        <v>47</v>
      </c>
      <c r="F67">
        <v>2</v>
      </c>
      <c r="G67">
        <v>4000</v>
      </c>
      <c r="H67">
        <f>G67*F67</f>
        <v>8000</v>
      </c>
      <c r="I67">
        <v>6666</v>
      </c>
      <c r="J67">
        <f>I67*F67</f>
        <v>13332</v>
      </c>
      <c r="K67">
        <f>J67-H67</f>
        <v>5332</v>
      </c>
      <c r="N67" s="3" t="s">
        <v>25</v>
      </c>
      <c r="O67" s="3">
        <v>12665</v>
      </c>
      <c r="P67" s="2">
        <v>2</v>
      </c>
      <c r="Q67" s="3">
        <v>3170</v>
      </c>
      <c r="R67" s="2">
        <v>5</v>
      </c>
      <c r="W67" t="s">
        <v>58</v>
      </c>
      <c r="X67">
        <v>1</v>
      </c>
      <c r="Y67">
        <v>1</v>
      </c>
    </row>
    <row r="68" spans="4:25" x14ac:dyDescent="0.25">
      <c r="D68" t="s">
        <v>237</v>
      </c>
      <c r="P68" s="1"/>
      <c r="R68" s="1"/>
      <c r="W68" t="s">
        <v>38</v>
      </c>
      <c r="X68">
        <v>9</v>
      </c>
      <c r="Y68">
        <v>16</v>
      </c>
    </row>
    <row r="69" spans="4:25" x14ac:dyDescent="0.25">
      <c r="P69" s="1"/>
      <c r="R69" s="1"/>
      <c r="W69" t="s">
        <v>123</v>
      </c>
      <c r="X69">
        <v>10</v>
      </c>
      <c r="Y69">
        <v>13</v>
      </c>
    </row>
    <row r="70" spans="4:25" x14ac:dyDescent="0.25">
      <c r="N70" s="1" t="s">
        <v>37</v>
      </c>
      <c r="P70" s="1"/>
      <c r="R70" s="1"/>
    </row>
    <row r="71" spans="4:25" x14ac:dyDescent="0.25">
      <c r="P71" s="1"/>
      <c r="R71" s="1"/>
      <c r="X71">
        <f>SUM(X65:X69)</f>
        <v>24</v>
      </c>
      <c r="Y71">
        <f>SUM(Y65:Y69)</f>
        <v>38</v>
      </c>
    </row>
    <row r="72" spans="4:25" x14ac:dyDescent="0.25">
      <c r="N72" s="3" t="s">
        <v>17</v>
      </c>
      <c r="O72" s="3">
        <v>310</v>
      </c>
      <c r="P72" s="2">
        <v>13</v>
      </c>
      <c r="Q72" s="3">
        <v>235</v>
      </c>
      <c r="R72" s="2">
        <v>17</v>
      </c>
      <c r="X72">
        <f>SUM(X67:X69)</f>
        <v>20</v>
      </c>
      <c r="Y72">
        <f>SUM(Y67:Y69)</f>
        <v>30</v>
      </c>
    </row>
    <row r="73" spans="4:25" x14ac:dyDescent="0.25">
      <c r="N73" s="3" t="s">
        <v>38</v>
      </c>
      <c r="O73" s="3">
        <v>500</v>
      </c>
      <c r="P73" s="2">
        <v>3</v>
      </c>
      <c r="Q73" s="3">
        <v>300</v>
      </c>
      <c r="R73" s="2">
        <v>5</v>
      </c>
    </row>
    <row r="74" spans="4:25" x14ac:dyDescent="0.25">
      <c r="K74">
        <f>SUM(K59:K66)</f>
        <v>36773</v>
      </c>
      <c r="N74" s="3" t="s">
        <v>41</v>
      </c>
      <c r="O74" s="3">
        <v>670</v>
      </c>
      <c r="P74" s="2">
        <v>0</v>
      </c>
      <c r="Q74" s="3">
        <v>265</v>
      </c>
      <c r="R74" s="2">
        <v>1</v>
      </c>
    </row>
    <row r="75" spans="4:25" x14ac:dyDescent="0.25">
      <c r="N75" s="3" t="s">
        <v>14</v>
      </c>
      <c r="O75" s="3">
        <v>640</v>
      </c>
      <c r="P75" s="2">
        <v>5</v>
      </c>
      <c r="Q75" s="3">
        <v>360</v>
      </c>
      <c r="R75" s="2">
        <v>9</v>
      </c>
      <c r="X75" t="s">
        <v>247</v>
      </c>
      <c r="Y75" t="s">
        <v>248</v>
      </c>
    </row>
    <row r="76" spans="4:25" x14ac:dyDescent="0.25">
      <c r="N76" s="3" t="s">
        <v>39</v>
      </c>
      <c r="O76" s="3">
        <v>1168</v>
      </c>
      <c r="P76" s="2">
        <v>0</v>
      </c>
      <c r="Q76" s="3">
        <v>238</v>
      </c>
      <c r="R76" s="2">
        <v>4</v>
      </c>
      <c r="W76" t="s">
        <v>38</v>
      </c>
      <c r="X76">
        <v>12</v>
      </c>
      <c r="Y76">
        <v>6</v>
      </c>
    </row>
    <row r="77" spans="4:25" x14ac:dyDescent="0.25">
      <c r="D77">
        <f>2750*6-3000</f>
        <v>13500</v>
      </c>
      <c r="N77" s="3" t="s">
        <v>18</v>
      </c>
      <c r="O77" s="3">
        <v>800</v>
      </c>
      <c r="P77" s="2">
        <v>3</v>
      </c>
      <c r="Q77" s="3">
        <v>800</v>
      </c>
      <c r="R77" s="2">
        <v>3</v>
      </c>
      <c r="W77" t="s">
        <v>123</v>
      </c>
      <c r="X77">
        <v>11</v>
      </c>
      <c r="Y77">
        <v>7</v>
      </c>
    </row>
    <row r="78" spans="4:25" x14ac:dyDescent="0.25">
      <c r="N78" s="3" t="s">
        <v>48</v>
      </c>
      <c r="O78" s="3">
        <v>1905</v>
      </c>
      <c r="P78" s="2">
        <v>2</v>
      </c>
      <c r="Q78" s="3">
        <v>1265</v>
      </c>
      <c r="R78" s="2">
        <v>3</v>
      </c>
      <c r="W78" t="s">
        <v>58</v>
      </c>
      <c r="X78">
        <v>1</v>
      </c>
      <c r="Y78">
        <v>1</v>
      </c>
    </row>
    <row r="79" spans="4:25" x14ac:dyDescent="0.25">
      <c r="N79" s="3" t="s">
        <v>51</v>
      </c>
      <c r="O79" s="3">
        <v>16000</v>
      </c>
      <c r="P79" s="2">
        <v>0</v>
      </c>
      <c r="Q79" s="3">
        <v>8000</v>
      </c>
      <c r="R79" s="2">
        <v>2</v>
      </c>
    </row>
    <row r="80" spans="4:25" x14ac:dyDescent="0.25">
      <c r="N80" s="3" t="s">
        <v>52</v>
      </c>
      <c r="O80" s="3">
        <v>14000</v>
      </c>
      <c r="P80" s="2">
        <v>1</v>
      </c>
      <c r="Q80" s="3">
        <v>14000</v>
      </c>
      <c r="R80" s="2">
        <v>1</v>
      </c>
      <c r="X80">
        <f>SUM(X76:X79)</f>
        <v>24</v>
      </c>
    </row>
    <row r="81" spans="14:18" x14ac:dyDescent="0.25">
      <c r="N81" s="3" t="s">
        <v>53</v>
      </c>
      <c r="O81" s="3">
        <v>20000</v>
      </c>
      <c r="P81" s="2">
        <v>0</v>
      </c>
      <c r="Q81" s="3">
        <v>10000</v>
      </c>
      <c r="R81" s="2">
        <v>1</v>
      </c>
    </row>
    <row r="82" spans="14:18" x14ac:dyDescent="0.25">
      <c r="N82" s="3" t="s">
        <v>54</v>
      </c>
      <c r="O82" s="3">
        <v>16000</v>
      </c>
      <c r="P82" s="2">
        <v>1</v>
      </c>
      <c r="Q82" s="3">
        <v>16000</v>
      </c>
      <c r="R82" s="2">
        <v>1</v>
      </c>
    </row>
    <row r="83" spans="14:18" x14ac:dyDescent="0.25">
      <c r="N83" s="3" t="s">
        <v>55</v>
      </c>
      <c r="O83" s="3">
        <v>32000</v>
      </c>
      <c r="P83" s="2">
        <v>1</v>
      </c>
      <c r="Q83" s="3">
        <v>32000</v>
      </c>
      <c r="R83" s="2">
        <v>1</v>
      </c>
    </row>
    <row r="84" spans="14:18" x14ac:dyDescent="0.25">
      <c r="N84" s="3" t="s">
        <v>36</v>
      </c>
      <c r="O84" s="3">
        <v>53335</v>
      </c>
      <c r="P84" s="2">
        <v>0</v>
      </c>
      <c r="Q84" s="3">
        <v>13335</v>
      </c>
      <c r="R84" s="2">
        <v>2</v>
      </c>
    </row>
    <row r="85" spans="14:18" x14ac:dyDescent="0.25">
      <c r="P85" s="1"/>
      <c r="R85" s="1"/>
    </row>
    <row r="86" spans="14:18" x14ac:dyDescent="0.25">
      <c r="P86" s="1"/>
      <c r="R86" s="1"/>
    </row>
    <row r="87" spans="14:18" x14ac:dyDescent="0.25">
      <c r="N87" s="1" t="s">
        <v>5</v>
      </c>
      <c r="P87" s="1"/>
      <c r="R87" s="1"/>
    </row>
    <row r="88" spans="14:18" x14ac:dyDescent="0.25">
      <c r="P88" s="1"/>
      <c r="R88" s="1"/>
    </row>
    <row r="89" spans="14:18" x14ac:dyDescent="0.25">
      <c r="N89" s="3" t="s">
        <v>10</v>
      </c>
      <c r="O89" s="3">
        <v>620</v>
      </c>
      <c r="P89" s="2">
        <v>7</v>
      </c>
      <c r="Q89" s="3">
        <v>480</v>
      </c>
      <c r="R89" s="2">
        <v>9</v>
      </c>
    </row>
    <row r="90" spans="14:18" x14ac:dyDescent="0.25">
      <c r="N90" s="3" t="s">
        <v>38</v>
      </c>
      <c r="O90" s="3">
        <v>2750</v>
      </c>
      <c r="P90" s="2">
        <v>3</v>
      </c>
      <c r="Q90" s="3">
        <v>1100</v>
      </c>
      <c r="R90" s="2">
        <v>6</v>
      </c>
    </row>
    <row r="91" spans="14:18" x14ac:dyDescent="0.25">
      <c r="N91" s="3" t="s">
        <v>14</v>
      </c>
      <c r="O91" s="3">
        <v>438</v>
      </c>
      <c r="P91" s="2">
        <v>3</v>
      </c>
      <c r="Q91" s="3">
        <v>178</v>
      </c>
      <c r="R91" s="2">
        <v>6</v>
      </c>
    </row>
    <row r="92" spans="14:18" x14ac:dyDescent="0.25">
      <c r="N92" s="3" t="s">
        <v>48</v>
      </c>
      <c r="O92" s="3">
        <v>2500</v>
      </c>
      <c r="P92" s="2">
        <v>3</v>
      </c>
      <c r="Q92" s="3">
        <v>1670</v>
      </c>
      <c r="R92" s="2">
        <v>4</v>
      </c>
    </row>
    <row r="93" spans="14:18" x14ac:dyDescent="0.25">
      <c r="N93" s="3" t="s">
        <v>47</v>
      </c>
      <c r="O93" s="3">
        <v>4000</v>
      </c>
      <c r="P93" s="2">
        <v>2</v>
      </c>
      <c r="Q93" s="3">
        <v>4000</v>
      </c>
      <c r="R93" s="2">
        <v>2</v>
      </c>
    </row>
    <row r="94" spans="14:18" x14ac:dyDescent="0.25">
      <c r="N94" s="3" t="s">
        <v>23</v>
      </c>
      <c r="O94" s="3">
        <v>5330</v>
      </c>
      <c r="P94" s="2">
        <v>1</v>
      </c>
      <c r="Q94" s="3">
        <v>1335</v>
      </c>
      <c r="R94" s="2">
        <v>4</v>
      </c>
    </row>
    <row r="95" spans="14:18" x14ac:dyDescent="0.25">
      <c r="N95" s="3" t="s">
        <v>27</v>
      </c>
      <c r="O95" s="3">
        <v>7500</v>
      </c>
      <c r="P95" s="2">
        <v>1</v>
      </c>
      <c r="Q95" s="3">
        <v>1500</v>
      </c>
      <c r="R95" s="2">
        <v>5</v>
      </c>
    </row>
    <row r="96" spans="14:18" x14ac:dyDescent="0.25">
      <c r="N96" s="3" t="s">
        <v>58</v>
      </c>
      <c r="O96" s="3">
        <v>40000</v>
      </c>
      <c r="P96" s="2">
        <v>1</v>
      </c>
      <c r="Q96" s="3">
        <v>40000</v>
      </c>
      <c r="R96" s="2">
        <v>1</v>
      </c>
    </row>
    <row r="97" spans="14:18" x14ac:dyDescent="0.25">
      <c r="P97" s="1"/>
      <c r="R97" s="1"/>
    </row>
    <row r="98" spans="14:18" x14ac:dyDescent="0.25">
      <c r="P98" s="1"/>
      <c r="R98" s="1"/>
    </row>
    <row r="99" spans="14:18" x14ac:dyDescent="0.25">
      <c r="N99" s="1" t="s">
        <v>6</v>
      </c>
      <c r="P99" s="1"/>
      <c r="R99" s="1"/>
    </row>
    <row r="100" spans="14:18" x14ac:dyDescent="0.25">
      <c r="P100" s="1"/>
      <c r="R100" s="1"/>
    </row>
    <row r="101" spans="14:18" x14ac:dyDescent="0.25">
      <c r="N101" s="3" t="s">
        <v>59</v>
      </c>
      <c r="O101" s="3">
        <v>850</v>
      </c>
      <c r="P101" s="2">
        <v>5</v>
      </c>
      <c r="Q101" s="3">
        <v>680</v>
      </c>
      <c r="R101" s="2">
        <v>6</v>
      </c>
    </row>
    <row r="102" spans="14:18" x14ac:dyDescent="0.25">
      <c r="N102" s="3" t="s">
        <v>39</v>
      </c>
      <c r="O102" s="3">
        <v>800</v>
      </c>
      <c r="P102" s="2">
        <v>2</v>
      </c>
      <c r="Q102" s="3">
        <v>200</v>
      </c>
      <c r="R102" s="2">
        <v>5</v>
      </c>
    </row>
    <row r="103" spans="14:18" x14ac:dyDescent="0.25">
      <c r="N103" s="3" t="s">
        <v>20</v>
      </c>
      <c r="O103" s="3">
        <v>650</v>
      </c>
      <c r="P103" s="2">
        <v>3</v>
      </c>
      <c r="Q103" s="3">
        <v>435</v>
      </c>
      <c r="R103" s="2">
        <v>4</v>
      </c>
    </row>
    <row r="104" spans="14:18" x14ac:dyDescent="0.25">
      <c r="N104" s="3" t="s">
        <v>48</v>
      </c>
      <c r="O104" s="3">
        <v>1000</v>
      </c>
      <c r="P104" s="2">
        <v>3</v>
      </c>
      <c r="Q104" s="3">
        <v>600</v>
      </c>
      <c r="R104" s="2">
        <v>5</v>
      </c>
    </row>
    <row r="105" spans="14:18" x14ac:dyDescent="0.25">
      <c r="N105" s="3" t="s">
        <v>60</v>
      </c>
      <c r="O105" s="3">
        <v>2935</v>
      </c>
      <c r="P105" s="2">
        <v>3</v>
      </c>
      <c r="Q105" s="3">
        <v>1175</v>
      </c>
      <c r="R105" s="2">
        <v>6</v>
      </c>
    </row>
    <row r="106" spans="14:18" x14ac:dyDescent="0.25">
      <c r="N106" s="3" t="s">
        <v>40</v>
      </c>
      <c r="O106" s="3">
        <v>29335</v>
      </c>
      <c r="P106" s="2">
        <v>0</v>
      </c>
      <c r="Q106" s="3">
        <v>14665</v>
      </c>
      <c r="R106" s="2">
        <v>2</v>
      </c>
    </row>
    <row r="107" spans="14:18" x14ac:dyDescent="0.25">
      <c r="N107" s="3" t="s">
        <v>30</v>
      </c>
      <c r="O107" s="3">
        <v>24000</v>
      </c>
      <c r="P107" s="2">
        <v>0</v>
      </c>
      <c r="Q107" s="3">
        <v>16000</v>
      </c>
      <c r="R107" s="2">
        <v>1</v>
      </c>
    </row>
    <row r="108" spans="14:18" x14ac:dyDescent="0.25">
      <c r="N108" s="3" t="s">
        <v>53</v>
      </c>
      <c r="O108" s="3">
        <v>21335</v>
      </c>
      <c r="P108" s="2">
        <v>0</v>
      </c>
      <c r="Q108" s="3">
        <v>10665</v>
      </c>
      <c r="R108" s="2">
        <v>1</v>
      </c>
    </row>
    <row r="109" spans="14:18" x14ac:dyDescent="0.25">
      <c r="N109" s="3" t="s">
        <v>52</v>
      </c>
      <c r="O109" s="3">
        <v>21335</v>
      </c>
      <c r="P109" s="2">
        <v>2</v>
      </c>
      <c r="Q109" s="3">
        <v>10665</v>
      </c>
      <c r="R109" s="2">
        <v>4</v>
      </c>
    </row>
    <row r="110" spans="14:18" x14ac:dyDescent="0.25">
      <c r="N110" s="3" t="s">
        <v>61</v>
      </c>
      <c r="O110" s="3">
        <v>30665</v>
      </c>
      <c r="P110" s="2">
        <v>1</v>
      </c>
      <c r="Q110" s="3">
        <v>7665</v>
      </c>
      <c r="R110" s="2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1"/>
  <sheetViews>
    <sheetView tabSelected="1" topLeftCell="B31" workbookViewId="0">
      <selection activeCell="J31" sqref="J31"/>
    </sheetView>
  </sheetViews>
  <sheetFormatPr defaultRowHeight="15" x14ac:dyDescent="0.25"/>
  <sheetData>
    <row r="2" spans="1:30" x14ac:dyDescent="0.25">
      <c r="L2" t="s">
        <v>171</v>
      </c>
      <c r="M2">
        <v>5</v>
      </c>
      <c r="N2">
        <v>4</v>
      </c>
      <c r="O2">
        <v>3</v>
      </c>
      <c r="P2">
        <v>898</v>
      </c>
      <c r="Q2">
        <f t="shared" ref="Q2" si="0">HEX2DEC(P2)</f>
        <v>2200</v>
      </c>
      <c r="U2" t="s">
        <v>176</v>
      </c>
      <c r="V2">
        <v>10</v>
      </c>
      <c r="W2">
        <v>3</v>
      </c>
      <c r="X2">
        <v>4</v>
      </c>
      <c r="Z2">
        <v>4500</v>
      </c>
    </row>
    <row r="3" spans="1:30" x14ac:dyDescent="0.25">
      <c r="U3" t="s">
        <v>173</v>
      </c>
      <c r="V3">
        <v>7</v>
      </c>
      <c r="W3">
        <v>3</v>
      </c>
      <c r="X3">
        <v>1</v>
      </c>
    </row>
    <row r="4" spans="1:30" x14ac:dyDescent="0.25">
      <c r="O4" t="s">
        <v>199</v>
      </c>
      <c r="U4" t="s">
        <v>175</v>
      </c>
      <c r="V4">
        <v>15</v>
      </c>
      <c r="W4">
        <v>2</v>
      </c>
      <c r="X4">
        <v>3</v>
      </c>
    </row>
    <row r="5" spans="1:30" x14ac:dyDescent="0.25">
      <c r="U5" t="s">
        <v>174</v>
      </c>
      <c r="V5">
        <v>20</v>
      </c>
      <c r="W5">
        <v>2</v>
      </c>
      <c r="X5">
        <v>0</v>
      </c>
      <c r="Y5" t="s">
        <v>169</v>
      </c>
      <c r="Z5">
        <f t="shared" ref="Z5" si="1">HEX2DEC(Y5)</f>
        <v>4000</v>
      </c>
    </row>
    <row r="6" spans="1:30" x14ac:dyDescent="0.25">
      <c r="A6">
        <v>1</v>
      </c>
      <c r="B6" s="1" t="s">
        <v>128</v>
      </c>
      <c r="C6" s="1" t="s">
        <v>130</v>
      </c>
      <c r="D6" s="1" t="s">
        <v>133</v>
      </c>
      <c r="E6" s="1" t="s">
        <v>157</v>
      </c>
      <c r="F6" s="1" t="s">
        <v>132</v>
      </c>
      <c r="G6" s="1" t="s">
        <v>131</v>
      </c>
      <c r="J6" t="s">
        <v>130</v>
      </c>
      <c r="O6" t="s">
        <v>60</v>
      </c>
      <c r="P6">
        <v>6</v>
      </c>
      <c r="Q6">
        <v>4</v>
      </c>
      <c r="R6">
        <v>0</v>
      </c>
      <c r="S6" t="s">
        <v>143</v>
      </c>
      <c r="T6">
        <f t="shared" ref="T6" si="2">HEX2DEC(S6)</f>
        <v>1200</v>
      </c>
    </row>
    <row r="7" spans="1:30" x14ac:dyDescent="0.25">
      <c r="B7" t="s">
        <v>17</v>
      </c>
      <c r="C7">
        <v>4</v>
      </c>
      <c r="D7">
        <v>15</v>
      </c>
      <c r="E7">
        <v>4</v>
      </c>
      <c r="F7" t="s">
        <v>129</v>
      </c>
      <c r="G7">
        <f t="shared" ref="G7:G19" si="3">HEX2DEC(F7)</f>
        <v>270</v>
      </c>
      <c r="I7" t="s">
        <v>128</v>
      </c>
      <c r="J7">
        <v>5</v>
      </c>
    </row>
    <row r="8" spans="1:30" x14ac:dyDescent="0.25">
      <c r="B8" t="s">
        <v>38</v>
      </c>
      <c r="C8">
        <v>5</v>
      </c>
      <c r="D8">
        <v>4</v>
      </c>
      <c r="E8">
        <v>2</v>
      </c>
      <c r="F8">
        <v>190</v>
      </c>
      <c r="G8">
        <f t="shared" si="3"/>
        <v>400</v>
      </c>
      <c r="I8" t="s">
        <v>2</v>
      </c>
      <c r="J8">
        <v>6</v>
      </c>
    </row>
    <row r="9" spans="1:30" x14ac:dyDescent="0.25">
      <c r="B9" t="s">
        <v>127</v>
      </c>
      <c r="C9">
        <v>25</v>
      </c>
      <c r="D9">
        <v>-1</v>
      </c>
      <c r="E9">
        <v>3</v>
      </c>
      <c r="F9">
        <v>190</v>
      </c>
      <c r="G9">
        <f t="shared" si="3"/>
        <v>400</v>
      </c>
      <c r="I9" t="s">
        <v>6</v>
      </c>
      <c r="J9">
        <v>8</v>
      </c>
      <c r="O9" t="s">
        <v>201</v>
      </c>
      <c r="P9" t="s">
        <v>214</v>
      </c>
      <c r="Q9" t="s">
        <v>203</v>
      </c>
      <c r="R9" t="s">
        <v>215</v>
      </c>
      <c r="S9" t="s">
        <v>216</v>
      </c>
      <c r="T9" t="s">
        <v>133</v>
      </c>
      <c r="U9" t="s">
        <v>202</v>
      </c>
      <c r="V9" t="s">
        <v>132</v>
      </c>
      <c r="Y9">
        <f>6666-4000</f>
        <v>2666</v>
      </c>
      <c r="Z9">
        <f>Y9*2</f>
        <v>5332</v>
      </c>
    </row>
    <row r="10" spans="1:30" x14ac:dyDescent="0.25">
      <c r="B10" t="s">
        <v>14</v>
      </c>
      <c r="C10">
        <v>3</v>
      </c>
      <c r="D10">
        <v>7</v>
      </c>
      <c r="E10">
        <v>4</v>
      </c>
      <c r="F10" t="s">
        <v>126</v>
      </c>
      <c r="G10">
        <f t="shared" si="3"/>
        <v>500</v>
      </c>
      <c r="I10" t="s">
        <v>1</v>
      </c>
      <c r="J10">
        <v>4</v>
      </c>
      <c r="O10">
        <v>12</v>
      </c>
      <c r="P10">
        <v>3</v>
      </c>
      <c r="Q10">
        <v>7</v>
      </c>
      <c r="R10">
        <v>0</v>
      </c>
      <c r="S10">
        <v>2500</v>
      </c>
      <c r="T10">
        <v>3</v>
      </c>
      <c r="U10">
        <v>1</v>
      </c>
      <c r="V10">
        <v>2500</v>
      </c>
      <c r="AC10">
        <f>4500*5-1500*5</f>
        <v>15000</v>
      </c>
    </row>
    <row r="11" spans="1:30" x14ac:dyDescent="0.25">
      <c r="B11" t="s">
        <v>125</v>
      </c>
      <c r="C11">
        <v>3</v>
      </c>
      <c r="D11">
        <v>2</v>
      </c>
      <c r="E11">
        <v>4</v>
      </c>
      <c r="F11" t="s">
        <v>124</v>
      </c>
      <c r="G11">
        <f t="shared" si="3"/>
        <v>700</v>
      </c>
      <c r="I11" t="s">
        <v>167</v>
      </c>
      <c r="J11">
        <v>3</v>
      </c>
      <c r="N11" t="s">
        <v>200</v>
      </c>
    </row>
    <row r="12" spans="1:30" x14ac:dyDescent="0.25">
      <c r="B12" t="s">
        <v>18</v>
      </c>
      <c r="C12">
        <v>3</v>
      </c>
      <c r="D12">
        <v>3</v>
      </c>
      <c r="E12">
        <v>0</v>
      </c>
      <c r="F12">
        <v>320</v>
      </c>
      <c r="G12">
        <f t="shared" si="3"/>
        <v>800</v>
      </c>
      <c r="I12" t="s">
        <v>178</v>
      </c>
      <c r="J12">
        <v>5</v>
      </c>
      <c r="P12" t="s">
        <v>204</v>
      </c>
      <c r="Q12" t="s">
        <v>205</v>
      </c>
      <c r="R12" t="s">
        <v>206</v>
      </c>
      <c r="S12" t="s">
        <v>207</v>
      </c>
    </row>
    <row r="13" spans="1:30" x14ac:dyDescent="0.25">
      <c r="B13" t="s">
        <v>123</v>
      </c>
      <c r="C13">
        <v>5</v>
      </c>
      <c r="D13">
        <v>2</v>
      </c>
      <c r="E13">
        <v>1</v>
      </c>
      <c r="F13" t="s">
        <v>122</v>
      </c>
      <c r="G13">
        <f t="shared" si="3"/>
        <v>1900</v>
      </c>
      <c r="I13" t="s">
        <v>184</v>
      </c>
      <c r="J13">
        <v>7</v>
      </c>
      <c r="P13">
        <f>FLOOR(IF(T10&gt;R10,IF(R10+(O10/Q10)&gt;T10,T10,(R10+(O10/Q10))),IF(R10-(O10/Q10)&lt;T10,T10,R10-(O10/Q10))),1)</f>
        <v>1</v>
      </c>
      <c r="Q13">
        <f>ABS(P13-U10-FLOOR(U10/2,1))</f>
        <v>0</v>
      </c>
      <c r="R13">
        <f>ABS(P13-FLOOR(U10/2,1))</f>
        <v>1</v>
      </c>
      <c r="S13">
        <f>FLOOR(P13+U10-U10/2,1)</f>
        <v>1</v>
      </c>
      <c r="W13" t="s">
        <v>226</v>
      </c>
      <c r="X13" t="s">
        <v>23</v>
      </c>
      <c r="Y13">
        <v>2</v>
      </c>
      <c r="Z13">
        <v>3500</v>
      </c>
      <c r="AA13">
        <f>Z13*Y13</f>
        <v>7000</v>
      </c>
      <c r="AB13">
        <v>5330</v>
      </c>
      <c r="AC13">
        <f>AB13*Y13</f>
        <v>10660</v>
      </c>
      <c r="AD13">
        <f>AC13-AA13</f>
        <v>3660</v>
      </c>
    </row>
    <row r="14" spans="1:30" x14ac:dyDescent="0.25">
      <c r="B14" t="s">
        <v>121</v>
      </c>
      <c r="C14">
        <v>25</v>
      </c>
      <c r="D14">
        <v>1</v>
      </c>
      <c r="E14">
        <v>2</v>
      </c>
      <c r="F14" t="s">
        <v>120</v>
      </c>
      <c r="G14">
        <f t="shared" si="3"/>
        <v>12000</v>
      </c>
      <c r="I14" t="s">
        <v>197</v>
      </c>
      <c r="J14">
        <v>5</v>
      </c>
      <c r="W14" t="s">
        <v>226</v>
      </c>
      <c r="X14" t="s">
        <v>23</v>
      </c>
      <c r="Y14">
        <v>2</v>
      </c>
      <c r="Z14">
        <v>3500</v>
      </c>
      <c r="AA14">
        <f>Z14*Y14</f>
        <v>7000</v>
      </c>
      <c r="AB14">
        <v>5330</v>
      </c>
      <c r="AC14">
        <f>AB14*Y14</f>
        <v>10660</v>
      </c>
      <c r="AD14">
        <f>AC14-AA14</f>
        <v>3660</v>
      </c>
    </row>
    <row r="15" spans="1:30" x14ac:dyDescent="0.25">
      <c r="B15" t="s">
        <v>52</v>
      </c>
      <c r="C15">
        <v>18</v>
      </c>
      <c r="D15">
        <v>1</v>
      </c>
      <c r="E15">
        <v>0</v>
      </c>
      <c r="F15" t="s">
        <v>119</v>
      </c>
      <c r="G15">
        <f t="shared" si="3"/>
        <v>14000</v>
      </c>
      <c r="N15" t="s">
        <v>208</v>
      </c>
      <c r="W15" t="s">
        <v>237</v>
      </c>
      <c r="X15" t="s">
        <v>23</v>
      </c>
      <c r="Y15">
        <v>4</v>
      </c>
      <c r="Z15">
        <v>1335</v>
      </c>
      <c r="AA15">
        <f>Z15*Y15</f>
        <v>5340</v>
      </c>
      <c r="AB15">
        <v>5333</v>
      </c>
      <c r="AC15">
        <f>AB15*Y15</f>
        <v>21332</v>
      </c>
      <c r="AD15">
        <f>AC15-AA15</f>
        <v>15992</v>
      </c>
    </row>
    <row r="16" spans="1:30" x14ac:dyDescent="0.25">
      <c r="B16" t="s">
        <v>118</v>
      </c>
      <c r="C16">
        <v>45</v>
      </c>
      <c r="D16">
        <v>0</v>
      </c>
      <c r="E16">
        <v>2</v>
      </c>
      <c r="F16" t="s">
        <v>117</v>
      </c>
      <c r="G16">
        <f t="shared" si="3"/>
        <v>15000</v>
      </c>
      <c r="O16" t="s">
        <v>204</v>
      </c>
      <c r="P16" t="s">
        <v>209</v>
      </c>
      <c r="Q16" t="s">
        <v>210</v>
      </c>
      <c r="R16" t="s">
        <v>211</v>
      </c>
      <c r="S16" t="s">
        <v>213</v>
      </c>
      <c r="T16" t="s">
        <v>212</v>
      </c>
      <c r="AD16">
        <f>SUM(AD14:AD15)</f>
        <v>19652</v>
      </c>
    </row>
    <row r="17" spans="1:29" x14ac:dyDescent="0.25">
      <c r="B17" t="s">
        <v>105</v>
      </c>
      <c r="C17">
        <v>22</v>
      </c>
      <c r="D17">
        <v>1</v>
      </c>
      <c r="E17">
        <v>0</v>
      </c>
      <c r="F17" s="18" t="s">
        <v>116</v>
      </c>
      <c r="G17">
        <f t="shared" si="3"/>
        <v>16000</v>
      </c>
      <c r="M17" s="19">
        <v>0.25</v>
      </c>
      <c r="N17" t="s">
        <v>205</v>
      </c>
      <c r="O17">
        <f>V$10*(T$10-Q$13)</f>
        <v>7500</v>
      </c>
      <c r="P17">
        <f>ABS(MIN(IF(T$10&gt;2,O17/T$10,O17/3)+V$10,65000))-S$10</f>
        <v>2500</v>
      </c>
      <c r="Q17">
        <f>MIN(FLOOR(O$10/$P$10,1),4)</f>
        <v>4</v>
      </c>
      <c r="R17">
        <f>FLOOR(IF((Q$17*P17)&lt;0,P17*Q$17+3,P17*Q$17)/4,1)+S$10</f>
        <v>5000</v>
      </c>
      <c r="S17">
        <f>FLOOR((2/6)*V$10,1)</f>
        <v>833</v>
      </c>
      <c r="T17">
        <f>IF(R17&gt;65000,65000,IF(R17&lt;S17,S17,R17))</f>
        <v>5000</v>
      </c>
      <c r="U17">
        <f>Q13</f>
        <v>0</v>
      </c>
    </row>
    <row r="18" spans="1:29" x14ac:dyDescent="0.25">
      <c r="B18" t="s">
        <v>55</v>
      </c>
      <c r="C18">
        <v>12</v>
      </c>
      <c r="D18">
        <v>1</v>
      </c>
      <c r="E18">
        <v>0</v>
      </c>
      <c r="F18" t="s">
        <v>115</v>
      </c>
      <c r="G18">
        <f t="shared" si="3"/>
        <v>32000</v>
      </c>
      <c r="M18" s="19">
        <v>0.5</v>
      </c>
      <c r="N18" t="s">
        <v>206</v>
      </c>
      <c r="O18">
        <f>V$10*(T$10-R$13)</f>
        <v>5000</v>
      </c>
      <c r="P18">
        <f>ABS(MIN(IF(T$10&gt;2,O18/T$10,O18/3)+V$10,65000))-S$10</f>
        <v>1666.666666666667</v>
      </c>
      <c r="Q18">
        <f>MIN(FLOOR(O$10/$P$10,1),4)</f>
        <v>4</v>
      </c>
      <c r="R18">
        <f t="shared" ref="R18:R19" si="4">FLOOR(IF((Q$17*P18)&lt;0,P18*Q$17+3,P18*Q$17)/4,1)+S$10</f>
        <v>4166</v>
      </c>
      <c r="S18">
        <f t="shared" ref="S18:S19" si="5">FLOOR((2/6)*V$10,1)</f>
        <v>833</v>
      </c>
      <c r="T18">
        <f>IF(R18&gt;65000,65000,IF(R18&lt;S18,S18,R18))</f>
        <v>4166</v>
      </c>
      <c r="U18">
        <f>R13</f>
        <v>1</v>
      </c>
    </row>
    <row r="19" spans="1:29" x14ac:dyDescent="0.25">
      <c r="B19" t="s">
        <v>36</v>
      </c>
      <c r="C19">
        <v>60</v>
      </c>
      <c r="D19">
        <v>-1</v>
      </c>
      <c r="E19">
        <v>3</v>
      </c>
      <c r="F19" t="s">
        <v>114</v>
      </c>
      <c r="G19">
        <f t="shared" si="3"/>
        <v>40000</v>
      </c>
      <c r="M19" s="19">
        <v>0.25</v>
      </c>
      <c r="N19" t="s">
        <v>207</v>
      </c>
      <c r="O19">
        <f>V$10*(T$10-S$13)</f>
        <v>5000</v>
      </c>
      <c r="P19">
        <f>ABS(MIN(IF(T$10&gt;2,O19/T$10,O19/3)+V$10,65000))-S$10</f>
        <v>1666.666666666667</v>
      </c>
      <c r="Q19">
        <f>MIN(FLOOR(O$10/$P$10,1),4)</f>
        <v>4</v>
      </c>
      <c r="R19">
        <f t="shared" si="4"/>
        <v>4166</v>
      </c>
      <c r="S19">
        <f t="shared" si="5"/>
        <v>833</v>
      </c>
      <c r="T19">
        <f>IF(R19&gt;65000,65000,IF(R19&lt;S19,S19,R19))</f>
        <v>4166</v>
      </c>
      <c r="U19">
        <f>S13</f>
        <v>1</v>
      </c>
    </row>
    <row r="20" spans="1:29" x14ac:dyDescent="0.25">
      <c r="I20" t="s">
        <v>134</v>
      </c>
      <c r="J20" t="s">
        <v>135</v>
      </c>
    </row>
    <row r="21" spans="1:29" x14ac:dyDescent="0.25">
      <c r="I21" s="17" t="s">
        <v>112</v>
      </c>
      <c r="J21" s="17" t="s">
        <v>140</v>
      </c>
    </row>
    <row r="22" spans="1:29" x14ac:dyDescent="0.25">
      <c r="A22">
        <v>2</v>
      </c>
      <c r="B22" t="s">
        <v>113</v>
      </c>
      <c r="C22" s="1" t="s">
        <v>130</v>
      </c>
      <c r="D22" s="1" t="s">
        <v>133</v>
      </c>
      <c r="E22" s="1" t="s">
        <v>157</v>
      </c>
      <c r="F22" s="1" t="s">
        <v>132</v>
      </c>
      <c r="G22" s="1" t="s">
        <v>131</v>
      </c>
      <c r="I22" s="17" t="s">
        <v>111</v>
      </c>
      <c r="J22" s="17" t="s">
        <v>136</v>
      </c>
      <c r="M22" t="s">
        <v>224</v>
      </c>
      <c r="N22" t="s">
        <v>38</v>
      </c>
      <c r="O22">
        <v>6</v>
      </c>
      <c r="P22">
        <v>500</v>
      </c>
      <c r="Q22">
        <f>O22*P22</f>
        <v>3000</v>
      </c>
      <c r="R22">
        <v>2750</v>
      </c>
      <c r="S22">
        <f>O22*R22</f>
        <v>16500</v>
      </c>
      <c r="T22">
        <f>S22-Q22</f>
        <v>13500</v>
      </c>
      <c r="V22" t="s">
        <v>224</v>
      </c>
      <c r="W22" t="s">
        <v>38</v>
      </c>
      <c r="X22">
        <v>6</v>
      </c>
      <c r="Y22">
        <v>500</v>
      </c>
      <c r="Z22">
        <f>X22*Y22</f>
        <v>3000</v>
      </c>
      <c r="AA22">
        <v>2750</v>
      </c>
      <c r="AB22">
        <f>X22*AA22</f>
        <v>16500</v>
      </c>
      <c r="AC22">
        <f>AB22-Z22</f>
        <v>13500</v>
      </c>
    </row>
    <row r="23" spans="1:29" x14ac:dyDescent="0.25">
      <c r="B23" t="s">
        <v>10</v>
      </c>
      <c r="C23">
        <v>4</v>
      </c>
      <c r="D23">
        <v>25</v>
      </c>
      <c r="E23">
        <v>5</v>
      </c>
      <c r="F23">
        <v>96</v>
      </c>
      <c r="G23">
        <f t="shared" ref="G23:G35" si="6">HEX2DEC(F23)</f>
        <v>150</v>
      </c>
      <c r="I23" s="17" t="s">
        <v>155</v>
      </c>
      <c r="J23" s="17" t="s">
        <v>156</v>
      </c>
      <c r="M23" t="s">
        <v>237</v>
      </c>
      <c r="N23" t="s">
        <v>38</v>
      </c>
      <c r="O23">
        <v>3</v>
      </c>
      <c r="P23">
        <v>2750</v>
      </c>
      <c r="Q23">
        <f>O23*P23</f>
        <v>8250</v>
      </c>
      <c r="R23">
        <v>2750</v>
      </c>
      <c r="S23">
        <f>O23*R23</f>
        <v>8250</v>
      </c>
      <c r="T23">
        <f>S23-Q23</f>
        <v>0</v>
      </c>
      <c r="V23" t="s">
        <v>237</v>
      </c>
      <c r="W23" t="s">
        <v>38</v>
      </c>
      <c r="X23">
        <v>6</v>
      </c>
      <c r="Y23">
        <v>1100</v>
      </c>
      <c r="Z23">
        <f>X23*Y23</f>
        <v>6600</v>
      </c>
      <c r="AA23">
        <v>2750</v>
      </c>
      <c r="AB23">
        <f>X23*AA23</f>
        <v>16500</v>
      </c>
      <c r="AC23">
        <f>AB23-Z23</f>
        <v>9900</v>
      </c>
    </row>
    <row r="24" spans="1:29" x14ac:dyDescent="0.25">
      <c r="B24" t="s">
        <v>17</v>
      </c>
      <c r="C24">
        <v>6</v>
      </c>
      <c r="D24">
        <v>8</v>
      </c>
      <c r="E24">
        <v>2</v>
      </c>
      <c r="F24">
        <v>226</v>
      </c>
      <c r="G24">
        <f t="shared" si="6"/>
        <v>550</v>
      </c>
      <c r="I24" s="17" t="s">
        <v>110</v>
      </c>
      <c r="J24" s="17" t="s">
        <v>137</v>
      </c>
      <c r="T24">
        <f>SUM(T22:T23)</f>
        <v>13500</v>
      </c>
      <c r="AC24">
        <f>SUM(AC22:AC23)</f>
        <v>23400</v>
      </c>
    </row>
    <row r="25" spans="1:29" x14ac:dyDescent="0.25">
      <c r="B25" t="s">
        <v>18</v>
      </c>
      <c r="C25">
        <v>7</v>
      </c>
      <c r="D25">
        <v>4</v>
      </c>
      <c r="E25">
        <v>2</v>
      </c>
      <c r="F25">
        <v>190</v>
      </c>
      <c r="G25">
        <f t="shared" si="6"/>
        <v>400</v>
      </c>
      <c r="I25" s="17" t="s">
        <v>109</v>
      </c>
      <c r="J25" s="17" t="s">
        <v>139</v>
      </c>
    </row>
    <row r="26" spans="1:29" x14ac:dyDescent="0.25">
      <c r="B26" t="s">
        <v>127</v>
      </c>
      <c r="C26" t="s">
        <v>141</v>
      </c>
      <c r="D26">
        <v>-1</v>
      </c>
      <c r="E26">
        <v>3</v>
      </c>
      <c r="F26" t="s">
        <v>126</v>
      </c>
      <c r="G26">
        <f t="shared" si="6"/>
        <v>500</v>
      </c>
      <c r="I26" s="17" t="s">
        <v>108</v>
      </c>
      <c r="J26" s="17" t="s">
        <v>138</v>
      </c>
    </row>
    <row r="27" spans="1:29" x14ac:dyDescent="0.25">
      <c r="B27" t="s">
        <v>13</v>
      </c>
      <c r="C27">
        <v>4</v>
      </c>
      <c r="D27">
        <v>3</v>
      </c>
      <c r="E27">
        <v>1</v>
      </c>
      <c r="F27">
        <v>226</v>
      </c>
      <c r="G27">
        <f t="shared" si="6"/>
        <v>550</v>
      </c>
      <c r="N27">
        <v>26667</v>
      </c>
      <c r="T27" s="3" t="s">
        <v>38</v>
      </c>
      <c r="U27" s="3">
        <v>2750</v>
      </c>
      <c r="V27" s="2">
        <v>3</v>
      </c>
      <c r="W27" s="3">
        <v>1100</v>
      </c>
      <c r="X27" s="2">
        <v>6</v>
      </c>
    </row>
    <row r="28" spans="1:29" x14ac:dyDescent="0.25">
      <c r="B28" t="s">
        <v>46</v>
      </c>
      <c r="C28">
        <v>5</v>
      </c>
      <c r="D28">
        <v>4</v>
      </c>
      <c r="E28">
        <v>6</v>
      </c>
      <c r="F28">
        <v>226</v>
      </c>
      <c r="G28">
        <f t="shared" si="6"/>
        <v>550</v>
      </c>
      <c r="N28">
        <v>65000</v>
      </c>
    </row>
    <row r="29" spans="1:29" x14ac:dyDescent="0.25">
      <c r="B29" t="s">
        <v>20</v>
      </c>
      <c r="C29">
        <v>4</v>
      </c>
      <c r="D29">
        <v>2</v>
      </c>
      <c r="E29">
        <v>1</v>
      </c>
      <c r="F29" s="18" t="s">
        <v>148</v>
      </c>
      <c r="G29">
        <f t="shared" si="6"/>
        <v>1000</v>
      </c>
      <c r="N29">
        <f>N28-N27</f>
        <v>38333</v>
      </c>
      <c r="X29">
        <f>0.33*16000</f>
        <v>5280</v>
      </c>
    </row>
    <row r="30" spans="1:29" x14ac:dyDescent="0.25">
      <c r="B30" t="s">
        <v>47</v>
      </c>
      <c r="C30">
        <v>15</v>
      </c>
      <c r="D30">
        <v>-1</v>
      </c>
      <c r="E30">
        <v>3</v>
      </c>
      <c r="F30" t="s">
        <v>142</v>
      </c>
      <c r="G30">
        <f t="shared" si="6"/>
        <v>1100</v>
      </c>
      <c r="X30">
        <f>0.33*14000</f>
        <v>4620</v>
      </c>
    </row>
    <row r="31" spans="1:29" x14ac:dyDescent="0.25">
      <c r="B31" t="s">
        <v>123</v>
      </c>
      <c r="C31">
        <v>6</v>
      </c>
      <c r="D31">
        <v>3</v>
      </c>
      <c r="E31">
        <v>0</v>
      </c>
      <c r="F31" t="s">
        <v>143</v>
      </c>
      <c r="G31">
        <f t="shared" si="6"/>
        <v>1200</v>
      </c>
      <c r="X31">
        <f>0.33*32000*0.5</f>
        <v>5280</v>
      </c>
      <c r="AB31">
        <f>1877*11</f>
        <v>20647</v>
      </c>
    </row>
    <row r="32" spans="1:29" x14ac:dyDescent="0.25">
      <c r="B32" t="s">
        <v>23</v>
      </c>
      <c r="C32">
        <v>40</v>
      </c>
      <c r="D32">
        <v>2</v>
      </c>
      <c r="E32">
        <v>0</v>
      </c>
      <c r="F32" t="s">
        <v>144</v>
      </c>
      <c r="G32">
        <f t="shared" si="6"/>
        <v>3500</v>
      </c>
      <c r="X32">
        <f>40000*0.33</f>
        <v>13200</v>
      </c>
    </row>
    <row r="33" spans="1:28" x14ac:dyDescent="0.25">
      <c r="B33" t="s">
        <v>40</v>
      </c>
      <c r="C33">
        <v>20</v>
      </c>
      <c r="D33">
        <v>0</v>
      </c>
      <c r="E33">
        <v>1</v>
      </c>
      <c r="F33" t="s">
        <v>145</v>
      </c>
      <c r="G33">
        <f t="shared" si="6"/>
        <v>35000</v>
      </c>
    </row>
    <row r="34" spans="1:28" x14ac:dyDescent="0.25">
      <c r="B34" t="s">
        <v>24</v>
      </c>
      <c r="C34">
        <v>20</v>
      </c>
      <c r="D34">
        <v>3</v>
      </c>
      <c r="E34">
        <v>2</v>
      </c>
      <c r="F34" t="s">
        <v>146</v>
      </c>
      <c r="G34">
        <f t="shared" si="6"/>
        <v>6700</v>
      </c>
      <c r="N34" t="s">
        <v>174</v>
      </c>
      <c r="O34">
        <v>20</v>
      </c>
      <c r="P34">
        <v>2</v>
      </c>
      <c r="Q34">
        <v>0</v>
      </c>
      <c r="R34" t="s">
        <v>169</v>
      </c>
      <c r="S34">
        <f t="shared" ref="S34:S36" si="7">HEX2DEC(R34)</f>
        <v>4000</v>
      </c>
    </row>
    <row r="35" spans="1:28" x14ac:dyDescent="0.25">
      <c r="B35" t="s">
        <v>25</v>
      </c>
      <c r="C35">
        <v>23</v>
      </c>
      <c r="D35">
        <v>3</v>
      </c>
      <c r="E35">
        <v>3</v>
      </c>
      <c r="F35" t="s">
        <v>147</v>
      </c>
      <c r="G35">
        <f t="shared" si="6"/>
        <v>9500</v>
      </c>
      <c r="N35" t="s">
        <v>175</v>
      </c>
      <c r="O35">
        <v>15</v>
      </c>
      <c r="P35">
        <v>2</v>
      </c>
      <c r="Q35">
        <v>3</v>
      </c>
      <c r="R35" t="s">
        <v>169</v>
      </c>
      <c r="S35">
        <f t="shared" si="7"/>
        <v>4000</v>
      </c>
      <c r="X35">
        <f>SUM(X29:X34)</f>
        <v>28380</v>
      </c>
    </row>
    <row r="36" spans="1:28" x14ac:dyDescent="0.25">
      <c r="N36" t="s">
        <v>171</v>
      </c>
      <c r="O36">
        <v>5</v>
      </c>
      <c r="P36">
        <v>4</v>
      </c>
      <c r="Q36">
        <v>3</v>
      </c>
      <c r="R36">
        <v>898</v>
      </c>
      <c r="S36">
        <f t="shared" si="7"/>
        <v>2200</v>
      </c>
      <c r="Z36">
        <f>999*3*1.5*1.5</f>
        <v>6743.25</v>
      </c>
    </row>
    <row r="38" spans="1:28" x14ac:dyDescent="0.25">
      <c r="A38">
        <v>1</v>
      </c>
      <c r="B38" t="s">
        <v>149</v>
      </c>
      <c r="C38" s="1" t="s">
        <v>130</v>
      </c>
      <c r="D38" s="1" t="s">
        <v>133</v>
      </c>
      <c r="E38" s="1" t="s">
        <v>157</v>
      </c>
      <c r="F38" s="1" t="s">
        <v>132</v>
      </c>
      <c r="G38" s="1" t="s">
        <v>131</v>
      </c>
    </row>
    <row r="39" spans="1:28" x14ac:dyDescent="0.25">
      <c r="B39" t="s">
        <v>59</v>
      </c>
      <c r="C39">
        <v>3</v>
      </c>
      <c r="D39">
        <v>5</v>
      </c>
      <c r="E39">
        <v>1</v>
      </c>
      <c r="F39">
        <v>352</v>
      </c>
      <c r="G39">
        <f t="shared" ref="G39:G48" si="8">HEX2DEC(F39)</f>
        <v>850</v>
      </c>
    </row>
    <row r="40" spans="1:28" x14ac:dyDescent="0.25">
      <c r="B40" t="s">
        <v>125</v>
      </c>
      <c r="C40">
        <v>4</v>
      </c>
      <c r="D40">
        <v>3</v>
      </c>
      <c r="E40">
        <v>3</v>
      </c>
      <c r="F40">
        <v>258</v>
      </c>
      <c r="G40">
        <f t="shared" si="8"/>
        <v>600</v>
      </c>
      <c r="M40" t="s">
        <v>224</v>
      </c>
      <c r="N40" t="s">
        <v>48</v>
      </c>
      <c r="O40">
        <v>4</v>
      </c>
      <c r="P40">
        <v>1905</v>
      </c>
      <c r="Q40">
        <f>P40*O40</f>
        <v>7620</v>
      </c>
      <c r="R40">
        <v>3335</v>
      </c>
      <c r="S40">
        <f>R40*O40</f>
        <v>13340</v>
      </c>
      <c r="T40">
        <f>S40-Q40</f>
        <v>5720</v>
      </c>
    </row>
    <row r="41" spans="1:28" x14ac:dyDescent="0.25">
      <c r="B41" t="s">
        <v>20</v>
      </c>
      <c r="C41">
        <v>4</v>
      </c>
      <c r="D41">
        <v>3</v>
      </c>
      <c r="E41">
        <v>1</v>
      </c>
      <c r="F41" t="s">
        <v>150</v>
      </c>
      <c r="G41">
        <f t="shared" si="8"/>
        <v>650</v>
      </c>
      <c r="M41" t="s">
        <v>226</v>
      </c>
      <c r="N41" t="s">
        <v>48</v>
      </c>
      <c r="O41">
        <v>3</v>
      </c>
      <c r="P41">
        <v>1200</v>
      </c>
      <c r="Q41">
        <f>P41*O41</f>
        <v>3600</v>
      </c>
      <c r="R41">
        <v>3335</v>
      </c>
      <c r="S41">
        <f>R41*O41</f>
        <v>10005</v>
      </c>
      <c r="T41">
        <f>S41-Q41</f>
        <v>6405</v>
      </c>
    </row>
    <row r="42" spans="1:28" x14ac:dyDescent="0.25">
      <c r="B42" t="s">
        <v>48</v>
      </c>
      <c r="C42">
        <v>3</v>
      </c>
      <c r="D42">
        <v>4</v>
      </c>
      <c r="E42">
        <v>2</v>
      </c>
      <c r="F42">
        <v>320</v>
      </c>
      <c r="G42">
        <f t="shared" si="8"/>
        <v>800</v>
      </c>
      <c r="M42" t="s">
        <v>237</v>
      </c>
      <c r="N42" t="s">
        <v>48</v>
      </c>
      <c r="O42">
        <v>3</v>
      </c>
      <c r="P42">
        <v>2500</v>
      </c>
      <c r="Q42">
        <f>P42*O42</f>
        <v>7500</v>
      </c>
      <c r="R42">
        <v>3335</v>
      </c>
      <c r="S42">
        <f>R42*O42</f>
        <v>10005</v>
      </c>
      <c r="T42">
        <f>S42-Q42</f>
        <v>2505</v>
      </c>
    </row>
    <row r="43" spans="1:28" x14ac:dyDescent="0.25">
      <c r="B43" t="s">
        <v>60</v>
      </c>
      <c r="C43">
        <v>5</v>
      </c>
      <c r="D43">
        <v>4</v>
      </c>
      <c r="E43">
        <v>3</v>
      </c>
      <c r="F43" t="s">
        <v>151</v>
      </c>
      <c r="G43">
        <f t="shared" si="8"/>
        <v>2350</v>
      </c>
    </row>
    <row r="44" spans="1:28" x14ac:dyDescent="0.25">
      <c r="B44" t="s">
        <v>40</v>
      </c>
      <c r="C44">
        <v>25</v>
      </c>
      <c r="D44">
        <v>1</v>
      </c>
      <c r="E44">
        <v>2</v>
      </c>
      <c r="F44" t="s">
        <v>152</v>
      </c>
      <c r="G44">
        <f t="shared" si="8"/>
        <v>22000</v>
      </c>
      <c r="T44">
        <f>SUM(T40:T42)</f>
        <v>14630</v>
      </c>
      <c r="X44">
        <f>SUM(T44,T24,40000*0.33*0.5)</f>
        <v>34730</v>
      </c>
    </row>
    <row r="45" spans="1:28" x14ac:dyDescent="0.25">
      <c r="B45" t="s">
        <v>30</v>
      </c>
      <c r="C45">
        <v>40</v>
      </c>
      <c r="D45">
        <v>0</v>
      </c>
      <c r="E45">
        <v>1</v>
      </c>
      <c r="F45" t="s">
        <v>153</v>
      </c>
      <c r="G45">
        <f t="shared" si="8"/>
        <v>24000</v>
      </c>
      <c r="AA45">
        <v>53333</v>
      </c>
      <c r="AB45">
        <f>AA45-40000</f>
        <v>13333</v>
      </c>
    </row>
    <row r="46" spans="1:28" x14ac:dyDescent="0.25">
      <c r="B46" t="s">
        <v>118</v>
      </c>
      <c r="C46">
        <v>50</v>
      </c>
      <c r="D46">
        <v>0</v>
      </c>
      <c r="E46">
        <v>2</v>
      </c>
      <c r="F46" s="18" t="s">
        <v>116</v>
      </c>
      <c r="G46">
        <f t="shared" si="8"/>
        <v>16000</v>
      </c>
      <c r="AA46">
        <v>6666</v>
      </c>
      <c r="AB46">
        <f>(AA46-4000)*2</f>
        <v>5332</v>
      </c>
    </row>
    <row r="47" spans="1:28" x14ac:dyDescent="0.25">
      <c r="B47" t="s">
        <v>52</v>
      </c>
      <c r="C47">
        <v>28</v>
      </c>
      <c r="D47">
        <v>3</v>
      </c>
      <c r="E47">
        <v>2</v>
      </c>
      <c r="F47" s="18" t="s">
        <v>116</v>
      </c>
      <c r="G47">
        <f t="shared" si="8"/>
        <v>16000</v>
      </c>
      <c r="AA47">
        <v>2750</v>
      </c>
      <c r="AB47">
        <f>AA47*6-3000</f>
        <v>13500</v>
      </c>
    </row>
    <row r="48" spans="1:28" x14ac:dyDescent="0.25">
      <c r="B48" t="s">
        <v>61</v>
      </c>
      <c r="C48">
        <v>25</v>
      </c>
      <c r="D48">
        <v>2</v>
      </c>
      <c r="E48">
        <v>3</v>
      </c>
      <c r="F48" t="s">
        <v>154</v>
      </c>
      <c r="G48">
        <f t="shared" si="8"/>
        <v>23000</v>
      </c>
      <c r="M48" t="s">
        <v>224</v>
      </c>
      <c r="N48" t="s">
        <v>48</v>
      </c>
      <c r="O48">
        <v>4</v>
      </c>
      <c r="P48">
        <v>1905</v>
      </c>
      <c r="Q48">
        <f>P48*O48</f>
        <v>7620</v>
      </c>
      <c r="R48">
        <v>4168</v>
      </c>
      <c r="S48">
        <f>R48*O48</f>
        <v>16672</v>
      </c>
      <c r="T48">
        <f>S48-Q48</f>
        <v>9052</v>
      </c>
      <c r="AA48">
        <v>3335</v>
      </c>
      <c r="AB48">
        <f>10*AA48-(3*1200)-(4*1910)-(3*2500)</f>
        <v>14610</v>
      </c>
    </row>
    <row r="49" spans="1:28" x14ac:dyDescent="0.25">
      <c r="M49" t="s">
        <v>226</v>
      </c>
      <c r="N49" t="s">
        <v>48</v>
      </c>
      <c r="O49">
        <v>3</v>
      </c>
      <c r="P49">
        <v>1200</v>
      </c>
      <c r="Q49">
        <f>P49*O49</f>
        <v>3600</v>
      </c>
      <c r="R49">
        <v>4168</v>
      </c>
      <c r="S49">
        <f>R49*O49</f>
        <v>12504</v>
      </c>
      <c r="T49">
        <f>S49-Q49</f>
        <v>8904</v>
      </c>
      <c r="AB49">
        <f>SUM(AB45:AB48)</f>
        <v>46775</v>
      </c>
    </row>
    <row r="50" spans="1:28" x14ac:dyDescent="0.25">
      <c r="M50" t="s">
        <v>237</v>
      </c>
      <c r="N50" t="s">
        <v>48</v>
      </c>
      <c r="O50">
        <v>4</v>
      </c>
      <c r="P50">
        <v>1670</v>
      </c>
      <c r="Q50">
        <f>P50*O50</f>
        <v>6680</v>
      </c>
      <c r="R50">
        <v>4168</v>
      </c>
      <c r="S50">
        <f>R50*O50</f>
        <v>16672</v>
      </c>
      <c r="T50">
        <f>S50-Q50</f>
        <v>9992</v>
      </c>
    </row>
    <row r="51" spans="1:28" x14ac:dyDescent="0.25">
      <c r="A51">
        <v>2</v>
      </c>
      <c r="B51" t="s">
        <v>158</v>
      </c>
      <c r="C51" s="1" t="s">
        <v>130</v>
      </c>
      <c r="D51" s="1" t="s">
        <v>133</v>
      </c>
      <c r="E51" s="1" t="s">
        <v>157</v>
      </c>
      <c r="F51" s="1" t="s">
        <v>132</v>
      </c>
      <c r="G51" s="1" t="s">
        <v>131</v>
      </c>
    </row>
    <row r="52" spans="1:28" x14ac:dyDescent="0.25">
      <c r="B52" t="s">
        <v>10</v>
      </c>
      <c r="C52">
        <v>4</v>
      </c>
      <c r="D52">
        <v>10</v>
      </c>
      <c r="E52">
        <v>2</v>
      </c>
      <c r="F52" t="s">
        <v>159</v>
      </c>
      <c r="G52">
        <f t="shared" ref="G52:G60" si="9">HEX2DEC(F52)</f>
        <v>350</v>
      </c>
      <c r="T52">
        <f>SUM(T48:T50)</f>
        <v>27948</v>
      </c>
    </row>
    <row r="53" spans="1:28" x14ac:dyDescent="0.25">
      <c r="B53" t="s">
        <v>38</v>
      </c>
      <c r="C53">
        <v>5</v>
      </c>
      <c r="D53">
        <v>3</v>
      </c>
      <c r="E53">
        <v>0</v>
      </c>
      <c r="F53" t="s">
        <v>160</v>
      </c>
      <c r="G53">
        <f t="shared" si="9"/>
        <v>1500</v>
      </c>
    </row>
    <row r="54" spans="1:28" x14ac:dyDescent="0.25">
      <c r="B54" t="s">
        <v>125</v>
      </c>
      <c r="C54">
        <v>2</v>
      </c>
      <c r="D54">
        <v>5</v>
      </c>
      <c r="E54">
        <v>2</v>
      </c>
      <c r="F54" t="s">
        <v>159</v>
      </c>
      <c r="G54">
        <f t="shared" si="9"/>
        <v>350</v>
      </c>
    </row>
    <row r="55" spans="1:28" x14ac:dyDescent="0.25">
      <c r="B55" t="s">
        <v>13</v>
      </c>
      <c r="C55">
        <v>3</v>
      </c>
      <c r="D55">
        <v>4</v>
      </c>
      <c r="E55">
        <v>3</v>
      </c>
      <c r="F55">
        <v>190</v>
      </c>
      <c r="G55">
        <f t="shared" si="9"/>
        <v>400</v>
      </c>
    </row>
    <row r="56" spans="1:28" x14ac:dyDescent="0.25">
      <c r="B56" t="s">
        <v>14</v>
      </c>
      <c r="C56">
        <v>4</v>
      </c>
      <c r="D56">
        <v>3</v>
      </c>
      <c r="E56">
        <v>2</v>
      </c>
      <c r="F56">
        <v>258</v>
      </c>
      <c r="G56">
        <f t="shared" si="9"/>
        <v>600</v>
      </c>
    </row>
    <row r="57" spans="1:28" x14ac:dyDescent="0.25">
      <c r="B57" t="s">
        <v>40</v>
      </c>
      <c r="C57">
        <v>40</v>
      </c>
      <c r="D57">
        <v>-1</v>
      </c>
      <c r="E57">
        <v>3</v>
      </c>
      <c r="F57" t="s">
        <v>124</v>
      </c>
      <c r="G57">
        <f t="shared" si="9"/>
        <v>700</v>
      </c>
    </row>
    <row r="58" spans="1:28" x14ac:dyDescent="0.25">
      <c r="B58" t="s">
        <v>127</v>
      </c>
      <c r="C58">
        <v>15</v>
      </c>
      <c r="D58">
        <v>0</v>
      </c>
      <c r="E58">
        <v>1</v>
      </c>
      <c r="F58" t="s">
        <v>161</v>
      </c>
      <c r="G58">
        <f t="shared" si="9"/>
        <v>7000</v>
      </c>
    </row>
    <row r="59" spans="1:28" x14ac:dyDescent="0.25">
      <c r="B59" t="s">
        <v>163</v>
      </c>
      <c r="C59">
        <v>330</v>
      </c>
      <c r="D59">
        <v>4</v>
      </c>
      <c r="E59">
        <v>3</v>
      </c>
      <c r="F59" t="s">
        <v>162</v>
      </c>
      <c r="G59">
        <f t="shared" si="9"/>
        <v>330</v>
      </c>
    </row>
    <row r="60" spans="1:28" x14ac:dyDescent="0.25">
      <c r="B60" t="s">
        <v>164</v>
      </c>
      <c r="C60" t="s">
        <v>165</v>
      </c>
      <c r="D60" t="s">
        <v>165</v>
      </c>
      <c r="E60" t="s">
        <v>165</v>
      </c>
      <c r="F60">
        <v>352</v>
      </c>
      <c r="G60">
        <f t="shared" si="9"/>
        <v>850</v>
      </c>
    </row>
    <row r="63" spans="1:28" x14ac:dyDescent="0.25">
      <c r="A63">
        <v>2</v>
      </c>
      <c r="B63" t="s">
        <v>166</v>
      </c>
      <c r="C63" s="1" t="s">
        <v>130</v>
      </c>
      <c r="D63" s="1" t="s">
        <v>133</v>
      </c>
      <c r="E63" s="1" t="s">
        <v>157</v>
      </c>
      <c r="F63" s="1" t="s">
        <v>132</v>
      </c>
      <c r="G63" s="1" t="s">
        <v>131</v>
      </c>
    </row>
    <row r="64" spans="1:28" x14ac:dyDescent="0.25">
      <c r="B64" t="s">
        <v>170</v>
      </c>
      <c r="C64">
        <v>6</v>
      </c>
      <c r="D64">
        <v>8</v>
      </c>
      <c r="E64">
        <v>2</v>
      </c>
      <c r="F64">
        <v>226</v>
      </c>
      <c r="G64">
        <f t="shared" ref="G64:G71" si="10">HEX2DEC(F64)</f>
        <v>550</v>
      </c>
    </row>
    <row r="65" spans="1:14" x14ac:dyDescent="0.25">
      <c r="B65" t="s">
        <v>171</v>
      </c>
      <c r="C65">
        <v>5</v>
      </c>
      <c r="D65">
        <v>4</v>
      </c>
      <c r="E65">
        <v>3</v>
      </c>
      <c r="F65">
        <v>898</v>
      </c>
      <c r="G65">
        <f t="shared" si="10"/>
        <v>2200</v>
      </c>
    </row>
    <row r="66" spans="1:14" x14ac:dyDescent="0.25">
      <c r="B66" t="s">
        <v>172</v>
      </c>
      <c r="C66">
        <v>2</v>
      </c>
      <c r="D66">
        <v>4</v>
      </c>
      <c r="E66">
        <v>3</v>
      </c>
      <c r="F66" t="s">
        <v>159</v>
      </c>
      <c r="G66">
        <f t="shared" si="10"/>
        <v>350</v>
      </c>
    </row>
    <row r="67" spans="1:14" x14ac:dyDescent="0.25">
      <c r="B67" t="s">
        <v>173</v>
      </c>
      <c r="C67">
        <v>7</v>
      </c>
      <c r="D67">
        <v>3</v>
      </c>
      <c r="E67">
        <v>1</v>
      </c>
      <c r="F67" t="s">
        <v>168</v>
      </c>
      <c r="G67">
        <f t="shared" si="10"/>
        <v>2500</v>
      </c>
    </row>
    <row r="68" spans="1:14" x14ac:dyDescent="0.25">
      <c r="B68" t="s">
        <v>174</v>
      </c>
      <c r="C68">
        <v>20</v>
      </c>
      <c r="D68">
        <v>2</v>
      </c>
      <c r="E68">
        <v>0</v>
      </c>
      <c r="F68" t="s">
        <v>169</v>
      </c>
      <c r="G68">
        <f t="shared" si="10"/>
        <v>4000</v>
      </c>
    </row>
    <row r="69" spans="1:14" x14ac:dyDescent="0.25">
      <c r="B69" t="s">
        <v>175</v>
      </c>
      <c r="C69">
        <v>15</v>
      </c>
      <c r="D69">
        <v>2</v>
      </c>
      <c r="E69">
        <v>3</v>
      </c>
      <c r="F69" t="s">
        <v>169</v>
      </c>
      <c r="G69">
        <f t="shared" si="10"/>
        <v>4000</v>
      </c>
    </row>
    <row r="70" spans="1:14" x14ac:dyDescent="0.25">
      <c r="B70" t="s">
        <v>176</v>
      </c>
      <c r="C70">
        <v>10</v>
      </c>
      <c r="D70">
        <v>3</v>
      </c>
      <c r="E70">
        <v>4</v>
      </c>
      <c r="F70">
        <v>1194</v>
      </c>
      <c r="G70">
        <f t="shared" si="10"/>
        <v>4500</v>
      </c>
    </row>
    <row r="71" spans="1:14" x14ac:dyDescent="0.25">
      <c r="B71" t="s">
        <v>177</v>
      </c>
      <c r="C71">
        <v>15</v>
      </c>
      <c r="D71">
        <v>1</v>
      </c>
      <c r="E71">
        <v>0</v>
      </c>
      <c r="F71" t="s">
        <v>114</v>
      </c>
      <c r="G71">
        <f t="shared" si="10"/>
        <v>40000</v>
      </c>
    </row>
    <row r="75" spans="1:14" x14ac:dyDescent="0.25">
      <c r="A75">
        <v>1</v>
      </c>
      <c r="B75" t="s">
        <v>4</v>
      </c>
      <c r="C75" s="1" t="s">
        <v>130</v>
      </c>
      <c r="D75" s="1" t="s">
        <v>133</v>
      </c>
      <c r="E75" s="1" t="s">
        <v>157</v>
      </c>
      <c r="F75" s="1" t="s">
        <v>132</v>
      </c>
      <c r="G75" s="1" t="s">
        <v>131</v>
      </c>
      <c r="M75" s="17"/>
      <c r="N75" s="17"/>
    </row>
    <row r="76" spans="1:14" x14ac:dyDescent="0.25">
      <c r="B76" t="s">
        <v>179</v>
      </c>
      <c r="C76">
        <v>5</v>
      </c>
      <c r="D76">
        <v>3</v>
      </c>
      <c r="E76">
        <v>3</v>
      </c>
      <c r="F76" t="s">
        <v>189</v>
      </c>
      <c r="G76">
        <f t="shared" ref="G76:G85" si="11">HEX2DEC(F76)</f>
        <v>3200</v>
      </c>
      <c r="M76" s="17"/>
      <c r="N76" s="17"/>
    </row>
    <row r="77" spans="1:14" x14ac:dyDescent="0.25">
      <c r="B77" t="s">
        <v>180</v>
      </c>
      <c r="C77">
        <v>5</v>
      </c>
      <c r="D77">
        <v>3</v>
      </c>
      <c r="E77">
        <v>1</v>
      </c>
      <c r="F77" t="s">
        <v>124</v>
      </c>
      <c r="G77">
        <f t="shared" si="11"/>
        <v>700</v>
      </c>
      <c r="M77" s="17"/>
      <c r="N77" s="17"/>
    </row>
    <row r="78" spans="1:14" x14ac:dyDescent="0.25">
      <c r="B78" t="s">
        <v>181</v>
      </c>
      <c r="C78">
        <v>5</v>
      </c>
      <c r="D78">
        <v>4</v>
      </c>
      <c r="E78">
        <v>5</v>
      </c>
      <c r="F78" t="s">
        <v>142</v>
      </c>
      <c r="G78">
        <f t="shared" si="11"/>
        <v>1100</v>
      </c>
      <c r="M78" s="17"/>
      <c r="N78" s="17"/>
    </row>
    <row r="79" spans="1:14" x14ac:dyDescent="0.25">
      <c r="B79" t="s">
        <v>182</v>
      </c>
      <c r="C79">
        <v>3</v>
      </c>
      <c r="D79">
        <v>3</v>
      </c>
      <c r="E79">
        <v>2</v>
      </c>
      <c r="F79" t="s">
        <v>122</v>
      </c>
      <c r="G79">
        <f t="shared" si="11"/>
        <v>1900</v>
      </c>
      <c r="M79" s="17"/>
      <c r="N79" s="17"/>
    </row>
    <row r="80" spans="1:14" x14ac:dyDescent="0.25">
      <c r="B80" t="s">
        <v>175</v>
      </c>
      <c r="C80">
        <v>20</v>
      </c>
      <c r="D80">
        <v>1</v>
      </c>
      <c r="E80">
        <v>2</v>
      </c>
      <c r="F80" t="s">
        <v>190</v>
      </c>
      <c r="G80">
        <f t="shared" si="11"/>
        <v>7300</v>
      </c>
      <c r="M80" s="17"/>
      <c r="N80" s="17"/>
    </row>
    <row r="81" spans="1:7" x14ac:dyDescent="0.25">
      <c r="B81" t="s">
        <v>183</v>
      </c>
      <c r="C81">
        <v>45</v>
      </c>
      <c r="D81">
        <v>0</v>
      </c>
      <c r="E81">
        <v>1</v>
      </c>
      <c r="F81" t="s">
        <v>145</v>
      </c>
      <c r="G81">
        <f t="shared" si="11"/>
        <v>35000</v>
      </c>
    </row>
    <row r="82" spans="1:7" x14ac:dyDescent="0.25">
      <c r="B82" t="s">
        <v>121</v>
      </c>
      <c r="C82">
        <v>12</v>
      </c>
      <c r="D82">
        <v>3</v>
      </c>
      <c r="E82">
        <v>2</v>
      </c>
      <c r="F82" t="s">
        <v>120</v>
      </c>
      <c r="G82">
        <f t="shared" si="11"/>
        <v>12000</v>
      </c>
    </row>
    <row r="83" spans="1:7" x14ac:dyDescent="0.25">
      <c r="B83" t="s">
        <v>118</v>
      </c>
      <c r="C83">
        <v>30</v>
      </c>
      <c r="D83">
        <v>1</v>
      </c>
      <c r="E83">
        <v>2</v>
      </c>
      <c r="F83" t="s">
        <v>152</v>
      </c>
      <c r="G83">
        <f t="shared" si="11"/>
        <v>22000</v>
      </c>
    </row>
    <row r="84" spans="1:7" x14ac:dyDescent="0.25">
      <c r="B84" t="s">
        <v>55</v>
      </c>
      <c r="C84">
        <v>16</v>
      </c>
      <c r="D84">
        <v>2</v>
      </c>
      <c r="E84">
        <v>0</v>
      </c>
      <c r="F84" t="s">
        <v>191</v>
      </c>
      <c r="G84">
        <f t="shared" si="11"/>
        <v>43000</v>
      </c>
    </row>
    <row r="85" spans="1:7" x14ac:dyDescent="0.25">
      <c r="B85" t="s">
        <v>36</v>
      </c>
      <c r="C85">
        <v>40</v>
      </c>
      <c r="D85">
        <v>0</v>
      </c>
      <c r="E85">
        <v>2</v>
      </c>
      <c r="F85" t="s">
        <v>192</v>
      </c>
      <c r="G85">
        <f t="shared" si="11"/>
        <v>55000</v>
      </c>
    </row>
    <row r="88" spans="1:7" x14ac:dyDescent="0.25">
      <c r="A88">
        <v>1</v>
      </c>
      <c r="B88" t="s">
        <v>8</v>
      </c>
      <c r="C88" s="1" t="s">
        <v>130</v>
      </c>
      <c r="D88" s="1" t="s">
        <v>133</v>
      </c>
      <c r="E88" s="1" t="s">
        <v>157</v>
      </c>
      <c r="F88" s="1" t="s">
        <v>132</v>
      </c>
      <c r="G88" s="1" t="s">
        <v>131</v>
      </c>
    </row>
    <row r="89" spans="1:7" x14ac:dyDescent="0.25">
      <c r="B89" t="s">
        <v>60</v>
      </c>
      <c r="C89">
        <v>6</v>
      </c>
      <c r="D89">
        <v>4</v>
      </c>
      <c r="E89">
        <v>0</v>
      </c>
      <c r="F89" t="s">
        <v>143</v>
      </c>
      <c r="G89">
        <f t="shared" ref="G89:G99" si="12">HEX2DEC(F89)</f>
        <v>1200</v>
      </c>
    </row>
    <row r="90" spans="1:7" x14ac:dyDescent="0.25">
      <c r="B90" t="s">
        <v>127</v>
      </c>
      <c r="C90">
        <v>35</v>
      </c>
      <c r="D90">
        <v>0</v>
      </c>
      <c r="E90">
        <v>1</v>
      </c>
      <c r="F90" t="s">
        <v>186</v>
      </c>
      <c r="G90">
        <f t="shared" si="12"/>
        <v>300</v>
      </c>
    </row>
    <row r="91" spans="1:7" x14ac:dyDescent="0.25">
      <c r="B91" t="s">
        <v>14</v>
      </c>
      <c r="C91">
        <v>4</v>
      </c>
      <c r="D91">
        <v>2</v>
      </c>
      <c r="E91">
        <v>1</v>
      </c>
      <c r="F91" t="s">
        <v>187</v>
      </c>
      <c r="G91">
        <f t="shared" si="12"/>
        <v>750</v>
      </c>
    </row>
    <row r="92" spans="1:7" x14ac:dyDescent="0.25">
      <c r="B92" t="s">
        <v>125</v>
      </c>
      <c r="C92">
        <v>5</v>
      </c>
      <c r="D92">
        <v>3</v>
      </c>
      <c r="E92">
        <v>1</v>
      </c>
      <c r="F92">
        <v>352</v>
      </c>
      <c r="G92">
        <f t="shared" si="12"/>
        <v>850</v>
      </c>
    </row>
    <row r="93" spans="1:7" x14ac:dyDescent="0.25">
      <c r="B93" t="s">
        <v>46</v>
      </c>
      <c r="C93">
        <v>6</v>
      </c>
      <c r="D93">
        <v>3</v>
      </c>
      <c r="E93">
        <v>4</v>
      </c>
      <c r="F93">
        <v>384</v>
      </c>
      <c r="G93">
        <f t="shared" si="12"/>
        <v>900</v>
      </c>
    </row>
    <row r="94" spans="1:7" x14ac:dyDescent="0.25">
      <c r="B94" t="s">
        <v>20</v>
      </c>
      <c r="C94">
        <v>4</v>
      </c>
      <c r="D94">
        <v>4</v>
      </c>
      <c r="E94">
        <v>2</v>
      </c>
      <c r="F94" t="s">
        <v>160</v>
      </c>
      <c r="G94">
        <f t="shared" si="12"/>
        <v>1500</v>
      </c>
    </row>
    <row r="95" spans="1:7" x14ac:dyDescent="0.25">
      <c r="B95" t="s">
        <v>23</v>
      </c>
      <c r="C95">
        <v>25</v>
      </c>
      <c r="D95">
        <v>1</v>
      </c>
      <c r="E95">
        <v>2</v>
      </c>
      <c r="F95">
        <v>1770</v>
      </c>
      <c r="G95">
        <f t="shared" si="12"/>
        <v>6000</v>
      </c>
    </row>
    <row r="96" spans="1:7" x14ac:dyDescent="0.25">
      <c r="B96" t="s">
        <v>27</v>
      </c>
      <c r="C96">
        <v>30</v>
      </c>
      <c r="D96">
        <v>2</v>
      </c>
      <c r="E96">
        <v>3</v>
      </c>
      <c r="F96">
        <v>2134</v>
      </c>
      <c r="G96">
        <f t="shared" si="12"/>
        <v>8500</v>
      </c>
    </row>
    <row r="97" spans="1:7" x14ac:dyDescent="0.25">
      <c r="B97" t="s">
        <v>58</v>
      </c>
      <c r="C97">
        <v>25</v>
      </c>
      <c r="D97">
        <v>1</v>
      </c>
      <c r="E97">
        <v>1</v>
      </c>
      <c r="F97">
        <v>7530</v>
      </c>
      <c r="G97">
        <f t="shared" si="12"/>
        <v>30000</v>
      </c>
    </row>
    <row r="98" spans="1:7" x14ac:dyDescent="0.25">
      <c r="B98" t="s">
        <v>185</v>
      </c>
      <c r="C98">
        <v>22</v>
      </c>
      <c r="D98">
        <v>3</v>
      </c>
      <c r="E98">
        <v>2</v>
      </c>
      <c r="F98" t="s">
        <v>188</v>
      </c>
      <c r="G98">
        <f t="shared" si="12"/>
        <v>13003</v>
      </c>
    </row>
    <row r="99" spans="1:7" x14ac:dyDescent="0.25">
      <c r="B99" t="s">
        <v>105</v>
      </c>
      <c r="C99">
        <v>32</v>
      </c>
      <c r="D99">
        <v>2</v>
      </c>
      <c r="E99">
        <v>2</v>
      </c>
      <c r="F99" t="s">
        <v>152</v>
      </c>
      <c r="G99">
        <f t="shared" si="12"/>
        <v>22000</v>
      </c>
    </row>
    <row r="102" spans="1:7" x14ac:dyDescent="0.25">
      <c r="A102">
        <v>2</v>
      </c>
      <c r="B102" t="s">
        <v>7</v>
      </c>
      <c r="C102" s="1" t="s">
        <v>130</v>
      </c>
      <c r="D102" s="1" t="s">
        <v>133</v>
      </c>
      <c r="E102" s="1" t="s">
        <v>157</v>
      </c>
      <c r="F102" s="1" t="s">
        <v>132</v>
      </c>
      <c r="G102" s="1" t="s">
        <v>131</v>
      </c>
    </row>
    <row r="103" spans="1:7" x14ac:dyDescent="0.25">
      <c r="B103" t="s">
        <v>193</v>
      </c>
      <c r="C103">
        <v>5</v>
      </c>
      <c r="D103">
        <v>12</v>
      </c>
      <c r="E103">
        <v>2</v>
      </c>
      <c r="F103" t="s">
        <v>186</v>
      </c>
      <c r="G103">
        <f t="shared" ref="G103:G111" si="13">HEX2DEC(F103)</f>
        <v>300</v>
      </c>
    </row>
    <row r="104" spans="1:7" x14ac:dyDescent="0.25">
      <c r="B104" t="s">
        <v>194</v>
      </c>
      <c r="C104">
        <v>6</v>
      </c>
      <c r="D104">
        <v>6</v>
      </c>
      <c r="E104">
        <v>2</v>
      </c>
      <c r="F104" t="s">
        <v>124</v>
      </c>
      <c r="G104">
        <f t="shared" si="13"/>
        <v>700</v>
      </c>
    </row>
    <row r="105" spans="1:7" x14ac:dyDescent="0.25">
      <c r="B105" t="s">
        <v>172</v>
      </c>
      <c r="C105">
        <v>5</v>
      </c>
      <c r="D105">
        <v>5</v>
      </c>
      <c r="E105">
        <v>2</v>
      </c>
      <c r="F105" t="s">
        <v>198</v>
      </c>
      <c r="G105">
        <f t="shared" si="13"/>
        <v>200</v>
      </c>
    </row>
    <row r="106" spans="1:7" x14ac:dyDescent="0.25">
      <c r="B106" t="s">
        <v>180</v>
      </c>
      <c r="C106">
        <v>2</v>
      </c>
      <c r="D106">
        <v>4</v>
      </c>
      <c r="E106">
        <v>2</v>
      </c>
      <c r="F106" t="s">
        <v>186</v>
      </c>
      <c r="G106">
        <f t="shared" si="13"/>
        <v>300</v>
      </c>
    </row>
    <row r="107" spans="1:7" x14ac:dyDescent="0.25">
      <c r="B107" t="s">
        <v>195</v>
      </c>
      <c r="C107">
        <v>15</v>
      </c>
      <c r="D107">
        <v>-1</v>
      </c>
      <c r="E107">
        <v>3</v>
      </c>
      <c r="F107">
        <v>190</v>
      </c>
      <c r="G107">
        <f t="shared" si="13"/>
        <v>400</v>
      </c>
    </row>
    <row r="108" spans="1:7" x14ac:dyDescent="0.25">
      <c r="B108" t="s">
        <v>176</v>
      </c>
      <c r="C108">
        <v>20</v>
      </c>
      <c r="D108">
        <v>3</v>
      </c>
      <c r="E108">
        <v>4</v>
      </c>
      <c r="F108" t="s">
        <v>161</v>
      </c>
      <c r="G108">
        <f t="shared" si="13"/>
        <v>7000</v>
      </c>
    </row>
    <row r="109" spans="1:7" x14ac:dyDescent="0.25">
      <c r="B109" t="s">
        <v>177</v>
      </c>
      <c r="C109">
        <v>20</v>
      </c>
      <c r="D109">
        <v>-1</v>
      </c>
      <c r="E109">
        <v>3</v>
      </c>
      <c r="F109">
        <v>4268</v>
      </c>
      <c r="G109">
        <f t="shared" si="13"/>
        <v>17000</v>
      </c>
    </row>
    <row r="110" spans="1:7" x14ac:dyDescent="0.25">
      <c r="B110" t="s">
        <v>174</v>
      </c>
      <c r="C110">
        <v>15</v>
      </c>
      <c r="D110">
        <v>2</v>
      </c>
      <c r="E110">
        <v>2</v>
      </c>
      <c r="F110" t="s">
        <v>144</v>
      </c>
      <c r="G110">
        <f t="shared" si="13"/>
        <v>3500</v>
      </c>
    </row>
    <row r="111" spans="1:7" x14ac:dyDescent="0.25">
      <c r="B111" t="s">
        <v>196</v>
      </c>
      <c r="C111">
        <v>27</v>
      </c>
      <c r="D111">
        <v>3</v>
      </c>
      <c r="E111">
        <v>3</v>
      </c>
      <c r="F111">
        <v>2134</v>
      </c>
      <c r="G111">
        <f t="shared" si="13"/>
        <v>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Goods List</vt:lpstr>
      <vt:lpstr>Price Charts</vt:lpstr>
      <vt:lpstr>Town List</vt:lpstr>
      <vt:lpstr>Trade Route</vt:lpstr>
      <vt:lpstr>Data</vt:lpstr>
      <vt:lpstr>Sheet1</vt:lpstr>
      <vt:lpstr>Town 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UniLOAD</dc:creator>
  <cp:lastModifiedBy>Eric Koziel</cp:lastModifiedBy>
  <dcterms:created xsi:type="dcterms:W3CDTF">2012-12-28T14:57:11Z</dcterms:created>
  <dcterms:modified xsi:type="dcterms:W3CDTF">2015-06-13T05:03:32Z</dcterms:modified>
</cp:coreProperties>
</file>