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 activeTab="6"/>
  </bookViews>
  <sheets>
    <sheet name="Physical DD Tiers" sheetId="1" r:id="rId1"/>
    <sheet name="Sheet1" sheetId="2" r:id="rId2"/>
    <sheet name="Sheet2" sheetId="3" r:id="rId3"/>
    <sheet name="Sheet3" sheetId="4" r:id="rId4"/>
    <sheet name="Sheet4" sheetId="5" r:id="rId5"/>
    <sheet name="Experience Check" sheetId="6" r:id="rId6"/>
    <sheet name="Sheet8" sheetId="10" r:id="rId7"/>
    <sheet name="Sheet5" sheetId="7" r:id="rId8"/>
    <sheet name="Sheet6" sheetId="8" r:id="rId9"/>
    <sheet name="Sheet7" sheetId="9" r:id="rId10"/>
  </sheets>
  <definedNames>
    <definedName name="_xlnm._FilterDatabase" localSheetId="0">'Physical DD Tiers'!$A$1:$AJ$1</definedName>
  </definedNames>
  <calcPr calcId="152511"/>
</workbook>
</file>

<file path=xl/calcChain.xml><?xml version="1.0" encoding="utf-8"?>
<calcChain xmlns="http://schemas.openxmlformats.org/spreadsheetml/2006/main">
  <c r="Q34" i="10" l="1"/>
  <c r="J38" i="10"/>
  <c r="J37" i="10"/>
  <c r="E40" i="10"/>
  <c r="E39" i="10"/>
  <c r="N25" i="10"/>
  <c r="K23" i="10"/>
  <c r="AI98" i="6"/>
  <c r="AF107" i="6"/>
  <c r="W31" i="5" l="1"/>
  <c r="W30" i="5"/>
  <c r="AB112" i="6" l="1"/>
  <c r="W119" i="6"/>
  <c r="W118" i="6"/>
  <c r="N118" i="6"/>
  <c r="N111" i="6"/>
  <c r="R96" i="6"/>
  <c r="J96" i="6"/>
  <c r="J95" i="6"/>
  <c r="J74" i="6"/>
  <c r="J73" i="6"/>
  <c r="U21" i="6"/>
  <c r="P82" i="6"/>
  <c r="P81" i="6"/>
  <c r="P80" i="6"/>
  <c r="P79" i="6"/>
  <c r="P78" i="6"/>
  <c r="P77" i="6"/>
  <c r="P76" i="6"/>
  <c r="I74" i="6"/>
  <c r="I73" i="6"/>
  <c r="J69" i="6"/>
  <c r="I81" i="6"/>
  <c r="J68" i="6"/>
  <c r="J67" i="6"/>
  <c r="P73" i="6"/>
  <c r="P72" i="6"/>
  <c r="P71" i="6"/>
  <c r="P70" i="6"/>
  <c r="P69" i="6"/>
  <c r="P68" i="6"/>
  <c r="P67" i="6"/>
  <c r="Y79" i="6"/>
  <c r="Y78" i="6"/>
  <c r="Y77" i="6"/>
  <c r="Y74" i="6"/>
  <c r="Y73" i="6"/>
  <c r="Y72" i="6"/>
  <c r="Y71" i="6"/>
  <c r="Y70" i="6"/>
  <c r="Y69" i="6"/>
  <c r="Y68" i="6"/>
  <c r="Y67" i="6"/>
  <c r="Z54" i="6"/>
  <c r="AC61" i="6"/>
  <c r="AA53" i="6"/>
  <c r="Z53" i="6"/>
  <c r="Y53" i="6"/>
  <c r="Q25" i="6"/>
  <c r="V22" i="6"/>
  <c r="U22" i="6"/>
  <c r="T22" i="6"/>
  <c r="S22" i="6"/>
  <c r="R22" i="6"/>
  <c r="S21" i="6"/>
  <c r="V20" i="6"/>
  <c r="U20" i="6"/>
  <c r="T20" i="6"/>
  <c r="S20" i="6"/>
  <c r="R20" i="6"/>
  <c r="V19" i="6"/>
  <c r="U19" i="6"/>
  <c r="T19" i="6"/>
  <c r="S19" i="6"/>
  <c r="R19" i="6"/>
  <c r="V18" i="6"/>
  <c r="U18" i="6"/>
  <c r="T18" i="6"/>
  <c r="S18" i="6"/>
  <c r="R18" i="6"/>
  <c r="R21" i="6" l="1"/>
  <c r="T21" i="6"/>
  <c r="V21" i="6"/>
  <c r="T25" i="6"/>
  <c r="U25" i="6"/>
  <c r="S25" i="6"/>
  <c r="R25" i="6"/>
  <c r="V25" i="6"/>
  <c r="I27" i="9"/>
  <c r="I29" i="9" s="1"/>
  <c r="H27" i="9"/>
  <c r="H29" i="9" s="1"/>
  <c r="L25" i="9"/>
  <c r="I15" i="9"/>
  <c r="K27" i="9" s="1"/>
  <c r="L15" i="9"/>
  <c r="I19" i="9"/>
  <c r="H51" i="5"/>
  <c r="G51" i="5"/>
  <c r="G50" i="5"/>
  <c r="J27" i="9" l="1"/>
  <c r="J19" i="9"/>
  <c r="K19" i="9"/>
  <c r="Y40" i="2" l="1"/>
  <c r="Y41" i="2" s="1"/>
  <c r="Y42" i="2" s="1"/>
  <c r="Y8" i="5"/>
  <c r="Y9" i="5" s="1"/>
  <c r="Y10" i="5" s="1"/>
  <c r="Y38" i="2" l="1"/>
  <c r="Z38" i="2" s="1"/>
  <c r="C78" i="8" l="1"/>
  <c r="C79" i="8" s="1"/>
  <c r="C80" i="8" s="1"/>
  <c r="C81" i="8" s="1"/>
  <c r="C82" i="8" s="1"/>
  <c r="C75" i="8"/>
  <c r="D75" i="8" s="1"/>
  <c r="P47" i="8"/>
  <c r="N49" i="8"/>
  <c r="A69" i="2"/>
  <c r="A68" i="2"/>
  <c r="P46" i="8"/>
  <c r="P49" i="8" s="1"/>
  <c r="U14" i="1"/>
  <c r="U24" i="1"/>
  <c r="U41" i="1"/>
  <c r="U40" i="1"/>
  <c r="U77" i="1"/>
  <c r="U7" i="1"/>
  <c r="U39" i="1"/>
  <c r="U74" i="1"/>
  <c r="U31" i="1"/>
  <c r="U38" i="1"/>
  <c r="U10" i="1"/>
  <c r="U37" i="1"/>
  <c r="U52" i="1"/>
  <c r="U21" i="1"/>
  <c r="U9" i="1"/>
  <c r="U13" i="1"/>
  <c r="U61" i="1"/>
  <c r="U51" i="1"/>
  <c r="U30" i="1"/>
  <c r="U28" i="1"/>
  <c r="U20" i="1"/>
  <c r="U36" i="1"/>
  <c r="U63" i="1"/>
  <c r="U8" i="1"/>
  <c r="U68" i="1"/>
  <c r="U50" i="1"/>
  <c r="U76" i="1"/>
  <c r="U15" i="1"/>
  <c r="U35" i="1"/>
  <c r="U73" i="1"/>
  <c r="U49" i="1"/>
  <c r="U79" i="1"/>
  <c r="U27" i="1"/>
  <c r="U72" i="1"/>
  <c r="U60" i="1"/>
  <c r="U71" i="1"/>
  <c r="U48" i="1"/>
  <c r="U4" i="1"/>
  <c r="U5" i="1"/>
  <c r="U26" i="1"/>
  <c r="U2" i="1"/>
  <c r="U17" i="1"/>
  <c r="U59" i="1"/>
  <c r="U29" i="1"/>
  <c r="U58" i="1"/>
  <c r="U34" i="1"/>
  <c r="U57" i="1"/>
  <c r="U33" i="1"/>
  <c r="U23" i="1"/>
  <c r="U12" i="1"/>
  <c r="U3" i="1"/>
  <c r="U75" i="1"/>
  <c r="U67" i="1"/>
  <c r="U47" i="1"/>
  <c r="U22" i="1"/>
  <c r="U66" i="1"/>
  <c r="U62" i="1"/>
  <c r="U70" i="1"/>
  <c r="U80" i="1"/>
  <c r="U46" i="1"/>
  <c r="U45" i="1"/>
  <c r="U25" i="1"/>
  <c r="U81" i="1"/>
  <c r="U32" i="1"/>
  <c r="U44" i="1"/>
  <c r="U56" i="1"/>
  <c r="U6" i="1"/>
  <c r="U43" i="1"/>
  <c r="U19" i="1"/>
  <c r="U64" i="1"/>
  <c r="U65" i="1"/>
  <c r="U55" i="1"/>
  <c r="U18" i="1"/>
  <c r="U82" i="1"/>
  <c r="U54" i="1"/>
  <c r="U53" i="1"/>
  <c r="U42" i="1"/>
  <c r="U16" i="1"/>
  <c r="U69" i="1"/>
  <c r="U78" i="1"/>
  <c r="U11" i="1"/>
  <c r="I30" i="3"/>
  <c r="I31" i="3"/>
  <c r="I32" i="3"/>
  <c r="I33" i="3"/>
  <c r="I34" i="3"/>
  <c r="I37" i="3"/>
  <c r="I36" i="3"/>
  <c r="I35" i="3"/>
  <c r="H41" i="3" s="1"/>
  <c r="J37" i="3"/>
  <c r="J36" i="3"/>
  <c r="J35" i="3"/>
  <c r="G41" i="3" s="1"/>
  <c r="J30" i="3"/>
  <c r="J31" i="3"/>
  <c r="J32" i="3"/>
  <c r="J33" i="3"/>
  <c r="J34" i="3"/>
  <c r="D35" i="3"/>
  <c r="D34" i="3"/>
  <c r="D33" i="3"/>
  <c r="D32" i="3"/>
  <c r="D31" i="3"/>
  <c r="D30" i="3"/>
  <c r="C29" i="3"/>
  <c r="D29" i="3" s="1"/>
  <c r="C28" i="3"/>
  <c r="D28" i="3" s="1"/>
  <c r="C27" i="3"/>
  <c r="D27" i="3" s="1"/>
  <c r="E49" i="3"/>
  <c r="H54" i="6"/>
  <c r="H56" i="6" s="1"/>
  <c r="C54" i="6"/>
  <c r="C46" i="8"/>
  <c r="C47" i="8" s="1"/>
  <c r="C48" i="8" s="1"/>
  <c r="C49" i="8" s="1"/>
  <c r="C50" i="8" s="1"/>
  <c r="C51" i="8" s="1"/>
  <c r="B46" i="8"/>
  <c r="A46" i="8"/>
  <c r="P41" i="2"/>
  <c r="M42" i="2" s="1"/>
  <c r="P40" i="2"/>
  <c r="M41" i="2" s="1"/>
  <c r="K41" i="2"/>
  <c r="P48" i="8"/>
  <c r="N63" i="8"/>
  <c r="N55" i="8"/>
  <c r="B27" i="8"/>
  <c r="C83" i="8" l="1"/>
  <c r="C52" i="8"/>
  <c r="C53" i="8" s="1"/>
  <c r="B47" i="8"/>
  <c r="B48" i="8" s="1"/>
  <c r="B49" i="8" s="1"/>
  <c r="B50" i="8" s="1"/>
  <c r="B51" i="8" s="1"/>
  <c r="B52" i="8" s="1"/>
  <c r="B53" i="8" s="1"/>
  <c r="A47" i="8"/>
  <c r="A48" i="8" s="1"/>
  <c r="P50" i="8"/>
  <c r="P51" i="8" s="1"/>
  <c r="A49" i="8" l="1"/>
  <c r="A50" i="8" s="1"/>
  <c r="A51" i="8" s="1"/>
  <c r="A52" i="8" s="1"/>
  <c r="A53" i="8" s="1"/>
  <c r="D13" i="8"/>
  <c r="D27" i="2"/>
  <c r="D9" i="8"/>
  <c r="D14" i="8" s="1"/>
  <c r="E59" i="5"/>
  <c r="D59" i="5"/>
  <c r="C59" i="5"/>
  <c r="B59" i="5"/>
  <c r="R27" i="2" l="1"/>
  <c r="M24" i="2"/>
  <c r="M25" i="2"/>
  <c r="M26" i="2"/>
  <c r="P22" i="2"/>
  <c r="D28" i="2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E30" i="7"/>
  <c r="E10" i="4"/>
  <c r="X37" i="4"/>
  <c r="X39" i="4"/>
  <c r="X48" i="4" s="1"/>
  <c r="W40" i="4"/>
  <c r="W33" i="4"/>
  <c r="X33" i="4" s="1"/>
  <c r="Y33" i="4" s="1"/>
  <c r="Y34" i="4" s="1"/>
  <c r="R49" i="5" l="1"/>
  <c r="P49" i="5"/>
  <c r="AX10" i="1" l="1"/>
  <c r="AX13" i="1" s="1"/>
  <c r="AX11" i="1" l="1"/>
  <c r="AX12" i="1" s="1"/>
  <c r="AY10" i="1"/>
  <c r="AV10" i="1"/>
  <c r="AR10" i="1"/>
  <c r="AS10" i="1" s="1"/>
  <c r="AO10" i="1"/>
  <c r="AP10" i="1" s="1"/>
  <c r="AO6" i="1"/>
  <c r="AP6" i="1" s="1"/>
  <c r="AO11" i="1" l="1"/>
  <c r="AR11" i="1"/>
  <c r="AS12" i="1" s="1"/>
  <c r="AT12" i="1" s="1"/>
  <c r="AW10" i="1"/>
  <c r="AV13" i="1"/>
  <c r="AV11" i="1"/>
  <c r="AP11" i="1"/>
  <c r="AO12" i="1" s="1"/>
  <c r="AP12" i="1" s="1"/>
  <c r="AE40" i="6"/>
  <c r="I47" i="6" s="1"/>
  <c r="AE39" i="6"/>
  <c r="I46" i="6" s="1"/>
  <c r="AE37" i="6"/>
  <c r="I44" i="6" s="1"/>
  <c r="AF39" i="6"/>
  <c r="J46" i="6" s="1"/>
  <c r="AF37" i="6"/>
  <c r="J44" i="6" s="1"/>
  <c r="L47" i="6"/>
  <c r="L46" i="6"/>
  <c r="L45" i="6"/>
  <c r="L44" i="6"/>
  <c r="AJ40" i="6"/>
  <c r="N47" i="6" s="1"/>
  <c r="AI40" i="6"/>
  <c r="M47" i="6" s="1"/>
  <c r="AG40" i="6"/>
  <c r="K47" i="6" s="1"/>
  <c r="AF40" i="6"/>
  <c r="J47" i="6" s="1"/>
  <c r="N40" i="6"/>
  <c r="M40" i="6"/>
  <c r="L40" i="6"/>
  <c r="K40" i="6"/>
  <c r="J40" i="6"/>
  <c r="I40" i="6"/>
  <c r="AJ39" i="6"/>
  <c r="N46" i="6" s="1"/>
  <c r="AI39" i="6"/>
  <c r="M46" i="6" s="1"/>
  <c r="AG39" i="6"/>
  <c r="K46" i="6" s="1"/>
  <c r="N39" i="6"/>
  <c r="M39" i="6"/>
  <c r="L39" i="6"/>
  <c r="K39" i="6"/>
  <c r="J39" i="6"/>
  <c r="I39" i="6"/>
  <c r="AJ38" i="6"/>
  <c r="N45" i="6" s="1"/>
  <c r="AI38" i="6"/>
  <c r="M45" i="6" s="1"/>
  <c r="AG38" i="6"/>
  <c r="K45" i="6" s="1"/>
  <c r="AF38" i="6"/>
  <c r="J45" i="6" s="1"/>
  <c r="AE38" i="6"/>
  <c r="I45" i="6" s="1"/>
  <c r="N38" i="6"/>
  <c r="M38" i="6"/>
  <c r="L38" i="6"/>
  <c r="K38" i="6"/>
  <c r="J38" i="6"/>
  <c r="I38" i="6"/>
  <c r="AJ37" i="6"/>
  <c r="N44" i="6" s="1"/>
  <c r="AI37" i="6"/>
  <c r="M44" i="6" s="1"/>
  <c r="AG37" i="6"/>
  <c r="K44" i="6" s="1"/>
  <c r="N37" i="6"/>
  <c r="M37" i="6"/>
  <c r="L37" i="6"/>
  <c r="K37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AW13" i="1" l="1"/>
  <c r="BA13" i="1" s="1"/>
  <c r="AW11" i="1"/>
  <c r="I37" i="6"/>
  <c r="J37" i="6"/>
  <c r="E53" i="3" l="1"/>
  <c r="E52" i="3"/>
  <c r="E51" i="3"/>
  <c r="D52" i="3"/>
  <c r="D58" i="3" s="1"/>
  <c r="D51" i="3"/>
  <c r="D53" i="3"/>
  <c r="E48" i="3"/>
  <c r="F48" i="3" s="1"/>
  <c r="E47" i="3"/>
  <c r="F47" i="3" s="1"/>
  <c r="C47" i="3"/>
  <c r="G58" i="3" l="1"/>
  <c r="K58" i="3" s="1"/>
  <c r="F58" i="3"/>
  <c r="I58" i="3" s="1"/>
  <c r="E58" i="3"/>
  <c r="O58" i="3"/>
  <c r="N58" i="3"/>
  <c r="L58" i="3"/>
  <c r="M58" i="3"/>
  <c r="J58" i="3"/>
  <c r="H58" i="3"/>
  <c r="F49" i="3"/>
  <c r="P67" i="2"/>
  <c r="Q67" i="2" s="1"/>
  <c r="P50" i="5"/>
  <c r="F5" i="5"/>
  <c r="I8" i="5" s="1"/>
  <c r="I9" i="5" s="1"/>
  <c r="I10" i="5" s="1"/>
  <c r="I13" i="5" s="1"/>
  <c r="I14" i="5" s="1"/>
  <c r="D28" i="5" l="1"/>
  <c r="D29" i="5" s="1"/>
  <c r="D36" i="5" s="1"/>
  <c r="D37" i="5" s="1"/>
  <c r="D32" i="5"/>
  <c r="D33" i="5" s="1"/>
  <c r="N8" i="5"/>
  <c r="N9" i="5" s="1"/>
  <c r="N10" i="5" s="1"/>
  <c r="N17" i="5" s="1"/>
  <c r="N18" i="5" s="1"/>
  <c r="S8" i="5"/>
  <c r="S9" i="5" s="1"/>
  <c r="S10" i="5" s="1"/>
  <c r="S22" i="5"/>
  <c r="S24" i="5" s="1"/>
  <c r="I17" i="5"/>
  <c r="I18" i="5" s="1"/>
  <c r="D41" i="5"/>
  <c r="D42" i="5" s="1"/>
  <c r="D43" i="5" s="1"/>
  <c r="D50" i="5" s="1"/>
  <c r="D51" i="5" s="1"/>
  <c r="D22" i="5"/>
  <c r="I22" i="5"/>
  <c r="N22" i="5"/>
  <c r="P58" i="3"/>
  <c r="Q58" i="3"/>
  <c r="R58" i="3"/>
  <c r="S58" i="3"/>
  <c r="S17" i="5"/>
  <c r="S18" i="5" s="1"/>
  <c r="S13" i="5"/>
  <c r="S14" i="5" s="1"/>
  <c r="S23" i="5"/>
  <c r="D8" i="5"/>
  <c r="D9" i="5" s="1"/>
  <c r="D10" i="5" s="1"/>
  <c r="N13" i="5"/>
  <c r="N14" i="5" s="1"/>
  <c r="T10" i="4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O10" i="4"/>
  <c r="J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D10" i="4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N10" i="4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8" i="4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T8" i="4"/>
  <c r="M18" i="4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T39" i="2"/>
  <c r="S28" i="2"/>
  <c r="O54" i="2"/>
  <c r="D46" i="5" l="1"/>
  <c r="F10" i="4"/>
  <c r="D13" i="5"/>
  <c r="D14" i="5" s="1"/>
  <c r="D17" i="5"/>
  <c r="D18" i="5" s="1"/>
  <c r="N24" i="5"/>
  <c r="N23" i="5"/>
  <c r="I23" i="5"/>
  <c r="I24" i="5"/>
  <c r="D23" i="5"/>
  <c r="D24" i="5"/>
  <c r="D11" i="4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W58" i="3"/>
  <c r="V58" i="3"/>
  <c r="U58" i="3"/>
  <c r="X58" i="3" s="1"/>
  <c r="T58" i="3"/>
  <c r="K11" i="4"/>
  <c r="K10" i="4"/>
  <c r="U11" i="4"/>
  <c r="U10" i="4"/>
  <c r="P11" i="4"/>
  <c r="P10" i="4"/>
  <c r="F12" i="4"/>
  <c r="F13" i="4"/>
  <c r="N56" i="2"/>
  <c r="N57" i="2" s="1"/>
  <c r="N25" i="3"/>
  <c r="N24" i="3"/>
  <c r="N23" i="3"/>
  <c r="M25" i="3"/>
  <c r="M24" i="3"/>
  <c r="M23" i="3"/>
  <c r="M9" i="3"/>
  <c r="M17" i="3" s="1"/>
  <c r="M8" i="3"/>
  <c r="M16" i="3" s="1"/>
  <c r="M7" i="3"/>
  <c r="M6" i="3"/>
  <c r="L9" i="3"/>
  <c r="L17" i="3" s="1"/>
  <c r="L8" i="3"/>
  <c r="L16" i="3" s="1"/>
  <c r="L7" i="3"/>
  <c r="L6" i="3"/>
  <c r="N37" i="3"/>
  <c r="N36" i="3"/>
  <c r="N35" i="3"/>
  <c r="N34" i="3"/>
  <c r="N33" i="3"/>
  <c r="N32" i="3"/>
  <c r="N31" i="3"/>
  <c r="N30" i="3"/>
  <c r="M37" i="3"/>
  <c r="M36" i="3"/>
  <c r="M35" i="3"/>
  <c r="M34" i="3"/>
  <c r="M33" i="3"/>
  <c r="M32" i="3"/>
  <c r="M31" i="3"/>
  <c r="M30" i="3"/>
  <c r="L37" i="3"/>
  <c r="L36" i="3"/>
  <c r="L35" i="3"/>
  <c r="L34" i="3"/>
  <c r="L33" i="3"/>
  <c r="L32" i="3"/>
  <c r="L31" i="3"/>
  <c r="L30" i="3"/>
  <c r="K37" i="3"/>
  <c r="K36" i="3"/>
  <c r="K35" i="3"/>
  <c r="K34" i="3"/>
  <c r="K33" i="3"/>
  <c r="K32" i="3"/>
  <c r="K31" i="3"/>
  <c r="K30" i="3"/>
  <c r="H37" i="3"/>
  <c r="H36" i="3"/>
  <c r="H35" i="3"/>
  <c r="H34" i="3"/>
  <c r="H33" i="3"/>
  <c r="H32" i="3"/>
  <c r="H31" i="3"/>
  <c r="H30" i="3"/>
  <c r="L25" i="3"/>
  <c r="L24" i="3"/>
  <c r="L23" i="3"/>
  <c r="K25" i="3"/>
  <c r="K24" i="3"/>
  <c r="K23" i="3"/>
  <c r="J25" i="3"/>
  <c r="J24" i="3"/>
  <c r="J23" i="3"/>
  <c r="I25" i="3"/>
  <c r="I24" i="3"/>
  <c r="I23" i="3"/>
  <c r="H25" i="3"/>
  <c r="H24" i="3"/>
  <c r="H23" i="3"/>
  <c r="K9" i="3"/>
  <c r="K17" i="3" s="1"/>
  <c r="K8" i="3"/>
  <c r="K16" i="3" s="1"/>
  <c r="K7" i="3"/>
  <c r="K6" i="3"/>
  <c r="J9" i="3"/>
  <c r="J17" i="3" s="1"/>
  <c r="J8" i="3"/>
  <c r="J16" i="3" s="1"/>
  <c r="J7" i="3"/>
  <c r="J6" i="3"/>
  <c r="I9" i="3"/>
  <c r="I17" i="3" s="1"/>
  <c r="I8" i="3"/>
  <c r="I16" i="3" s="1"/>
  <c r="I7" i="3"/>
  <c r="I6" i="3"/>
  <c r="H9" i="3"/>
  <c r="H17" i="3" s="1"/>
  <c r="H8" i="3"/>
  <c r="H16" i="3" s="1"/>
  <c r="H7" i="3"/>
  <c r="H6" i="3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T15" i="2"/>
  <c r="S15" i="2"/>
  <c r="R15" i="2"/>
  <c r="P15" i="2"/>
  <c r="Q15" i="2" s="1"/>
  <c r="O15" i="2"/>
  <c r="N15" i="2"/>
  <c r="M15" i="2"/>
  <c r="S13" i="2"/>
  <c r="S12" i="2"/>
  <c r="S10" i="2"/>
  <c r="S9" i="2"/>
  <c r="S7" i="2"/>
  <c r="R14" i="2"/>
  <c r="R13" i="2"/>
  <c r="R12" i="2"/>
  <c r="R11" i="2"/>
  <c r="R10" i="2"/>
  <c r="R9" i="2"/>
  <c r="R8" i="2"/>
  <c r="R7" i="2"/>
  <c r="T14" i="2"/>
  <c r="P14" i="2"/>
  <c r="N14" i="2"/>
  <c r="M14" i="2"/>
  <c r="P13" i="2"/>
  <c r="Q13" i="2" s="1"/>
  <c r="P12" i="2"/>
  <c r="Q12" i="2" s="1"/>
  <c r="P11" i="2"/>
  <c r="P10" i="2"/>
  <c r="Q10" i="2" s="1"/>
  <c r="P9" i="2"/>
  <c r="Q9" i="2" s="1"/>
  <c r="P8" i="2"/>
  <c r="P7" i="2"/>
  <c r="Q7" i="2" s="1"/>
  <c r="O13" i="2"/>
  <c r="O12" i="2"/>
  <c r="O10" i="2"/>
  <c r="O9" i="2"/>
  <c r="O7" i="2"/>
  <c r="T13" i="2"/>
  <c r="T12" i="2"/>
  <c r="T11" i="2"/>
  <c r="T10" i="2"/>
  <c r="T9" i="2"/>
  <c r="T8" i="2"/>
  <c r="T7" i="2"/>
  <c r="N13" i="2"/>
  <c r="N12" i="2"/>
  <c r="N11" i="2"/>
  <c r="N10" i="2"/>
  <c r="N9" i="2"/>
  <c r="N8" i="2"/>
  <c r="N7" i="2"/>
  <c r="M13" i="2"/>
  <c r="M12" i="2"/>
  <c r="M11" i="2"/>
  <c r="M10" i="2"/>
  <c r="M9" i="2"/>
  <c r="M8" i="2"/>
  <c r="M7" i="2"/>
  <c r="T48" i="1"/>
  <c r="Y48" i="1" s="1"/>
  <c r="T14" i="1"/>
  <c r="Y14" i="1" s="1"/>
  <c r="T24" i="1"/>
  <c r="Y24" i="1" s="1"/>
  <c r="T41" i="1"/>
  <c r="Y41" i="1" s="1"/>
  <c r="T40" i="1"/>
  <c r="Y40" i="1" s="1"/>
  <c r="T77" i="1"/>
  <c r="Y77" i="1" s="1"/>
  <c r="T7" i="1"/>
  <c r="Y7" i="1" s="1"/>
  <c r="T39" i="1"/>
  <c r="Y39" i="1" s="1"/>
  <c r="T74" i="1"/>
  <c r="Y74" i="1" s="1"/>
  <c r="T31" i="1"/>
  <c r="Y31" i="1" s="1"/>
  <c r="T38" i="1"/>
  <c r="Y38" i="1" s="1"/>
  <c r="T10" i="1"/>
  <c r="Y10" i="1" s="1"/>
  <c r="T37" i="1"/>
  <c r="Y37" i="1" s="1"/>
  <c r="T52" i="1"/>
  <c r="Y52" i="1" s="1"/>
  <c r="T21" i="1"/>
  <c r="Y21" i="1" s="1"/>
  <c r="T9" i="1"/>
  <c r="Y9" i="1" s="1"/>
  <c r="T13" i="1"/>
  <c r="Y13" i="1" s="1"/>
  <c r="T61" i="1"/>
  <c r="Y61" i="1" s="1"/>
  <c r="T51" i="1"/>
  <c r="Y51" i="1" s="1"/>
  <c r="T30" i="1"/>
  <c r="Y30" i="1" s="1"/>
  <c r="T28" i="1"/>
  <c r="Y28" i="1" s="1"/>
  <c r="T20" i="1"/>
  <c r="Y20" i="1" s="1"/>
  <c r="T36" i="1"/>
  <c r="Y36" i="1" s="1"/>
  <c r="T63" i="1"/>
  <c r="Y63" i="1" s="1"/>
  <c r="T8" i="1"/>
  <c r="Y8" i="1" s="1"/>
  <c r="T68" i="1"/>
  <c r="Y68" i="1" s="1"/>
  <c r="T50" i="1"/>
  <c r="Y50" i="1" s="1"/>
  <c r="T76" i="1"/>
  <c r="Y76" i="1" s="1"/>
  <c r="T15" i="1"/>
  <c r="Y15" i="1" s="1"/>
  <c r="T35" i="1"/>
  <c r="Y35" i="1" s="1"/>
  <c r="T73" i="1"/>
  <c r="Y73" i="1" s="1"/>
  <c r="T49" i="1"/>
  <c r="Y49" i="1" s="1"/>
  <c r="T79" i="1"/>
  <c r="Y79" i="1" s="1"/>
  <c r="T27" i="1"/>
  <c r="Y27" i="1" s="1"/>
  <c r="T72" i="1"/>
  <c r="Y72" i="1" s="1"/>
  <c r="T60" i="1"/>
  <c r="Y60" i="1" s="1"/>
  <c r="T71" i="1"/>
  <c r="Y71" i="1" s="1"/>
  <c r="T4" i="1"/>
  <c r="Y4" i="1" s="1"/>
  <c r="T5" i="1"/>
  <c r="Y5" i="1" s="1"/>
  <c r="T26" i="1"/>
  <c r="Y26" i="1" s="1"/>
  <c r="T2" i="1"/>
  <c r="Y2" i="1" s="1"/>
  <c r="T17" i="1"/>
  <c r="Y17" i="1" s="1"/>
  <c r="T59" i="1"/>
  <c r="Y59" i="1" s="1"/>
  <c r="T29" i="1"/>
  <c r="Y29" i="1" s="1"/>
  <c r="T58" i="1"/>
  <c r="Y58" i="1" s="1"/>
  <c r="T34" i="1"/>
  <c r="Y34" i="1" s="1"/>
  <c r="T57" i="1"/>
  <c r="Y57" i="1" s="1"/>
  <c r="T33" i="1"/>
  <c r="Y33" i="1" s="1"/>
  <c r="T23" i="1"/>
  <c r="Y23" i="1" s="1"/>
  <c r="T12" i="1"/>
  <c r="Y12" i="1" s="1"/>
  <c r="T3" i="1"/>
  <c r="Y3" i="1" s="1"/>
  <c r="T75" i="1"/>
  <c r="Y75" i="1" s="1"/>
  <c r="T67" i="1"/>
  <c r="Y67" i="1" s="1"/>
  <c r="T47" i="1"/>
  <c r="Y47" i="1" s="1"/>
  <c r="T22" i="1"/>
  <c r="Y22" i="1" s="1"/>
  <c r="T66" i="1"/>
  <c r="Y66" i="1" s="1"/>
  <c r="T62" i="1"/>
  <c r="Y62" i="1" s="1"/>
  <c r="T70" i="1"/>
  <c r="Y70" i="1" s="1"/>
  <c r="T80" i="1"/>
  <c r="Y80" i="1" s="1"/>
  <c r="T46" i="1"/>
  <c r="Y46" i="1" s="1"/>
  <c r="T45" i="1"/>
  <c r="Y45" i="1" s="1"/>
  <c r="T25" i="1"/>
  <c r="Y25" i="1" s="1"/>
  <c r="T81" i="1"/>
  <c r="Y81" i="1" s="1"/>
  <c r="T32" i="1"/>
  <c r="Y32" i="1" s="1"/>
  <c r="T44" i="1"/>
  <c r="Y44" i="1" s="1"/>
  <c r="T56" i="1"/>
  <c r="Y56" i="1" s="1"/>
  <c r="T6" i="1"/>
  <c r="Y6" i="1" s="1"/>
  <c r="T43" i="1"/>
  <c r="Y43" i="1" s="1"/>
  <c r="T19" i="1"/>
  <c r="Y19" i="1" s="1"/>
  <c r="T64" i="1"/>
  <c r="Y64" i="1" s="1"/>
  <c r="T65" i="1"/>
  <c r="Y65" i="1" s="1"/>
  <c r="T55" i="1"/>
  <c r="Y55" i="1" s="1"/>
  <c r="T18" i="1"/>
  <c r="Y18" i="1" s="1"/>
  <c r="T82" i="1"/>
  <c r="Y82" i="1" s="1"/>
  <c r="T54" i="1"/>
  <c r="Y54" i="1" s="1"/>
  <c r="T53" i="1"/>
  <c r="Y53" i="1" s="1"/>
  <c r="T42" i="1"/>
  <c r="Y42" i="1" s="1"/>
  <c r="T16" i="1"/>
  <c r="Y16" i="1" s="1"/>
  <c r="T69" i="1"/>
  <c r="Y69" i="1" s="1"/>
  <c r="T78" i="1"/>
  <c r="Y78" i="1" s="1"/>
  <c r="T11" i="1"/>
  <c r="Y11" i="1" s="1"/>
  <c r="V14" i="1"/>
  <c r="V41" i="1"/>
  <c r="V77" i="1"/>
  <c r="V39" i="1"/>
  <c r="V31" i="1"/>
  <c r="V10" i="1"/>
  <c r="V52" i="1"/>
  <c r="V9" i="1"/>
  <c r="V61" i="1"/>
  <c r="V30" i="1"/>
  <c r="V20" i="1"/>
  <c r="V63" i="1"/>
  <c r="V68" i="1"/>
  <c r="V76" i="1"/>
  <c r="V35" i="1"/>
  <c r="V49" i="1"/>
  <c r="V27" i="1"/>
  <c r="V60" i="1"/>
  <c r="V48" i="1"/>
  <c r="V5" i="1"/>
  <c r="V2" i="1"/>
  <c r="V59" i="1"/>
  <c r="V58" i="1"/>
  <c r="V57" i="1"/>
  <c r="V23" i="1"/>
  <c r="V3" i="1"/>
  <c r="V67" i="1"/>
  <c r="V22" i="1"/>
  <c r="V62" i="1"/>
  <c r="V80" i="1"/>
  <c r="V45" i="1"/>
  <c r="V81" i="1"/>
  <c r="V44" i="1"/>
  <c r="V6" i="1"/>
  <c r="V19" i="1"/>
  <c r="V65" i="1"/>
  <c r="V18" i="1"/>
  <c r="V54" i="1"/>
  <c r="V42" i="1"/>
  <c r="V69" i="1"/>
  <c r="V11" i="1"/>
  <c r="M14" i="3" l="1"/>
  <c r="L47" i="3"/>
  <c r="L48" i="3"/>
  <c r="I14" i="3"/>
  <c r="H48" i="3"/>
  <c r="H47" i="3"/>
  <c r="M15" i="3"/>
  <c r="L49" i="3"/>
  <c r="F11" i="4"/>
  <c r="I15" i="3"/>
  <c r="H49" i="3"/>
  <c r="J14" i="3"/>
  <c r="I47" i="3"/>
  <c r="I48" i="3"/>
  <c r="J15" i="3"/>
  <c r="I49" i="3"/>
  <c r="L14" i="3"/>
  <c r="K48" i="3"/>
  <c r="K47" i="3"/>
  <c r="H14" i="3"/>
  <c r="G47" i="3"/>
  <c r="G48" i="3"/>
  <c r="K14" i="3"/>
  <c r="J47" i="3"/>
  <c r="J48" i="3"/>
  <c r="L15" i="3"/>
  <c r="K49" i="3"/>
  <c r="H15" i="3"/>
  <c r="G49" i="3"/>
  <c r="K15" i="3"/>
  <c r="J49" i="3"/>
  <c r="J51" i="5"/>
  <c r="F47" i="5"/>
  <c r="D47" i="5"/>
  <c r="F51" i="4"/>
  <c r="D52" i="4"/>
  <c r="W55" i="1"/>
  <c r="AF55" i="1" s="1"/>
  <c r="W33" i="1"/>
  <c r="AB33" i="1" s="1"/>
  <c r="AC33" i="1" s="1"/>
  <c r="B85" i="2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K12" i="4"/>
  <c r="U12" i="4"/>
  <c r="P12" i="4"/>
  <c r="F14" i="4"/>
  <c r="W46" i="1"/>
  <c r="AB46" i="1" s="1"/>
  <c r="AC46" i="1" s="1"/>
  <c r="X82" i="1"/>
  <c r="W25" i="1"/>
  <c r="AF25" i="1" s="1"/>
  <c r="W12" i="1"/>
  <c r="AF12" i="1" s="1"/>
  <c r="X4" i="1"/>
  <c r="W32" i="1"/>
  <c r="AD32" i="1" s="1"/>
  <c r="W17" i="1"/>
  <c r="AF17" i="1" s="1"/>
  <c r="W43" i="1"/>
  <c r="AF43" i="1" s="1"/>
  <c r="W53" i="1"/>
  <c r="AD53" i="1" s="1"/>
  <c r="W75" i="1"/>
  <c r="AB75" i="1" s="1"/>
  <c r="AC75" i="1" s="1"/>
  <c r="X26" i="1"/>
  <c r="X16" i="1"/>
  <c r="W56" i="1"/>
  <c r="AF56" i="1" s="1"/>
  <c r="X47" i="1"/>
  <c r="W78" i="1"/>
  <c r="AF78" i="1" s="1"/>
  <c r="X66" i="1"/>
  <c r="X29" i="1"/>
  <c r="X64" i="1"/>
  <c r="W70" i="1"/>
  <c r="AF70" i="1" s="1"/>
  <c r="W34" i="1"/>
  <c r="AF34" i="1" s="1"/>
  <c r="W71" i="1"/>
  <c r="AB71" i="1" s="1"/>
  <c r="AC71" i="1" s="1"/>
  <c r="X72" i="1"/>
  <c r="X79" i="1"/>
  <c r="W73" i="1"/>
  <c r="AF73" i="1" s="1"/>
  <c r="X15" i="1"/>
  <c r="W50" i="1"/>
  <c r="AF50" i="1" s="1"/>
  <c r="X8" i="1"/>
  <c r="X36" i="1"/>
  <c r="W28" i="1"/>
  <c r="AD28" i="1" s="1"/>
  <c r="X51" i="1"/>
  <c r="W13" i="1"/>
  <c r="AD13" i="1" s="1"/>
  <c r="W37" i="1"/>
  <c r="AB37" i="1" s="1"/>
  <c r="AC37" i="1" s="1"/>
  <c r="W38" i="1"/>
  <c r="AB38" i="1" s="1"/>
  <c r="AC38" i="1" s="1"/>
  <c r="X74" i="1"/>
  <c r="W7" i="1"/>
  <c r="AF7" i="1" s="1"/>
  <c r="X24" i="1"/>
  <c r="X21" i="1"/>
  <c r="W40" i="1"/>
  <c r="AD40" i="1" s="1"/>
  <c r="AB55" i="1"/>
  <c r="AC55" i="1" s="1"/>
  <c r="W11" i="1"/>
  <c r="W4" i="1"/>
  <c r="W3" i="1"/>
  <c r="W20" i="1"/>
  <c r="W57" i="1"/>
  <c r="W67" i="1"/>
  <c r="W15" i="1"/>
  <c r="W31" i="1"/>
  <c r="W62" i="1"/>
  <c r="W61" i="1"/>
  <c r="W9" i="1"/>
  <c r="W24" i="1"/>
  <c r="W8" i="1"/>
  <c r="W80" i="1"/>
  <c r="W22" i="1"/>
  <c r="W39" i="1"/>
  <c r="W60" i="1"/>
  <c r="W66" i="1"/>
  <c r="W16" i="1"/>
  <c r="W45" i="1"/>
  <c r="W47" i="1"/>
  <c r="W44" i="1"/>
  <c r="W29" i="1"/>
  <c r="W18" i="1"/>
  <c r="W41" i="1"/>
  <c r="W64" i="1"/>
  <c r="W52" i="1"/>
  <c r="W76" i="1"/>
  <c r="W21" i="1"/>
  <c r="W36" i="1"/>
  <c r="W14" i="1"/>
  <c r="W51" i="1"/>
  <c r="W74" i="1"/>
  <c r="W79" i="1"/>
  <c r="W5" i="1"/>
  <c r="W26" i="1"/>
  <c r="W63" i="1"/>
  <c r="W82" i="1"/>
  <c r="W72" i="1"/>
  <c r="W81" i="1"/>
  <c r="X13" i="1"/>
  <c r="X77" i="1"/>
  <c r="X6" i="1"/>
  <c r="X17" i="1"/>
  <c r="X12" i="1"/>
  <c r="X35" i="1"/>
  <c r="X38" i="1"/>
  <c r="X56" i="1"/>
  <c r="X42" i="1"/>
  <c r="X55" i="1"/>
  <c r="X19" i="1"/>
  <c r="X10" i="1"/>
  <c r="X43" i="1"/>
  <c r="X27" i="1"/>
  <c r="X25" i="1"/>
  <c r="X70" i="1"/>
  <c r="X75" i="1"/>
  <c r="X68" i="1"/>
  <c r="X50" i="1"/>
  <c r="X53" i="1"/>
  <c r="X59" i="1"/>
  <c r="X34" i="1"/>
  <c r="X23" i="1"/>
  <c r="X40" i="1"/>
  <c r="X58" i="1"/>
  <c r="X37" i="1"/>
  <c r="X28" i="1"/>
  <c r="X54" i="1"/>
  <c r="X49" i="1"/>
  <c r="X69" i="1"/>
  <c r="X33" i="1"/>
  <c r="X48" i="1"/>
  <c r="X78" i="1"/>
  <c r="X2" i="1"/>
  <c r="AD2" i="1" s="1"/>
  <c r="X7" i="1"/>
  <c r="X32" i="1"/>
  <c r="X73" i="1"/>
  <c r="X71" i="1"/>
  <c r="X30" i="1"/>
  <c r="X46" i="1"/>
  <c r="X65" i="1"/>
  <c r="W77" i="1"/>
  <c r="W6" i="1"/>
  <c r="W35" i="1"/>
  <c r="W42" i="1"/>
  <c r="W19" i="1"/>
  <c r="W10" i="1"/>
  <c r="W27" i="1"/>
  <c r="W68" i="1"/>
  <c r="W59" i="1"/>
  <c r="W23" i="1"/>
  <c r="W58" i="1"/>
  <c r="W54" i="1"/>
  <c r="W49" i="1"/>
  <c r="W69" i="1"/>
  <c r="W48" i="1"/>
  <c r="W2" i="1"/>
  <c r="W30" i="1"/>
  <c r="W65" i="1"/>
  <c r="X11" i="1"/>
  <c r="X3" i="1"/>
  <c r="X20" i="1"/>
  <c r="AD20" i="1" s="1"/>
  <c r="X57" i="1"/>
  <c r="AD57" i="1" s="1"/>
  <c r="X67" i="1"/>
  <c r="X31" i="1"/>
  <c r="X62" i="1"/>
  <c r="AD62" i="1" s="1"/>
  <c r="X61" i="1"/>
  <c r="AD61" i="1" s="1"/>
  <c r="X9" i="1"/>
  <c r="X80" i="1"/>
  <c r="X22" i="1"/>
  <c r="X39" i="1"/>
  <c r="X60" i="1"/>
  <c r="X45" i="1"/>
  <c r="X44" i="1"/>
  <c r="X18" i="1"/>
  <c r="X41" i="1"/>
  <c r="X52" i="1"/>
  <c r="X76" i="1"/>
  <c r="X14" i="1"/>
  <c r="X5" i="1"/>
  <c r="X63" i="1"/>
  <c r="X81" i="1"/>
  <c r="Z72" i="1"/>
  <c r="Z79" i="1"/>
  <c r="Z73" i="1"/>
  <c r="Z15" i="1"/>
  <c r="Z50" i="1"/>
  <c r="Z8" i="1"/>
  <c r="AE8" i="1" s="1"/>
  <c r="Z36" i="1"/>
  <c r="Z28" i="1"/>
  <c r="Z51" i="1"/>
  <c r="Z13" i="1"/>
  <c r="Z21" i="1"/>
  <c r="Z37" i="1"/>
  <c r="Z38" i="1"/>
  <c r="Z74" i="1"/>
  <c r="Z7" i="1"/>
  <c r="Z40" i="1"/>
  <c r="Z24" i="1"/>
  <c r="Z78" i="1"/>
  <c r="Z16" i="1"/>
  <c r="Z53" i="1"/>
  <c r="Z82" i="1"/>
  <c r="Z55" i="1"/>
  <c r="Z64" i="1"/>
  <c r="Z43" i="1"/>
  <c r="Z56" i="1"/>
  <c r="Z32" i="1"/>
  <c r="Z25" i="1"/>
  <c r="Z46" i="1"/>
  <c r="Z70" i="1"/>
  <c r="Z66" i="1"/>
  <c r="Z47" i="1"/>
  <c r="Z75" i="1"/>
  <c r="Z12" i="1"/>
  <c r="Z33" i="1"/>
  <c r="AA33" i="1" s="1"/>
  <c r="Z34" i="1"/>
  <c r="Z29" i="1"/>
  <c r="Z17" i="1"/>
  <c r="Z26" i="1"/>
  <c r="Z4" i="1"/>
  <c r="Z71" i="1"/>
  <c r="V78" i="1"/>
  <c r="V16" i="1"/>
  <c r="V53" i="1"/>
  <c r="V82" i="1"/>
  <c r="V55" i="1"/>
  <c r="V64" i="1"/>
  <c r="V43" i="1"/>
  <c r="V56" i="1"/>
  <c r="V32" i="1"/>
  <c r="V25" i="1"/>
  <c r="V46" i="1"/>
  <c r="V70" i="1"/>
  <c r="V66" i="1"/>
  <c r="V47" i="1"/>
  <c r="V75" i="1"/>
  <c r="V12" i="1"/>
  <c r="V33" i="1"/>
  <c r="V34" i="1"/>
  <c r="V29" i="1"/>
  <c r="V17" i="1"/>
  <c r="V26" i="1"/>
  <c r="V4" i="1"/>
  <c r="V71" i="1"/>
  <c r="V72" i="1"/>
  <c r="V79" i="1"/>
  <c r="V73" i="1"/>
  <c r="V15" i="1"/>
  <c r="V50" i="1"/>
  <c r="V8" i="1"/>
  <c r="V36" i="1"/>
  <c r="V28" i="1"/>
  <c r="V51" i="1"/>
  <c r="V13" i="1"/>
  <c r="V21" i="1"/>
  <c r="V37" i="1"/>
  <c r="V38" i="1"/>
  <c r="V74" i="1"/>
  <c r="V7" i="1"/>
  <c r="V40" i="1"/>
  <c r="V24" i="1"/>
  <c r="Z11" i="1"/>
  <c r="Z69" i="1"/>
  <c r="Z42" i="1"/>
  <c r="Z54" i="1"/>
  <c r="Z18" i="1"/>
  <c r="Z65" i="1"/>
  <c r="Z19" i="1"/>
  <c r="Z6" i="1"/>
  <c r="Z44" i="1"/>
  <c r="Z81" i="1"/>
  <c r="Z45" i="1"/>
  <c r="Z80" i="1"/>
  <c r="Z62" i="1"/>
  <c r="Z22" i="1"/>
  <c r="Z67" i="1"/>
  <c r="Z3" i="1"/>
  <c r="Z23" i="1"/>
  <c r="Z57" i="1"/>
  <c r="Z58" i="1"/>
  <c r="Z59" i="1"/>
  <c r="Z2" i="1"/>
  <c r="Z5" i="1"/>
  <c r="Z48" i="1"/>
  <c r="Z60" i="1"/>
  <c r="Z27" i="1"/>
  <c r="Z49" i="1"/>
  <c r="Z35" i="1"/>
  <c r="Z76" i="1"/>
  <c r="Z68" i="1"/>
  <c r="Z63" i="1"/>
  <c r="Z20" i="1"/>
  <c r="Z30" i="1"/>
  <c r="Z61" i="1"/>
  <c r="Z9" i="1"/>
  <c r="Z52" i="1"/>
  <c r="Z10" i="1"/>
  <c r="Z31" i="1"/>
  <c r="Z39" i="1"/>
  <c r="Z77" i="1"/>
  <c r="Z41" i="1"/>
  <c r="Z14" i="1"/>
  <c r="D53" i="4" l="1"/>
  <c r="F52" i="4"/>
  <c r="AA46" i="1"/>
  <c r="AA55" i="1"/>
  <c r="AF33" i="1"/>
  <c r="AD33" i="1"/>
  <c r="AF46" i="1"/>
  <c r="AD46" i="1"/>
  <c r="K13" i="4"/>
  <c r="U13" i="4"/>
  <c r="P13" i="4"/>
  <c r="F15" i="4"/>
  <c r="AA28" i="1"/>
  <c r="AD8" i="1"/>
  <c r="AA12" i="1"/>
  <c r="AF28" i="1"/>
  <c r="AB28" i="1"/>
  <c r="AC28" i="1" s="1"/>
  <c r="AB25" i="1"/>
  <c r="AC25" i="1" s="1"/>
  <c r="AA25" i="1"/>
  <c r="AB12" i="1"/>
  <c r="AC12" i="1" s="1"/>
  <c r="AD78" i="1"/>
  <c r="AD50" i="1"/>
  <c r="AA50" i="1"/>
  <c r="AD73" i="1"/>
  <c r="AA78" i="1"/>
  <c r="AB50" i="1"/>
  <c r="AC50" i="1" s="1"/>
  <c r="AF38" i="1"/>
  <c r="AA16" i="1"/>
  <c r="AD38" i="1"/>
  <c r="AA70" i="1"/>
  <c r="AD37" i="1"/>
  <c r="AA66" i="1"/>
  <c r="AA75" i="1"/>
  <c r="AB7" i="1"/>
  <c r="AC7" i="1" s="1"/>
  <c r="AF40" i="1"/>
  <c r="AF53" i="1"/>
  <c r="AA21" i="1"/>
  <c r="AB73" i="1"/>
  <c r="AC73" i="1" s="1"/>
  <c r="AF75" i="1"/>
  <c r="AD71" i="1"/>
  <c r="AB32" i="1"/>
  <c r="AC32" i="1" s="1"/>
  <c r="AB53" i="1"/>
  <c r="AC53" i="1" s="1"/>
  <c r="AA71" i="1"/>
  <c r="AA53" i="1"/>
  <c r="AF32" i="1"/>
  <c r="AA47" i="1"/>
  <c r="AA13" i="1"/>
  <c r="AD43" i="1"/>
  <c r="AD34" i="1"/>
  <c r="AB43" i="1"/>
  <c r="AC43" i="1" s="1"/>
  <c r="AA34" i="1"/>
  <c r="AA37" i="1"/>
  <c r="AD70" i="1"/>
  <c r="AD56" i="1"/>
  <c r="AA17" i="1"/>
  <c r="AD17" i="1"/>
  <c r="AB56" i="1"/>
  <c r="AC56" i="1" s="1"/>
  <c r="AA26" i="1"/>
  <c r="AF37" i="1"/>
  <c r="AB17" i="1"/>
  <c r="AC17" i="1" s="1"/>
  <c r="AD75" i="1"/>
  <c r="AB78" i="1"/>
  <c r="AB34" i="1"/>
  <c r="AC34" i="1" s="1"/>
  <c r="AB70" i="1"/>
  <c r="AC70" i="1" s="1"/>
  <c r="AA43" i="1"/>
  <c r="AF13" i="1"/>
  <c r="AA56" i="1"/>
  <c r="AA72" i="1"/>
  <c r="AB13" i="1"/>
  <c r="AC13" i="1" s="1"/>
  <c r="AA32" i="1"/>
  <c r="AA79" i="1"/>
  <c r="AA73" i="1"/>
  <c r="AA7" i="1"/>
  <c r="AA38" i="1"/>
  <c r="AD7" i="1"/>
  <c r="AF71" i="1"/>
  <c r="AA40" i="1"/>
  <c r="AB40" i="1"/>
  <c r="AC40" i="1" s="1"/>
  <c r="AE25" i="1"/>
  <c r="AA41" i="1"/>
  <c r="AA9" i="1"/>
  <c r="AA30" i="1"/>
  <c r="AA63" i="1"/>
  <c r="AA49" i="1"/>
  <c r="AA60" i="1"/>
  <c r="AA5" i="1"/>
  <c r="AA59" i="1"/>
  <c r="AA3" i="1"/>
  <c r="AA22" i="1"/>
  <c r="AD12" i="1"/>
  <c r="AD25" i="1"/>
  <c r="AE38" i="1"/>
  <c r="AE71" i="1"/>
  <c r="AE12" i="1"/>
  <c r="AA14" i="1"/>
  <c r="AA77" i="1"/>
  <c r="AA52" i="1"/>
  <c r="AA35" i="1"/>
  <c r="AA27" i="1"/>
  <c r="AA48" i="1"/>
  <c r="AA58" i="1"/>
  <c r="AA62" i="1"/>
  <c r="AA19" i="1"/>
  <c r="AA11" i="1"/>
  <c r="AE46" i="1"/>
  <c r="AG46" i="1" s="1"/>
  <c r="AA29" i="1"/>
  <c r="AA74" i="1"/>
  <c r="AA8" i="1"/>
  <c r="AA15" i="1"/>
  <c r="AA39" i="1"/>
  <c r="AA10" i="1"/>
  <c r="AA76" i="1"/>
  <c r="AA80" i="1"/>
  <c r="AA81" i="1"/>
  <c r="AA6" i="1"/>
  <c r="AA65" i="1"/>
  <c r="AA54" i="1"/>
  <c r="AA69" i="1"/>
  <c r="AE33" i="1"/>
  <c r="AG33" i="1" s="1"/>
  <c r="AE75" i="1"/>
  <c r="AA31" i="1"/>
  <c r="AA68" i="1"/>
  <c r="AA23" i="1"/>
  <c r="AA67" i="1"/>
  <c r="AA45" i="1"/>
  <c r="AA44" i="1"/>
  <c r="AA18" i="1"/>
  <c r="AA42" i="1"/>
  <c r="AD55" i="1"/>
  <c r="AE37" i="1"/>
  <c r="AE55" i="1"/>
  <c r="AA4" i="1"/>
  <c r="AA64" i="1"/>
  <c r="AA82" i="1"/>
  <c r="AA24" i="1"/>
  <c r="AA51" i="1"/>
  <c r="AA36" i="1"/>
  <c r="AF65" i="1"/>
  <c r="AD65" i="1"/>
  <c r="AB65" i="1"/>
  <c r="AF2" i="1"/>
  <c r="AB2" i="1"/>
  <c r="AC2" i="1" s="1"/>
  <c r="AD69" i="1"/>
  <c r="AF69" i="1"/>
  <c r="AB69" i="1"/>
  <c r="AD54" i="1"/>
  <c r="AF54" i="1"/>
  <c r="AB54" i="1"/>
  <c r="AD23" i="1"/>
  <c r="AF23" i="1"/>
  <c r="AB23" i="1"/>
  <c r="AD68" i="1"/>
  <c r="AF68" i="1"/>
  <c r="AB68" i="1"/>
  <c r="AD10" i="1"/>
  <c r="AF10" i="1"/>
  <c r="AB10" i="1"/>
  <c r="AD42" i="1"/>
  <c r="AF42" i="1"/>
  <c r="AB42" i="1"/>
  <c r="AF6" i="1"/>
  <c r="AD6" i="1"/>
  <c r="AB6" i="1"/>
  <c r="AB72" i="1"/>
  <c r="AD72" i="1"/>
  <c r="AF72" i="1"/>
  <c r="AF63" i="1"/>
  <c r="AD63" i="1"/>
  <c r="AB63" i="1"/>
  <c r="AD5" i="1"/>
  <c r="AF5" i="1"/>
  <c r="AB5" i="1"/>
  <c r="AF74" i="1"/>
  <c r="AB74" i="1"/>
  <c r="AD74" i="1"/>
  <c r="AD14" i="1"/>
  <c r="AF14" i="1"/>
  <c r="AB14" i="1"/>
  <c r="AF21" i="1"/>
  <c r="AB21" i="1"/>
  <c r="AD21" i="1"/>
  <c r="AD52" i="1"/>
  <c r="AF52" i="1"/>
  <c r="AB52" i="1"/>
  <c r="AD41" i="1"/>
  <c r="AF41" i="1"/>
  <c r="AB41" i="1"/>
  <c r="AD29" i="1"/>
  <c r="AB29" i="1"/>
  <c r="AF29" i="1"/>
  <c r="AD47" i="1"/>
  <c r="AB47" i="1"/>
  <c r="AF47" i="1"/>
  <c r="AB16" i="1"/>
  <c r="AD16" i="1"/>
  <c r="AF16" i="1"/>
  <c r="AD60" i="1"/>
  <c r="AF60" i="1"/>
  <c r="AB60" i="1"/>
  <c r="AF22" i="1"/>
  <c r="AD22" i="1"/>
  <c r="AB22" i="1"/>
  <c r="AB8" i="1"/>
  <c r="AC8" i="1" s="1"/>
  <c r="AF8" i="1"/>
  <c r="AD9" i="1"/>
  <c r="AF9" i="1"/>
  <c r="AB9" i="1"/>
  <c r="AF62" i="1"/>
  <c r="AB62" i="1"/>
  <c r="AC62" i="1" s="1"/>
  <c r="AB15" i="1"/>
  <c r="AD15" i="1"/>
  <c r="AF15" i="1"/>
  <c r="AF57" i="1"/>
  <c r="AB57" i="1"/>
  <c r="AC57" i="1" s="1"/>
  <c r="AF3" i="1"/>
  <c r="AD3" i="1"/>
  <c r="AB3" i="1"/>
  <c r="AF11" i="1"/>
  <c r="AD11" i="1"/>
  <c r="AB11" i="1"/>
  <c r="AD30" i="1"/>
  <c r="AF30" i="1"/>
  <c r="AB30" i="1"/>
  <c r="AD48" i="1"/>
  <c r="AF48" i="1"/>
  <c r="AB48" i="1"/>
  <c r="AD49" i="1"/>
  <c r="AF49" i="1"/>
  <c r="AB49" i="1"/>
  <c r="AF58" i="1"/>
  <c r="AD58" i="1"/>
  <c r="AB58" i="1"/>
  <c r="AF59" i="1"/>
  <c r="AD59" i="1"/>
  <c r="AB59" i="1"/>
  <c r="AD27" i="1"/>
  <c r="AF27" i="1"/>
  <c r="AB27" i="1"/>
  <c r="AF19" i="1"/>
  <c r="AD19" i="1"/>
  <c r="AB19" i="1"/>
  <c r="AD35" i="1"/>
  <c r="AF35" i="1"/>
  <c r="AB35" i="1"/>
  <c r="AD77" i="1"/>
  <c r="AF77" i="1"/>
  <c r="AB77" i="1"/>
  <c r="AF81" i="1"/>
  <c r="AD81" i="1"/>
  <c r="AB81" i="1"/>
  <c r="AB82" i="1"/>
  <c r="AD82" i="1"/>
  <c r="AF82" i="1"/>
  <c r="AB26" i="1"/>
  <c r="AD26" i="1"/>
  <c r="AF26" i="1"/>
  <c r="AB79" i="1"/>
  <c r="AD79" i="1"/>
  <c r="AF79" i="1"/>
  <c r="AB51" i="1"/>
  <c r="AD51" i="1"/>
  <c r="AF51" i="1"/>
  <c r="AD36" i="1"/>
  <c r="AB36" i="1"/>
  <c r="AF36" i="1"/>
  <c r="AD76" i="1"/>
  <c r="AF76" i="1"/>
  <c r="AB76" i="1"/>
  <c r="AD64" i="1"/>
  <c r="AB64" i="1"/>
  <c r="AF64" i="1"/>
  <c r="AD18" i="1"/>
  <c r="AF18" i="1"/>
  <c r="AB18" i="1"/>
  <c r="AF44" i="1"/>
  <c r="AD44" i="1"/>
  <c r="AB44" i="1"/>
  <c r="AD45" i="1"/>
  <c r="AF45" i="1"/>
  <c r="AB45" i="1"/>
  <c r="AD66" i="1"/>
  <c r="AB66" i="1"/>
  <c r="AF66" i="1"/>
  <c r="AD39" i="1"/>
  <c r="AF39" i="1"/>
  <c r="AB39" i="1"/>
  <c r="AD80" i="1"/>
  <c r="AF80" i="1"/>
  <c r="AB80" i="1"/>
  <c r="AD24" i="1"/>
  <c r="AF24" i="1"/>
  <c r="AB24" i="1"/>
  <c r="AF61" i="1"/>
  <c r="AB61" i="1"/>
  <c r="AC61" i="1" s="1"/>
  <c r="AD31" i="1"/>
  <c r="AF31" i="1"/>
  <c r="AB31" i="1"/>
  <c r="AF67" i="1"/>
  <c r="AD67" i="1"/>
  <c r="AB67" i="1"/>
  <c r="AF20" i="1"/>
  <c r="AB20" i="1"/>
  <c r="AC20" i="1" s="1"/>
  <c r="AB4" i="1"/>
  <c r="AD4" i="1"/>
  <c r="AF4" i="1"/>
  <c r="AE62" i="1"/>
  <c r="AA57" i="1"/>
  <c r="AE57" i="1"/>
  <c r="AA61" i="1"/>
  <c r="AE61" i="1"/>
  <c r="AA20" i="1"/>
  <c r="AE20" i="1"/>
  <c r="AA2" i="1"/>
  <c r="AE2" i="1"/>
  <c r="D54" i="4" l="1"/>
  <c r="F54" i="4" s="1"/>
  <c r="F53" i="4"/>
  <c r="AE28" i="1"/>
  <c r="AG28" i="1" s="1"/>
  <c r="K14" i="4"/>
  <c r="U14" i="4"/>
  <c r="P14" i="4"/>
  <c r="F16" i="4"/>
  <c r="AE43" i="1"/>
  <c r="AE73" i="1"/>
  <c r="AG73" i="1" s="1"/>
  <c r="AE7" i="1"/>
  <c r="AG7" i="1" s="1"/>
  <c r="AE50" i="1"/>
  <c r="AG50" i="1" s="1"/>
  <c r="AG38" i="1"/>
  <c r="AE53" i="1"/>
  <c r="AG53" i="1" s="1"/>
  <c r="AG37" i="1"/>
  <c r="AE70" i="1"/>
  <c r="AG70" i="1" s="1"/>
  <c r="AG71" i="1"/>
  <c r="AG75" i="1"/>
  <c r="AE34" i="1"/>
  <c r="AG34" i="1" s="1"/>
  <c r="AG43" i="1"/>
  <c r="AE32" i="1"/>
  <c r="AG32" i="1" s="1"/>
  <c r="AC78" i="1"/>
  <c r="AE78" i="1"/>
  <c r="AE56" i="1"/>
  <c r="AG56" i="1" s="1"/>
  <c r="AE17" i="1"/>
  <c r="AG17" i="1" s="1"/>
  <c r="AE13" i="1"/>
  <c r="AG13" i="1" s="1"/>
  <c r="AE40" i="1"/>
  <c r="AG40" i="1" s="1"/>
  <c r="AG2" i="1"/>
  <c r="AG20" i="1"/>
  <c r="AG61" i="1"/>
  <c r="AG57" i="1"/>
  <c r="AG12" i="1"/>
  <c r="AG25" i="1"/>
  <c r="AG62" i="1"/>
  <c r="AG55" i="1"/>
  <c r="AG8" i="1"/>
  <c r="AC67" i="1"/>
  <c r="AE67" i="1"/>
  <c r="AC24" i="1"/>
  <c r="AE24" i="1"/>
  <c r="AC39" i="1"/>
  <c r="AE39" i="1"/>
  <c r="AC66" i="1"/>
  <c r="AE66" i="1"/>
  <c r="AC45" i="1"/>
  <c r="AE45" i="1"/>
  <c r="AC18" i="1"/>
  <c r="AE18" i="1"/>
  <c r="AC64" i="1"/>
  <c r="AE64" i="1"/>
  <c r="AC76" i="1"/>
  <c r="AE76" i="1"/>
  <c r="AC36" i="1"/>
  <c r="AE36" i="1"/>
  <c r="AC51" i="1"/>
  <c r="AE51" i="1"/>
  <c r="AC26" i="1"/>
  <c r="AE26" i="1"/>
  <c r="AC81" i="1"/>
  <c r="AE81" i="1"/>
  <c r="AC35" i="1"/>
  <c r="AE35" i="1"/>
  <c r="AC27" i="1"/>
  <c r="AE27" i="1"/>
  <c r="AC58" i="1"/>
  <c r="AE58" i="1"/>
  <c r="AC48" i="1"/>
  <c r="AE48" i="1"/>
  <c r="AC11" i="1"/>
  <c r="AE11" i="1"/>
  <c r="AC15" i="1"/>
  <c r="AE15" i="1"/>
  <c r="AC22" i="1"/>
  <c r="AE22" i="1"/>
  <c r="AC16" i="1"/>
  <c r="AE16" i="1"/>
  <c r="AC47" i="1"/>
  <c r="AE47" i="1"/>
  <c r="AC52" i="1"/>
  <c r="AE52" i="1"/>
  <c r="AC21" i="1"/>
  <c r="AE21" i="1"/>
  <c r="AC14" i="1"/>
  <c r="AE14" i="1"/>
  <c r="AC74" i="1"/>
  <c r="AE74" i="1"/>
  <c r="AC5" i="1"/>
  <c r="AE5" i="1"/>
  <c r="AC72" i="1"/>
  <c r="AE72" i="1"/>
  <c r="AC42" i="1"/>
  <c r="AE42" i="1"/>
  <c r="AC68" i="1"/>
  <c r="AE68" i="1"/>
  <c r="AC54" i="1"/>
  <c r="AE54" i="1"/>
  <c r="AC65" i="1"/>
  <c r="AE65" i="1"/>
  <c r="AC4" i="1"/>
  <c r="AE4" i="1"/>
  <c r="AC31" i="1"/>
  <c r="AE31" i="1"/>
  <c r="AC80" i="1"/>
  <c r="AE80" i="1"/>
  <c r="AC44" i="1"/>
  <c r="AE44" i="1"/>
  <c r="AC79" i="1"/>
  <c r="AE79" i="1"/>
  <c r="AC82" i="1"/>
  <c r="AE82" i="1"/>
  <c r="AC77" i="1"/>
  <c r="AE77" i="1"/>
  <c r="AC19" i="1"/>
  <c r="AE19" i="1"/>
  <c r="AC59" i="1"/>
  <c r="AE59" i="1"/>
  <c r="AC49" i="1"/>
  <c r="AE49" i="1"/>
  <c r="AC30" i="1"/>
  <c r="AE30" i="1"/>
  <c r="AC3" i="1"/>
  <c r="AE3" i="1"/>
  <c r="AC9" i="1"/>
  <c r="AE9" i="1"/>
  <c r="AC60" i="1"/>
  <c r="AE60" i="1"/>
  <c r="AC29" i="1"/>
  <c r="AE29" i="1"/>
  <c r="AC41" i="1"/>
  <c r="AE41" i="1"/>
  <c r="AC63" i="1"/>
  <c r="AE63" i="1"/>
  <c r="AC6" i="1"/>
  <c r="AE6" i="1"/>
  <c r="AC10" i="1"/>
  <c r="AE10" i="1"/>
  <c r="AC23" i="1"/>
  <c r="AE23" i="1"/>
  <c r="AC69" i="1"/>
  <c r="AE69" i="1"/>
  <c r="K15" i="4" l="1"/>
  <c r="U15" i="4"/>
  <c r="P15" i="4"/>
  <c r="F17" i="4"/>
  <c r="AG78" i="1"/>
  <c r="AG69" i="1"/>
  <c r="AG23" i="1"/>
  <c r="AG10" i="1"/>
  <c r="AG6" i="1"/>
  <c r="AG63" i="1"/>
  <c r="AG41" i="1"/>
  <c r="AG29" i="1"/>
  <c r="AG60" i="1"/>
  <c r="AG9" i="1"/>
  <c r="AG3" i="1"/>
  <c r="AG30" i="1"/>
  <c r="AG49" i="1"/>
  <c r="AG59" i="1"/>
  <c r="AG19" i="1"/>
  <c r="AG77" i="1"/>
  <c r="AG82" i="1"/>
  <c r="AG79" i="1"/>
  <c r="AG44" i="1"/>
  <c r="AG80" i="1"/>
  <c r="AG31" i="1"/>
  <c r="AG4" i="1"/>
  <c r="AG65" i="1"/>
  <c r="AG54" i="1"/>
  <c r="AG68" i="1"/>
  <c r="AG42" i="1"/>
  <c r="AG72" i="1"/>
  <c r="AG5" i="1"/>
  <c r="AG74" i="1"/>
  <c r="AG14" i="1"/>
  <c r="AG21" i="1"/>
  <c r="AG52" i="1"/>
  <c r="AG47" i="1"/>
  <c r="AG16" i="1"/>
  <c r="AG22" i="1"/>
  <c r="AG15" i="1"/>
  <c r="AG11" i="1"/>
  <c r="AG48" i="1"/>
  <c r="AG58" i="1"/>
  <c r="AG27" i="1"/>
  <c r="AG35" i="1"/>
  <c r="AG81" i="1"/>
  <c r="AG26" i="1"/>
  <c r="AG51" i="1"/>
  <c r="AG36" i="1"/>
  <c r="AG76" i="1"/>
  <c r="AG64" i="1"/>
  <c r="AG18" i="1"/>
  <c r="AG45" i="1"/>
  <c r="AG66" i="1"/>
  <c r="AG39" i="1"/>
  <c r="AG24" i="1"/>
  <c r="AG67" i="1"/>
  <c r="K16" i="4" l="1"/>
  <c r="U16" i="4"/>
  <c r="P16" i="4"/>
  <c r="F18" i="4"/>
  <c r="K17" i="4" l="1"/>
  <c r="U17" i="4"/>
  <c r="P17" i="4"/>
  <c r="F19" i="4"/>
  <c r="K18" i="4" l="1"/>
  <c r="U18" i="4"/>
  <c r="P18" i="4"/>
  <c r="F20" i="4"/>
  <c r="K19" i="4" l="1"/>
  <c r="U19" i="4"/>
  <c r="P19" i="4"/>
  <c r="F21" i="4"/>
  <c r="K20" i="4" l="1"/>
  <c r="U20" i="4"/>
  <c r="P20" i="4"/>
  <c r="F22" i="4"/>
  <c r="K21" i="4" l="1"/>
  <c r="U21" i="4"/>
  <c r="P21" i="4"/>
  <c r="F23" i="4"/>
  <c r="K22" i="4" l="1"/>
  <c r="U22" i="4"/>
  <c r="P22" i="4"/>
  <c r="F24" i="4"/>
  <c r="K23" i="4" l="1"/>
  <c r="U23" i="4"/>
  <c r="P23" i="4"/>
  <c r="F25" i="4"/>
  <c r="K24" i="4" l="1"/>
  <c r="U24" i="4"/>
  <c r="P24" i="4"/>
  <c r="F26" i="4"/>
  <c r="K25" i="4" l="1"/>
  <c r="U25" i="4"/>
  <c r="P25" i="4"/>
  <c r="F27" i="4"/>
  <c r="K26" i="4" l="1"/>
  <c r="U26" i="4"/>
  <c r="P26" i="4"/>
  <c r="F28" i="4"/>
  <c r="K27" i="4" l="1"/>
  <c r="U27" i="4"/>
  <c r="P27" i="4"/>
  <c r="F29" i="4"/>
  <c r="K28" i="4" l="1"/>
  <c r="U28" i="4"/>
  <c r="P28" i="4"/>
  <c r="F30" i="4"/>
  <c r="K29" i="4" l="1"/>
  <c r="U29" i="4"/>
  <c r="P29" i="4"/>
  <c r="F31" i="4"/>
  <c r="K30" i="4" l="1"/>
  <c r="U30" i="4"/>
  <c r="P30" i="4"/>
  <c r="F32" i="4"/>
  <c r="K31" i="4" l="1"/>
  <c r="U31" i="4"/>
  <c r="P31" i="4"/>
  <c r="F33" i="4"/>
  <c r="K32" i="4" l="1"/>
  <c r="U32" i="4"/>
  <c r="P32" i="4"/>
  <c r="F34" i="4"/>
  <c r="K33" i="4" l="1"/>
  <c r="U33" i="4"/>
  <c r="P33" i="4"/>
  <c r="F35" i="4"/>
  <c r="K34" i="4" l="1"/>
  <c r="U34" i="4"/>
  <c r="P34" i="4"/>
  <c r="F36" i="4"/>
  <c r="K35" i="4" l="1"/>
  <c r="U35" i="4"/>
  <c r="P35" i="4"/>
  <c r="F37" i="4"/>
  <c r="K36" i="4" l="1"/>
  <c r="U36" i="4"/>
  <c r="P36" i="4"/>
  <c r="F38" i="4"/>
  <c r="K37" i="4" l="1"/>
  <c r="U37" i="4"/>
  <c r="P37" i="4"/>
  <c r="F39" i="4"/>
  <c r="K38" i="4" l="1"/>
  <c r="U38" i="4"/>
  <c r="P38" i="4"/>
  <c r="F40" i="4"/>
  <c r="K39" i="4" l="1"/>
  <c r="U39" i="4"/>
  <c r="P39" i="4"/>
  <c r="F41" i="4"/>
  <c r="K40" i="4" l="1"/>
  <c r="U40" i="4"/>
  <c r="P40" i="4"/>
  <c r="F42" i="4"/>
  <c r="K41" i="4" l="1"/>
  <c r="U41" i="4"/>
  <c r="P41" i="4"/>
  <c r="F43" i="4"/>
  <c r="K42" i="4" l="1"/>
  <c r="U42" i="4"/>
  <c r="P42" i="4"/>
  <c r="F44" i="4"/>
  <c r="K43" i="4" l="1"/>
  <c r="U43" i="4"/>
  <c r="P43" i="4"/>
  <c r="F45" i="4"/>
  <c r="K44" i="4" l="1"/>
  <c r="U44" i="4"/>
  <c r="P44" i="4"/>
  <c r="F46" i="4"/>
  <c r="K45" i="4" l="1"/>
  <c r="U45" i="4"/>
  <c r="P45" i="4"/>
  <c r="F47" i="4"/>
  <c r="K46" i="4" l="1"/>
  <c r="U46" i="4"/>
  <c r="P46" i="4"/>
  <c r="F48" i="4"/>
  <c r="K47" i="4" l="1"/>
  <c r="U47" i="4"/>
  <c r="P47" i="4"/>
  <c r="F50" i="4"/>
  <c r="F49" i="4"/>
  <c r="K48" i="4" l="1"/>
  <c r="U48" i="4"/>
  <c r="P48" i="4"/>
  <c r="K50" i="4" l="1"/>
  <c r="K49" i="4"/>
  <c r="U50" i="4"/>
  <c r="U49" i="4"/>
  <c r="P50" i="4"/>
  <c r="P49" i="4"/>
</calcChain>
</file>

<file path=xl/sharedStrings.xml><?xml version="1.0" encoding="utf-8"?>
<sst xmlns="http://schemas.openxmlformats.org/spreadsheetml/2006/main" count="1721" uniqueCount="701">
  <si>
    <t>Character</t>
  </si>
  <si>
    <t>STR</t>
  </si>
  <si>
    <t>TECH</t>
  </si>
  <si>
    <t>MAG</t>
  </si>
  <si>
    <t>SPD</t>
  </si>
  <si>
    <t>PROT</t>
  </si>
  <si>
    <t>MDEF</t>
  </si>
  <si>
    <t>LUCK</t>
  </si>
  <si>
    <t>HP</t>
  </si>
  <si>
    <t>SLOT</t>
  </si>
  <si>
    <t>WPN</t>
  </si>
  <si>
    <t>Armor</t>
  </si>
  <si>
    <t>ATK</t>
  </si>
  <si>
    <t>CRIT</t>
  </si>
  <si>
    <t>Lightning</t>
  </si>
  <si>
    <t>CLMY</t>
  </si>
  <si>
    <t>Abizboah</t>
  </si>
  <si>
    <t>None</t>
  </si>
  <si>
    <t>Amada</t>
  </si>
  <si>
    <t>CVM</t>
  </si>
  <si>
    <t>Anita</t>
  </si>
  <si>
    <t>CLSF</t>
  </si>
  <si>
    <t>Ayda</t>
  </si>
  <si>
    <t>CVFY</t>
  </si>
  <si>
    <t>Badeaux</t>
  </si>
  <si>
    <t>EHM</t>
  </si>
  <si>
    <t>Bob</t>
  </si>
  <si>
    <t>Bolgan</t>
  </si>
  <si>
    <t>EHMY</t>
  </si>
  <si>
    <t>Camus</t>
  </si>
  <si>
    <t>ELSM</t>
  </si>
  <si>
    <t>Chaco</t>
  </si>
  <si>
    <t>CVW</t>
  </si>
  <si>
    <t>Chuchara</t>
  </si>
  <si>
    <t>Clive</t>
  </si>
  <si>
    <t>CLM</t>
  </si>
  <si>
    <t>Eilie</t>
  </si>
  <si>
    <t>Feather</t>
  </si>
  <si>
    <t>Flik</t>
  </si>
  <si>
    <t>CLSM</t>
  </si>
  <si>
    <t>Freed Y</t>
  </si>
  <si>
    <t>Futch</t>
  </si>
  <si>
    <t>ELSMY</t>
  </si>
  <si>
    <t>Gabocha</t>
  </si>
  <si>
    <t>CLKY</t>
  </si>
  <si>
    <t>Gadget</t>
  </si>
  <si>
    <t>Gantetsu</t>
  </si>
  <si>
    <t>Gengen</t>
  </si>
  <si>
    <t>ELSKY</t>
  </si>
  <si>
    <t>Genshu</t>
  </si>
  <si>
    <t>Georg</t>
  </si>
  <si>
    <t>Gijimu</t>
  </si>
  <si>
    <t>Hai Yo</t>
  </si>
  <si>
    <t>Hanna</t>
  </si>
  <si>
    <t>ELSF</t>
  </si>
  <si>
    <t>Hauser</t>
  </si>
  <si>
    <t>ELM</t>
  </si>
  <si>
    <t>Hix</t>
  </si>
  <si>
    <t>Exertion</t>
  </si>
  <si>
    <t>Hoi</t>
  </si>
  <si>
    <t>Technique</t>
  </si>
  <si>
    <t>Humphrey</t>
  </si>
  <si>
    <t>Jowy</t>
  </si>
  <si>
    <t>Kahn</t>
  </si>
  <si>
    <t>Magic Drain</t>
  </si>
  <si>
    <t>Karen</t>
  </si>
  <si>
    <t>Sleep</t>
  </si>
  <si>
    <t>CVF</t>
  </si>
  <si>
    <t>Kasumi</t>
  </si>
  <si>
    <t>Killey</t>
  </si>
  <si>
    <t>Kinnison</t>
  </si>
  <si>
    <t>Koyu</t>
  </si>
  <si>
    <t>L.C.Chan</t>
  </si>
  <si>
    <t>Lo Wen</t>
  </si>
  <si>
    <t>ELF</t>
  </si>
  <si>
    <t>Lorelai</t>
  </si>
  <si>
    <t>Luc</t>
  </si>
  <si>
    <t>CRMY</t>
  </si>
  <si>
    <t>Makumaku</t>
  </si>
  <si>
    <t>Mazus</t>
  </si>
  <si>
    <t>CRM</t>
  </si>
  <si>
    <t>McDohl</t>
  </si>
  <si>
    <t>Meg</t>
  </si>
  <si>
    <t>Mekumeku</t>
  </si>
  <si>
    <t>Miklotov</t>
  </si>
  <si>
    <t>Mikumiku</t>
  </si>
  <si>
    <t>Millie</t>
  </si>
  <si>
    <t>Mokumoku</t>
  </si>
  <si>
    <t>Mondo</t>
  </si>
  <si>
    <t>Mukumuku</t>
  </si>
  <si>
    <t>Nanami</t>
  </si>
  <si>
    <t>Nina</t>
  </si>
  <si>
    <t>Oulan</t>
  </si>
  <si>
    <t>Pesmerga</t>
  </si>
  <si>
    <t>Rage</t>
  </si>
  <si>
    <t>EHSM</t>
  </si>
  <si>
    <t>Rikimaru</t>
  </si>
  <si>
    <t>Rina</t>
  </si>
  <si>
    <t>Rulodia</t>
  </si>
  <si>
    <t>Sasuke</t>
  </si>
  <si>
    <t>CVMY</t>
  </si>
  <si>
    <t>Sheena</t>
  </si>
  <si>
    <t>Shilo</t>
  </si>
  <si>
    <t>Shin</t>
  </si>
  <si>
    <t>Shiro</t>
  </si>
  <si>
    <t>Sid</t>
  </si>
  <si>
    <t>Siegfried</t>
  </si>
  <si>
    <t>Sierra</t>
  </si>
  <si>
    <t>Thunder</t>
  </si>
  <si>
    <t>Simone</t>
  </si>
  <si>
    <t>CLN</t>
  </si>
  <si>
    <t>Stallion</t>
  </si>
  <si>
    <t>Tai Ho</t>
  </si>
  <si>
    <t>Tengaar</t>
  </si>
  <si>
    <t>CRF</t>
  </si>
  <si>
    <t>Tomo</t>
  </si>
  <si>
    <t>Tsai</t>
  </si>
  <si>
    <t>Tuta</t>
  </si>
  <si>
    <t>Valeria</t>
  </si>
  <si>
    <t>Viki</t>
  </si>
  <si>
    <t>Viktor</t>
  </si>
  <si>
    <t>Vincent</t>
  </si>
  <si>
    <t>CLSN</t>
  </si>
  <si>
    <t>Wakaba</t>
  </si>
  <si>
    <t>Yoshino</t>
  </si>
  <si>
    <t>Zamza</t>
  </si>
  <si>
    <t>Bow</t>
  </si>
  <si>
    <t>Knight</t>
  </si>
  <si>
    <t>Trick</t>
  </si>
  <si>
    <t>Warrior</t>
  </si>
  <si>
    <t>MAX</t>
  </si>
  <si>
    <t>S</t>
  </si>
  <si>
    <t>A</t>
  </si>
  <si>
    <t>A+</t>
  </si>
  <si>
    <t>B</t>
  </si>
  <si>
    <t>B+</t>
  </si>
  <si>
    <t>C+</t>
  </si>
  <si>
    <t>C</t>
  </si>
  <si>
    <t>D</t>
  </si>
  <si>
    <t>E</t>
  </si>
  <si>
    <t>F</t>
  </si>
  <si>
    <t>Head</t>
  </si>
  <si>
    <t>Type</t>
  </si>
  <si>
    <t>Bright Shield</t>
  </si>
  <si>
    <t>Hero</t>
  </si>
  <si>
    <t>Blue Drop</t>
  </si>
  <si>
    <t>Beast</t>
  </si>
  <si>
    <t>Spear</t>
  </si>
  <si>
    <t>Falcon</t>
  </si>
  <si>
    <t>Sword</t>
  </si>
  <si>
    <t>Howling</t>
  </si>
  <si>
    <t>Other</t>
  </si>
  <si>
    <t>Rabid Fang</t>
  </si>
  <si>
    <t>Fire Breath</t>
  </si>
  <si>
    <t>Claws</t>
  </si>
  <si>
    <t>Darts</t>
  </si>
  <si>
    <t>Shining Wind</t>
  </si>
  <si>
    <t>Rod</t>
  </si>
  <si>
    <t>Swallow</t>
  </si>
  <si>
    <t>Great Sword</t>
  </si>
  <si>
    <t>Axe</t>
  </si>
  <si>
    <t>Black Sword</t>
  </si>
  <si>
    <t>Twin Ring</t>
  </si>
  <si>
    <t>Shrike</t>
  </si>
  <si>
    <t>White Tiger</t>
  </si>
  <si>
    <t>Blue Gate</t>
  </si>
  <si>
    <t>Soul Eater</t>
  </si>
  <si>
    <t>Groundhog</t>
  </si>
  <si>
    <t>Mayfly</t>
  </si>
  <si>
    <t>Angry Dragon</t>
  </si>
  <si>
    <t>Flowing</t>
  </si>
  <si>
    <t>Spider Slay</t>
  </si>
  <si>
    <t>White Saint</t>
  </si>
  <si>
    <t>True Holy</t>
  </si>
  <si>
    <t>Medicine</t>
  </si>
  <si>
    <t>Blinking</t>
  </si>
  <si>
    <t>Zodiac</t>
  </si>
  <si>
    <t>Fire Dragon</t>
  </si>
  <si>
    <t>DMG</t>
  </si>
  <si>
    <t>EQP</t>
  </si>
  <si>
    <t>WPN Rune</t>
  </si>
  <si>
    <t>Right Hand</t>
  </si>
  <si>
    <t>Left Hand</t>
  </si>
  <si>
    <t>DB/DS</t>
  </si>
  <si>
    <t>+ Fury</t>
  </si>
  <si>
    <t xml:space="preserve"> + Killer</t>
  </si>
  <si>
    <t>DMG %</t>
  </si>
  <si>
    <t>+ Killer</t>
  </si>
  <si>
    <t>K/DS/F</t>
  </si>
  <si>
    <t>+Warrior</t>
  </si>
  <si>
    <t>Fire</t>
  </si>
  <si>
    <t>&lt;Riou&gt;</t>
  </si>
  <si>
    <t>RAW</t>
  </si>
  <si>
    <t>ADJ</t>
  </si>
  <si>
    <t>MULT</t>
  </si>
  <si>
    <t>SURV</t>
  </si>
  <si>
    <t xml:space="preserve"> +Gale</t>
  </si>
  <si>
    <t xml:space="preserve"> +Killer</t>
  </si>
  <si>
    <t>Average</t>
  </si>
  <si>
    <t>Riou</t>
  </si>
  <si>
    <t>Stalleon</t>
  </si>
  <si>
    <t>Base</t>
  </si>
  <si>
    <t>Tier 1</t>
  </si>
  <si>
    <t>Tier 2</t>
  </si>
  <si>
    <t>High</t>
  </si>
  <si>
    <t>prob</t>
  </si>
  <si>
    <t>Min</t>
  </si>
  <si>
    <t>Max</t>
  </si>
  <si>
    <t>Level</t>
  </si>
  <si>
    <t>FOREST</t>
  </si>
  <si>
    <t>J+R</t>
  </si>
  <si>
    <t>J+R+T</t>
  </si>
  <si>
    <t>SINDAR</t>
  </si>
  <si>
    <t>MW: 14</t>
  </si>
  <si>
    <t>C: 12</t>
  </si>
  <si>
    <t>J</t>
  </si>
  <si>
    <t>Sala:15</t>
  </si>
  <si>
    <t>NM:13</t>
  </si>
  <si>
    <t>MV:16</t>
  </si>
  <si>
    <t>P6</t>
  </si>
  <si>
    <t>2MW3C</t>
  </si>
  <si>
    <t>5MW</t>
  </si>
  <si>
    <t>4Sala</t>
  </si>
  <si>
    <t>3Sala</t>
  </si>
  <si>
    <t>3NMMV</t>
  </si>
  <si>
    <t>3C</t>
  </si>
  <si>
    <t>2C</t>
  </si>
  <si>
    <t>Bd:5</t>
  </si>
  <si>
    <t>Sn:8</t>
  </si>
  <si>
    <t>5Bd</t>
  </si>
  <si>
    <t>3Sn</t>
  </si>
  <si>
    <t>2Sn</t>
  </si>
  <si>
    <t>Br: 10</t>
  </si>
  <si>
    <t>Sp: 7</t>
  </si>
  <si>
    <t>3Sp</t>
  </si>
  <si>
    <t>5Sp</t>
  </si>
  <si>
    <t>Br</t>
  </si>
  <si>
    <t>Luc: ~140 MAG @ 37</t>
  </si>
  <si>
    <t>Lion Rune to lower MDEF?</t>
  </si>
  <si>
    <t>Wizard Rune also lowers</t>
  </si>
  <si>
    <t>Nanami: 105 MDEF, 322 HP @ 39</t>
  </si>
  <si>
    <t>y=126+(90.5+2.75x)-((151+8.5x)/2+(65.2+1.9x))</t>
  </si>
  <si>
    <t>Nanami vs Luc</t>
  </si>
  <si>
    <t>ex levels</t>
  </si>
  <si>
    <t>growth</t>
  </si>
  <si>
    <t>const</t>
  </si>
  <si>
    <t>mdef growth</t>
  </si>
  <si>
    <t>HP Growth</t>
  </si>
  <si>
    <t>Nanami:</t>
  </si>
  <si>
    <t>Tech</t>
  </si>
  <si>
    <t>Luca</t>
  </si>
  <si>
    <t>Nanami starting:</t>
  </si>
  <si>
    <t>Kyaro guards:</t>
  </si>
  <si>
    <t>lvl4x5/2</t>
  </si>
  <si>
    <t>Muse Battle</t>
  </si>
  <si>
    <t>lvl19x2/2</t>
  </si>
  <si>
    <t>lvl19x3/2</t>
  </si>
  <si>
    <t>lvl19x4/2</t>
  </si>
  <si>
    <t>SDS</t>
  </si>
  <si>
    <t>lvl32x1/6</t>
  </si>
  <si>
    <t>lvl32x6/1</t>
  </si>
  <si>
    <t>Abom</t>
  </si>
  <si>
    <t>lvl34x1/6</t>
  </si>
  <si>
    <t>Pest Rat</t>
  </si>
  <si>
    <t>lvl40x1/2</t>
  </si>
  <si>
    <t>Soldiers</t>
  </si>
  <si>
    <t>lvl32x5+34/2</t>
  </si>
  <si>
    <t>lvl40x1/3</t>
  </si>
  <si>
    <t>lvl32x5+34/3</t>
  </si>
  <si>
    <t>Elves:</t>
  </si>
  <si>
    <t>Muse path:</t>
  </si>
  <si>
    <t>DoReMi Elves</t>
  </si>
  <si>
    <t>lvl33x6/2</t>
  </si>
  <si>
    <t>lvl33x6/5</t>
  </si>
  <si>
    <t>No Muse:</t>
  </si>
  <si>
    <t>Options:</t>
  </si>
  <si>
    <t>Muse x2 battle:</t>
  </si>
  <si>
    <t>Muse x3 battle:</t>
  </si>
  <si>
    <t xml:space="preserve"> -Go through normally, 2 chars on pest rat</t>
  </si>
  <si>
    <t xml:space="preserve"> -ALT: Encounter DoReMi for instant 45, no coronet skip</t>
  </si>
  <si>
    <t xml:space="preserve"> -Look for DoReMi, no coronet skip</t>
  </si>
  <si>
    <t>Muse x4 battle:</t>
  </si>
  <si>
    <t xml:space="preserve"> -Still high level, but not terrible</t>
  </si>
  <si>
    <t>lvl19x3+22/2</t>
  </si>
  <si>
    <t xml:space="preserve"> -Bulk up on Jizos for SDS, Abom, Rat. Take 2 on rat, do coronet skip</t>
  </si>
  <si>
    <t>Elves, no muse:</t>
  </si>
  <si>
    <t>Elves</t>
  </si>
  <si>
    <t xml:space="preserve"> -Hunt DoReMi in Kindness Early w/Circus, coronet skip, take 2 to Rat</t>
  </si>
  <si>
    <t>Luc:</t>
  </si>
  <si>
    <t>Muse pt2</t>
  </si>
  <si>
    <t>lvl36x5/3</t>
  </si>
  <si>
    <t>lvl36x5/2</t>
  </si>
  <si>
    <t>QUESTION:</t>
  </si>
  <si>
    <t>Buff Luc to preserve Violence @ rockaxe, or leave him with lower to not force gregminster?</t>
  </si>
  <si>
    <t>If going to gregminster anyway, why not just get thunder amulet w/ lower level Nanami?</t>
  </si>
  <si>
    <t xml:space="preserve">No muse, Elves route is +20s on battle, then wait until Radat Kiba scene to apply violence. </t>
  </si>
  <si>
    <t>But what about other chars to swap magic on?</t>
  </si>
  <si>
    <t xml:space="preserve">Necessary magic stuff: </t>
  </si>
  <si>
    <t>Riou: Fire after Double Head, Lightning not necessary before Luca (later?)</t>
  </si>
  <si>
    <t>Nanami: Double beat, Violence, Kindness early on</t>
  </si>
  <si>
    <t>Flik: Starts with lightning, only needs lightning</t>
  </si>
  <si>
    <t>Viki: Needs water at some point. Pick up in Sindar/Two River</t>
  </si>
  <si>
    <t>Luc: Needs Lightning, Blue Gate. Lightning bought in SW, Blue Gate from cave. When does Blue Gate go on?</t>
  </si>
  <si>
    <t>Place Blue Gate in Rockaxe?</t>
  </si>
  <si>
    <t>Stallion:  Spark when possible. Not until Tinto?</t>
  </si>
  <si>
    <t>START</t>
  </si>
  <si>
    <t>4+2x3</t>
  </si>
  <si>
    <t>Rabbits</t>
  </si>
  <si>
    <t>Mist</t>
  </si>
  <si>
    <t>Possible Values:</t>
  </si>
  <si>
    <t>Level 6</t>
  </si>
  <si>
    <t>Level 7</t>
  </si>
  <si>
    <t>Level 8</t>
  </si>
  <si>
    <t>End ranges:</t>
  </si>
  <si>
    <t>0-9</t>
  </si>
  <si>
    <t>100-409</t>
  </si>
  <si>
    <t>0-209</t>
  </si>
  <si>
    <t>Level 4</t>
  </si>
  <si>
    <t>Norm</t>
  </si>
  <si>
    <t xml:space="preserve"> +Tsai</t>
  </si>
  <si>
    <t>Exp Range</t>
  </si>
  <si>
    <t>Desired Battle</t>
  </si>
  <si>
    <t>Birdsx5</t>
  </si>
  <si>
    <t>Spiderx3</t>
  </si>
  <si>
    <t>Spiderx5</t>
  </si>
  <si>
    <t>210-432</t>
  </si>
  <si>
    <t>Birdx5</t>
  </si>
  <si>
    <t>433-742</t>
  </si>
  <si>
    <t>Spiderx5+T</t>
  </si>
  <si>
    <t>700-999</t>
  </si>
  <si>
    <t>Level 5</t>
  </si>
  <si>
    <t>0-159</t>
  </si>
  <si>
    <t>160-499</t>
  </si>
  <si>
    <t>500-599</t>
  </si>
  <si>
    <t>600-909</t>
  </si>
  <si>
    <t>Spiderx5 +T</t>
  </si>
  <si>
    <t>750-999</t>
  </si>
  <si>
    <t>10 - 99</t>
  </si>
  <si>
    <t>Birdx5+T or Spiderx5 followed by Birds or Spiderx3</t>
  </si>
  <si>
    <t>500-809</t>
  </si>
  <si>
    <t>810-999</t>
  </si>
  <si>
    <t>0-99</t>
  </si>
  <si>
    <t>Spiderx3 or Birdx5</t>
  </si>
  <si>
    <t>410-709</t>
  </si>
  <si>
    <t>Any</t>
  </si>
  <si>
    <t>EXP</t>
  </si>
  <si>
    <t>Boarx1</t>
  </si>
  <si>
    <t>Snailx2</t>
  </si>
  <si>
    <t>Snailx3</t>
  </si>
  <si>
    <t>Boar</t>
  </si>
  <si>
    <t>710-999</t>
  </si>
  <si>
    <t>H</t>
  </si>
  <si>
    <t>R</t>
  </si>
  <si>
    <t>L</t>
  </si>
  <si>
    <t>Shield</t>
  </si>
  <si>
    <t>Nina?</t>
  </si>
  <si>
    <t>Potentials</t>
  </si>
  <si>
    <t>Slots</t>
  </si>
  <si>
    <t>Mag</t>
  </si>
  <si>
    <t>1*</t>
  </si>
  <si>
    <t>Earth</t>
  </si>
  <si>
    <t>x</t>
  </si>
  <si>
    <t>Beast Rune:</t>
  </si>
  <si>
    <t>Rune:</t>
  </si>
  <si>
    <t>Assuming all people have x1 lvl 4 mp, and luc has x2</t>
  </si>
  <si>
    <t>furious blow x3</t>
  </si>
  <si>
    <t xml:space="preserve">Thor Shot x1 </t>
  </si>
  <si>
    <t>Right Head:</t>
  </si>
  <si>
    <t>Left Head</t>
  </si>
  <si>
    <t>Scorched x4</t>
  </si>
  <si>
    <t>Bone Dragon Options:</t>
  </si>
  <si>
    <t xml:space="preserve">Luc Wind Shredding x2 </t>
  </si>
  <si>
    <t>Stallion Shredding x2</t>
  </si>
  <si>
    <t>Charm Arrow x2 (Kahn)</t>
  </si>
  <si>
    <t>Scorchedx4</t>
  </si>
  <si>
    <t>Do we need Viki???</t>
  </si>
  <si>
    <t>Speed</t>
  </si>
  <si>
    <t>D+</t>
  </si>
  <si>
    <t>Zamza?</t>
  </si>
  <si>
    <t>155+20</t>
  </si>
  <si>
    <t>Fire Emblem?</t>
  </si>
  <si>
    <t>3 Heal</t>
  </si>
  <si>
    <t>Fire Lizard + Violence + Double Beat</t>
  </si>
  <si>
    <t>NOTE: Kill off Riou w/ Fire Lizard?</t>
  </si>
  <si>
    <t>ZAMZA</t>
  </si>
  <si>
    <t>Final Loadout</t>
  </si>
  <si>
    <t>Body</t>
  </si>
  <si>
    <t>Acc1</t>
  </si>
  <si>
    <t>Acc2</t>
  </si>
  <si>
    <t>Acc3</t>
  </si>
  <si>
    <t>Fire Emblem</t>
  </si>
  <si>
    <t>Wind Hat?</t>
  </si>
  <si>
    <t>Thunder Amulet</t>
  </si>
  <si>
    <t>Master Robe</t>
  </si>
  <si>
    <t>Can't equip karate gear, TGG, MG</t>
  </si>
  <si>
    <t>Final Party needs:</t>
  </si>
  <si>
    <t>Rune 1</t>
  </si>
  <si>
    <t>Rune 2</t>
  </si>
  <si>
    <t>Rune 3</t>
  </si>
  <si>
    <t>Wind</t>
  </si>
  <si>
    <t>Water</t>
  </si>
  <si>
    <t>is Wakaba faster than Thunder w/ Stallion?</t>
  </si>
  <si>
    <t>Kindness</t>
  </si>
  <si>
    <t>Friendship</t>
  </si>
  <si>
    <t>Totals</t>
  </si>
  <si>
    <t>4x Lightning</t>
  </si>
  <si>
    <t>2x Water</t>
  </si>
  <si>
    <t>1x Fire</t>
  </si>
  <si>
    <t>Beast Rune Strat</t>
  </si>
  <si>
    <t>Thor</t>
  </si>
  <si>
    <t>Fire D</t>
  </si>
  <si>
    <t>Rune</t>
  </si>
  <si>
    <t>LH</t>
  </si>
  <si>
    <t>RH</t>
  </si>
  <si>
    <t>LW</t>
  </si>
  <si>
    <t>FWn</t>
  </si>
  <si>
    <t>Violence/Double Strike/Double Beat</t>
  </si>
  <si>
    <t>Rina?</t>
  </si>
  <si>
    <t>Sierra?</t>
  </si>
  <si>
    <t>137 tech</t>
  </si>
  <si>
    <t>Sheena Route A:</t>
  </si>
  <si>
    <t>Kill off vs Worm</t>
  </si>
  <si>
    <t>Kill off vs Luca</t>
  </si>
  <si>
    <t>Nanami vs Sierra</t>
  </si>
  <si>
    <t>Nanami vs Golem</t>
  </si>
  <si>
    <t>Nanami vs Neclord</t>
  </si>
  <si>
    <t>Pick up Double-strike</t>
  </si>
  <si>
    <t>Nanami vs Lucia</t>
  </si>
  <si>
    <t>Nanami vs Bone Dragon</t>
  </si>
  <si>
    <t>Viki?</t>
  </si>
  <si>
    <t>Flik*</t>
  </si>
  <si>
    <t>Luc*</t>
  </si>
  <si>
    <t>Rina*</t>
  </si>
  <si>
    <t>Riou*</t>
  </si>
  <si>
    <t>Stallion*?</t>
  </si>
  <si>
    <t>From earlier on… SW?</t>
  </si>
  <si>
    <t>Pick up Earth Shield</t>
  </si>
  <si>
    <t>Sheena vs Lucia</t>
  </si>
  <si>
    <t>Sheena vs S&amp;C</t>
  </si>
  <si>
    <t>Sheena vs BR</t>
  </si>
  <si>
    <t>Sheena Route B:</t>
  </si>
  <si>
    <t>Swap to Sheena @ GH</t>
  </si>
  <si>
    <t>Swap to Sheena @ Tinto, Castle</t>
  </si>
  <si>
    <t>Recruit Jeane</t>
  </si>
  <si>
    <t>Sheena vs Bone Dragon</t>
  </si>
  <si>
    <t>Shin Route:</t>
  </si>
  <si>
    <t>Shin vs Sierra</t>
  </si>
  <si>
    <t>Shin vs Golem</t>
  </si>
  <si>
    <t>Shin vs Neclord</t>
  </si>
  <si>
    <t>Shin vs Lucia</t>
  </si>
  <si>
    <t>Shin vs Bone Dragon</t>
  </si>
  <si>
    <t>Shin vs S&amp;C</t>
  </si>
  <si>
    <t>Shin vs BR</t>
  </si>
  <si>
    <t>Swap to Shin @ Coronet</t>
  </si>
  <si>
    <t>Shin &amp; Sheena Route:</t>
  </si>
  <si>
    <t>Recruit Jeane, remove Violence</t>
  </si>
  <si>
    <t>B2</t>
  </si>
  <si>
    <t>DOG</t>
  </si>
  <si>
    <t>Abomination</t>
  </si>
  <si>
    <t>Explosion</t>
  </si>
  <si>
    <t>Fire Wall</t>
  </si>
  <si>
    <t>Charm Arrow</t>
  </si>
  <si>
    <t>Attack</t>
  </si>
  <si>
    <t>Freed</t>
  </si>
  <si>
    <t>Pick up from Cave of Wind</t>
  </si>
  <si>
    <t>MONEY</t>
  </si>
  <si>
    <t>2900 after Muse</t>
  </si>
  <si>
    <t>FINAL RUNE ROUNDUP</t>
  </si>
  <si>
    <t>Fire*</t>
  </si>
  <si>
    <t>Darkness</t>
  </si>
  <si>
    <t>M Earth</t>
  </si>
  <si>
    <t>Wind*</t>
  </si>
  <si>
    <t>TALLY</t>
  </si>
  <si>
    <t>Earth:</t>
  </si>
  <si>
    <t>Bone Dragon team:</t>
  </si>
  <si>
    <t>Sheena?</t>
  </si>
  <si>
    <t>Add Rage</t>
  </si>
  <si>
    <t>Add Earth</t>
  </si>
  <si>
    <t>Take Earth</t>
  </si>
  <si>
    <t>Add M Earth, Water</t>
  </si>
  <si>
    <t>Buy early</t>
  </si>
  <si>
    <t>buy in Muse</t>
  </si>
  <si>
    <t>take from sheena</t>
  </si>
  <si>
    <t>one in Neclord's castle…</t>
  </si>
  <si>
    <t>buy one in Two River, pick one up in Sindar</t>
  </si>
  <si>
    <t>no earth</t>
  </si>
  <si>
    <t>elves</t>
  </si>
  <si>
    <t>Lakewest sells Jizos…</t>
  </si>
  <si>
    <t>Two River also</t>
  </si>
  <si>
    <t>Muse sells Jizos</t>
  </si>
  <si>
    <t>Preserve Jizo in Sindar</t>
  </si>
  <si>
    <t>Lightningx2</t>
  </si>
  <si>
    <t>Jizo at Lakewest</t>
  </si>
  <si>
    <t>Golem</t>
  </si>
  <si>
    <t>Neclord</t>
  </si>
  <si>
    <t>Lucia</t>
  </si>
  <si>
    <t>Bone Dragon</t>
  </si>
  <si>
    <t>Gas = strength</t>
  </si>
  <si>
    <t>Charge = strength*1.2</t>
  </si>
  <si>
    <t>Ceiling = strength*1.1</t>
  </si>
  <si>
    <t>Cave Cash</t>
  </si>
  <si>
    <t>or buy 2 in TR during Matilda</t>
  </si>
  <si>
    <t>Stallion?</t>
  </si>
  <si>
    <t>Wind B</t>
  </si>
  <si>
    <t>Wind A</t>
  </si>
  <si>
    <t>*</t>
  </si>
  <si>
    <t>coronet</t>
  </si>
  <si>
    <t>Chinchirorin</t>
  </si>
  <si>
    <t>1st</t>
  </si>
  <si>
    <t>2nd</t>
  </si>
  <si>
    <t>3rd</t>
  </si>
  <si>
    <t>Buy Lightningx2, Violence</t>
  </si>
  <si>
    <t>Cave Cash + Abom</t>
  </si>
  <si>
    <t>Shu</t>
  </si>
  <si>
    <t>Violence+Lightning</t>
  </si>
  <si>
    <t>12800 or more needed after coronet needed for 1-cycle Rune Shop</t>
  </si>
  <si>
    <t>Karate Gear</t>
  </si>
  <si>
    <t>DOUBLE BEATTTTTT</t>
  </si>
  <si>
    <t>Rabbitsx6</t>
  </si>
  <si>
    <t>R3,W3</t>
  </si>
  <si>
    <t>DOUBLE BEAT SAVINGS</t>
  </si>
  <si>
    <t>Check on Abom Strategies wrt SPD</t>
  </si>
  <si>
    <t>JOWY</t>
  </si>
  <si>
    <t>Buy Jizos x2</t>
  </si>
  <si>
    <t>Buy Wind</t>
  </si>
  <si>
    <t>level 27</t>
  </si>
  <si>
    <t>level 25</t>
  </si>
  <si>
    <t>level</t>
  </si>
  <si>
    <t>Proportion</t>
  </si>
  <si>
    <t>Killed</t>
  </si>
  <si>
    <t>Nanami 25</t>
  </si>
  <si>
    <t>HP Left</t>
  </si>
  <si>
    <t>Bonaparte</t>
  </si>
  <si>
    <t>L (F)</t>
  </si>
  <si>
    <t>Party</t>
  </si>
  <si>
    <t>Riou: 4, 630</t>
  </si>
  <si>
    <t>Jowy: 4, 200</t>
  </si>
  <si>
    <t>Best bets:</t>
  </si>
  <si>
    <t>Members</t>
  </si>
  <si>
    <t>Spi3</t>
  </si>
  <si>
    <t>RJ</t>
  </si>
  <si>
    <t>Sna2</t>
  </si>
  <si>
    <t>Bird5</t>
  </si>
  <si>
    <t>RJT</t>
  </si>
  <si>
    <t>3,5</t>
  </si>
  <si>
    <t>Spi5</t>
  </si>
  <si>
    <t>Sna3</t>
  </si>
  <si>
    <t>8,7</t>
  </si>
  <si>
    <t>S&amp;K can join during Millie…</t>
  </si>
  <si>
    <t>Bon won't attack Millie</t>
  </si>
  <si>
    <t>Can Millie join before Tsai, go through events with Tsai?</t>
  </si>
  <si>
    <t>Can Millie be given items?</t>
  </si>
  <si>
    <t>Post Mist North Sparrow</t>
  </si>
  <si>
    <t>3x Bandit</t>
  </si>
  <si>
    <t>5x Wolf</t>
  </si>
  <si>
    <t>6x Bee</t>
  </si>
  <si>
    <t>3x Wolf, 3x Rabbit</t>
  </si>
  <si>
    <t>3x Wolf</t>
  </si>
  <si>
    <t>6x Bandit</t>
  </si>
  <si>
    <t>6x rabbit</t>
  </si>
  <si>
    <t>5x BonBon</t>
  </si>
  <si>
    <t>No Millie available pre-tsai</t>
  </si>
  <si>
    <t>All items swappable on Millie</t>
  </si>
  <si>
    <t>400 dmg with Fire Wall</t>
  </si>
  <si>
    <t>Maybe get pre-Pilika?</t>
  </si>
  <si>
    <t>Bandits</t>
  </si>
  <si>
    <t>BonBon</t>
  </si>
  <si>
    <t>Rabbit</t>
  </si>
  <si>
    <t>Bee</t>
  </si>
  <si>
    <t>Wolf</t>
  </si>
  <si>
    <t>Post-Mist Fort area</t>
  </si>
  <si>
    <t>3x ShadowDog</t>
  </si>
  <si>
    <t>3x Bonbon</t>
  </si>
  <si>
    <t>3x Wood</t>
  </si>
  <si>
    <t>4x Wood</t>
  </si>
  <si>
    <t>2x ShadowDog</t>
  </si>
  <si>
    <t>3x Wood, 3xBon</t>
  </si>
  <si>
    <t>Muse AREA</t>
  </si>
  <si>
    <t>sickle</t>
  </si>
  <si>
    <t>spider</t>
  </si>
  <si>
    <t>wood</t>
  </si>
  <si>
    <t>shadow</t>
  </si>
  <si>
    <t>bonbon</t>
  </si>
  <si>
    <t>1xsickle</t>
  </si>
  <si>
    <t>3xsickle</t>
  </si>
  <si>
    <t>North Sparrow+</t>
  </si>
  <si>
    <t>Sp3</t>
  </si>
  <si>
    <t>3xspi</t>
  </si>
  <si>
    <t>2xsickle</t>
  </si>
  <si>
    <t>KSpi3</t>
  </si>
  <si>
    <t>Sickle`</t>
  </si>
  <si>
    <t>3xKSpi</t>
  </si>
  <si>
    <t>3xShadow</t>
  </si>
  <si>
    <t>Only Mega Medicine RF at Ryube</t>
  </si>
  <si>
    <t>Riou + MM</t>
  </si>
  <si>
    <t>no MukuMuku on return from Kyaro</t>
  </si>
  <si>
    <t>new plan:</t>
  </si>
  <si>
    <t>Rikimaru doesn't join after recruiting</t>
  </si>
  <si>
    <t>K&amp;S</t>
  </si>
  <si>
    <t>Jowy FA</t>
  </si>
  <si>
    <t>Jowy FW</t>
  </si>
  <si>
    <t>MILLIE DIFFERENCES:</t>
  </si>
  <si>
    <t>Time from first battle:</t>
  </si>
  <si>
    <t>Time from second battle:</t>
  </si>
  <si>
    <t>Time to kill Bon early:</t>
  </si>
  <si>
    <t>Time to kill Bon later:</t>
  </si>
  <si>
    <t>Time to get Sid:</t>
  </si>
  <si>
    <t>Time spent traveling to/from locations for H&amp;T:</t>
  </si>
  <si>
    <t>Time spent just going to Kobold initially:</t>
  </si>
  <si>
    <t>actual:</t>
  </si>
  <si>
    <t>guess:</t>
  </si>
  <si>
    <t>Soldier Savings:</t>
  </si>
  <si>
    <t>To get Millie during Shu:</t>
  </si>
  <si>
    <t>radat -&gt; Ryube</t>
  </si>
  <si>
    <t>Ryube-&gt; Fort</t>
  </si>
  <si>
    <t>Fort-&gt;Toto</t>
  </si>
  <si>
    <t>Toto-&gt;Radat</t>
  </si>
  <si>
    <t>M+T during Shu:</t>
  </si>
  <si>
    <t>Trip to attach rune + sell stuff:</t>
  </si>
  <si>
    <t>Vase:</t>
  </si>
  <si>
    <t>Just Millie:</t>
  </si>
  <si>
    <t>Lakewest -&gt; Kobold</t>
  </si>
  <si>
    <t>Kobold -&gt; TR</t>
  </si>
  <si>
    <t>Lakewest -&gt; TR</t>
  </si>
  <si>
    <t>Lakewest Enter -&gt; WM Boat</t>
  </si>
  <si>
    <t>Boat -&gt; Viki</t>
  </si>
  <si>
    <t>Boat -&gt; Kuskus</t>
  </si>
  <si>
    <t>Boat -&gt; Kuskus WM</t>
  </si>
  <si>
    <t>Kuskus -&gt; SW</t>
  </si>
  <si>
    <t>Kuskus-&gt;Radat</t>
  </si>
  <si>
    <t>Radat-&gt;SW</t>
  </si>
  <si>
    <t>SW-&gt;Castle</t>
  </si>
  <si>
    <t>Castle-&gt;Cave</t>
  </si>
  <si>
    <t>Castle-&gt;Kuskus</t>
  </si>
  <si>
    <t>Kuskus Entr -&gt; WM Boat</t>
  </si>
  <si>
    <t>Castle Entr -&gt; WM Boat</t>
  </si>
  <si>
    <t>Castle-&gt;Radat</t>
  </si>
  <si>
    <t>No Stallion travel table</t>
  </si>
  <si>
    <t>TR -&gt; Forest</t>
  </si>
  <si>
    <t>Forest Entr-&gt;Exit</t>
  </si>
  <si>
    <t>Forest -&gt; Rockaxe</t>
  </si>
  <si>
    <t>Rockaxe-&gt;Highway</t>
  </si>
  <si>
    <t>Highway-&gt;Border</t>
  </si>
  <si>
    <t>Border-&gt;Muse</t>
  </si>
  <si>
    <t>Muse -&gt;Toto</t>
  </si>
  <si>
    <t>Rockaxe-&gt;Border</t>
  </si>
  <si>
    <t>PATHS:</t>
  </si>
  <si>
    <t>Matilda, Viki for Stallion, H&amp;T</t>
  </si>
  <si>
    <t>Boat-&gt;Castle</t>
  </si>
  <si>
    <t>Swap recruits + get to Viki</t>
  </si>
  <si>
    <t>Castle Entr-&gt;Viki</t>
  </si>
  <si>
    <t>H&amp;T Start</t>
  </si>
  <si>
    <t>Stallion after GH</t>
  </si>
  <si>
    <t>After GH Mission</t>
  </si>
  <si>
    <t>Initial Kobold diff</t>
  </si>
  <si>
    <t>Get Viki</t>
  </si>
  <si>
    <t>Cave</t>
  </si>
  <si>
    <t>TR</t>
  </si>
  <si>
    <t>Matilda</t>
  </si>
  <si>
    <t>With Mirror</t>
  </si>
  <si>
    <t>SW 1</t>
  </si>
  <si>
    <t>Side trip to Kobold</t>
  </si>
  <si>
    <t>Get to Spot and out</t>
  </si>
  <si>
    <t>Initial Kobold</t>
  </si>
  <si>
    <t>SW early</t>
  </si>
  <si>
    <t>TP Kobold</t>
  </si>
  <si>
    <t>TP Castle, Kobold</t>
  </si>
  <si>
    <t>TP Castle, Cave</t>
  </si>
  <si>
    <t>Get to spot and out</t>
  </si>
  <si>
    <t>Stallion saves</t>
  </si>
  <si>
    <t>Costs for Radat early:</t>
  </si>
  <si>
    <t>Stallion after GH via Radat Early</t>
  </si>
  <si>
    <t>Stallion after Viki</t>
  </si>
  <si>
    <t>Costs for Stallion late:</t>
  </si>
  <si>
    <t>With Mirror during Tinto</t>
  </si>
  <si>
    <t>Templton</t>
  </si>
  <si>
    <t>Benefits of later Forest:</t>
  </si>
  <si>
    <t>1 Trip, not 2</t>
  </si>
  <si>
    <t>no return time needed</t>
  </si>
  <si>
    <t>Penalties: no trade opportunity</t>
  </si>
  <si>
    <t>need Yoshino</t>
  </si>
  <si>
    <t>TR-&gt;For</t>
  </si>
  <si>
    <t>TP to Castle</t>
  </si>
  <si>
    <t>TP to Radat</t>
  </si>
  <si>
    <t>Get Yoshino too</t>
  </si>
  <si>
    <t>Boat to LW</t>
  </si>
  <si>
    <t>TP via Adlai</t>
  </si>
  <si>
    <t>to Viki</t>
  </si>
  <si>
    <t>Cave -&gt; Castle</t>
  </si>
  <si>
    <t>swap chars</t>
  </si>
  <si>
    <t>TP to Kobold</t>
  </si>
  <si>
    <t>Kobold-&gt;LW</t>
  </si>
  <si>
    <t>to boat</t>
  </si>
  <si>
    <t>to castle</t>
  </si>
  <si>
    <t>Kobold-&gt;TR</t>
  </si>
  <si>
    <t>TR-&gt;Kobold</t>
  </si>
  <si>
    <t>Matilda backdoor</t>
  </si>
  <si>
    <t>Forest later</t>
  </si>
  <si>
    <t>is LCC there during initial Tinto?</t>
  </si>
  <si>
    <t>Recruit all at once</t>
  </si>
  <si>
    <t>Whole quest pre-Viki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</si>
</sst>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ont="1" applyFill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0" fontId="3" fillId="11" borderId="0" xfId="1"/>
    <xf numFmtId="0" fontId="0" fillId="0" borderId="0" xfId="0" applyAlignment="1">
      <alignment horizontal="center"/>
    </xf>
    <xf numFmtId="20" fontId="0" fillId="0" borderId="0" xfId="0" applyNumberFormat="1"/>
  </cellXfs>
  <cellStyles count="2">
    <cellStyle name="Neutral" xfId="1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43379683922497E-2"/>
          <c:y val="4.1894547354242591E-2"/>
          <c:w val="0.79227662366672247"/>
          <c:h val="0.88439912636819673"/>
        </c:manualLayout>
      </c:layout>
      <c:scatterChart>
        <c:scatterStyle val="smoothMarker"/>
        <c:varyColors val="0"/>
        <c:ser>
          <c:idx val="0"/>
          <c:order val="0"/>
          <c:tx>
            <c:v>Nanami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Sheet3!$C$10:$C$50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Sheet3!$F$10:$F$50</c:f>
              <c:numCache>
                <c:formatCode>General</c:formatCode>
                <c:ptCount val="41"/>
                <c:pt idx="0">
                  <c:v>1.2771217712177123</c:v>
                </c:pt>
                <c:pt idx="1">
                  <c:v>1.2076388888888889</c:v>
                </c:pt>
                <c:pt idx="2">
                  <c:v>1.1459016393442623</c:v>
                </c:pt>
                <c:pt idx="3">
                  <c:v>1.0906832298136646</c:v>
                </c:pt>
                <c:pt idx="4">
                  <c:v>1.0410029498525073</c:v>
                </c:pt>
                <c:pt idx="5">
                  <c:v>0.99606741573033697</c:v>
                </c:pt>
                <c:pt idx="6">
                  <c:v>0.95522788203753339</c:v>
                </c:pt>
                <c:pt idx="7">
                  <c:v>0.9179487179487178</c:v>
                </c:pt>
                <c:pt idx="8">
                  <c:v>0.88378378378378364</c:v>
                </c:pt>
                <c:pt idx="9">
                  <c:v>0.85235849056603752</c:v>
                </c:pt>
                <c:pt idx="10">
                  <c:v>0.8233560090702946</c:v>
                </c:pt>
                <c:pt idx="11">
                  <c:v>0.79650655021834038</c:v>
                </c:pt>
                <c:pt idx="12">
                  <c:v>0.77157894736842081</c:v>
                </c:pt>
                <c:pt idx="13">
                  <c:v>0.7483739837398371</c:v>
                </c:pt>
                <c:pt idx="14">
                  <c:v>0.72671905697445949</c:v>
                </c:pt>
                <c:pt idx="15">
                  <c:v>0.70646387832699586</c:v>
                </c:pt>
                <c:pt idx="16">
                  <c:v>0.68747697974217281</c:v>
                </c:pt>
                <c:pt idx="17">
                  <c:v>0.66964285714285687</c:v>
                </c:pt>
                <c:pt idx="18">
                  <c:v>0.65285961871750398</c:v>
                </c:pt>
                <c:pt idx="19">
                  <c:v>0.63703703703703674</c:v>
                </c:pt>
                <c:pt idx="20">
                  <c:v>0.62209492635024521</c:v>
                </c:pt>
                <c:pt idx="21">
                  <c:v>0.60796178343949014</c:v>
                </c:pt>
                <c:pt idx="22">
                  <c:v>0.59457364341085239</c:v>
                </c:pt>
                <c:pt idx="23">
                  <c:v>0.58187311178247703</c:v>
                </c:pt>
                <c:pt idx="24">
                  <c:v>0.56980854197349007</c:v>
                </c:pt>
                <c:pt idx="25">
                  <c:v>0.5583333333333329</c:v>
                </c:pt>
                <c:pt idx="26">
                  <c:v>0.54740532959326749</c:v>
                </c:pt>
                <c:pt idx="27">
                  <c:v>0.53698630136986258</c:v>
                </c:pt>
                <c:pt idx="28">
                  <c:v>0.52704149933065558</c:v>
                </c:pt>
                <c:pt idx="29">
                  <c:v>0.51753926701570641</c:v>
                </c:pt>
                <c:pt idx="30">
                  <c:v>0.50845070422535166</c:v>
                </c:pt>
                <c:pt idx="31">
                  <c:v>0.49974937343358355</c:v>
                </c:pt>
                <c:pt idx="32">
                  <c:v>0.49141104294478488</c:v>
                </c:pt>
                <c:pt idx="33">
                  <c:v>0.4834134615384611</c:v>
                </c:pt>
                <c:pt idx="34">
                  <c:v>0.4757361601884566</c:v>
                </c:pt>
                <c:pt idx="35">
                  <c:v>0.46836027713625822</c:v>
                </c:pt>
                <c:pt idx="36">
                  <c:v>0.46126840317100748</c:v>
                </c:pt>
                <c:pt idx="37">
                  <c:v>0.45444444444444398</c:v>
                </c:pt>
                <c:pt idx="38">
                  <c:v>0.44787350054525582</c:v>
                </c:pt>
                <c:pt idx="39">
                  <c:v>0.44154175588865052</c:v>
                </c:pt>
                <c:pt idx="40">
                  <c:v>0.4354363827549943</c:v>
                </c:pt>
              </c:numCache>
            </c:numRef>
          </c:yVal>
          <c:smooth val="1"/>
        </c:ser>
        <c:ser>
          <c:idx val="1"/>
          <c:order val="1"/>
          <c:tx>
            <c:v>Nanami+1</c:v>
          </c:tx>
          <c:marker>
            <c:symbol val="none"/>
          </c:marker>
          <c:xVal>
            <c:numRef>
              <c:f>Sheet3!$M$10:$M$50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Sheet3!$P$10:$P$50</c:f>
              <c:numCache>
                <c:formatCode>General</c:formatCode>
                <c:ptCount val="41"/>
                <c:pt idx="0">
                  <c:v>1.0432601880877743</c:v>
                </c:pt>
                <c:pt idx="1">
                  <c:v>0.9955357142857143</c:v>
                </c:pt>
                <c:pt idx="2">
                  <c:v>0.95240793201133145</c:v>
                </c:pt>
                <c:pt idx="3">
                  <c:v>0.91324324324324313</c:v>
                </c:pt>
                <c:pt idx="4">
                  <c:v>0.8775193798449612</c:v>
                </c:pt>
                <c:pt idx="5">
                  <c:v>0.84480198019801966</c:v>
                </c:pt>
                <c:pt idx="6">
                  <c:v>0.81472684085510672</c:v>
                </c:pt>
                <c:pt idx="7">
                  <c:v>0.78698630136986281</c:v>
                </c:pt>
                <c:pt idx="8">
                  <c:v>0.76131868131868119</c:v>
                </c:pt>
                <c:pt idx="9">
                  <c:v>0.73749999999999982</c:v>
                </c:pt>
                <c:pt idx="10">
                  <c:v>0.71533742331288319</c:v>
                </c:pt>
                <c:pt idx="11">
                  <c:v>0.69466403162055312</c:v>
                </c:pt>
                <c:pt idx="12">
                  <c:v>0.67533460803059253</c:v>
                </c:pt>
                <c:pt idx="13">
                  <c:v>0.65722222222222193</c:v>
                </c:pt>
                <c:pt idx="14">
                  <c:v>0.64021543985637319</c:v>
                </c:pt>
                <c:pt idx="15">
                  <c:v>0.62421602787456421</c:v>
                </c:pt>
                <c:pt idx="16">
                  <c:v>0.60913705583756317</c:v>
                </c:pt>
                <c:pt idx="17">
                  <c:v>0.59490131578947336</c:v>
                </c:pt>
                <c:pt idx="18">
                  <c:v>0.58143999999999973</c:v>
                </c:pt>
                <c:pt idx="19">
                  <c:v>0.56869158878504644</c:v>
                </c:pt>
                <c:pt idx="20">
                  <c:v>0.55660091047040938</c:v>
                </c:pt>
                <c:pt idx="21">
                  <c:v>0.54511834319526598</c:v>
                </c:pt>
                <c:pt idx="22">
                  <c:v>0.5341991341991339</c:v>
                </c:pt>
                <c:pt idx="23">
                  <c:v>0.52380281690140806</c:v>
                </c:pt>
                <c:pt idx="24">
                  <c:v>0.51389270976616197</c:v>
                </c:pt>
                <c:pt idx="25">
                  <c:v>0.50443548387096737</c:v>
                </c:pt>
                <c:pt idx="26">
                  <c:v>0.49540078843626767</c:v>
                </c:pt>
                <c:pt idx="27">
                  <c:v>0.4867609254498711</c:v>
                </c:pt>
                <c:pt idx="28">
                  <c:v>0.47849056603773549</c:v>
                </c:pt>
                <c:pt idx="29">
                  <c:v>0.47056650246305382</c:v>
                </c:pt>
                <c:pt idx="30">
                  <c:v>0.46296743063932411</c:v>
                </c:pt>
                <c:pt idx="31">
                  <c:v>0.4556737588652478</c:v>
                </c:pt>
                <c:pt idx="32">
                  <c:v>0.44866743916570062</c:v>
                </c:pt>
                <c:pt idx="33">
                  <c:v>0.44193181818181776</c:v>
                </c:pt>
                <c:pt idx="34">
                  <c:v>0.43545150501672197</c:v>
                </c:pt>
                <c:pt idx="35">
                  <c:v>0.42921225382932127</c:v>
                </c:pt>
                <c:pt idx="36">
                  <c:v>0.42320085929108442</c:v>
                </c:pt>
                <c:pt idx="37">
                  <c:v>0.4174050632911388</c:v>
                </c:pt>
                <c:pt idx="38">
                  <c:v>0.41181347150259023</c:v>
                </c:pt>
                <c:pt idx="39">
                  <c:v>0.40641547861507082</c:v>
                </c:pt>
                <c:pt idx="40">
                  <c:v>0.40120120120120073</c:v>
                </c:pt>
              </c:numCache>
            </c:numRef>
          </c:yVal>
          <c:smooth val="1"/>
        </c:ser>
        <c:ser>
          <c:idx val="2"/>
          <c:order val="2"/>
          <c:tx>
            <c:v>Nanami+2</c:v>
          </c:tx>
          <c:marker>
            <c:symbol val="none"/>
          </c:marker>
          <c:xVal>
            <c:numRef>
              <c:f>Sheet3!$R$10:$R$50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Sheet3!$U$10:$U$50</c:f>
              <c:numCache>
                <c:formatCode>General</c:formatCode>
                <c:ptCount val="41"/>
                <c:pt idx="0">
                  <c:v>0.96726190476190477</c:v>
                </c:pt>
                <c:pt idx="1">
                  <c:v>0.92549575070821521</c:v>
                </c:pt>
                <c:pt idx="2">
                  <c:v>0.88756756756756749</c:v>
                </c:pt>
                <c:pt idx="3">
                  <c:v>0.85297157622739006</c:v>
                </c:pt>
                <c:pt idx="4">
                  <c:v>0.82128712871287113</c:v>
                </c:pt>
                <c:pt idx="5">
                  <c:v>0.79216152019002362</c:v>
                </c:pt>
                <c:pt idx="6">
                  <c:v>0.76529680365296793</c:v>
                </c:pt>
                <c:pt idx="7">
                  <c:v>0.74043956043956027</c:v>
                </c:pt>
                <c:pt idx="8">
                  <c:v>0.71737288135593202</c:v>
                </c:pt>
                <c:pt idx="9">
                  <c:v>0.69591002044989758</c:v>
                </c:pt>
                <c:pt idx="10">
                  <c:v>0.67588932806324087</c:v>
                </c:pt>
                <c:pt idx="11">
                  <c:v>0.65717017208412976</c:v>
                </c:pt>
                <c:pt idx="12">
                  <c:v>0.63962962962962933</c:v>
                </c:pt>
                <c:pt idx="13">
                  <c:v>0.62315978456014331</c:v>
                </c:pt>
                <c:pt idx="14">
                  <c:v>0.60766550522648055</c:v>
                </c:pt>
                <c:pt idx="15">
                  <c:v>0.59306260575296077</c:v>
                </c:pt>
                <c:pt idx="16">
                  <c:v>0.57927631578947336</c:v>
                </c:pt>
                <c:pt idx="17">
                  <c:v>0.56623999999999974</c:v>
                </c:pt>
                <c:pt idx="18">
                  <c:v>0.55389408099688442</c:v>
                </c:pt>
                <c:pt idx="19">
                  <c:v>0.54218512898330773</c:v>
                </c:pt>
                <c:pt idx="20">
                  <c:v>0.53106508875739611</c:v>
                </c:pt>
                <c:pt idx="21">
                  <c:v>0.52049062049062012</c:v>
                </c:pt>
                <c:pt idx="22">
                  <c:v>0.51042253521126724</c:v>
                </c:pt>
                <c:pt idx="23">
                  <c:v>0.50082530949105875</c:v>
                </c:pt>
                <c:pt idx="24">
                  <c:v>0.49166666666666631</c:v>
                </c:pt>
                <c:pt idx="25">
                  <c:v>0.48291721419185246</c:v>
                </c:pt>
                <c:pt idx="26">
                  <c:v>0.47455012853470396</c:v>
                </c:pt>
                <c:pt idx="27">
                  <c:v>0.4665408805031443</c:v>
                </c:pt>
                <c:pt idx="28">
                  <c:v>0.45886699507389123</c:v>
                </c:pt>
                <c:pt idx="29">
                  <c:v>0.45150784077201406</c:v>
                </c:pt>
                <c:pt idx="30">
                  <c:v>0.44444444444444403</c:v>
                </c:pt>
                <c:pt idx="31">
                  <c:v>0.43765932792583967</c:v>
                </c:pt>
                <c:pt idx="32">
                  <c:v>0.43113636363636321</c:v>
                </c:pt>
                <c:pt idx="33">
                  <c:v>0.42486064659977663</c:v>
                </c:pt>
                <c:pt idx="34">
                  <c:v>0.41881838074398209</c:v>
                </c:pt>
                <c:pt idx="35">
                  <c:v>0.41299677765843135</c:v>
                </c:pt>
                <c:pt idx="36">
                  <c:v>0.40738396624472528</c:v>
                </c:pt>
                <c:pt idx="37">
                  <c:v>0.40196891191709799</c:v>
                </c:pt>
                <c:pt idx="38">
                  <c:v>0.39674134419551893</c:v>
                </c:pt>
                <c:pt idx="39">
                  <c:v>0.39169169169169127</c:v>
                </c:pt>
                <c:pt idx="40">
                  <c:v>0.38681102362204678</c:v>
                </c:pt>
              </c:numCache>
            </c:numRef>
          </c:yVal>
          <c:smooth val="1"/>
        </c:ser>
        <c:ser>
          <c:idx val="3"/>
          <c:order val="3"/>
          <c:tx>
            <c:v>Nanami-1</c:v>
          </c:tx>
          <c:marker>
            <c:symbol val="none"/>
          </c:marker>
          <c:xVal>
            <c:numRef>
              <c:f>Sheet3!$H$10:$H$50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Sheet3!$K$10:$K$50</c:f>
              <c:numCache>
                <c:formatCode>General</c:formatCode>
                <c:ptCount val="41"/>
                <c:pt idx="0">
                  <c:v>1.1803508771929825</c:v>
                </c:pt>
                <c:pt idx="1">
                  <c:v>1.1195364238410597</c:v>
                </c:pt>
                <c:pt idx="2">
                  <c:v>1.0652037617554859</c:v>
                </c:pt>
                <c:pt idx="3">
                  <c:v>1.0163690476190477</c:v>
                </c:pt>
                <c:pt idx="4">
                  <c:v>0.97223796033994336</c:v>
                </c:pt>
                <c:pt idx="5">
                  <c:v>0.93216216216216208</c:v>
                </c:pt>
                <c:pt idx="6">
                  <c:v>0.89560723514211882</c:v>
                </c:pt>
                <c:pt idx="7">
                  <c:v>0.86212871287128701</c:v>
                </c:pt>
                <c:pt idx="8">
                  <c:v>0.83135391923990487</c:v>
                </c:pt>
                <c:pt idx="9">
                  <c:v>0.80296803652968018</c:v>
                </c:pt>
                <c:pt idx="10">
                  <c:v>0.77670329670329652</c:v>
                </c:pt>
                <c:pt idx="11">
                  <c:v>0.75233050847457605</c:v>
                </c:pt>
                <c:pt idx="12">
                  <c:v>0.72965235173824106</c:v>
                </c:pt>
                <c:pt idx="13">
                  <c:v>0.70849802371541482</c:v>
                </c:pt>
                <c:pt idx="14">
                  <c:v>0.68871892925430189</c:v>
                </c:pt>
                <c:pt idx="15">
                  <c:v>0.67018518518518488</c:v>
                </c:pt>
                <c:pt idx="16">
                  <c:v>0.65278276481148989</c:v>
                </c:pt>
                <c:pt idx="17">
                  <c:v>0.63641114982578373</c:v>
                </c:pt>
                <c:pt idx="18">
                  <c:v>0.62098138747884912</c:v>
                </c:pt>
                <c:pt idx="19">
                  <c:v>0.6064144736842102</c:v>
                </c:pt>
                <c:pt idx="20">
                  <c:v>0.59263999999999972</c:v>
                </c:pt>
                <c:pt idx="21">
                  <c:v>0.57959501557632365</c:v>
                </c:pt>
                <c:pt idx="22">
                  <c:v>0.56722306525037902</c:v>
                </c:pt>
                <c:pt idx="23">
                  <c:v>0.55547337278106479</c:v>
                </c:pt>
                <c:pt idx="24">
                  <c:v>0.54430014430014395</c:v>
                </c:pt>
                <c:pt idx="25">
                  <c:v>0.53366197183098552</c:v>
                </c:pt>
                <c:pt idx="26">
                  <c:v>0.52352132049518529</c:v>
                </c:pt>
                <c:pt idx="27">
                  <c:v>0.513844086021505</c:v>
                </c:pt>
                <c:pt idx="28">
                  <c:v>0.50459921156373155</c:v>
                </c:pt>
                <c:pt idx="29">
                  <c:v>0.49575835475578367</c:v>
                </c:pt>
                <c:pt idx="30">
                  <c:v>0.48729559748427637</c:v>
                </c:pt>
                <c:pt idx="31">
                  <c:v>0.47918719211822619</c:v>
                </c:pt>
                <c:pt idx="32">
                  <c:v>0.47141133896260518</c:v>
                </c:pt>
                <c:pt idx="33">
                  <c:v>0.46394799054373481</c:v>
                </c:pt>
                <c:pt idx="34">
                  <c:v>0.45677867902665081</c:v>
                </c:pt>
                <c:pt idx="35">
                  <c:v>0.4498863636363632</c:v>
                </c:pt>
                <c:pt idx="36">
                  <c:v>0.44325529542920805</c:v>
                </c:pt>
                <c:pt idx="37">
                  <c:v>0.43687089715536065</c:v>
                </c:pt>
                <c:pt idx="38">
                  <c:v>0.43071965628356562</c:v>
                </c:pt>
                <c:pt idx="39">
                  <c:v>0.42478902953586456</c:v>
                </c:pt>
                <c:pt idx="40">
                  <c:v>0.41906735751295293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1872"/>
        <c:axId val="90316576"/>
      </c:scatterChart>
      <c:valAx>
        <c:axId val="90311872"/>
        <c:scaling>
          <c:orientation val="minMax"/>
          <c:max val="60"/>
          <c:min val="3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0316576"/>
        <c:crosses val="autoZero"/>
        <c:crossBetween val="midCat"/>
      </c:valAx>
      <c:valAx>
        <c:axId val="90316576"/>
        <c:scaling>
          <c:orientation val="minMax"/>
          <c:max val="0.60000000000000009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11872"/>
        <c:crosses val="autoZero"/>
        <c:crossBetween val="midCat"/>
        <c:majorUnit val="5.000000000000001E-2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53</xdr:row>
      <xdr:rowOff>28574</xdr:rowOff>
    </xdr:from>
    <xdr:to>
      <xdr:col>17</xdr:col>
      <xdr:colOff>457200</xdr:colOff>
      <xdr:row>73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1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1" bestFit="1" customWidth="1"/>
    <col min="2" max="2" width="12.5703125" customWidth="1"/>
    <col min="3" max="3" width="9.140625" customWidth="1"/>
    <col min="4" max="4" width="8.7109375" customWidth="1"/>
    <col min="5" max="5" width="9.140625" customWidth="1"/>
    <col min="6" max="6" width="9.28515625" customWidth="1"/>
    <col min="7" max="8" width="9.140625" customWidth="1"/>
    <col min="9" max="9" width="11.5703125" customWidth="1"/>
    <col min="10" max="10" width="9.140625" customWidth="1"/>
    <col min="11" max="11" width="12.7109375" style="10" hidden="1" customWidth="1"/>
    <col min="12" max="12" width="12.28515625" style="10" hidden="1" customWidth="1"/>
    <col min="13" max="13" width="12.85546875" style="10" hidden="1" customWidth="1"/>
    <col min="14" max="14" width="11.28515625" style="11" hidden="1" customWidth="1"/>
    <col min="15" max="15" width="11.85546875" style="18" hidden="1" customWidth="1"/>
    <col min="16" max="16" width="6.7109375" style="18" customWidth="1"/>
    <col min="17" max="17" width="5.28515625" style="18" customWidth="1"/>
    <col min="18" max="18" width="10.85546875" customWidth="1"/>
    <col min="19" max="19" width="11.28515625" customWidth="1"/>
    <col min="20" max="20" width="9.140625" customWidth="1"/>
    <col min="21" max="21" width="9" customWidth="1"/>
    <col min="22" max="22" width="9.140625" customWidth="1"/>
    <col min="24" max="24" width="0" hidden="1" customWidth="1"/>
    <col min="25" max="32" width="0" style="27" hidden="1" customWidth="1"/>
    <col min="33" max="33" width="9.140625" style="27"/>
    <col min="35" max="35" width="9.140625" customWidth="1"/>
    <col min="38" max="38" width="11.28515625" hidden="1" customWidth="1"/>
    <col min="39" max="39" width="0" hidden="1" customWidth="1"/>
  </cols>
  <sheetData>
    <row r="1" spans="1:5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141</v>
      </c>
      <c r="L1" s="2" t="s">
        <v>181</v>
      </c>
      <c r="M1" s="2" t="s">
        <v>182</v>
      </c>
      <c r="N1" s="2" t="s">
        <v>10</v>
      </c>
      <c r="O1" s="12" t="s">
        <v>142</v>
      </c>
      <c r="P1" s="12" t="s">
        <v>10</v>
      </c>
      <c r="Q1" s="12" t="s">
        <v>179</v>
      </c>
      <c r="R1" s="2" t="s">
        <v>180</v>
      </c>
      <c r="S1" s="2" t="s">
        <v>11</v>
      </c>
      <c r="T1" s="32" t="s">
        <v>12</v>
      </c>
      <c r="U1" s="22" t="s">
        <v>13</v>
      </c>
      <c r="V1" s="25" t="s">
        <v>187</v>
      </c>
      <c r="W1" s="19" t="s">
        <v>178</v>
      </c>
      <c r="X1" s="25" t="s">
        <v>187</v>
      </c>
      <c r="Y1" s="28" t="s">
        <v>129</v>
      </c>
      <c r="Z1" s="28" t="s">
        <v>178</v>
      </c>
      <c r="AA1" s="28" t="s">
        <v>186</v>
      </c>
      <c r="AB1" s="23" t="s">
        <v>183</v>
      </c>
      <c r="AC1" s="31" t="s">
        <v>184</v>
      </c>
      <c r="AD1" s="31" t="s">
        <v>185</v>
      </c>
      <c r="AE1" s="31" t="s">
        <v>189</v>
      </c>
      <c r="AF1" s="23" t="s">
        <v>188</v>
      </c>
      <c r="AG1" s="20" t="s">
        <v>130</v>
      </c>
      <c r="AH1" s="2" t="s">
        <v>178</v>
      </c>
      <c r="AI1" s="2" t="s">
        <v>130</v>
      </c>
      <c r="AJ1" s="2" t="s">
        <v>13</v>
      </c>
    </row>
    <row r="2" spans="1:53" ht="15.75" thickBot="1" x14ac:dyDescent="0.3">
      <c r="A2" s="3" t="s">
        <v>76</v>
      </c>
      <c r="B2" s="4">
        <v>60</v>
      </c>
      <c r="C2" s="4">
        <v>150</v>
      </c>
      <c r="D2" s="4">
        <v>210</v>
      </c>
      <c r="E2" s="4">
        <v>175</v>
      </c>
      <c r="F2" s="4">
        <v>60</v>
      </c>
      <c r="G2" s="4">
        <v>195</v>
      </c>
      <c r="H2" s="4">
        <v>60</v>
      </c>
      <c r="I2" s="4">
        <v>600</v>
      </c>
      <c r="J2" s="4">
        <v>3</v>
      </c>
      <c r="K2" s="6"/>
      <c r="L2" s="6"/>
      <c r="M2" s="6"/>
      <c r="N2" s="4"/>
      <c r="O2" s="14" t="s">
        <v>157</v>
      </c>
      <c r="P2" s="14">
        <v>100</v>
      </c>
      <c r="Q2" s="8">
        <v>40</v>
      </c>
      <c r="R2" s="4"/>
      <c r="S2" s="4" t="s">
        <v>77</v>
      </c>
      <c r="T2" s="33">
        <f t="shared" ref="T2:T33" si="0">P2+Q2+B2</f>
        <v>200</v>
      </c>
      <c r="U2" s="26">
        <f t="shared" ref="U2:U33" si="1">FLOOR((C2+(H2/2))/16,1)</f>
        <v>11</v>
      </c>
      <c r="V2" s="26">
        <f t="shared" ref="V2:V33" si="2">U2*IF(J2&gt;=1,1.5,1)</f>
        <v>16.5</v>
      </c>
      <c r="W2" s="19">
        <f t="shared" ref="W2:W33" si="3">INT(T2*IF(R2="",1.5,VLOOKUP(R2,$AL$2:$AM$10,2,FALSE))*(U2*2+100)/100)</f>
        <v>366</v>
      </c>
      <c r="X2" s="22">
        <f t="shared" ref="X2:X33" si="4">INT(T2*IF(R2="",1.5,VLOOKUP(R2,$AL$2:$AM$10,2,FALSE))*(U2*3+100)/100)</f>
        <v>399</v>
      </c>
      <c r="Y2" s="29">
        <f t="shared" ref="Y2:Y33" si="5">INT((T2+IF(J2&gt;=1,F2/4,0)))</f>
        <v>215</v>
      </c>
      <c r="Z2" s="29">
        <f t="shared" ref="Z2:Z33" si="6">INT(Y2*(U2*2+100)/100)</f>
        <v>262</v>
      </c>
      <c r="AA2" s="30">
        <f t="shared" ref="AA2:AA33" si="7">Z2/W2</f>
        <v>0.71584699453551914</v>
      </c>
      <c r="AB2" s="24">
        <f t="shared" ref="AB2:AB33" si="8">W2*IF(J2&lt;1,1,IF(J2=1,2,IF(J2&gt;=2,3)))</f>
        <v>1098</v>
      </c>
      <c r="AC2" s="24">
        <f t="shared" ref="AC2:AC33" si="9">INT(AB2*IF(J2&gt;=3,1.5,1.15))</f>
        <v>1647</v>
      </c>
      <c r="AD2" s="24">
        <f t="shared" ref="AD2:AD33" si="10">INT(IF(J2&gt;=3,X2,W2)*IF(J2&lt;1,1,IF(J2=1,2,IF(J2&gt;=2,3,1)))*1.15)</f>
        <v>1376</v>
      </c>
      <c r="AE2" s="24">
        <f t="shared" ref="AE2:AE33" si="11">INT(IF(J2=3,Z2*3,AB2)*1.15)</f>
        <v>903</v>
      </c>
      <c r="AF2" s="24">
        <f t="shared" ref="AF2:AF33" si="12">INT(W2*IF(J2=0,1,IF(J2&gt;=2,1.5,1)*IF(J2&gt;=3,1.5,1.15)))</f>
        <v>823</v>
      </c>
      <c r="AG2" s="21">
        <f t="shared" ref="AG2:AG33" si="13">MAX(A2:AF2)</f>
        <v>1647</v>
      </c>
      <c r="AH2" s="9" t="s">
        <v>139</v>
      </c>
      <c r="AI2" s="9" t="s">
        <v>136</v>
      </c>
      <c r="AJ2" s="9" t="s">
        <v>140</v>
      </c>
      <c r="AL2" t="s">
        <v>17</v>
      </c>
      <c r="AM2">
        <v>1</v>
      </c>
    </row>
    <row r="3" spans="1:53" ht="15.75" thickBot="1" x14ac:dyDescent="0.3">
      <c r="A3" s="3" t="s">
        <v>62</v>
      </c>
      <c r="B3" s="4">
        <v>150</v>
      </c>
      <c r="C3" s="4">
        <v>195</v>
      </c>
      <c r="D3" s="4">
        <v>195</v>
      </c>
      <c r="E3" s="4">
        <v>175</v>
      </c>
      <c r="F3" s="4">
        <v>150</v>
      </c>
      <c r="G3" s="4">
        <v>175</v>
      </c>
      <c r="H3" s="4">
        <v>175</v>
      </c>
      <c r="I3" s="4">
        <v>660</v>
      </c>
      <c r="J3" s="4">
        <v>2</v>
      </c>
      <c r="K3" s="6"/>
      <c r="L3" s="13" t="s">
        <v>161</v>
      </c>
      <c r="M3" s="6"/>
      <c r="N3" s="4"/>
      <c r="O3" s="14" t="s">
        <v>144</v>
      </c>
      <c r="P3" s="14">
        <v>170</v>
      </c>
      <c r="Q3" s="8">
        <v>60</v>
      </c>
      <c r="R3" s="4"/>
      <c r="S3" s="4" t="s">
        <v>35</v>
      </c>
      <c r="T3" s="33">
        <f t="shared" si="0"/>
        <v>380</v>
      </c>
      <c r="U3" s="26">
        <f t="shared" si="1"/>
        <v>17</v>
      </c>
      <c r="V3" s="26">
        <f t="shared" si="2"/>
        <v>25.5</v>
      </c>
      <c r="W3" s="19">
        <f t="shared" si="3"/>
        <v>763</v>
      </c>
      <c r="X3" s="22">
        <f t="shared" si="4"/>
        <v>860</v>
      </c>
      <c r="Y3" s="29">
        <f t="shared" si="5"/>
        <v>417</v>
      </c>
      <c r="Z3" s="29">
        <f t="shared" si="6"/>
        <v>558</v>
      </c>
      <c r="AA3" s="30">
        <f t="shared" si="7"/>
        <v>0.73132372214941022</v>
      </c>
      <c r="AB3" s="24">
        <f t="shared" si="8"/>
        <v>2289</v>
      </c>
      <c r="AC3" s="24">
        <f t="shared" si="9"/>
        <v>2632</v>
      </c>
      <c r="AD3" s="24">
        <f t="shared" si="10"/>
        <v>2632</v>
      </c>
      <c r="AE3" s="24">
        <f t="shared" si="11"/>
        <v>2632</v>
      </c>
      <c r="AF3" s="24">
        <f t="shared" si="12"/>
        <v>1316</v>
      </c>
      <c r="AG3" s="21">
        <f t="shared" si="13"/>
        <v>2632</v>
      </c>
      <c r="AH3" s="9" t="s">
        <v>132</v>
      </c>
      <c r="AI3" s="9" t="s">
        <v>132</v>
      </c>
      <c r="AJ3" s="9" t="s">
        <v>133</v>
      </c>
      <c r="AL3" t="s">
        <v>64</v>
      </c>
      <c r="AM3">
        <v>1</v>
      </c>
    </row>
    <row r="4" spans="1:53" ht="15.75" thickBot="1" x14ac:dyDescent="0.3">
      <c r="A4" s="3" t="s">
        <v>81</v>
      </c>
      <c r="B4" s="4">
        <v>175</v>
      </c>
      <c r="C4" s="4">
        <v>195</v>
      </c>
      <c r="D4" s="4">
        <v>195</v>
      </c>
      <c r="E4" s="4">
        <v>150</v>
      </c>
      <c r="F4" s="4">
        <v>175</v>
      </c>
      <c r="G4" s="4">
        <v>175</v>
      </c>
      <c r="H4" s="4">
        <v>175</v>
      </c>
      <c r="I4" s="4">
        <v>720</v>
      </c>
      <c r="J4" s="4">
        <v>2</v>
      </c>
      <c r="K4" s="6"/>
      <c r="L4" s="13" t="s">
        <v>166</v>
      </c>
      <c r="M4" s="6"/>
      <c r="N4" s="4"/>
      <c r="O4" s="14" t="s">
        <v>151</v>
      </c>
      <c r="P4" s="14">
        <v>165</v>
      </c>
      <c r="Q4" s="8">
        <v>75</v>
      </c>
      <c r="R4" s="4"/>
      <c r="S4" s="4" t="s">
        <v>35</v>
      </c>
      <c r="T4" s="33">
        <f t="shared" si="0"/>
        <v>415</v>
      </c>
      <c r="U4" s="26">
        <f t="shared" si="1"/>
        <v>17</v>
      </c>
      <c r="V4" s="26">
        <f t="shared" si="2"/>
        <v>25.5</v>
      </c>
      <c r="W4" s="19">
        <f t="shared" si="3"/>
        <v>834</v>
      </c>
      <c r="X4" s="22">
        <f t="shared" si="4"/>
        <v>939</v>
      </c>
      <c r="Y4" s="29">
        <f t="shared" si="5"/>
        <v>458</v>
      </c>
      <c r="Z4" s="29">
        <f t="shared" si="6"/>
        <v>613</v>
      </c>
      <c r="AA4" s="30">
        <f t="shared" si="7"/>
        <v>0.73501199040767384</v>
      </c>
      <c r="AB4" s="24">
        <f t="shared" si="8"/>
        <v>2502</v>
      </c>
      <c r="AC4" s="24">
        <f t="shared" si="9"/>
        <v>2877</v>
      </c>
      <c r="AD4" s="24">
        <f t="shared" si="10"/>
        <v>2877</v>
      </c>
      <c r="AE4" s="24">
        <f t="shared" si="11"/>
        <v>2877</v>
      </c>
      <c r="AF4" s="24">
        <f t="shared" si="12"/>
        <v>1438</v>
      </c>
      <c r="AG4" s="21">
        <f t="shared" si="13"/>
        <v>2877</v>
      </c>
      <c r="AH4" s="9" t="s">
        <v>133</v>
      </c>
      <c r="AI4" s="9" t="s">
        <v>133</v>
      </c>
      <c r="AJ4" s="9" t="s">
        <v>133</v>
      </c>
      <c r="AL4" t="s">
        <v>190</v>
      </c>
      <c r="AM4">
        <v>1.25</v>
      </c>
    </row>
    <row r="5" spans="1:53" ht="15.75" thickBot="1" x14ac:dyDescent="0.3">
      <c r="A5" s="3" t="s">
        <v>79</v>
      </c>
      <c r="B5" s="4">
        <v>110</v>
      </c>
      <c r="C5" s="4">
        <v>135</v>
      </c>
      <c r="D5" s="4">
        <v>195</v>
      </c>
      <c r="E5" s="4">
        <v>135</v>
      </c>
      <c r="F5" s="4">
        <v>95</v>
      </c>
      <c r="G5" s="4">
        <v>210</v>
      </c>
      <c r="H5" s="4">
        <v>75</v>
      </c>
      <c r="I5" s="4">
        <v>660</v>
      </c>
      <c r="J5" s="4">
        <v>1</v>
      </c>
      <c r="K5" s="13" t="s">
        <v>165</v>
      </c>
      <c r="L5" s="13" t="s">
        <v>108</v>
      </c>
      <c r="M5" s="6"/>
      <c r="N5" s="4"/>
      <c r="O5" s="14" t="s">
        <v>157</v>
      </c>
      <c r="P5" s="14">
        <v>100</v>
      </c>
      <c r="Q5" s="8">
        <v>60</v>
      </c>
      <c r="R5" s="4"/>
      <c r="S5" s="4" t="s">
        <v>80</v>
      </c>
      <c r="T5" s="33">
        <f t="shared" si="0"/>
        <v>270</v>
      </c>
      <c r="U5" s="26">
        <f t="shared" si="1"/>
        <v>10</v>
      </c>
      <c r="V5" s="26">
        <f t="shared" si="2"/>
        <v>15</v>
      </c>
      <c r="W5" s="19">
        <f t="shared" si="3"/>
        <v>486</v>
      </c>
      <c r="X5" s="22">
        <f t="shared" si="4"/>
        <v>526</v>
      </c>
      <c r="Y5" s="29">
        <f t="shared" si="5"/>
        <v>293</v>
      </c>
      <c r="Z5" s="29">
        <f t="shared" si="6"/>
        <v>351</v>
      </c>
      <c r="AA5" s="30">
        <f t="shared" si="7"/>
        <v>0.72222222222222221</v>
      </c>
      <c r="AB5" s="24">
        <f t="shared" si="8"/>
        <v>972</v>
      </c>
      <c r="AC5" s="24">
        <f t="shared" si="9"/>
        <v>1117</v>
      </c>
      <c r="AD5" s="24">
        <f t="shared" si="10"/>
        <v>1117</v>
      </c>
      <c r="AE5" s="24">
        <f t="shared" si="11"/>
        <v>1117</v>
      </c>
      <c r="AF5" s="24">
        <f t="shared" si="12"/>
        <v>558</v>
      </c>
      <c r="AG5" s="21">
        <f t="shared" si="13"/>
        <v>1117</v>
      </c>
      <c r="AH5" s="9" t="s">
        <v>138</v>
      </c>
      <c r="AI5" s="9" t="s">
        <v>138</v>
      </c>
      <c r="AJ5" s="9" t="s">
        <v>140</v>
      </c>
      <c r="AL5" t="s">
        <v>14</v>
      </c>
      <c r="AM5">
        <v>1.25</v>
      </c>
    </row>
    <row r="6" spans="1:53" ht="15.75" thickBot="1" x14ac:dyDescent="0.3">
      <c r="A6" s="3" t="s">
        <v>38</v>
      </c>
      <c r="B6" s="4">
        <v>175</v>
      </c>
      <c r="C6" s="4">
        <v>175</v>
      </c>
      <c r="D6" s="4">
        <v>175</v>
      </c>
      <c r="E6" s="4">
        <v>150</v>
      </c>
      <c r="F6" s="4">
        <v>150</v>
      </c>
      <c r="G6" s="4">
        <v>135</v>
      </c>
      <c r="H6" s="4">
        <v>95</v>
      </c>
      <c r="I6" s="4">
        <v>720</v>
      </c>
      <c r="J6" s="4">
        <v>2</v>
      </c>
      <c r="K6" s="15"/>
      <c r="L6" s="6"/>
      <c r="M6" s="6"/>
      <c r="N6" s="4"/>
      <c r="O6" s="14" t="s">
        <v>149</v>
      </c>
      <c r="P6" s="14">
        <v>150</v>
      </c>
      <c r="Q6" s="8">
        <v>75</v>
      </c>
      <c r="R6" s="4"/>
      <c r="S6" s="4" t="s">
        <v>39</v>
      </c>
      <c r="T6" s="33">
        <f t="shared" si="0"/>
        <v>400</v>
      </c>
      <c r="U6" s="26">
        <f t="shared" si="1"/>
        <v>13</v>
      </c>
      <c r="V6" s="26">
        <f t="shared" si="2"/>
        <v>19.5</v>
      </c>
      <c r="W6" s="19">
        <f t="shared" si="3"/>
        <v>756</v>
      </c>
      <c r="X6" s="22">
        <f t="shared" si="4"/>
        <v>834</v>
      </c>
      <c r="Y6" s="29">
        <f t="shared" si="5"/>
        <v>437</v>
      </c>
      <c r="Z6" s="29">
        <f t="shared" si="6"/>
        <v>550</v>
      </c>
      <c r="AA6" s="30">
        <f t="shared" si="7"/>
        <v>0.72751322751322756</v>
      </c>
      <c r="AB6" s="24">
        <f t="shared" si="8"/>
        <v>2268</v>
      </c>
      <c r="AC6" s="24">
        <f t="shared" si="9"/>
        <v>2608</v>
      </c>
      <c r="AD6" s="24">
        <f t="shared" si="10"/>
        <v>2608</v>
      </c>
      <c r="AE6" s="24">
        <f t="shared" si="11"/>
        <v>2608</v>
      </c>
      <c r="AF6" s="24">
        <f t="shared" si="12"/>
        <v>1304</v>
      </c>
      <c r="AG6" s="21">
        <f t="shared" si="13"/>
        <v>2608</v>
      </c>
      <c r="AH6" s="9" t="s">
        <v>132</v>
      </c>
      <c r="AI6" s="9" t="s">
        <v>132</v>
      </c>
      <c r="AJ6" s="9" t="s">
        <v>137</v>
      </c>
      <c r="AL6" t="s">
        <v>94</v>
      </c>
      <c r="AM6">
        <v>1.5</v>
      </c>
      <c r="AO6">
        <f>175+(175/2)</f>
        <v>262.5</v>
      </c>
      <c r="AP6">
        <f>AO6/16</f>
        <v>16.40625</v>
      </c>
    </row>
    <row r="7" spans="1:53" ht="15.75" thickBot="1" x14ac:dyDescent="0.3">
      <c r="A7" s="3" t="s">
        <v>119</v>
      </c>
      <c r="B7" s="4">
        <v>95</v>
      </c>
      <c r="C7" s="4">
        <v>150</v>
      </c>
      <c r="D7" s="4">
        <v>175</v>
      </c>
      <c r="E7" s="4">
        <v>95</v>
      </c>
      <c r="F7" s="4">
        <v>95</v>
      </c>
      <c r="G7" s="4">
        <v>135</v>
      </c>
      <c r="H7" s="4">
        <v>210</v>
      </c>
      <c r="I7" s="4">
        <v>600</v>
      </c>
      <c r="J7" s="4">
        <v>1</v>
      </c>
      <c r="K7" s="6"/>
      <c r="L7" s="13" t="s">
        <v>175</v>
      </c>
      <c r="M7" s="15"/>
      <c r="N7" s="4"/>
      <c r="O7" s="14" t="s">
        <v>157</v>
      </c>
      <c r="P7" s="14">
        <v>100</v>
      </c>
      <c r="Q7" s="8">
        <v>60</v>
      </c>
      <c r="R7" s="4"/>
      <c r="S7" s="4" t="s">
        <v>114</v>
      </c>
      <c r="T7" s="33">
        <f t="shared" si="0"/>
        <v>255</v>
      </c>
      <c r="U7" s="26">
        <f t="shared" si="1"/>
        <v>15</v>
      </c>
      <c r="V7" s="26">
        <f t="shared" si="2"/>
        <v>22.5</v>
      </c>
      <c r="W7" s="19">
        <f t="shared" si="3"/>
        <v>497</v>
      </c>
      <c r="X7" s="22">
        <f t="shared" si="4"/>
        <v>554</v>
      </c>
      <c r="Y7" s="29">
        <f t="shared" si="5"/>
        <v>278</v>
      </c>
      <c r="Z7" s="29">
        <f t="shared" si="6"/>
        <v>361</v>
      </c>
      <c r="AA7" s="30">
        <f t="shared" si="7"/>
        <v>0.72635814889336014</v>
      </c>
      <c r="AB7" s="24">
        <f t="shared" si="8"/>
        <v>994</v>
      </c>
      <c r="AC7" s="24">
        <f t="shared" si="9"/>
        <v>1143</v>
      </c>
      <c r="AD7" s="24">
        <f t="shared" si="10"/>
        <v>1143</v>
      </c>
      <c r="AE7" s="24">
        <f t="shared" si="11"/>
        <v>1143</v>
      </c>
      <c r="AF7" s="24">
        <f t="shared" si="12"/>
        <v>571</v>
      </c>
      <c r="AG7" s="21">
        <f t="shared" si="13"/>
        <v>1143</v>
      </c>
      <c r="AH7" s="9" t="s">
        <v>138</v>
      </c>
      <c r="AI7" s="9" t="s">
        <v>138</v>
      </c>
      <c r="AJ7" s="9" t="s">
        <v>133</v>
      </c>
      <c r="AL7" t="s">
        <v>108</v>
      </c>
      <c r="AM7">
        <v>1.5</v>
      </c>
    </row>
    <row r="8" spans="1:53" ht="15.75" thickBot="1" x14ac:dyDescent="0.3">
      <c r="A8" s="3" t="s">
        <v>97</v>
      </c>
      <c r="B8" s="4">
        <v>110</v>
      </c>
      <c r="C8" s="4">
        <v>135</v>
      </c>
      <c r="D8" s="4">
        <v>175</v>
      </c>
      <c r="E8" s="4">
        <v>135</v>
      </c>
      <c r="F8" s="4">
        <v>110</v>
      </c>
      <c r="G8" s="4">
        <v>175</v>
      </c>
      <c r="H8" s="4">
        <v>135</v>
      </c>
      <c r="I8" s="4">
        <v>600</v>
      </c>
      <c r="J8" s="4">
        <v>3</v>
      </c>
      <c r="K8" s="6"/>
      <c r="L8" s="6"/>
      <c r="M8" s="6"/>
      <c r="N8" s="4"/>
      <c r="O8" s="14" t="s">
        <v>155</v>
      </c>
      <c r="P8" s="14">
        <v>140</v>
      </c>
      <c r="Q8" s="8">
        <v>60</v>
      </c>
      <c r="R8" s="4"/>
      <c r="S8" s="4" t="s">
        <v>67</v>
      </c>
      <c r="T8" s="33">
        <f t="shared" si="0"/>
        <v>310</v>
      </c>
      <c r="U8" s="26">
        <f t="shared" si="1"/>
        <v>12</v>
      </c>
      <c r="V8" s="26">
        <f t="shared" si="2"/>
        <v>18</v>
      </c>
      <c r="W8" s="19">
        <f t="shared" si="3"/>
        <v>576</v>
      </c>
      <c r="X8" s="22">
        <f t="shared" si="4"/>
        <v>632</v>
      </c>
      <c r="Y8" s="29">
        <f t="shared" si="5"/>
        <v>337</v>
      </c>
      <c r="Z8" s="29">
        <f t="shared" si="6"/>
        <v>417</v>
      </c>
      <c r="AA8" s="30">
        <f t="shared" si="7"/>
        <v>0.72395833333333337</v>
      </c>
      <c r="AB8" s="24">
        <f t="shared" si="8"/>
        <v>1728</v>
      </c>
      <c r="AC8" s="24">
        <f t="shared" si="9"/>
        <v>2592</v>
      </c>
      <c r="AD8" s="24">
        <f t="shared" si="10"/>
        <v>2180</v>
      </c>
      <c r="AE8" s="24">
        <f t="shared" si="11"/>
        <v>1438</v>
      </c>
      <c r="AF8" s="24">
        <f t="shared" si="12"/>
        <v>1296</v>
      </c>
      <c r="AG8" s="21">
        <f t="shared" si="13"/>
        <v>2592</v>
      </c>
      <c r="AH8" s="9" t="s">
        <v>137</v>
      </c>
      <c r="AI8" s="9" t="s">
        <v>132</v>
      </c>
      <c r="AJ8" s="9" t="s">
        <v>137</v>
      </c>
      <c r="AL8" t="s">
        <v>58</v>
      </c>
      <c r="AM8">
        <v>1.2</v>
      </c>
    </row>
    <row r="9" spans="1:53" ht="15.75" thickBot="1" x14ac:dyDescent="0.3">
      <c r="A9" s="3" t="s">
        <v>107</v>
      </c>
      <c r="B9" s="4">
        <v>135</v>
      </c>
      <c r="C9" s="4">
        <v>135</v>
      </c>
      <c r="D9" s="4">
        <v>175</v>
      </c>
      <c r="E9" s="4">
        <v>150</v>
      </c>
      <c r="F9" s="4">
        <v>110</v>
      </c>
      <c r="G9" s="4">
        <v>135</v>
      </c>
      <c r="H9" s="4">
        <v>95</v>
      </c>
      <c r="I9" s="4">
        <v>660</v>
      </c>
      <c r="J9" s="4">
        <v>2</v>
      </c>
      <c r="K9" s="6"/>
      <c r="L9" s="6"/>
      <c r="M9" s="15"/>
      <c r="N9" s="7" t="s">
        <v>108</v>
      </c>
      <c r="O9" s="14" t="s">
        <v>154</v>
      </c>
      <c r="P9" s="14">
        <v>135</v>
      </c>
      <c r="Q9" s="8">
        <v>60</v>
      </c>
      <c r="R9" s="7" t="s">
        <v>108</v>
      </c>
      <c r="S9" s="4" t="s">
        <v>67</v>
      </c>
      <c r="T9" s="33">
        <f t="shared" si="0"/>
        <v>330</v>
      </c>
      <c r="U9" s="26">
        <f t="shared" si="1"/>
        <v>11</v>
      </c>
      <c r="V9" s="26">
        <f t="shared" si="2"/>
        <v>16.5</v>
      </c>
      <c r="W9" s="19">
        <f t="shared" si="3"/>
        <v>603</v>
      </c>
      <c r="X9" s="22">
        <f t="shared" si="4"/>
        <v>658</v>
      </c>
      <c r="Y9" s="29">
        <f t="shared" si="5"/>
        <v>357</v>
      </c>
      <c r="Z9" s="29">
        <f t="shared" si="6"/>
        <v>435</v>
      </c>
      <c r="AA9" s="30">
        <f t="shared" si="7"/>
        <v>0.72139303482587069</v>
      </c>
      <c r="AB9" s="24">
        <f t="shared" si="8"/>
        <v>1809</v>
      </c>
      <c r="AC9" s="24">
        <f t="shared" si="9"/>
        <v>2080</v>
      </c>
      <c r="AD9" s="24">
        <f t="shared" si="10"/>
        <v>2080</v>
      </c>
      <c r="AE9" s="24">
        <f t="shared" si="11"/>
        <v>2080</v>
      </c>
      <c r="AF9" s="24">
        <f t="shared" si="12"/>
        <v>1040</v>
      </c>
      <c r="AG9" s="21">
        <f t="shared" si="13"/>
        <v>2080</v>
      </c>
      <c r="AH9" s="9" t="s">
        <v>137</v>
      </c>
      <c r="AI9" s="9" t="s">
        <v>134</v>
      </c>
      <c r="AJ9" s="9" t="s">
        <v>139</v>
      </c>
      <c r="AL9" t="s">
        <v>66</v>
      </c>
      <c r="AM9">
        <v>1</v>
      </c>
      <c r="AO9" t="s">
        <v>379</v>
      </c>
      <c r="AV9" t="s">
        <v>382</v>
      </c>
    </row>
    <row r="10" spans="1:53" ht="15.75" thickBot="1" x14ac:dyDescent="0.3">
      <c r="A10" s="3" t="s">
        <v>113</v>
      </c>
      <c r="B10" s="4">
        <v>110</v>
      </c>
      <c r="C10" s="4">
        <v>135</v>
      </c>
      <c r="D10" s="4">
        <v>175</v>
      </c>
      <c r="E10" s="4">
        <v>150</v>
      </c>
      <c r="F10" s="4">
        <v>110</v>
      </c>
      <c r="G10" s="4">
        <v>150</v>
      </c>
      <c r="H10" s="4">
        <v>150</v>
      </c>
      <c r="I10" s="4">
        <v>660</v>
      </c>
      <c r="J10" s="4">
        <v>2</v>
      </c>
      <c r="K10" s="15"/>
      <c r="L10" s="6"/>
      <c r="M10" s="6"/>
      <c r="N10" s="4"/>
      <c r="O10" s="14" t="s">
        <v>155</v>
      </c>
      <c r="P10" s="14">
        <v>140</v>
      </c>
      <c r="Q10" s="8">
        <v>40</v>
      </c>
      <c r="R10" s="4"/>
      <c r="S10" s="4" t="s">
        <v>114</v>
      </c>
      <c r="T10" s="33">
        <f t="shared" si="0"/>
        <v>290</v>
      </c>
      <c r="U10" s="26">
        <f t="shared" si="1"/>
        <v>13</v>
      </c>
      <c r="V10" s="26">
        <f t="shared" si="2"/>
        <v>19.5</v>
      </c>
      <c r="W10" s="19">
        <f t="shared" si="3"/>
        <v>548</v>
      </c>
      <c r="X10" s="22">
        <f t="shared" si="4"/>
        <v>604</v>
      </c>
      <c r="Y10" s="29">
        <f t="shared" si="5"/>
        <v>317</v>
      </c>
      <c r="Z10" s="29">
        <f t="shared" si="6"/>
        <v>399</v>
      </c>
      <c r="AA10" s="30">
        <f t="shared" si="7"/>
        <v>0.72810218978102192</v>
      </c>
      <c r="AB10" s="24">
        <f t="shared" si="8"/>
        <v>1644</v>
      </c>
      <c r="AC10" s="24">
        <f t="shared" si="9"/>
        <v>1890</v>
      </c>
      <c r="AD10" s="24">
        <f t="shared" si="10"/>
        <v>1890</v>
      </c>
      <c r="AE10" s="24">
        <f t="shared" si="11"/>
        <v>1890</v>
      </c>
      <c r="AF10" s="24">
        <f t="shared" si="12"/>
        <v>945</v>
      </c>
      <c r="AG10" s="21">
        <f t="shared" si="13"/>
        <v>1890</v>
      </c>
      <c r="AH10" s="9" t="s">
        <v>137</v>
      </c>
      <c r="AI10" s="9" t="s">
        <v>134</v>
      </c>
      <c r="AJ10" s="9" t="s">
        <v>136</v>
      </c>
      <c r="AL10" t="s">
        <v>60</v>
      </c>
      <c r="AM10">
        <v>1</v>
      </c>
      <c r="AO10">
        <f>(180-62)</f>
        <v>118</v>
      </c>
      <c r="AP10">
        <f>AO10*0.25</f>
        <v>29.5</v>
      </c>
      <c r="AR10">
        <f>180*2.2-62</f>
        <v>334.00000000000006</v>
      </c>
      <c r="AS10">
        <f>AR10*0.25</f>
        <v>83.500000000000014</v>
      </c>
      <c r="AV10">
        <f>180*1.5-62</f>
        <v>208</v>
      </c>
      <c r="AW10">
        <f>AV10*1.5</f>
        <v>312</v>
      </c>
      <c r="AX10">
        <f>(180*4.5-62)*1.5</f>
        <v>1122</v>
      </c>
      <c r="AY10">
        <f>AX10*2</f>
        <v>2244</v>
      </c>
    </row>
    <row r="11" spans="1:53" ht="15.75" thickBot="1" x14ac:dyDescent="0.3">
      <c r="A11" s="34" t="s">
        <v>191</v>
      </c>
      <c r="B11" s="4">
        <v>175</v>
      </c>
      <c r="C11" s="4">
        <v>195</v>
      </c>
      <c r="D11" s="4">
        <v>150</v>
      </c>
      <c r="E11" s="4">
        <v>175</v>
      </c>
      <c r="F11" s="4">
        <v>135</v>
      </c>
      <c r="G11" s="4">
        <v>150</v>
      </c>
      <c r="H11" s="4">
        <v>195</v>
      </c>
      <c r="I11" s="4">
        <v>720</v>
      </c>
      <c r="J11" s="4">
        <v>2</v>
      </c>
      <c r="K11" s="6"/>
      <c r="L11" s="13" t="s">
        <v>143</v>
      </c>
      <c r="M11" s="6"/>
      <c r="N11" s="4"/>
      <c r="O11" s="14" t="s">
        <v>144</v>
      </c>
      <c r="P11" s="14">
        <v>170</v>
      </c>
      <c r="Q11" s="8">
        <v>75</v>
      </c>
      <c r="R11" s="4"/>
      <c r="S11" s="4" t="s">
        <v>15</v>
      </c>
      <c r="T11" s="33">
        <f t="shared" si="0"/>
        <v>420</v>
      </c>
      <c r="U11" s="26">
        <f t="shared" si="1"/>
        <v>18</v>
      </c>
      <c r="V11" s="26">
        <f t="shared" si="2"/>
        <v>27</v>
      </c>
      <c r="W11" s="19">
        <f t="shared" si="3"/>
        <v>856</v>
      </c>
      <c r="X11" s="22">
        <f t="shared" si="4"/>
        <v>970</v>
      </c>
      <c r="Y11" s="29">
        <f t="shared" si="5"/>
        <v>453</v>
      </c>
      <c r="Z11" s="29">
        <f t="shared" si="6"/>
        <v>616</v>
      </c>
      <c r="AA11" s="30">
        <f t="shared" si="7"/>
        <v>0.71962616822429903</v>
      </c>
      <c r="AB11" s="24">
        <f t="shared" si="8"/>
        <v>2568</v>
      </c>
      <c r="AC11" s="24">
        <f t="shared" si="9"/>
        <v>2953</v>
      </c>
      <c r="AD11" s="24">
        <f t="shared" si="10"/>
        <v>2953</v>
      </c>
      <c r="AE11" s="24">
        <f t="shared" si="11"/>
        <v>2953</v>
      </c>
      <c r="AF11" s="24">
        <f t="shared" si="12"/>
        <v>1476</v>
      </c>
      <c r="AG11" s="21">
        <f t="shared" si="13"/>
        <v>2953</v>
      </c>
      <c r="AH11" s="9" t="s">
        <v>131</v>
      </c>
      <c r="AI11" s="9" t="s">
        <v>133</v>
      </c>
      <c r="AJ11" s="9" t="s">
        <v>131</v>
      </c>
      <c r="AO11">
        <f>AO10+AP10</f>
        <v>147.5</v>
      </c>
      <c r="AP11">
        <f>AO11</f>
        <v>147.5</v>
      </c>
      <c r="AR11">
        <f>AR10+AS10</f>
        <v>417.50000000000006</v>
      </c>
      <c r="AV11">
        <f>AV10/2</f>
        <v>104</v>
      </c>
      <c r="AW11">
        <f>AW10/2</f>
        <v>156</v>
      </c>
      <c r="AX11">
        <f>AX10/2</f>
        <v>561</v>
      </c>
    </row>
    <row r="12" spans="1:53" ht="15.75" thickBot="1" x14ac:dyDescent="0.3">
      <c r="A12" s="3" t="s">
        <v>63</v>
      </c>
      <c r="B12" s="4">
        <v>135</v>
      </c>
      <c r="C12" s="4">
        <v>150</v>
      </c>
      <c r="D12" s="4">
        <v>150</v>
      </c>
      <c r="E12" s="4">
        <v>135</v>
      </c>
      <c r="F12" s="4">
        <v>135</v>
      </c>
      <c r="G12" s="4">
        <v>150</v>
      </c>
      <c r="H12" s="4">
        <v>110</v>
      </c>
      <c r="I12" s="4">
        <v>720</v>
      </c>
      <c r="J12" s="4">
        <v>3</v>
      </c>
      <c r="K12" s="6"/>
      <c r="L12" s="6"/>
      <c r="M12" s="6"/>
      <c r="N12" s="7" t="s">
        <v>64</v>
      </c>
      <c r="O12" s="14" t="s">
        <v>151</v>
      </c>
      <c r="P12" s="14">
        <v>165</v>
      </c>
      <c r="Q12" s="8">
        <v>79</v>
      </c>
      <c r="R12" s="7" t="s">
        <v>64</v>
      </c>
      <c r="S12" s="4" t="s">
        <v>56</v>
      </c>
      <c r="T12" s="33">
        <f t="shared" si="0"/>
        <v>379</v>
      </c>
      <c r="U12" s="26">
        <f t="shared" si="1"/>
        <v>12</v>
      </c>
      <c r="V12" s="26">
        <f t="shared" si="2"/>
        <v>18</v>
      </c>
      <c r="W12" s="19">
        <f t="shared" si="3"/>
        <v>469</v>
      </c>
      <c r="X12" s="22">
        <f t="shared" si="4"/>
        <v>515</v>
      </c>
      <c r="Y12" s="29">
        <f t="shared" si="5"/>
        <v>412</v>
      </c>
      <c r="Z12" s="29">
        <f t="shared" si="6"/>
        <v>510</v>
      </c>
      <c r="AA12" s="30">
        <f t="shared" si="7"/>
        <v>1.0874200426439233</v>
      </c>
      <c r="AB12" s="24">
        <f t="shared" si="8"/>
        <v>1407</v>
      </c>
      <c r="AC12" s="24">
        <f t="shared" si="9"/>
        <v>2110</v>
      </c>
      <c r="AD12" s="24">
        <f t="shared" si="10"/>
        <v>1776</v>
      </c>
      <c r="AE12" s="24">
        <f t="shared" si="11"/>
        <v>1759</v>
      </c>
      <c r="AF12" s="24">
        <f t="shared" si="12"/>
        <v>1055</v>
      </c>
      <c r="AG12" s="21">
        <f t="shared" si="13"/>
        <v>2110</v>
      </c>
      <c r="AH12" s="9" t="s">
        <v>138</v>
      </c>
      <c r="AI12" s="9" t="s">
        <v>134</v>
      </c>
      <c r="AJ12" s="9" t="s">
        <v>137</v>
      </c>
      <c r="AO12">
        <f>6500/AP11</f>
        <v>44.067796610169495</v>
      </c>
      <c r="AP12">
        <f>AO12*5</f>
        <v>220.33898305084747</v>
      </c>
      <c r="AS12">
        <f>6500/AR11</f>
        <v>15.568862275449099</v>
      </c>
      <c r="AT12">
        <f>AS12*5</f>
        <v>77.844311377245504</v>
      </c>
      <c r="AX12">
        <f>AX11/2</f>
        <v>280.5</v>
      </c>
    </row>
    <row r="13" spans="1:53" ht="15.75" thickBot="1" x14ac:dyDescent="0.3">
      <c r="A13" s="3" t="s">
        <v>106</v>
      </c>
      <c r="B13" s="4">
        <v>542</v>
      </c>
      <c r="C13" s="4">
        <v>135</v>
      </c>
      <c r="D13" s="4">
        <v>150</v>
      </c>
      <c r="E13" s="4">
        <v>110</v>
      </c>
      <c r="F13" s="4">
        <v>202</v>
      </c>
      <c r="G13" s="4">
        <v>175</v>
      </c>
      <c r="H13" s="4">
        <v>95</v>
      </c>
      <c r="I13" s="4">
        <v>860</v>
      </c>
      <c r="J13" s="4">
        <v>2</v>
      </c>
      <c r="K13" s="6"/>
      <c r="L13" s="6"/>
      <c r="M13" s="13" t="s">
        <v>172</v>
      </c>
      <c r="N13" s="5" t="s">
        <v>17</v>
      </c>
      <c r="O13" s="14" t="s">
        <v>146</v>
      </c>
      <c r="P13" s="14">
        <v>0</v>
      </c>
      <c r="Q13" s="14">
        <v>0</v>
      </c>
      <c r="R13" s="5" t="s">
        <v>17</v>
      </c>
      <c r="S13" s="4"/>
      <c r="T13" s="33">
        <f t="shared" si="0"/>
        <v>542</v>
      </c>
      <c r="U13" s="26">
        <f t="shared" si="1"/>
        <v>11</v>
      </c>
      <c r="V13" s="26">
        <f t="shared" si="2"/>
        <v>16.5</v>
      </c>
      <c r="W13" s="19">
        <f t="shared" si="3"/>
        <v>661</v>
      </c>
      <c r="X13" s="22">
        <f t="shared" si="4"/>
        <v>720</v>
      </c>
      <c r="Y13" s="29">
        <f t="shared" si="5"/>
        <v>592</v>
      </c>
      <c r="Z13" s="29">
        <f t="shared" si="6"/>
        <v>722</v>
      </c>
      <c r="AA13" s="30">
        <f t="shared" si="7"/>
        <v>1.0922844175491679</v>
      </c>
      <c r="AB13" s="24">
        <f t="shared" si="8"/>
        <v>1983</v>
      </c>
      <c r="AC13" s="24">
        <f t="shared" si="9"/>
        <v>2280</v>
      </c>
      <c r="AD13" s="24">
        <f t="shared" si="10"/>
        <v>2280</v>
      </c>
      <c r="AE13" s="24">
        <f t="shared" si="11"/>
        <v>2280</v>
      </c>
      <c r="AF13" s="24">
        <f t="shared" si="12"/>
        <v>1140</v>
      </c>
      <c r="AG13" s="21">
        <f t="shared" si="13"/>
        <v>2280</v>
      </c>
      <c r="AH13" s="9" t="s">
        <v>136</v>
      </c>
      <c r="AI13" s="9" t="s">
        <v>135</v>
      </c>
      <c r="AJ13" s="9" t="s">
        <v>139</v>
      </c>
      <c r="AV13">
        <f>3*AV10</f>
        <v>624</v>
      </c>
      <c r="AW13">
        <f>AW10*10</f>
        <v>3120</v>
      </c>
      <c r="AX13">
        <f>AX10*3</f>
        <v>3366</v>
      </c>
      <c r="BA13">
        <f>SUM(AV13:AX13)</f>
        <v>7110</v>
      </c>
    </row>
    <row r="14" spans="1:53" ht="15.75" thickBot="1" x14ac:dyDescent="0.3">
      <c r="A14" s="3" t="s">
        <v>125</v>
      </c>
      <c r="B14" s="4">
        <v>150</v>
      </c>
      <c r="C14" s="4">
        <v>135</v>
      </c>
      <c r="D14" s="4">
        <v>150</v>
      </c>
      <c r="E14" s="4">
        <v>110</v>
      </c>
      <c r="F14" s="4">
        <v>135</v>
      </c>
      <c r="G14" s="4">
        <v>135</v>
      </c>
      <c r="H14" s="4">
        <v>95</v>
      </c>
      <c r="I14" s="4">
        <v>720</v>
      </c>
      <c r="J14" s="4">
        <v>1</v>
      </c>
      <c r="K14" s="15"/>
      <c r="L14" s="13" t="s">
        <v>177</v>
      </c>
      <c r="M14" s="6"/>
      <c r="N14" s="4"/>
      <c r="O14" s="14" t="s">
        <v>154</v>
      </c>
      <c r="P14" s="14">
        <v>135</v>
      </c>
      <c r="Q14" s="8">
        <v>60</v>
      </c>
      <c r="R14" s="4"/>
      <c r="S14" s="4" t="s">
        <v>80</v>
      </c>
      <c r="T14" s="33">
        <f t="shared" si="0"/>
        <v>345</v>
      </c>
      <c r="U14" s="26">
        <f t="shared" si="1"/>
        <v>11</v>
      </c>
      <c r="V14" s="26">
        <f t="shared" si="2"/>
        <v>16.5</v>
      </c>
      <c r="W14" s="19">
        <f t="shared" si="3"/>
        <v>631</v>
      </c>
      <c r="X14" s="22">
        <f t="shared" si="4"/>
        <v>688</v>
      </c>
      <c r="Y14" s="29">
        <f t="shared" si="5"/>
        <v>378</v>
      </c>
      <c r="Z14" s="29">
        <f t="shared" si="6"/>
        <v>461</v>
      </c>
      <c r="AA14" s="30">
        <f t="shared" si="7"/>
        <v>0.73058637083993661</v>
      </c>
      <c r="AB14" s="24">
        <f t="shared" si="8"/>
        <v>1262</v>
      </c>
      <c r="AC14" s="24">
        <f t="shared" si="9"/>
        <v>1451</v>
      </c>
      <c r="AD14" s="24">
        <f t="shared" si="10"/>
        <v>1451</v>
      </c>
      <c r="AE14" s="24">
        <f t="shared" si="11"/>
        <v>1451</v>
      </c>
      <c r="AF14" s="24">
        <f t="shared" si="12"/>
        <v>725</v>
      </c>
      <c r="AG14" s="21">
        <f t="shared" si="13"/>
        <v>1451</v>
      </c>
      <c r="AH14" s="9" t="s">
        <v>137</v>
      </c>
      <c r="AI14" s="9" t="s">
        <v>138</v>
      </c>
      <c r="AJ14" s="9" t="s">
        <v>139</v>
      </c>
      <c r="AX14" t="s">
        <v>381</v>
      </c>
    </row>
    <row r="15" spans="1:53" ht="15.75" thickBot="1" x14ac:dyDescent="0.3">
      <c r="A15" s="3" t="s">
        <v>91</v>
      </c>
      <c r="B15" s="4">
        <v>135</v>
      </c>
      <c r="C15" s="4">
        <v>110</v>
      </c>
      <c r="D15" s="4">
        <v>150</v>
      </c>
      <c r="E15" s="4">
        <v>135</v>
      </c>
      <c r="F15" s="4">
        <v>135</v>
      </c>
      <c r="G15" s="4">
        <v>175</v>
      </c>
      <c r="H15" s="4">
        <v>135</v>
      </c>
      <c r="I15" s="4">
        <v>660</v>
      </c>
      <c r="J15" s="4">
        <v>2</v>
      </c>
      <c r="K15" s="6"/>
      <c r="L15" s="6"/>
      <c r="M15" s="15"/>
      <c r="N15" s="4"/>
      <c r="O15" s="14" t="s">
        <v>151</v>
      </c>
      <c r="P15" s="14">
        <v>165</v>
      </c>
      <c r="Q15" s="8">
        <v>60</v>
      </c>
      <c r="R15" s="4"/>
      <c r="S15" s="4" t="s">
        <v>23</v>
      </c>
      <c r="T15" s="33">
        <f t="shared" si="0"/>
        <v>360</v>
      </c>
      <c r="U15" s="26">
        <f t="shared" si="1"/>
        <v>11</v>
      </c>
      <c r="V15" s="26">
        <f t="shared" si="2"/>
        <v>16.5</v>
      </c>
      <c r="W15" s="19">
        <f t="shared" si="3"/>
        <v>658</v>
      </c>
      <c r="X15" s="22">
        <f t="shared" si="4"/>
        <v>718</v>
      </c>
      <c r="Y15" s="29">
        <f t="shared" si="5"/>
        <v>393</v>
      </c>
      <c r="Z15" s="29">
        <f t="shared" si="6"/>
        <v>479</v>
      </c>
      <c r="AA15" s="30">
        <f t="shared" si="7"/>
        <v>0.72796352583586621</v>
      </c>
      <c r="AB15" s="24">
        <f t="shared" si="8"/>
        <v>1974</v>
      </c>
      <c r="AC15" s="24">
        <f t="shared" si="9"/>
        <v>2270</v>
      </c>
      <c r="AD15" s="24">
        <f t="shared" si="10"/>
        <v>2270</v>
      </c>
      <c r="AE15" s="24">
        <f t="shared" si="11"/>
        <v>2270</v>
      </c>
      <c r="AF15" s="24">
        <f t="shared" si="12"/>
        <v>1135</v>
      </c>
      <c r="AG15" s="21">
        <f t="shared" si="13"/>
        <v>2270</v>
      </c>
      <c r="AH15" s="9" t="s">
        <v>136</v>
      </c>
      <c r="AI15" s="9" t="s">
        <v>135</v>
      </c>
      <c r="AJ15" s="9" t="s">
        <v>138</v>
      </c>
    </row>
    <row r="16" spans="1:53" ht="15.75" thickBot="1" x14ac:dyDescent="0.3">
      <c r="A16" s="3" t="s">
        <v>20</v>
      </c>
      <c r="B16" s="4">
        <v>150</v>
      </c>
      <c r="C16" s="4">
        <v>175</v>
      </c>
      <c r="D16" s="4">
        <v>135</v>
      </c>
      <c r="E16" s="4">
        <v>150</v>
      </c>
      <c r="F16" s="4">
        <v>135</v>
      </c>
      <c r="G16" s="4">
        <v>135</v>
      </c>
      <c r="H16" s="4">
        <v>110</v>
      </c>
      <c r="I16" s="4">
        <v>720</v>
      </c>
      <c r="J16" s="4">
        <v>1</v>
      </c>
      <c r="K16" s="15"/>
      <c r="L16" s="13" t="s">
        <v>148</v>
      </c>
      <c r="M16" s="6"/>
      <c r="N16" s="4"/>
      <c r="O16" s="14" t="s">
        <v>149</v>
      </c>
      <c r="P16" s="14">
        <v>150</v>
      </c>
      <c r="Q16" s="8">
        <v>75</v>
      </c>
      <c r="R16" s="4"/>
      <c r="S16" s="4" t="s">
        <v>21</v>
      </c>
      <c r="T16" s="33">
        <f t="shared" si="0"/>
        <v>375</v>
      </c>
      <c r="U16" s="26">
        <f t="shared" si="1"/>
        <v>14</v>
      </c>
      <c r="V16" s="26">
        <f t="shared" si="2"/>
        <v>21</v>
      </c>
      <c r="W16" s="19">
        <f t="shared" si="3"/>
        <v>720</v>
      </c>
      <c r="X16" s="22">
        <f t="shared" si="4"/>
        <v>798</v>
      </c>
      <c r="Y16" s="29">
        <f t="shared" si="5"/>
        <v>408</v>
      </c>
      <c r="Z16" s="29">
        <f t="shared" si="6"/>
        <v>522</v>
      </c>
      <c r="AA16" s="30">
        <f t="shared" si="7"/>
        <v>0.72499999999999998</v>
      </c>
      <c r="AB16" s="24">
        <f t="shared" si="8"/>
        <v>1440</v>
      </c>
      <c r="AC16" s="24">
        <f t="shared" si="9"/>
        <v>1656</v>
      </c>
      <c r="AD16" s="24">
        <f t="shared" si="10"/>
        <v>1656</v>
      </c>
      <c r="AE16" s="24">
        <f t="shared" si="11"/>
        <v>1656</v>
      </c>
      <c r="AF16" s="24">
        <f t="shared" si="12"/>
        <v>828</v>
      </c>
      <c r="AG16" s="21">
        <f t="shared" si="13"/>
        <v>1656</v>
      </c>
      <c r="AH16" s="9" t="s">
        <v>135</v>
      </c>
      <c r="AI16" s="9" t="s">
        <v>136</v>
      </c>
      <c r="AJ16" s="9" t="s">
        <v>136</v>
      </c>
    </row>
    <row r="17" spans="1:50" ht="15.75" thickBot="1" x14ac:dyDescent="0.3">
      <c r="A17" s="3" t="s">
        <v>75</v>
      </c>
      <c r="B17" s="4">
        <v>135</v>
      </c>
      <c r="C17" s="4">
        <v>175</v>
      </c>
      <c r="D17" s="4">
        <v>135</v>
      </c>
      <c r="E17" s="4">
        <v>150</v>
      </c>
      <c r="F17" s="4">
        <v>135</v>
      </c>
      <c r="G17" s="4">
        <v>175</v>
      </c>
      <c r="H17" s="4">
        <v>135</v>
      </c>
      <c r="I17" s="4">
        <v>660</v>
      </c>
      <c r="J17" s="4">
        <v>2</v>
      </c>
      <c r="K17" s="6"/>
      <c r="L17" s="6"/>
      <c r="M17" s="15"/>
      <c r="N17" s="4"/>
      <c r="O17" s="14" t="s">
        <v>160</v>
      </c>
      <c r="P17" s="14">
        <v>175</v>
      </c>
      <c r="Q17" s="8">
        <v>59</v>
      </c>
      <c r="R17" s="4"/>
      <c r="S17" s="4" t="s">
        <v>74</v>
      </c>
      <c r="T17" s="33">
        <f t="shared" si="0"/>
        <v>369</v>
      </c>
      <c r="U17" s="26">
        <f t="shared" si="1"/>
        <v>15</v>
      </c>
      <c r="V17" s="26">
        <f t="shared" si="2"/>
        <v>22.5</v>
      </c>
      <c r="W17" s="19">
        <f t="shared" si="3"/>
        <v>719</v>
      </c>
      <c r="X17" s="22">
        <f t="shared" si="4"/>
        <v>802</v>
      </c>
      <c r="Y17" s="29">
        <f t="shared" si="5"/>
        <v>402</v>
      </c>
      <c r="Z17" s="29">
        <f t="shared" si="6"/>
        <v>522</v>
      </c>
      <c r="AA17" s="30">
        <f t="shared" si="7"/>
        <v>0.72600834492350486</v>
      </c>
      <c r="AB17" s="24">
        <f t="shared" si="8"/>
        <v>2157</v>
      </c>
      <c r="AC17" s="24">
        <f t="shared" si="9"/>
        <v>2480</v>
      </c>
      <c r="AD17" s="24">
        <f t="shared" si="10"/>
        <v>2480</v>
      </c>
      <c r="AE17" s="24">
        <f t="shared" si="11"/>
        <v>2480</v>
      </c>
      <c r="AF17" s="24">
        <f t="shared" si="12"/>
        <v>1240</v>
      </c>
      <c r="AG17" s="21">
        <f t="shared" si="13"/>
        <v>2480</v>
      </c>
      <c r="AH17" s="9" t="s">
        <v>135</v>
      </c>
      <c r="AI17" s="9" t="s">
        <v>132</v>
      </c>
      <c r="AJ17" s="9" t="s">
        <v>134</v>
      </c>
    </row>
    <row r="18" spans="1:50" ht="15.75" thickBot="1" x14ac:dyDescent="0.3">
      <c r="A18" s="3" t="s">
        <v>29</v>
      </c>
      <c r="B18" s="4">
        <v>150</v>
      </c>
      <c r="C18" s="4">
        <v>150</v>
      </c>
      <c r="D18" s="4">
        <v>135</v>
      </c>
      <c r="E18" s="4">
        <v>150</v>
      </c>
      <c r="F18" s="4">
        <v>150</v>
      </c>
      <c r="G18" s="4">
        <v>135</v>
      </c>
      <c r="H18" s="4">
        <v>135</v>
      </c>
      <c r="I18" s="4">
        <v>660</v>
      </c>
      <c r="J18" s="4">
        <v>1</v>
      </c>
      <c r="K18" s="15"/>
      <c r="L18" s="13" t="s">
        <v>94</v>
      </c>
      <c r="M18" s="6"/>
      <c r="N18" s="4"/>
      <c r="O18" s="14" t="s">
        <v>149</v>
      </c>
      <c r="P18" s="14">
        <v>150</v>
      </c>
      <c r="Q18" s="8">
        <v>59</v>
      </c>
      <c r="R18" s="4"/>
      <c r="S18" s="4" t="s">
        <v>30</v>
      </c>
      <c r="T18" s="33">
        <f t="shared" si="0"/>
        <v>359</v>
      </c>
      <c r="U18" s="26">
        <f t="shared" si="1"/>
        <v>13</v>
      </c>
      <c r="V18" s="26">
        <f t="shared" si="2"/>
        <v>19.5</v>
      </c>
      <c r="W18" s="19">
        <f t="shared" si="3"/>
        <v>678</v>
      </c>
      <c r="X18" s="22">
        <f t="shared" si="4"/>
        <v>748</v>
      </c>
      <c r="Y18" s="29">
        <f t="shared" si="5"/>
        <v>396</v>
      </c>
      <c r="Z18" s="29">
        <f t="shared" si="6"/>
        <v>498</v>
      </c>
      <c r="AA18" s="30">
        <f t="shared" si="7"/>
        <v>0.73451327433628322</v>
      </c>
      <c r="AB18" s="24">
        <f t="shared" si="8"/>
        <v>1356</v>
      </c>
      <c r="AC18" s="24">
        <f t="shared" si="9"/>
        <v>1559</v>
      </c>
      <c r="AD18" s="24">
        <f t="shared" si="10"/>
        <v>1559</v>
      </c>
      <c r="AE18" s="24">
        <f t="shared" si="11"/>
        <v>1559</v>
      </c>
      <c r="AF18" s="24">
        <f t="shared" si="12"/>
        <v>779</v>
      </c>
      <c r="AG18" s="21">
        <f t="shared" si="13"/>
        <v>1559</v>
      </c>
      <c r="AH18" s="9" t="s">
        <v>134</v>
      </c>
      <c r="AI18" s="9" t="s">
        <v>137</v>
      </c>
      <c r="AJ18" s="9" t="s">
        <v>136</v>
      </c>
    </row>
    <row r="19" spans="1:50" ht="15.75" thickBot="1" x14ac:dyDescent="0.3">
      <c r="A19" s="3" t="s">
        <v>36</v>
      </c>
      <c r="B19" s="4">
        <v>135</v>
      </c>
      <c r="C19" s="4">
        <v>150</v>
      </c>
      <c r="D19" s="4">
        <v>135</v>
      </c>
      <c r="E19" s="4">
        <v>150</v>
      </c>
      <c r="F19" s="4">
        <v>135</v>
      </c>
      <c r="G19" s="4">
        <v>150</v>
      </c>
      <c r="H19" s="4">
        <v>135</v>
      </c>
      <c r="I19" s="4">
        <v>660</v>
      </c>
      <c r="J19" s="4">
        <v>2</v>
      </c>
      <c r="K19" s="15"/>
      <c r="L19" s="6"/>
      <c r="M19" s="6"/>
      <c r="N19" s="4"/>
      <c r="O19" s="14" t="s">
        <v>155</v>
      </c>
      <c r="P19" s="14">
        <v>140</v>
      </c>
      <c r="Q19" s="8">
        <v>60</v>
      </c>
      <c r="R19" s="4"/>
      <c r="S19" s="4" t="s">
        <v>23</v>
      </c>
      <c r="T19" s="33">
        <f t="shared" si="0"/>
        <v>335</v>
      </c>
      <c r="U19" s="26">
        <f t="shared" si="1"/>
        <v>13</v>
      </c>
      <c r="V19" s="26">
        <f t="shared" si="2"/>
        <v>19.5</v>
      </c>
      <c r="W19" s="19">
        <f t="shared" si="3"/>
        <v>633</v>
      </c>
      <c r="X19" s="22">
        <f t="shared" si="4"/>
        <v>698</v>
      </c>
      <c r="Y19" s="29">
        <f t="shared" si="5"/>
        <v>368</v>
      </c>
      <c r="Z19" s="29">
        <f t="shared" si="6"/>
        <v>463</v>
      </c>
      <c r="AA19" s="30">
        <f t="shared" si="7"/>
        <v>0.73143759873617697</v>
      </c>
      <c r="AB19" s="24">
        <f t="shared" si="8"/>
        <v>1899</v>
      </c>
      <c r="AC19" s="24">
        <f t="shared" si="9"/>
        <v>2183</v>
      </c>
      <c r="AD19" s="24">
        <f t="shared" si="10"/>
        <v>2183</v>
      </c>
      <c r="AE19" s="24">
        <f t="shared" si="11"/>
        <v>2183</v>
      </c>
      <c r="AF19" s="24">
        <f t="shared" si="12"/>
        <v>1091</v>
      </c>
      <c r="AG19" s="21">
        <f t="shared" si="13"/>
        <v>2183</v>
      </c>
      <c r="AH19" s="9" t="s">
        <v>137</v>
      </c>
      <c r="AI19" s="9" t="s">
        <v>135</v>
      </c>
      <c r="AJ19" s="9" t="s">
        <v>136</v>
      </c>
    </row>
    <row r="20" spans="1:50" ht="15.75" thickBot="1" x14ac:dyDescent="0.3">
      <c r="A20" s="3" t="s">
        <v>101</v>
      </c>
      <c r="B20" s="4">
        <v>150</v>
      </c>
      <c r="C20" s="4">
        <v>150</v>
      </c>
      <c r="D20" s="4">
        <v>135</v>
      </c>
      <c r="E20" s="4">
        <v>135</v>
      </c>
      <c r="F20" s="4">
        <v>135</v>
      </c>
      <c r="G20" s="4">
        <v>150</v>
      </c>
      <c r="H20" s="4">
        <v>135</v>
      </c>
      <c r="I20" s="4">
        <v>660</v>
      </c>
      <c r="J20" s="4">
        <v>3</v>
      </c>
      <c r="K20" s="6"/>
      <c r="L20" s="6"/>
      <c r="M20" s="6"/>
      <c r="N20" s="4"/>
      <c r="O20" s="14" t="s">
        <v>149</v>
      </c>
      <c r="P20" s="14">
        <v>150</v>
      </c>
      <c r="Q20" s="8">
        <v>75</v>
      </c>
      <c r="R20" s="4"/>
      <c r="S20" s="4" t="s">
        <v>39</v>
      </c>
      <c r="T20" s="33">
        <f t="shared" si="0"/>
        <v>375</v>
      </c>
      <c r="U20" s="26">
        <f t="shared" si="1"/>
        <v>13</v>
      </c>
      <c r="V20" s="26">
        <f t="shared" si="2"/>
        <v>19.5</v>
      </c>
      <c r="W20" s="19">
        <f t="shared" si="3"/>
        <v>708</v>
      </c>
      <c r="X20" s="22">
        <f t="shared" si="4"/>
        <v>781</v>
      </c>
      <c r="Y20" s="29">
        <f t="shared" si="5"/>
        <v>408</v>
      </c>
      <c r="Z20" s="29">
        <f t="shared" si="6"/>
        <v>514</v>
      </c>
      <c r="AA20" s="30">
        <f t="shared" si="7"/>
        <v>0.72598870056497178</v>
      </c>
      <c r="AB20" s="24">
        <f t="shared" si="8"/>
        <v>2124</v>
      </c>
      <c r="AC20" s="24">
        <f t="shared" si="9"/>
        <v>3186</v>
      </c>
      <c r="AD20" s="24">
        <f t="shared" si="10"/>
        <v>2694</v>
      </c>
      <c r="AE20" s="24">
        <f t="shared" si="11"/>
        <v>1773</v>
      </c>
      <c r="AF20" s="24">
        <f t="shared" si="12"/>
        <v>1593</v>
      </c>
      <c r="AG20" s="21">
        <f t="shared" si="13"/>
        <v>3186</v>
      </c>
      <c r="AH20" s="9" t="s">
        <v>135</v>
      </c>
      <c r="AI20" s="9" t="s">
        <v>131</v>
      </c>
      <c r="AJ20" s="9" t="s">
        <v>136</v>
      </c>
    </row>
    <row r="21" spans="1:50" ht="15.75" thickBot="1" x14ac:dyDescent="0.3">
      <c r="A21" s="3" t="s">
        <v>109</v>
      </c>
      <c r="B21" s="4">
        <v>135</v>
      </c>
      <c r="C21" s="4">
        <v>150</v>
      </c>
      <c r="D21" s="4">
        <v>135</v>
      </c>
      <c r="E21" s="4">
        <v>135</v>
      </c>
      <c r="F21" s="4">
        <v>110</v>
      </c>
      <c r="G21" s="4">
        <v>150</v>
      </c>
      <c r="H21" s="4">
        <v>110</v>
      </c>
      <c r="I21" s="4">
        <v>660</v>
      </c>
      <c r="J21" s="4">
        <v>1</v>
      </c>
      <c r="K21" s="15"/>
      <c r="L21" s="6"/>
      <c r="M21" s="15"/>
      <c r="N21" s="4"/>
      <c r="O21" s="14" t="s">
        <v>155</v>
      </c>
      <c r="P21" s="14">
        <v>140</v>
      </c>
      <c r="Q21" s="8">
        <v>35</v>
      </c>
      <c r="R21" s="4"/>
      <c r="S21" s="4" t="s">
        <v>110</v>
      </c>
      <c r="T21" s="33">
        <f t="shared" si="0"/>
        <v>310</v>
      </c>
      <c r="U21" s="26">
        <f t="shared" si="1"/>
        <v>12</v>
      </c>
      <c r="V21" s="26">
        <f t="shared" si="2"/>
        <v>18</v>
      </c>
      <c r="W21" s="19">
        <f t="shared" si="3"/>
        <v>576</v>
      </c>
      <c r="X21" s="22">
        <f t="shared" si="4"/>
        <v>632</v>
      </c>
      <c r="Y21" s="29">
        <f t="shared" si="5"/>
        <v>337</v>
      </c>
      <c r="Z21" s="29">
        <f t="shared" si="6"/>
        <v>417</v>
      </c>
      <c r="AA21" s="30">
        <f t="shared" si="7"/>
        <v>0.72395833333333337</v>
      </c>
      <c r="AB21" s="24">
        <f t="shared" si="8"/>
        <v>1152</v>
      </c>
      <c r="AC21" s="24">
        <f t="shared" si="9"/>
        <v>1324</v>
      </c>
      <c r="AD21" s="24">
        <f t="shared" si="10"/>
        <v>1324</v>
      </c>
      <c r="AE21" s="24">
        <f t="shared" si="11"/>
        <v>1324</v>
      </c>
      <c r="AF21" s="24">
        <f t="shared" si="12"/>
        <v>662</v>
      </c>
      <c r="AG21" s="21">
        <f t="shared" si="13"/>
        <v>1324</v>
      </c>
      <c r="AH21" s="9" t="s">
        <v>137</v>
      </c>
      <c r="AI21" s="9" t="s">
        <v>138</v>
      </c>
      <c r="AJ21" s="9" t="s">
        <v>137</v>
      </c>
      <c r="AX21" t="s">
        <v>380</v>
      </c>
    </row>
    <row r="22" spans="1:50" ht="15.75" thickBot="1" x14ac:dyDescent="0.3">
      <c r="A22" s="3" t="s">
        <v>55</v>
      </c>
      <c r="B22" s="4">
        <v>195</v>
      </c>
      <c r="C22" s="4">
        <v>135</v>
      </c>
      <c r="D22" s="4">
        <v>135</v>
      </c>
      <c r="E22" s="4">
        <v>110</v>
      </c>
      <c r="F22" s="4">
        <v>175</v>
      </c>
      <c r="G22" s="4">
        <v>110</v>
      </c>
      <c r="H22" s="4">
        <v>135</v>
      </c>
      <c r="I22" s="4">
        <v>780</v>
      </c>
      <c r="J22" s="4">
        <v>1</v>
      </c>
      <c r="K22" s="15"/>
      <c r="L22" s="15"/>
      <c r="M22" s="6"/>
      <c r="N22" s="4"/>
      <c r="O22" s="14" t="s">
        <v>159</v>
      </c>
      <c r="P22" s="14">
        <v>160</v>
      </c>
      <c r="Q22" s="8">
        <v>79</v>
      </c>
      <c r="R22" s="4"/>
      <c r="S22" s="4" t="s">
        <v>56</v>
      </c>
      <c r="T22" s="33">
        <f t="shared" si="0"/>
        <v>434</v>
      </c>
      <c r="U22" s="26">
        <f t="shared" si="1"/>
        <v>12</v>
      </c>
      <c r="V22" s="26">
        <f t="shared" si="2"/>
        <v>18</v>
      </c>
      <c r="W22" s="19">
        <f t="shared" si="3"/>
        <v>807</v>
      </c>
      <c r="X22" s="22">
        <f t="shared" si="4"/>
        <v>885</v>
      </c>
      <c r="Y22" s="29">
        <f t="shared" si="5"/>
        <v>477</v>
      </c>
      <c r="Z22" s="29">
        <f t="shared" si="6"/>
        <v>591</v>
      </c>
      <c r="AA22" s="30">
        <f t="shared" si="7"/>
        <v>0.73234200743494426</v>
      </c>
      <c r="AB22" s="24">
        <f t="shared" si="8"/>
        <v>1614</v>
      </c>
      <c r="AC22" s="24">
        <f t="shared" si="9"/>
        <v>1856</v>
      </c>
      <c r="AD22" s="24">
        <f t="shared" si="10"/>
        <v>1856</v>
      </c>
      <c r="AE22" s="24">
        <f t="shared" si="11"/>
        <v>1856</v>
      </c>
      <c r="AF22" s="24">
        <f t="shared" si="12"/>
        <v>928</v>
      </c>
      <c r="AG22" s="21">
        <f t="shared" si="13"/>
        <v>1856</v>
      </c>
      <c r="AH22" s="9" t="s">
        <v>133</v>
      </c>
      <c r="AI22" s="9" t="s">
        <v>134</v>
      </c>
      <c r="AJ22" s="9" t="s">
        <v>137</v>
      </c>
    </row>
    <row r="23" spans="1:50" ht="15.75" thickBot="1" x14ac:dyDescent="0.3">
      <c r="A23" s="3" t="s">
        <v>65</v>
      </c>
      <c r="B23" s="4">
        <v>135</v>
      </c>
      <c r="C23" s="4">
        <v>135</v>
      </c>
      <c r="D23" s="4">
        <v>135</v>
      </c>
      <c r="E23" s="4">
        <v>135</v>
      </c>
      <c r="F23" s="4">
        <v>110</v>
      </c>
      <c r="G23" s="4">
        <v>135</v>
      </c>
      <c r="H23" s="4">
        <v>150</v>
      </c>
      <c r="I23" s="4">
        <v>660</v>
      </c>
      <c r="J23" s="4">
        <v>1</v>
      </c>
      <c r="K23" s="6"/>
      <c r="L23" s="13" t="s">
        <v>162</v>
      </c>
      <c r="M23" s="6"/>
      <c r="N23" s="7" t="s">
        <v>66</v>
      </c>
      <c r="O23" s="14" t="s">
        <v>151</v>
      </c>
      <c r="P23" s="14">
        <v>165</v>
      </c>
      <c r="Q23" s="8">
        <v>60</v>
      </c>
      <c r="R23" s="7" t="s">
        <v>66</v>
      </c>
      <c r="S23" s="4" t="s">
        <v>67</v>
      </c>
      <c r="T23" s="33">
        <f t="shared" si="0"/>
        <v>360</v>
      </c>
      <c r="U23" s="26">
        <f t="shared" si="1"/>
        <v>13</v>
      </c>
      <c r="V23" s="26">
        <f t="shared" si="2"/>
        <v>19.5</v>
      </c>
      <c r="W23" s="19">
        <f t="shared" si="3"/>
        <v>453</v>
      </c>
      <c r="X23" s="22">
        <f t="shared" si="4"/>
        <v>500</v>
      </c>
      <c r="Y23" s="29">
        <f t="shared" si="5"/>
        <v>387</v>
      </c>
      <c r="Z23" s="29">
        <f t="shared" si="6"/>
        <v>487</v>
      </c>
      <c r="AA23" s="30">
        <f t="shared" si="7"/>
        <v>1.075055187637969</v>
      </c>
      <c r="AB23" s="24">
        <f t="shared" si="8"/>
        <v>906</v>
      </c>
      <c r="AC23" s="24">
        <f t="shared" si="9"/>
        <v>1041</v>
      </c>
      <c r="AD23" s="24">
        <f t="shared" si="10"/>
        <v>1041</v>
      </c>
      <c r="AE23" s="24">
        <f t="shared" si="11"/>
        <v>1041</v>
      </c>
      <c r="AF23" s="24">
        <f t="shared" si="12"/>
        <v>520</v>
      </c>
      <c r="AG23" s="21">
        <f t="shared" si="13"/>
        <v>1041</v>
      </c>
      <c r="AH23" s="9" t="s">
        <v>138</v>
      </c>
      <c r="AI23" s="9" t="s">
        <v>139</v>
      </c>
      <c r="AJ23" s="9" t="s">
        <v>136</v>
      </c>
    </row>
    <row r="24" spans="1:50" ht="15.75" thickBot="1" x14ac:dyDescent="0.3">
      <c r="A24" s="3" t="s">
        <v>124</v>
      </c>
      <c r="B24" s="4">
        <v>110</v>
      </c>
      <c r="C24" s="4">
        <v>135</v>
      </c>
      <c r="D24" s="4">
        <v>135</v>
      </c>
      <c r="E24" s="4">
        <v>135</v>
      </c>
      <c r="F24" s="4">
        <v>110</v>
      </c>
      <c r="G24" s="4">
        <v>135</v>
      </c>
      <c r="H24" s="4">
        <v>150</v>
      </c>
      <c r="I24" s="4">
        <v>660</v>
      </c>
      <c r="J24" s="4">
        <v>2</v>
      </c>
      <c r="K24" s="15"/>
      <c r="L24" s="6"/>
      <c r="M24" s="6"/>
      <c r="N24" s="4"/>
      <c r="O24" s="14" t="s">
        <v>147</v>
      </c>
      <c r="P24" s="14">
        <v>140</v>
      </c>
      <c r="Q24" s="8">
        <v>40</v>
      </c>
      <c r="R24" s="4"/>
      <c r="S24" s="4" t="s">
        <v>67</v>
      </c>
      <c r="T24" s="33">
        <f t="shared" si="0"/>
        <v>290</v>
      </c>
      <c r="U24" s="26">
        <f t="shared" si="1"/>
        <v>13</v>
      </c>
      <c r="V24" s="26">
        <f t="shared" si="2"/>
        <v>19.5</v>
      </c>
      <c r="W24" s="19">
        <f t="shared" si="3"/>
        <v>548</v>
      </c>
      <c r="X24" s="22">
        <f t="shared" si="4"/>
        <v>604</v>
      </c>
      <c r="Y24" s="29">
        <f t="shared" si="5"/>
        <v>317</v>
      </c>
      <c r="Z24" s="29">
        <f t="shared" si="6"/>
        <v>399</v>
      </c>
      <c r="AA24" s="30">
        <f t="shared" si="7"/>
        <v>0.72810218978102192</v>
      </c>
      <c r="AB24" s="24">
        <f t="shared" si="8"/>
        <v>1644</v>
      </c>
      <c r="AC24" s="24">
        <f t="shared" si="9"/>
        <v>1890</v>
      </c>
      <c r="AD24" s="24">
        <f t="shared" si="10"/>
        <v>1890</v>
      </c>
      <c r="AE24" s="24">
        <f t="shared" si="11"/>
        <v>1890</v>
      </c>
      <c r="AF24" s="24">
        <f t="shared" si="12"/>
        <v>945</v>
      </c>
      <c r="AG24" s="21">
        <f t="shared" si="13"/>
        <v>1890</v>
      </c>
      <c r="AH24" s="9" t="s">
        <v>137</v>
      </c>
      <c r="AI24" s="9" t="s">
        <v>134</v>
      </c>
      <c r="AJ24" s="9" t="s">
        <v>136</v>
      </c>
    </row>
    <row r="25" spans="1:50" ht="15.75" thickBot="1" x14ac:dyDescent="0.3">
      <c r="A25" s="3" t="s">
        <v>46</v>
      </c>
      <c r="B25" s="4">
        <v>135</v>
      </c>
      <c r="C25" s="4">
        <v>110</v>
      </c>
      <c r="D25" s="4">
        <v>135</v>
      </c>
      <c r="E25" s="4">
        <v>110</v>
      </c>
      <c r="F25" s="4">
        <v>150</v>
      </c>
      <c r="G25" s="4">
        <v>150</v>
      </c>
      <c r="H25" s="4">
        <v>135</v>
      </c>
      <c r="I25" s="4">
        <v>660</v>
      </c>
      <c r="J25" s="4">
        <v>3</v>
      </c>
      <c r="K25" s="6"/>
      <c r="L25" s="6"/>
      <c r="M25" s="6"/>
      <c r="N25" s="4"/>
      <c r="O25" s="14" t="s">
        <v>157</v>
      </c>
      <c r="P25" s="14">
        <v>100</v>
      </c>
      <c r="Q25" s="8">
        <v>60</v>
      </c>
      <c r="R25" s="4"/>
      <c r="S25" s="4" t="s">
        <v>19</v>
      </c>
      <c r="T25" s="33">
        <f t="shared" si="0"/>
        <v>295</v>
      </c>
      <c r="U25" s="26">
        <f t="shared" si="1"/>
        <v>11</v>
      </c>
      <c r="V25" s="26">
        <f t="shared" si="2"/>
        <v>16.5</v>
      </c>
      <c r="W25" s="19">
        <f t="shared" si="3"/>
        <v>539</v>
      </c>
      <c r="X25" s="22">
        <f t="shared" si="4"/>
        <v>588</v>
      </c>
      <c r="Y25" s="29">
        <f t="shared" si="5"/>
        <v>332</v>
      </c>
      <c r="Z25" s="29">
        <f t="shared" si="6"/>
        <v>405</v>
      </c>
      <c r="AA25" s="30">
        <f t="shared" si="7"/>
        <v>0.75139146567717996</v>
      </c>
      <c r="AB25" s="24">
        <f t="shared" si="8"/>
        <v>1617</v>
      </c>
      <c r="AC25" s="24">
        <f t="shared" si="9"/>
        <v>2425</v>
      </c>
      <c r="AD25" s="24">
        <f t="shared" si="10"/>
        <v>2028</v>
      </c>
      <c r="AE25" s="24">
        <f t="shared" si="11"/>
        <v>1397</v>
      </c>
      <c r="AF25" s="24">
        <f t="shared" si="12"/>
        <v>1212</v>
      </c>
      <c r="AG25" s="21">
        <f t="shared" si="13"/>
        <v>2425</v>
      </c>
      <c r="AH25" s="9" t="s">
        <v>137</v>
      </c>
      <c r="AI25" s="9" t="s">
        <v>132</v>
      </c>
      <c r="AJ25" s="9" t="s">
        <v>138</v>
      </c>
    </row>
    <row r="26" spans="1:50" ht="15.75" thickBot="1" x14ac:dyDescent="0.3">
      <c r="A26" s="3" t="s">
        <v>78</v>
      </c>
      <c r="B26" s="4">
        <v>165</v>
      </c>
      <c r="C26" s="4">
        <v>110</v>
      </c>
      <c r="D26" s="4">
        <v>135</v>
      </c>
      <c r="E26" s="4">
        <v>150</v>
      </c>
      <c r="F26" s="4">
        <v>209</v>
      </c>
      <c r="G26" s="4">
        <v>135</v>
      </c>
      <c r="H26" s="4">
        <v>110</v>
      </c>
      <c r="I26" s="4">
        <v>490</v>
      </c>
      <c r="J26" s="4">
        <v>2</v>
      </c>
      <c r="K26" s="6"/>
      <c r="L26" s="6"/>
      <c r="M26" s="15"/>
      <c r="N26" s="5" t="s">
        <v>17</v>
      </c>
      <c r="O26" s="14" t="s">
        <v>146</v>
      </c>
      <c r="P26" s="14">
        <v>0</v>
      </c>
      <c r="Q26" s="14">
        <v>0</v>
      </c>
      <c r="R26" s="5" t="s">
        <v>17</v>
      </c>
      <c r="S26" s="4"/>
      <c r="T26" s="33">
        <f t="shared" si="0"/>
        <v>165</v>
      </c>
      <c r="U26" s="26">
        <f t="shared" si="1"/>
        <v>10</v>
      </c>
      <c r="V26" s="26">
        <f t="shared" si="2"/>
        <v>15</v>
      </c>
      <c r="W26" s="19">
        <f t="shared" si="3"/>
        <v>198</v>
      </c>
      <c r="X26" s="22">
        <f t="shared" si="4"/>
        <v>214</v>
      </c>
      <c r="Y26" s="29">
        <f t="shared" si="5"/>
        <v>217</v>
      </c>
      <c r="Z26" s="29">
        <f t="shared" si="6"/>
        <v>260</v>
      </c>
      <c r="AA26" s="30">
        <f t="shared" si="7"/>
        <v>1.3131313131313131</v>
      </c>
      <c r="AB26" s="24">
        <f t="shared" si="8"/>
        <v>594</v>
      </c>
      <c r="AC26" s="24">
        <f t="shared" si="9"/>
        <v>683</v>
      </c>
      <c r="AD26" s="24">
        <f t="shared" si="10"/>
        <v>683</v>
      </c>
      <c r="AE26" s="24">
        <f t="shared" si="11"/>
        <v>683</v>
      </c>
      <c r="AF26" s="24">
        <f t="shared" si="12"/>
        <v>341</v>
      </c>
      <c r="AG26" s="21">
        <f t="shared" si="13"/>
        <v>683</v>
      </c>
      <c r="AH26" s="9" t="s">
        <v>140</v>
      </c>
      <c r="AI26" s="9" t="s">
        <v>140</v>
      </c>
      <c r="AJ26" s="9" t="s">
        <v>139</v>
      </c>
    </row>
    <row r="27" spans="1:50" ht="15.75" thickBot="1" x14ac:dyDescent="0.3">
      <c r="A27" s="3" t="s">
        <v>86</v>
      </c>
      <c r="B27" s="4">
        <v>95</v>
      </c>
      <c r="C27" s="4">
        <v>110</v>
      </c>
      <c r="D27" s="4">
        <v>135</v>
      </c>
      <c r="E27" s="4">
        <v>135</v>
      </c>
      <c r="F27" s="4">
        <v>110</v>
      </c>
      <c r="G27" s="4">
        <v>175</v>
      </c>
      <c r="H27" s="4">
        <v>195</v>
      </c>
      <c r="I27" s="4">
        <v>600</v>
      </c>
      <c r="J27" s="4">
        <v>2</v>
      </c>
      <c r="K27" s="6"/>
      <c r="L27" s="6"/>
      <c r="M27" s="13" t="s">
        <v>167</v>
      </c>
      <c r="N27" s="4"/>
      <c r="O27" s="14" t="s">
        <v>155</v>
      </c>
      <c r="P27" s="14">
        <v>140</v>
      </c>
      <c r="Q27" s="8">
        <v>60</v>
      </c>
      <c r="R27" s="4"/>
      <c r="S27" s="4" t="s">
        <v>23</v>
      </c>
      <c r="T27" s="33">
        <f t="shared" si="0"/>
        <v>295</v>
      </c>
      <c r="U27" s="26">
        <f t="shared" si="1"/>
        <v>12</v>
      </c>
      <c r="V27" s="26">
        <f t="shared" si="2"/>
        <v>18</v>
      </c>
      <c r="W27" s="19">
        <f t="shared" si="3"/>
        <v>548</v>
      </c>
      <c r="X27" s="22">
        <f t="shared" si="4"/>
        <v>601</v>
      </c>
      <c r="Y27" s="29">
        <f t="shared" si="5"/>
        <v>322</v>
      </c>
      <c r="Z27" s="29">
        <f t="shared" si="6"/>
        <v>399</v>
      </c>
      <c r="AA27" s="30">
        <f t="shared" si="7"/>
        <v>0.72810218978102192</v>
      </c>
      <c r="AB27" s="24">
        <f t="shared" si="8"/>
        <v>1644</v>
      </c>
      <c r="AC27" s="24">
        <f t="shared" si="9"/>
        <v>1890</v>
      </c>
      <c r="AD27" s="24">
        <f t="shared" si="10"/>
        <v>1890</v>
      </c>
      <c r="AE27" s="24">
        <f t="shared" si="11"/>
        <v>1890</v>
      </c>
      <c r="AF27" s="24">
        <f t="shared" si="12"/>
        <v>945</v>
      </c>
      <c r="AG27" s="21">
        <f t="shared" si="13"/>
        <v>1890</v>
      </c>
      <c r="AH27" s="9" t="s">
        <v>137</v>
      </c>
      <c r="AI27" s="9" t="s">
        <v>134</v>
      </c>
      <c r="AJ27" s="9" t="s">
        <v>134</v>
      </c>
    </row>
    <row r="28" spans="1:50" ht="15.75" thickBot="1" x14ac:dyDescent="0.3">
      <c r="A28" s="3" t="s">
        <v>102</v>
      </c>
      <c r="B28" s="4">
        <v>135</v>
      </c>
      <c r="C28" s="4">
        <v>210</v>
      </c>
      <c r="D28" s="4">
        <v>110</v>
      </c>
      <c r="E28" s="4">
        <v>135</v>
      </c>
      <c r="F28" s="4">
        <v>110</v>
      </c>
      <c r="G28" s="4">
        <v>110</v>
      </c>
      <c r="H28" s="4">
        <v>175</v>
      </c>
      <c r="I28" s="4">
        <v>660</v>
      </c>
      <c r="J28" s="4">
        <v>1</v>
      </c>
      <c r="K28" s="15"/>
      <c r="L28" s="6"/>
      <c r="M28" s="15"/>
      <c r="N28" s="4"/>
      <c r="O28" s="14" t="s">
        <v>155</v>
      </c>
      <c r="P28" s="14">
        <v>140</v>
      </c>
      <c r="Q28" s="8">
        <v>60</v>
      </c>
      <c r="R28" s="4"/>
      <c r="S28" s="4" t="s">
        <v>19</v>
      </c>
      <c r="T28" s="33">
        <f t="shared" si="0"/>
        <v>335</v>
      </c>
      <c r="U28" s="26">
        <f t="shared" si="1"/>
        <v>18</v>
      </c>
      <c r="V28" s="26">
        <f t="shared" si="2"/>
        <v>27</v>
      </c>
      <c r="W28" s="19">
        <f t="shared" si="3"/>
        <v>683</v>
      </c>
      <c r="X28" s="22">
        <f t="shared" si="4"/>
        <v>773</v>
      </c>
      <c r="Y28" s="29">
        <f t="shared" si="5"/>
        <v>362</v>
      </c>
      <c r="Z28" s="29">
        <f t="shared" si="6"/>
        <v>492</v>
      </c>
      <c r="AA28" s="30">
        <f t="shared" si="7"/>
        <v>0.72035139092240119</v>
      </c>
      <c r="AB28" s="24">
        <f t="shared" si="8"/>
        <v>1366</v>
      </c>
      <c r="AC28" s="24">
        <f t="shared" si="9"/>
        <v>1570</v>
      </c>
      <c r="AD28" s="24">
        <f t="shared" si="10"/>
        <v>1570</v>
      </c>
      <c r="AE28" s="24">
        <f t="shared" si="11"/>
        <v>1570</v>
      </c>
      <c r="AF28" s="24">
        <f t="shared" si="12"/>
        <v>785</v>
      </c>
      <c r="AG28" s="21">
        <f t="shared" si="13"/>
        <v>1570</v>
      </c>
      <c r="AH28" s="9" t="s">
        <v>136</v>
      </c>
      <c r="AI28" s="9" t="s">
        <v>137</v>
      </c>
      <c r="AJ28" s="9" t="s">
        <v>131</v>
      </c>
    </row>
    <row r="29" spans="1:50" ht="15.75" thickBot="1" x14ac:dyDescent="0.3">
      <c r="A29" s="3" t="s">
        <v>72</v>
      </c>
      <c r="B29" s="4">
        <v>150</v>
      </c>
      <c r="C29" s="4">
        <v>195</v>
      </c>
      <c r="D29" s="4">
        <v>110</v>
      </c>
      <c r="E29" s="4">
        <v>175</v>
      </c>
      <c r="F29" s="4">
        <v>135</v>
      </c>
      <c r="G29" s="4">
        <v>135</v>
      </c>
      <c r="H29" s="4">
        <v>175</v>
      </c>
      <c r="I29" s="4">
        <v>940</v>
      </c>
      <c r="J29" s="4">
        <v>1</v>
      </c>
      <c r="K29" s="15"/>
      <c r="L29" s="13" t="s">
        <v>164</v>
      </c>
      <c r="M29" s="6"/>
      <c r="N29" s="4"/>
      <c r="O29" s="14" t="s">
        <v>154</v>
      </c>
      <c r="P29" s="14">
        <v>135</v>
      </c>
      <c r="Q29" s="8">
        <v>60</v>
      </c>
      <c r="R29" s="4"/>
      <c r="S29" s="4" t="s">
        <v>19</v>
      </c>
      <c r="T29" s="33">
        <f t="shared" si="0"/>
        <v>345</v>
      </c>
      <c r="U29" s="26">
        <f t="shared" si="1"/>
        <v>17</v>
      </c>
      <c r="V29" s="26">
        <f t="shared" si="2"/>
        <v>25.5</v>
      </c>
      <c r="W29" s="19">
        <f t="shared" si="3"/>
        <v>693</v>
      </c>
      <c r="X29" s="22">
        <f t="shared" si="4"/>
        <v>781</v>
      </c>
      <c r="Y29" s="29">
        <f t="shared" si="5"/>
        <v>378</v>
      </c>
      <c r="Z29" s="29">
        <f t="shared" si="6"/>
        <v>506</v>
      </c>
      <c r="AA29" s="30">
        <f t="shared" si="7"/>
        <v>0.73015873015873012</v>
      </c>
      <c r="AB29" s="24">
        <f t="shared" si="8"/>
        <v>1386</v>
      </c>
      <c r="AC29" s="24">
        <f t="shared" si="9"/>
        <v>1593</v>
      </c>
      <c r="AD29" s="24">
        <f t="shared" si="10"/>
        <v>1593</v>
      </c>
      <c r="AE29" s="24">
        <f t="shared" si="11"/>
        <v>1593</v>
      </c>
      <c r="AF29" s="24">
        <f t="shared" si="12"/>
        <v>796</v>
      </c>
      <c r="AG29" s="21">
        <f t="shared" si="13"/>
        <v>1593</v>
      </c>
      <c r="AH29" s="9" t="s">
        <v>134</v>
      </c>
      <c r="AI29" s="9" t="s">
        <v>137</v>
      </c>
      <c r="AJ29" s="9" t="s">
        <v>133</v>
      </c>
    </row>
    <row r="30" spans="1:50" ht="15.75" thickBot="1" x14ac:dyDescent="0.3">
      <c r="A30" s="3" t="s">
        <v>103</v>
      </c>
      <c r="B30" s="4">
        <v>150</v>
      </c>
      <c r="C30" s="4">
        <v>195</v>
      </c>
      <c r="D30" s="4">
        <v>110</v>
      </c>
      <c r="E30" s="4">
        <v>135</v>
      </c>
      <c r="F30" s="4">
        <v>110</v>
      </c>
      <c r="G30" s="4">
        <v>95</v>
      </c>
      <c r="H30" s="4">
        <v>195</v>
      </c>
      <c r="I30" s="4">
        <v>660</v>
      </c>
      <c r="J30" s="4">
        <v>0</v>
      </c>
      <c r="K30" s="15"/>
      <c r="L30" s="13" t="s">
        <v>171</v>
      </c>
      <c r="M30" s="15"/>
      <c r="N30" s="4"/>
      <c r="O30" s="14" t="s">
        <v>159</v>
      </c>
      <c r="P30" s="14">
        <v>160</v>
      </c>
      <c r="Q30" s="8">
        <v>75</v>
      </c>
      <c r="R30" s="4"/>
      <c r="S30" s="4" t="s">
        <v>35</v>
      </c>
      <c r="T30" s="33">
        <f t="shared" si="0"/>
        <v>385</v>
      </c>
      <c r="U30" s="26">
        <f t="shared" si="1"/>
        <v>18</v>
      </c>
      <c r="V30" s="26">
        <f t="shared" si="2"/>
        <v>18</v>
      </c>
      <c r="W30" s="19">
        <f t="shared" si="3"/>
        <v>785</v>
      </c>
      <c r="X30" s="22">
        <f t="shared" si="4"/>
        <v>889</v>
      </c>
      <c r="Y30" s="29">
        <f t="shared" si="5"/>
        <v>385</v>
      </c>
      <c r="Z30" s="29">
        <f t="shared" si="6"/>
        <v>523</v>
      </c>
      <c r="AA30" s="30">
        <f t="shared" si="7"/>
        <v>0.66624203821656047</v>
      </c>
      <c r="AB30" s="24">
        <f t="shared" si="8"/>
        <v>785</v>
      </c>
      <c r="AC30" s="24">
        <f t="shared" si="9"/>
        <v>902</v>
      </c>
      <c r="AD30" s="24">
        <f t="shared" si="10"/>
        <v>902</v>
      </c>
      <c r="AE30" s="24">
        <f t="shared" si="11"/>
        <v>902</v>
      </c>
      <c r="AF30" s="24">
        <f t="shared" si="12"/>
        <v>785</v>
      </c>
      <c r="AG30" s="21">
        <f t="shared" si="13"/>
        <v>902</v>
      </c>
      <c r="AH30" s="9" t="s">
        <v>132</v>
      </c>
      <c r="AI30" s="9" t="s">
        <v>139</v>
      </c>
      <c r="AJ30" s="9" t="s">
        <v>131</v>
      </c>
    </row>
    <row r="31" spans="1:50" ht="15.75" thickBot="1" x14ac:dyDescent="0.3">
      <c r="A31" s="3" t="s">
        <v>116</v>
      </c>
      <c r="B31" s="4">
        <v>135</v>
      </c>
      <c r="C31" s="4">
        <v>195</v>
      </c>
      <c r="D31" s="4">
        <v>110</v>
      </c>
      <c r="E31" s="4">
        <v>135</v>
      </c>
      <c r="F31" s="4">
        <v>150</v>
      </c>
      <c r="G31" s="4">
        <v>135</v>
      </c>
      <c r="H31" s="4">
        <v>175</v>
      </c>
      <c r="I31" s="4">
        <v>660</v>
      </c>
      <c r="J31" s="4">
        <v>2</v>
      </c>
      <c r="K31" s="15"/>
      <c r="L31" s="6"/>
      <c r="M31" s="6"/>
      <c r="N31" s="4"/>
      <c r="O31" s="14" t="s">
        <v>147</v>
      </c>
      <c r="P31" s="14">
        <v>140</v>
      </c>
      <c r="Q31" s="8">
        <v>60</v>
      </c>
      <c r="R31" s="4"/>
      <c r="S31" s="4" t="s">
        <v>19</v>
      </c>
      <c r="T31" s="33">
        <f t="shared" si="0"/>
        <v>335</v>
      </c>
      <c r="U31" s="26">
        <f t="shared" si="1"/>
        <v>17</v>
      </c>
      <c r="V31" s="26">
        <f t="shared" si="2"/>
        <v>25.5</v>
      </c>
      <c r="W31" s="19">
        <f t="shared" si="3"/>
        <v>673</v>
      </c>
      <c r="X31" s="22">
        <f t="shared" si="4"/>
        <v>758</v>
      </c>
      <c r="Y31" s="29">
        <f t="shared" si="5"/>
        <v>372</v>
      </c>
      <c r="Z31" s="29">
        <f t="shared" si="6"/>
        <v>498</v>
      </c>
      <c r="AA31" s="30">
        <f t="shared" si="7"/>
        <v>0.73997028231797923</v>
      </c>
      <c r="AB31" s="24">
        <f t="shared" si="8"/>
        <v>2019</v>
      </c>
      <c r="AC31" s="24">
        <f t="shared" si="9"/>
        <v>2321</v>
      </c>
      <c r="AD31" s="24">
        <f t="shared" si="10"/>
        <v>2321</v>
      </c>
      <c r="AE31" s="24">
        <f t="shared" si="11"/>
        <v>2321</v>
      </c>
      <c r="AF31" s="24">
        <f t="shared" si="12"/>
        <v>1160</v>
      </c>
      <c r="AG31" s="21">
        <f t="shared" si="13"/>
        <v>2321</v>
      </c>
      <c r="AH31" s="9" t="s">
        <v>136</v>
      </c>
      <c r="AI31" s="9" t="s">
        <v>135</v>
      </c>
      <c r="AJ31" s="9" t="s">
        <v>133</v>
      </c>
    </row>
    <row r="32" spans="1:50" ht="15.75" thickBot="1" x14ac:dyDescent="0.3">
      <c r="A32" s="3" t="s">
        <v>43</v>
      </c>
      <c r="B32" s="4">
        <v>110</v>
      </c>
      <c r="C32" s="4">
        <v>175</v>
      </c>
      <c r="D32" s="4">
        <v>110</v>
      </c>
      <c r="E32" s="4">
        <v>150</v>
      </c>
      <c r="F32" s="4">
        <v>110</v>
      </c>
      <c r="G32" s="4">
        <v>110</v>
      </c>
      <c r="H32" s="4">
        <v>175</v>
      </c>
      <c r="I32" s="4">
        <v>600</v>
      </c>
      <c r="J32" s="4">
        <v>1</v>
      </c>
      <c r="K32" s="15"/>
      <c r="L32" s="6"/>
      <c r="M32" s="6"/>
      <c r="N32" s="4"/>
      <c r="O32" s="14" t="s">
        <v>155</v>
      </c>
      <c r="P32" s="14">
        <v>140</v>
      </c>
      <c r="Q32" s="8"/>
      <c r="R32" s="4"/>
      <c r="S32" s="4" t="s">
        <v>44</v>
      </c>
      <c r="T32" s="33">
        <f t="shared" si="0"/>
        <v>250</v>
      </c>
      <c r="U32" s="26">
        <f t="shared" si="1"/>
        <v>16</v>
      </c>
      <c r="V32" s="26">
        <f t="shared" si="2"/>
        <v>24</v>
      </c>
      <c r="W32" s="19">
        <f t="shared" si="3"/>
        <v>495</v>
      </c>
      <c r="X32" s="22">
        <f t="shared" si="4"/>
        <v>555</v>
      </c>
      <c r="Y32" s="29">
        <f t="shared" si="5"/>
        <v>277</v>
      </c>
      <c r="Z32" s="29">
        <f t="shared" si="6"/>
        <v>365</v>
      </c>
      <c r="AA32" s="30">
        <f t="shared" si="7"/>
        <v>0.73737373737373735</v>
      </c>
      <c r="AB32" s="24">
        <f t="shared" si="8"/>
        <v>990</v>
      </c>
      <c r="AC32" s="24">
        <f t="shared" si="9"/>
        <v>1138</v>
      </c>
      <c r="AD32" s="24">
        <f t="shared" si="10"/>
        <v>1138</v>
      </c>
      <c r="AE32" s="24">
        <f t="shared" si="11"/>
        <v>1138</v>
      </c>
      <c r="AF32" s="24">
        <f t="shared" si="12"/>
        <v>569</v>
      </c>
      <c r="AG32" s="21">
        <f t="shared" si="13"/>
        <v>1138</v>
      </c>
      <c r="AH32" s="9" t="s">
        <v>138</v>
      </c>
      <c r="AI32" s="9" t="s">
        <v>138</v>
      </c>
      <c r="AJ32" s="9" t="s">
        <v>132</v>
      </c>
    </row>
    <row r="33" spans="1:36" ht="15.75" thickBot="1" x14ac:dyDescent="0.3">
      <c r="A33" s="3" t="s">
        <v>68</v>
      </c>
      <c r="B33" s="4">
        <v>135</v>
      </c>
      <c r="C33" s="4">
        <v>175</v>
      </c>
      <c r="D33" s="4">
        <v>110</v>
      </c>
      <c r="E33" s="4">
        <v>210</v>
      </c>
      <c r="F33" s="4">
        <v>110</v>
      </c>
      <c r="G33" s="4">
        <v>150</v>
      </c>
      <c r="H33" s="4">
        <v>150</v>
      </c>
      <c r="I33" s="4">
        <v>660</v>
      </c>
      <c r="J33" s="4">
        <v>1</v>
      </c>
      <c r="K33" s="13" t="s">
        <v>163</v>
      </c>
      <c r="L33" s="6"/>
      <c r="M33" s="15"/>
      <c r="N33" s="4"/>
      <c r="O33" s="14" t="s">
        <v>154</v>
      </c>
      <c r="P33" s="14">
        <v>135</v>
      </c>
      <c r="Q33" s="8">
        <v>60</v>
      </c>
      <c r="R33" s="4"/>
      <c r="S33" s="4" t="s">
        <v>67</v>
      </c>
      <c r="T33" s="33">
        <f t="shared" si="0"/>
        <v>330</v>
      </c>
      <c r="U33" s="26">
        <f t="shared" si="1"/>
        <v>15</v>
      </c>
      <c r="V33" s="26">
        <f t="shared" si="2"/>
        <v>22.5</v>
      </c>
      <c r="W33" s="19">
        <f t="shared" si="3"/>
        <v>643</v>
      </c>
      <c r="X33" s="22">
        <f t="shared" si="4"/>
        <v>717</v>
      </c>
      <c r="Y33" s="29">
        <f t="shared" si="5"/>
        <v>357</v>
      </c>
      <c r="Z33" s="29">
        <f t="shared" si="6"/>
        <v>464</v>
      </c>
      <c r="AA33" s="30">
        <f t="shared" si="7"/>
        <v>0.72161741835147741</v>
      </c>
      <c r="AB33" s="24">
        <f t="shared" si="8"/>
        <v>1286</v>
      </c>
      <c r="AC33" s="24">
        <f t="shared" si="9"/>
        <v>1478</v>
      </c>
      <c r="AD33" s="24">
        <f t="shared" si="10"/>
        <v>1478</v>
      </c>
      <c r="AE33" s="24">
        <f t="shared" si="11"/>
        <v>1478</v>
      </c>
      <c r="AF33" s="24">
        <f t="shared" si="12"/>
        <v>739</v>
      </c>
      <c r="AG33" s="21">
        <f t="shared" si="13"/>
        <v>1478</v>
      </c>
      <c r="AH33" s="9" t="s">
        <v>137</v>
      </c>
      <c r="AI33" s="9" t="s">
        <v>138</v>
      </c>
      <c r="AJ33" s="9" t="s">
        <v>135</v>
      </c>
    </row>
    <row r="34" spans="1:36" ht="15.75" thickBot="1" x14ac:dyDescent="0.3">
      <c r="A34" s="3" t="s">
        <v>70</v>
      </c>
      <c r="B34" s="4">
        <v>135</v>
      </c>
      <c r="C34" s="4">
        <v>175</v>
      </c>
      <c r="D34" s="4">
        <v>110</v>
      </c>
      <c r="E34" s="4">
        <v>150</v>
      </c>
      <c r="F34" s="4">
        <v>135</v>
      </c>
      <c r="G34" s="4">
        <v>150</v>
      </c>
      <c r="H34" s="4">
        <v>150</v>
      </c>
      <c r="I34" s="4">
        <v>660</v>
      </c>
      <c r="J34" s="4">
        <v>1</v>
      </c>
      <c r="K34" s="15"/>
      <c r="L34" s="15"/>
      <c r="M34" s="6"/>
      <c r="N34" s="4"/>
      <c r="O34" s="14" t="s">
        <v>126</v>
      </c>
      <c r="P34" s="14">
        <v>147</v>
      </c>
      <c r="Q34" s="8">
        <v>75</v>
      </c>
      <c r="R34" s="4"/>
      <c r="S34" s="4" t="s">
        <v>35</v>
      </c>
      <c r="T34" s="33">
        <f t="shared" ref="T34:T65" si="14">P34+Q34+B34</f>
        <v>357</v>
      </c>
      <c r="U34" s="26">
        <f t="shared" ref="U34:U65" si="15">FLOOR((C34+(H34/2))/16,1)</f>
        <v>15</v>
      </c>
      <c r="V34" s="26">
        <f t="shared" ref="V34:V65" si="16">U34*IF(J34&gt;=1,1.5,1)</f>
        <v>22.5</v>
      </c>
      <c r="W34" s="19">
        <f t="shared" ref="W34:W65" si="17">INT(T34*IF(R34="",1.5,VLOOKUP(R34,$AL$2:$AM$10,2,FALSE))*(U34*2+100)/100)</f>
        <v>696</v>
      </c>
      <c r="X34" s="22">
        <f t="shared" ref="X34:X65" si="18">INT(T34*IF(R34="",1.5,VLOOKUP(R34,$AL$2:$AM$10,2,FALSE))*(U34*3+100)/100)</f>
        <v>776</v>
      </c>
      <c r="Y34" s="29">
        <f t="shared" ref="Y34:Y65" si="19">INT((T34+IF(J34&gt;=1,F34/4,0)))</f>
        <v>390</v>
      </c>
      <c r="Z34" s="29">
        <f t="shared" ref="Z34:Z65" si="20">INT(Y34*(U34*2+100)/100)</f>
        <v>507</v>
      </c>
      <c r="AA34" s="30">
        <f t="shared" ref="AA34:AA65" si="21">Z34/W34</f>
        <v>0.72844827586206895</v>
      </c>
      <c r="AB34" s="24">
        <f t="shared" ref="AB34:AB65" si="22">W34*IF(J34&lt;1,1,IF(J34=1,2,IF(J34&gt;=2,3)))</f>
        <v>1392</v>
      </c>
      <c r="AC34" s="24">
        <f t="shared" ref="AC34:AC65" si="23">INT(AB34*IF(J34&gt;=3,1.5,1.15))</f>
        <v>1600</v>
      </c>
      <c r="AD34" s="24">
        <f t="shared" ref="AD34:AD65" si="24">INT(IF(J34&gt;=3,X34,W34)*IF(J34&lt;1,1,IF(J34=1,2,IF(J34&gt;=2,3,1)))*1.15)</f>
        <v>1600</v>
      </c>
      <c r="AE34" s="24">
        <f t="shared" ref="AE34:AE65" si="25">INT(IF(J34=3,Z34*3,AB34)*1.15)</f>
        <v>1600</v>
      </c>
      <c r="AF34" s="24">
        <f t="shared" ref="AF34:AF65" si="26">INT(W34*IF(J34=0,1,IF(J34&gt;=2,1.5,1)*IF(J34&gt;=3,1.5,1.15)))</f>
        <v>800</v>
      </c>
      <c r="AG34" s="21">
        <f t="shared" ref="AG34:AG65" si="27">MAX(A34:AF34)</f>
        <v>1600</v>
      </c>
      <c r="AH34" s="9" t="s">
        <v>134</v>
      </c>
      <c r="AI34" s="9" t="s">
        <v>137</v>
      </c>
      <c r="AJ34" s="9" t="s">
        <v>135</v>
      </c>
    </row>
    <row r="35" spans="1:36" ht="15.75" thickBot="1" x14ac:dyDescent="0.3">
      <c r="A35" s="3" t="s">
        <v>90</v>
      </c>
      <c r="B35" s="4">
        <v>135</v>
      </c>
      <c r="C35" s="4">
        <v>175</v>
      </c>
      <c r="D35" s="4">
        <v>110</v>
      </c>
      <c r="E35" s="4">
        <v>195</v>
      </c>
      <c r="F35" s="4">
        <v>135</v>
      </c>
      <c r="G35" s="4">
        <v>150</v>
      </c>
      <c r="H35" s="4">
        <v>150</v>
      </c>
      <c r="I35" s="4">
        <v>600</v>
      </c>
      <c r="J35" s="4">
        <v>2</v>
      </c>
      <c r="K35" s="15"/>
      <c r="L35" s="6"/>
      <c r="M35" s="6"/>
      <c r="N35" s="4"/>
      <c r="O35" s="14" t="s">
        <v>151</v>
      </c>
      <c r="P35" s="14">
        <v>165</v>
      </c>
      <c r="Q35" s="8">
        <v>60</v>
      </c>
      <c r="R35" s="4"/>
      <c r="S35" s="4" t="s">
        <v>67</v>
      </c>
      <c r="T35" s="33">
        <f t="shared" si="14"/>
        <v>360</v>
      </c>
      <c r="U35" s="26">
        <f t="shared" si="15"/>
        <v>15</v>
      </c>
      <c r="V35" s="26">
        <f t="shared" si="16"/>
        <v>22.5</v>
      </c>
      <c r="W35" s="19">
        <f t="shared" si="17"/>
        <v>702</v>
      </c>
      <c r="X35" s="22">
        <f t="shared" si="18"/>
        <v>783</v>
      </c>
      <c r="Y35" s="29">
        <f t="shared" si="19"/>
        <v>393</v>
      </c>
      <c r="Z35" s="29">
        <f t="shared" si="20"/>
        <v>510</v>
      </c>
      <c r="AA35" s="30">
        <f t="shared" si="21"/>
        <v>0.72649572649572647</v>
      </c>
      <c r="AB35" s="24">
        <f t="shared" si="22"/>
        <v>2106</v>
      </c>
      <c r="AC35" s="24">
        <f t="shared" si="23"/>
        <v>2421</v>
      </c>
      <c r="AD35" s="24">
        <f t="shared" si="24"/>
        <v>2421</v>
      </c>
      <c r="AE35" s="24">
        <f t="shared" si="25"/>
        <v>2421</v>
      </c>
      <c r="AF35" s="24">
        <f t="shared" si="26"/>
        <v>1210</v>
      </c>
      <c r="AG35" s="21">
        <f t="shared" si="27"/>
        <v>2421</v>
      </c>
      <c r="AH35" s="9" t="s">
        <v>134</v>
      </c>
      <c r="AI35" s="9" t="s">
        <v>132</v>
      </c>
      <c r="AJ35" s="9" t="s">
        <v>135</v>
      </c>
    </row>
    <row r="36" spans="1:36" ht="15.75" thickBot="1" x14ac:dyDescent="0.3">
      <c r="A36" s="3" t="s">
        <v>99</v>
      </c>
      <c r="B36" s="4">
        <v>135</v>
      </c>
      <c r="C36" s="4">
        <v>175</v>
      </c>
      <c r="D36" s="4">
        <v>110</v>
      </c>
      <c r="E36" s="4">
        <v>195</v>
      </c>
      <c r="F36" s="4">
        <v>135</v>
      </c>
      <c r="G36" s="4">
        <v>110</v>
      </c>
      <c r="H36" s="4">
        <v>135</v>
      </c>
      <c r="I36" s="4">
        <v>660</v>
      </c>
      <c r="J36" s="4">
        <v>1</v>
      </c>
      <c r="K36" s="15"/>
      <c r="L36" s="6"/>
      <c r="M36" s="15"/>
      <c r="N36" s="4"/>
      <c r="O36" s="14" t="s">
        <v>155</v>
      </c>
      <c r="P36" s="14">
        <v>140</v>
      </c>
      <c r="Q36" s="8">
        <v>60</v>
      </c>
      <c r="R36" s="4"/>
      <c r="S36" s="4" t="s">
        <v>100</v>
      </c>
      <c r="T36" s="33">
        <f t="shared" si="14"/>
        <v>335</v>
      </c>
      <c r="U36" s="26">
        <f t="shared" si="15"/>
        <v>15</v>
      </c>
      <c r="V36" s="26">
        <f t="shared" si="16"/>
        <v>22.5</v>
      </c>
      <c r="W36" s="19">
        <f t="shared" si="17"/>
        <v>653</v>
      </c>
      <c r="X36" s="22">
        <f t="shared" si="18"/>
        <v>728</v>
      </c>
      <c r="Y36" s="29">
        <f t="shared" si="19"/>
        <v>368</v>
      </c>
      <c r="Z36" s="29">
        <f t="shared" si="20"/>
        <v>478</v>
      </c>
      <c r="AA36" s="30">
        <f t="shared" si="21"/>
        <v>0.73200612557427258</v>
      </c>
      <c r="AB36" s="24">
        <f t="shared" si="22"/>
        <v>1306</v>
      </c>
      <c r="AC36" s="24">
        <f t="shared" si="23"/>
        <v>1501</v>
      </c>
      <c r="AD36" s="24">
        <f t="shared" si="24"/>
        <v>1501</v>
      </c>
      <c r="AE36" s="24">
        <f t="shared" si="25"/>
        <v>1501</v>
      </c>
      <c r="AF36" s="24">
        <f t="shared" si="26"/>
        <v>750</v>
      </c>
      <c r="AG36" s="21">
        <f t="shared" si="27"/>
        <v>1501</v>
      </c>
      <c r="AH36" s="9" t="s">
        <v>137</v>
      </c>
      <c r="AI36" s="9" t="s">
        <v>138</v>
      </c>
      <c r="AJ36" s="9" t="s">
        <v>134</v>
      </c>
    </row>
    <row r="37" spans="1:36" ht="15.75" thickBot="1" x14ac:dyDescent="0.3">
      <c r="A37" s="3" t="s">
        <v>112</v>
      </c>
      <c r="B37" s="4">
        <v>150</v>
      </c>
      <c r="C37" s="4">
        <v>175</v>
      </c>
      <c r="D37" s="4">
        <v>110</v>
      </c>
      <c r="E37" s="4">
        <v>135</v>
      </c>
      <c r="F37" s="4">
        <v>135</v>
      </c>
      <c r="G37" s="4">
        <v>150</v>
      </c>
      <c r="H37" s="4">
        <v>135</v>
      </c>
      <c r="I37" s="4">
        <v>660</v>
      </c>
      <c r="J37" s="4">
        <v>1</v>
      </c>
      <c r="K37" s="15"/>
      <c r="L37" s="6"/>
      <c r="M37" s="15"/>
      <c r="N37" s="4"/>
      <c r="O37" s="14" t="s">
        <v>147</v>
      </c>
      <c r="P37" s="14">
        <v>140</v>
      </c>
      <c r="Q37" s="8">
        <v>60</v>
      </c>
      <c r="R37" s="4"/>
      <c r="S37" s="4" t="s">
        <v>19</v>
      </c>
      <c r="T37" s="33">
        <f t="shared" si="14"/>
        <v>350</v>
      </c>
      <c r="U37" s="26">
        <f t="shared" si="15"/>
        <v>15</v>
      </c>
      <c r="V37" s="26">
        <f t="shared" si="16"/>
        <v>22.5</v>
      </c>
      <c r="W37" s="19">
        <f t="shared" si="17"/>
        <v>682</v>
      </c>
      <c r="X37" s="22">
        <f t="shared" si="18"/>
        <v>761</v>
      </c>
      <c r="Y37" s="29">
        <f t="shared" si="19"/>
        <v>383</v>
      </c>
      <c r="Z37" s="29">
        <f t="shared" si="20"/>
        <v>497</v>
      </c>
      <c r="AA37" s="30">
        <f t="shared" si="21"/>
        <v>0.72873900293255134</v>
      </c>
      <c r="AB37" s="24">
        <f t="shared" si="22"/>
        <v>1364</v>
      </c>
      <c r="AC37" s="24">
        <f t="shared" si="23"/>
        <v>1568</v>
      </c>
      <c r="AD37" s="24">
        <f t="shared" si="24"/>
        <v>1568</v>
      </c>
      <c r="AE37" s="24">
        <f t="shared" si="25"/>
        <v>1568</v>
      </c>
      <c r="AF37" s="24">
        <f t="shared" si="26"/>
        <v>784</v>
      </c>
      <c r="AG37" s="21">
        <f t="shared" si="27"/>
        <v>1568</v>
      </c>
      <c r="AH37" s="9" t="s">
        <v>136</v>
      </c>
      <c r="AI37" s="9" t="s">
        <v>137</v>
      </c>
      <c r="AJ37" s="9" t="s">
        <v>134</v>
      </c>
    </row>
    <row r="38" spans="1:36" ht="15.75" thickBot="1" x14ac:dyDescent="0.3">
      <c r="A38" s="3" t="s">
        <v>115</v>
      </c>
      <c r="B38" s="4">
        <v>150</v>
      </c>
      <c r="C38" s="4">
        <v>175</v>
      </c>
      <c r="D38" s="4">
        <v>110</v>
      </c>
      <c r="E38" s="4">
        <v>150</v>
      </c>
      <c r="F38" s="4">
        <v>135</v>
      </c>
      <c r="G38" s="4">
        <v>135</v>
      </c>
      <c r="H38" s="4">
        <v>135</v>
      </c>
      <c r="I38" s="4">
        <v>660</v>
      </c>
      <c r="J38" s="4">
        <v>2</v>
      </c>
      <c r="K38" s="15"/>
      <c r="L38" s="6"/>
      <c r="M38" s="6"/>
      <c r="N38" s="4"/>
      <c r="O38" s="14" t="s">
        <v>147</v>
      </c>
      <c r="P38" s="14">
        <v>140</v>
      </c>
      <c r="Q38" s="8">
        <v>60</v>
      </c>
      <c r="R38" s="4"/>
      <c r="S38" s="4" t="s">
        <v>23</v>
      </c>
      <c r="T38" s="33">
        <f t="shared" si="14"/>
        <v>350</v>
      </c>
      <c r="U38" s="26">
        <f t="shared" si="15"/>
        <v>15</v>
      </c>
      <c r="V38" s="26">
        <f t="shared" si="16"/>
        <v>22.5</v>
      </c>
      <c r="W38" s="19">
        <f t="shared" si="17"/>
        <v>682</v>
      </c>
      <c r="X38" s="22">
        <f t="shared" si="18"/>
        <v>761</v>
      </c>
      <c r="Y38" s="29">
        <f t="shared" si="19"/>
        <v>383</v>
      </c>
      <c r="Z38" s="29">
        <f t="shared" si="20"/>
        <v>497</v>
      </c>
      <c r="AA38" s="30">
        <f t="shared" si="21"/>
        <v>0.72873900293255134</v>
      </c>
      <c r="AB38" s="24">
        <f t="shared" si="22"/>
        <v>2046</v>
      </c>
      <c r="AC38" s="24">
        <f t="shared" si="23"/>
        <v>2352</v>
      </c>
      <c r="AD38" s="24">
        <f t="shared" si="24"/>
        <v>2352</v>
      </c>
      <c r="AE38" s="24">
        <f t="shared" si="25"/>
        <v>2352</v>
      </c>
      <c r="AF38" s="24">
        <f t="shared" si="26"/>
        <v>1176</v>
      </c>
      <c r="AG38" s="21">
        <f t="shared" si="27"/>
        <v>2352</v>
      </c>
      <c r="AH38" s="9" t="s">
        <v>136</v>
      </c>
      <c r="AI38" s="9" t="s">
        <v>135</v>
      </c>
      <c r="AJ38" s="9" t="s">
        <v>134</v>
      </c>
    </row>
    <row r="39" spans="1:36" ht="15.75" thickBot="1" x14ac:dyDescent="0.3">
      <c r="A39" s="3" t="s">
        <v>118</v>
      </c>
      <c r="B39" s="4">
        <v>175</v>
      </c>
      <c r="C39" s="4">
        <v>175</v>
      </c>
      <c r="D39" s="4">
        <v>110</v>
      </c>
      <c r="E39" s="4">
        <v>175</v>
      </c>
      <c r="F39" s="4">
        <v>135</v>
      </c>
      <c r="G39" s="4">
        <v>135</v>
      </c>
      <c r="H39" s="4">
        <v>150</v>
      </c>
      <c r="I39" s="4">
        <v>720</v>
      </c>
      <c r="J39" s="4">
        <v>1</v>
      </c>
      <c r="K39" s="15"/>
      <c r="L39" s="13" t="s">
        <v>148</v>
      </c>
      <c r="M39" s="6"/>
      <c r="N39" s="4"/>
      <c r="O39" s="14" t="s">
        <v>149</v>
      </c>
      <c r="P39" s="14">
        <v>150</v>
      </c>
      <c r="Q39" s="8">
        <v>75</v>
      </c>
      <c r="R39" s="4"/>
      <c r="S39" s="4" t="s">
        <v>21</v>
      </c>
      <c r="T39" s="33">
        <f t="shared" si="14"/>
        <v>400</v>
      </c>
      <c r="U39" s="26">
        <f t="shared" si="15"/>
        <v>15</v>
      </c>
      <c r="V39" s="26">
        <f t="shared" si="16"/>
        <v>22.5</v>
      </c>
      <c r="W39" s="19">
        <f t="shared" si="17"/>
        <v>780</v>
      </c>
      <c r="X39" s="22">
        <f t="shared" si="18"/>
        <v>870</v>
      </c>
      <c r="Y39" s="29">
        <f t="shared" si="19"/>
        <v>433</v>
      </c>
      <c r="Z39" s="29">
        <f t="shared" si="20"/>
        <v>562</v>
      </c>
      <c r="AA39" s="30">
        <f t="shared" si="21"/>
        <v>0.72051282051282051</v>
      </c>
      <c r="AB39" s="24">
        <f t="shared" si="22"/>
        <v>1560</v>
      </c>
      <c r="AC39" s="24">
        <f t="shared" si="23"/>
        <v>1794</v>
      </c>
      <c r="AD39" s="24">
        <f t="shared" si="24"/>
        <v>1794</v>
      </c>
      <c r="AE39" s="24">
        <f t="shared" si="25"/>
        <v>1794</v>
      </c>
      <c r="AF39" s="24">
        <f t="shared" si="26"/>
        <v>897</v>
      </c>
      <c r="AG39" s="21">
        <f t="shared" si="27"/>
        <v>1794</v>
      </c>
      <c r="AH39" s="9" t="s">
        <v>132</v>
      </c>
      <c r="AI39" s="9" t="s">
        <v>134</v>
      </c>
      <c r="AJ39" s="9" t="s">
        <v>135</v>
      </c>
    </row>
    <row r="40" spans="1:36" ht="15.75" thickBot="1" x14ac:dyDescent="0.3">
      <c r="A40" s="3" t="s">
        <v>121</v>
      </c>
      <c r="B40" s="4">
        <v>135</v>
      </c>
      <c r="C40" s="4">
        <v>175</v>
      </c>
      <c r="D40" s="4">
        <v>110</v>
      </c>
      <c r="E40" s="4">
        <v>135</v>
      </c>
      <c r="F40" s="4">
        <v>110</v>
      </c>
      <c r="G40" s="4">
        <v>175</v>
      </c>
      <c r="H40" s="4">
        <v>110</v>
      </c>
      <c r="I40" s="4">
        <v>660</v>
      </c>
      <c r="J40" s="4">
        <v>1</v>
      </c>
      <c r="K40" s="15"/>
      <c r="L40" s="6"/>
      <c r="M40" s="15"/>
      <c r="N40" s="4"/>
      <c r="O40" s="14" t="s">
        <v>149</v>
      </c>
      <c r="P40" s="14">
        <v>150</v>
      </c>
      <c r="Q40" s="8">
        <v>55</v>
      </c>
      <c r="R40" s="4"/>
      <c r="S40" s="4" t="s">
        <v>122</v>
      </c>
      <c r="T40" s="33">
        <f t="shared" si="14"/>
        <v>340</v>
      </c>
      <c r="U40" s="26">
        <f t="shared" si="15"/>
        <v>14</v>
      </c>
      <c r="V40" s="26">
        <f t="shared" si="16"/>
        <v>21</v>
      </c>
      <c r="W40" s="19">
        <f t="shared" si="17"/>
        <v>652</v>
      </c>
      <c r="X40" s="22">
        <f t="shared" si="18"/>
        <v>724</v>
      </c>
      <c r="Y40" s="29">
        <f t="shared" si="19"/>
        <v>367</v>
      </c>
      <c r="Z40" s="29">
        <f t="shared" si="20"/>
        <v>469</v>
      </c>
      <c r="AA40" s="30">
        <f t="shared" si="21"/>
        <v>0.71932515337423308</v>
      </c>
      <c r="AB40" s="24">
        <f t="shared" si="22"/>
        <v>1304</v>
      </c>
      <c r="AC40" s="24">
        <f t="shared" si="23"/>
        <v>1499</v>
      </c>
      <c r="AD40" s="24">
        <f t="shared" si="24"/>
        <v>1499</v>
      </c>
      <c r="AE40" s="24">
        <f t="shared" si="25"/>
        <v>1499</v>
      </c>
      <c r="AF40" s="24">
        <f t="shared" si="26"/>
        <v>749</v>
      </c>
      <c r="AG40" s="21">
        <f t="shared" si="27"/>
        <v>1499</v>
      </c>
      <c r="AH40" s="9" t="s">
        <v>136</v>
      </c>
      <c r="AI40" s="9" t="s">
        <v>138</v>
      </c>
      <c r="AJ40" s="9" t="s">
        <v>136</v>
      </c>
    </row>
    <row r="41" spans="1:36" ht="15.75" thickBot="1" x14ac:dyDescent="0.3">
      <c r="A41" s="3" t="s">
        <v>123</v>
      </c>
      <c r="B41" s="4">
        <v>150</v>
      </c>
      <c r="C41" s="4">
        <v>175</v>
      </c>
      <c r="D41" s="4">
        <v>110</v>
      </c>
      <c r="E41" s="4">
        <v>175</v>
      </c>
      <c r="F41" s="4">
        <v>135</v>
      </c>
      <c r="G41" s="4">
        <v>135</v>
      </c>
      <c r="H41" s="4">
        <v>175</v>
      </c>
      <c r="I41" s="4">
        <v>840</v>
      </c>
      <c r="J41" s="4">
        <v>1</v>
      </c>
      <c r="K41" s="15"/>
      <c r="L41" s="13" t="s">
        <v>164</v>
      </c>
      <c r="M41" s="6"/>
      <c r="N41" s="4"/>
      <c r="O41" s="14" t="s">
        <v>154</v>
      </c>
      <c r="P41" s="14">
        <v>135</v>
      </c>
      <c r="Q41" s="8">
        <v>60</v>
      </c>
      <c r="R41" s="4"/>
      <c r="S41" s="4" t="s">
        <v>67</v>
      </c>
      <c r="T41" s="33">
        <f t="shared" si="14"/>
        <v>345</v>
      </c>
      <c r="U41" s="26">
        <f t="shared" si="15"/>
        <v>16</v>
      </c>
      <c r="V41" s="26">
        <f t="shared" si="16"/>
        <v>24</v>
      </c>
      <c r="W41" s="19">
        <f t="shared" si="17"/>
        <v>683</v>
      </c>
      <c r="X41" s="22">
        <f t="shared" si="18"/>
        <v>765</v>
      </c>
      <c r="Y41" s="29">
        <f t="shared" si="19"/>
        <v>378</v>
      </c>
      <c r="Z41" s="29">
        <f t="shared" si="20"/>
        <v>498</v>
      </c>
      <c r="AA41" s="30">
        <f t="shared" si="21"/>
        <v>0.72913616398243042</v>
      </c>
      <c r="AB41" s="24">
        <f t="shared" si="22"/>
        <v>1366</v>
      </c>
      <c r="AC41" s="24">
        <f t="shared" si="23"/>
        <v>1570</v>
      </c>
      <c r="AD41" s="24">
        <f t="shared" si="24"/>
        <v>1570</v>
      </c>
      <c r="AE41" s="24">
        <f t="shared" si="25"/>
        <v>1570</v>
      </c>
      <c r="AF41" s="24">
        <f t="shared" si="26"/>
        <v>785</v>
      </c>
      <c r="AG41" s="21">
        <f t="shared" si="27"/>
        <v>1570</v>
      </c>
      <c r="AH41" s="9" t="s">
        <v>134</v>
      </c>
      <c r="AI41" s="9" t="s">
        <v>137</v>
      </c>
      <c r="AJ41" s="9" t="s">
        <v>132</v>
      </c>
    </row>
    <row r="42" spans="1:36" ht="15.75" thickBot="1" x14ac:dyDescent="0.3">
      <c r="A42" s="3" t="s">
        <v>22</v>
      </c>
      <c r="B42" s="4">
        <v>135</v>
      </c>
      <c r="C42" s="4">
        <v>150</v>
      </c>
      <c r="D42" s="4">
        <v>110</v>
      </c>
      <c r="E42" s="4">
        <v>175</v>
      </c>
      <c r="F42" s="4">
        <v>135</v>
      </c>
      <c r="G42" s="4">
        <v>135</v>
      </c>
      <c r="H42" s="4">
        <v>175</v>
      </c>
      <c r="I42" s="4">
        <v>660</v>
      </c>
      <c r="J42" s="4">
        <v>2</v>
      </c>
      <c r="K42" s="15"/>
      <c r="L42" s="6"/>
      <c r="M42" s="6"/>
      <c r="N42" s="4"/>
      <c r="O42" s="14" t="s">
        <v>126</v>
      </c>
      <c r="P42" s="14">
        <v>147</v>
      </c>
      <c r="Q42" s="8">
        <v>60</v>
      </c>
      <c r="R42" s="4"/>
      <c r="S42" s="4" t="s">
        <v>23</v>
      </c>
      <c r="T42" s="33">
        <f t="shared" si="14"/>
        <v>342</v>
      </c>
      <c r="U42" s="26">
        <f t="shared" si="15"/>
        <v>14</v>
      </c>
      <c r="V42" s="26">
        <f t="shared" si="16"/>
        <v>21</v>
      </c>
      <c r="W42" s="19">
        <f t="shared" si="17"/>
        <v>656</v>
      </c>
      <c r="X42" s="22">
        <f t="shared" si="18"/>
        <v>728</v>
      </c>
      <c r="Y42" s="29">
        <f t="shared" si="19"/>
        <v>375</v>
      </c>
      <c r="Z42" s="29">
        <f t="shared" si="20"/>
        <v>480</v>
      </c>
      <c r="AA42" s="30">
        <f t="shared" si="21"/>
        <v>0.73170731707317072</v>
      </c>
      <c r="AB42" s="24">
        <f t="shared" si="22"/>
        <v>1968</v>
      </c>
      <c r="AC42" s="24">
        <f t="shared" si="23"/>
        <v>2263</v>
      </c>
      <c r="AD42" s="24">
        <f t="shared" si="24"/>
        <v>2263</v>
      </c>
      <c r="AE42" s="24">
        <f t="shared" si="25"/>
        <v>2263</v>
      </c>
      <c r="AF42" s="24">
        <f t="shared" si="26"/>
        <v>1131</v>
      </c>
      <c r="AG42" s="21">
        <f t="shared" si="27"/>
        <v>2263</v>
      </c>
      <c r="AH42" s="9" t="s">
        <v>136</v>
      </c>
      <c r="AI42" s="9" t="s">
        <v>135</v>
      </c>
      <c r="AJ42" s="9" t="s">
        <v>135</v>
      </c>
    </row>
    <row r="43" spans="1:36" ht="15.75" thickBot="1" x14ac:dyDescent="0.3">
      <c r="A43" s="3" t="s">
        <v>37</v>
      </c>
      <c r="B43" s="4">
        <v>465</v>
      </c>
      <c r="C43" s="4">
        <v>150</v>
      </c>
      <c r="D43" s="4">
        <v>110</v>
      </c>
      <c r="E43" s="4">
        <v>150</v>
      </c>
      <c r="F43" s="4">
        <v>202</v>
      </c>
      <c r="G43" s="4">
        <v>110</v>
      </c>
      <c r="H43" s="4">
        <v>135</v>
      </c>
      <c r="I43" s="4">
        <v>860</v>
      </c>
      <c r="J43" s="4">
        <v>1</v>
      </c>
      <c r="K43" s="13" t="s">
        <v>156</v>
      </c>
      <c r="L43" s="13"/>
      <c r="M43" s="15"/>
      <c r="N43" s="5" t="s">
        <v>17</v>
      </c>
      <c r="O43" s="14" t="s">
        <v>146</v>
      </c>
      <c r="P43" s="14">
        <v>0</v>
      </c>
      <c r="Q43" s="14">
        <v>0</v>
      </c>
      <c r="R43" s="5" t="s">
        <v>17</v>
      </c>
      <c r="S43" s="4"/>
      <c r="T43" s="33">
        <f t="shared" si="14"/>
        <v>465</v>
      </c>
      <c r="U43" s="26">
        <f t="shared" si="15"/>
        <v>13</v>
      </c>
      <c r="V43" s="26">
        <f t="shared" si="16"/>
        <v>19.5</v>
      </c>
      <c r="W43" s="19">
        <f t="shared" si="17"/>
        <v>585</v>
      </c>
      <c r="X43" s="22">
        <f t="shared" si="18"/>
        <v>646</v>
      </c>
      <c r="Y43" s="29">
        <f t="shared" si="19"/>
        <v>515</v>
      </c>
      <c r="Z43" s="29">
        <f t="shared" si="20"/>
        <v>648</v>
      </c>
      <c r="AA43" s="30">
        <f t="shared" si="21"/>
        <v>1.1076923076923078</v>
      </c>
      <c r="AB43" s="24">
        <f t="shared" si="22"/>
        <v>1170</v>
      </c>
      <c r="AC43" s="24">
        <f t="shared" si="23"/>
        <v>1345</v>
      </c>
      <c r="AD43" s="24">
        <f t="shared" si="24"/>
        <v>1345</v>
      </c>
      <c r="AE43" s="24">
        <f t="shared" si="25"/>
        <v>1345</v>
      </c>
      <c r="AF43" s="24">
        <f t="shared" si="26"/>
        <v>672</v>
      </c>
      <c r="AG43" s="21">
        <f t="shared" si="27"/>
        <v>1345</v>
      </c>
      <c r="AH43" s="9" t="s">
        <v>137</v>
      </c>
      <c r="AI43" s="9" t="s">
        <v>138</v>
      </c>
      <c r="AJ43" s="9" t="s">
        <v>136</v>
      </c>
    </row>
    <row r="44" spans="1:36" ht="15.75" thickBot="1" x14ac:dyDescent="0.3">
      <c r="A44" s="3" t="s">
        <v>41</v>
      </c>
      <c r="B44" s="4">
        <v>135</v>
      </c>
      <c r="C44" s="4">
        <v>150</v>
      </c>
      <c r="D44" s="4">
        <v>110</v>
      </c>
      <c r="E44" s="4">
        <v>175</v>
      </c>
      <c r="F44" s="4">
        <v>110</v>
      </c>
      <c r="G44" s="4">
        <v>110</v>
      </c>
      <c r="H44" s="4">
        <v>175</v>
      </c>
      <c r="I44" s="4">
        <v>660</v>
      </c>
      <c r="J44" s="4">
        <v>1</v>
      </c>
      <c r="K44" s="15"/>
      <c r="L44" s="6"/>
      <c r="M44" s="15"/>
      <c r="N44" s="4"/>
      <c r="O44" s="14" t="s">
        <v>147</v>
      </c>
      <c r="P44" s="14">
        <v>140</v>
      </c>
      <c r="Q44" s="8">
        <v>79</v>
      </c>
      <c r="R44" s="4"/>
      <c r="S44" s="4" t="s">
        <v>42</v>
      </c>
      <c r="T44" s="33">
        <f t="shared" si="14"/>
        <v>354</v>
      </c>
      <c r="U44" s="26">
        <f t="shared" si="15"/>
        <v>14</v>
      </c>
      <c r="V44" s="26">
        <f t="shared" si="16"/>
        <v>21</v>
      </c>
      <c r="W44" s="19">
        <f t="shared" si="17"/>
        <v>679</v>
      </c>
      <c r="X44" s="22">
        <f t="shared" si="18"/>
        <v>754</v>
      </c>
      <c r="Y44" s="29">
        <f t="shared" si="19"/>
        <v>381</v>
      </c>
      <c r="Z44" s="29">
        <f t="shared" si="20"/>
        <v>487</v>
      </c>
      <c r="AA44" s="30">
        <f t="shared" si="21"/>
        <v>0.71723122238586157</v>
      </c>
      <c r="AB44" s="24">
        <f t="shared" si="22"/>
        <v>1358</v>
      </c>
      <c r="AC44" s="24">
        <f t="shared" si="23"/>
        <v>1561</v>
      </c>
      <c r="AD44" s="24">
        <f t="shared" si="24"/>
        <v>1561</v>
      </c>
      <c r="AE44" s="24">
        <f t="shared" si="25"/>
        <v>1561</v>
      </c>
      <c r="AF44" s="24">
        <f t="shared" si="26"/>
        <v>780</v>
      </c>
      <c r="AG44" s="21">
        <f t="shared" si="27"/>
        <v>1561</v>
      </c>
      <c r="AH44" s="9" t="s">
        <v>134</v>
      </c>
      <c r="AI44" s="9" t="s">
        <v>137</v>
      </c>
      <c r="AJ44" s="9" t="s">
        <v>135</v>
      </c>
    </row>
    <row r="45" spans="1:36" ht="15.75" thickBot="1" x14ac:dyDescent="0.3">
      <c r="A45" s="3" t="s">
        <v>47</v>
      </c>
      <c r="B45" s="4">
        <v>135</v>
      </c>
      <c r="C45" s="4">
        <v>150</v>
      </c>
      <c r="D45" s="4">
        <v>110</v>
      </c>
      <c r="E45" s="4">
        <v>135</v>
      </c>
      <c r="F45" s="4">
        <v>135</v>
      </c>
      <c r="G45" s="4">
        <v>95</v>
      </c>
      <c r="H45" s="4">
        <v>175</v>
      </c>
      <c r="I45" s="4">
        <v>660</v>
      </c>
      <c r="J45" s="4">
        <v>1</v>
      </c>
      <c r="K45" s="15"/>
      <c r="L45" s="6"/>
      <c r="M45" s="15"/>
      <c r="N45" s="4"/>
      <c r="O45" s="14" t="s">
        <v>149</v>
      </c>
      <c r="P45" s="14">
        <v>150</v>
      </c>
      <c r="Q45" s="8">
        <v>79</v>
      </c>
      <c r="R45" s="4"/>
      <c r="S45" s="4" t="s">
        <v>48</v>
      </c>
      <c r="T45" s="33">
        <f t="shared" si="14"/>
        <v>364</v>
      </c>
      <c r="U45" s="26">
        <f t="shared" si="15"/>
        <v>14</v>
      </c>
      <c r="V45" s="26">
        <f t="shared" si="16"/>
        <v>21</v>
      </c>
      <c r="W45" s="19">
        <f t="shared" si="17"/>
        <v>698</v>
      </c>
      <c r="X45" s="22">
        <f t="shared" si="18"/>
        <v>775</v>
      </c>
      <c r="Y45" s="29">
        <f t="shared" si="19"/>
        <v>397</v>
      </c>
      <c r="Z45" s="29">
        <f t="shared" si="20"/>
        <v>508</v>
      </c>
      <c r="AA45" s="30">
        <f t="shared" si="21"/>
        <v>0.72779369627507162</v>
      </c>
      <c r="AB45" s="24">
        <f t="shared" si="22"/>
        <v>1396</v>
      </c>
      <c r="AC45" s="24">
        <f t="shared" si="23"/>
        <v>1605</v>
      </c>
      <c r="AD45" s="24">
        <f t="shared" si="24"/>
        <v>1605</v>
      </c>
      <c r="AE45" s="24">
        <f t="shared" si="25"/>
        <v>1605</v>
      </c>
      <c r="AF45" s="24">
        <f t="shared" si="26"/>
        <v>802</v>
      </c>
      <c r="AG45" s="21">
        <f t="shared" si="27"/>
        <v>1605</v>
      </c>
      <c r="AH45" s="9" t="s">
        <v>134</v>
      </c>
      <c r="AI45" s="9" t="s">
        <v>136</v>
      </c>
      <c r="AJ45" s="9" t="s">
        <v>135</v>
      </c>
    </row>
    <row r="46" spans="1:36" ht="15.75" thickBot="1" x14ac:dyDescent="0.3">
      <c r="A46" s="3" t="s">
        <v>49</v>
      </c>
      <c r="B46" s="4">
        <v>150</v>
      </c>
      <c r="C46" s="4">
        <v>150</v>
      </c>
      <c r="D46" s="4">
        <v>110</v>
      </c>
      <c r="E46" s="4">
        <v>150</v>
      </c>
      <c r="F46" s="4">
        <v>135</v>
      </c>
      <c r="G46" s="4">
        <v>110</v>
      </c>
      <c r="H46" s="4">
        <v>150</v>
      </c>
      <c r="I46" s="4">
        <v>660</v>
      </c>
      <c r="J46" s="4">
        <v>0</v>
      </c>
      <c r="K46" s="15"/>
      <c r="L46" s="13" t="s">
        <v>158</v>
      </c>
      <c r="M46" s="15"/>
      <c r="N46" s="4"/>
      <c r="O46" s="14" t="s">
        <v>159</v>
      </c>
      <c r="P46" s="14">
        <v>160</v>
      </c>
      <c r="Q46" s="8">
        <v>60</v>
      </c>
      <c r="R46" s="4"/>
      <c r="S46" s="4" t="s">
        <v>19</v>
      </c>
      <c r="T46" s="33">
        <f t="shared" si="14"/>
        <v>370</v>
      </c>
      <c r="U46" s="26">
        <f t="shared" si="15"/>
        <v>14</v>
      </c>
      <c r="V46" s="26">
        <f t="shared" si="16"/>
        <v>14</v>
      </c>
      <c r="W46" s="19">
        <f t="shared" si="17"/>
        <v>710</v>
      </c>
      <c r="X46" s="22">
        <f t="shared" si="18"/>
        <v>788</v>
      </c>
      <c r="Y46" s="29">
        <f t="shared" si="19"/>
        <v>370</v>
      </c>
      <c r="Z46" s="29">
        <f t="shared" si="20"/>
        <v>473</v>
      </c>
      <c r="AA46" s="30">
        <f t="shared" si="21"/>
        <v>0.66619718309859155</v>
      </c>
      <c r="AB46" s="24">
        <f t="shared" si="22"/>
        <v>710</v>
      </c>
      <c r="AC46" s="24">
        <f t="shared" si="23"/>
        <v>816</v>
      </c>
      <c r="AD46" s="24">
        <f t="shared" si="24"/>
        <v>816</v>
      </c>
      <c r="AE46" s="24">
        <f t="shared" si="25"/>
        <v>816</v>
      </c>
      <c r="AF46" s="24">
        <f t="shared" si="26"/>
        <v>710</v>
      </c>
      <c r="AG46" s="21">
        <f t="shared" si="27"/>
        <v>816</v>
      </c>
      <c r="AH46" s="9" t="s">
        <v>134</v>
      </c>
      <c r="AI46" s="9" t="s">
        <v>139</v>
      </c>
      <c r="AJ46" s="9" t="s">
        <v>134</v>
      </c>
    </row>
    <row r="47" spans="1:36" ht="15.75" thickBot="1" x14ac:dyDescent="0.3">
      <c r="A47" s="3" t="s">
        <v>57</v>
      </c>
      <c r="B47" s="4">
        <v>135</v>
      </c>
      <c r="C47" s="4">
        <v>150</v>
      </c>
      <c r="D47" s="4">
        <v>110</v>
      </c>
      <c r="E47" s="4">
        <v>150</v>
      </c>
      <c r="F47" s="4">
        <v>135</v>
      </c>
      <c r="G47" s="4">
        <v>135</v>
      </c>
      <c r="H47" s="4">
        <v>175</v>
      </c>
      <c r="I47" s="4">
        <v>660</v>
      </c>
      <c r="J47" s="4">
        <v>1</v>
      </c>
      <c r="K47" s="15"/>
      <c r="L47" s="6"/>
      <c r="M47" s="15"/>
      <c r="N47" s="7" t="s">
        <v>58</v>
      </c>
      <c r="O47" s="14" t="s">
        <v>149</v>
      </c>
      <c r="P47" s="14">
        <v>150</v>
      </c>
      <c r="Q47" s="8">
        <v>75</v>
      </c>
      <c r="R47" s="7" t="s">
        <v>58</v>
      </c>
      <c r="S47" s="4" t="s">
        <v>39</v>
      </c>
      <c r="T47" s="33">
        <f t="shared" si="14"/>
        <v>360</v>
      </c>
      <c r="U47" s="26">
        <f t="shared" si="15"/>
        <v>14</v>
      </c>
      <c r="V47" s="26">
        <f t="shared" si="16"/>
        <v>21</v>
      </c>
      <c r="W47" s="19">
        <f t="shared" si="17"/>
        <v>552</v>
      </c>
      <c r="X47" s="22">
        <f t="shared" si="18"/>
        <v>613</v>
      </c>
      <c r="Y47" s="29">
        <f t="shared" si="19"/>
        <v>393</v>
      </c>
      <c r="Z47" s="29">
        <f t="shared" si="20"/>
        <v>503</v>
      </c>
      <c r="AA47" s="30">
        <f t="shared" si="21"/>
        <v>0.91123188405797106</v>
      </c>
      <c r="AB47" s="24">
        <f t="shared" si="22"/>
        <v>1104</v>
      </c>
      <c r="AC47" s="24">
        <f t="shared" si="23"/>
        <v>1269</v>
      </c>
      <c r="AD47" s="24">
        <f t="shared" si="24"/>
        <v>1269</v>
      </c>
      <c r="AE47" s="24">
        <f t="shared" si="25"/>
        <v>1269</v>
      </c>
      <c r="AF47" s="24">
        <f t="shared" si="26"/>
        <v>634</v>
      </c>
      <c r="AG47" s="21">
        <f t="shared" si="27"/>
        <v>1269</v>
      </c>
      <c r="AH47" s="9" t="s">
        <v>137</v>
      </c>
      <c r="AI47" s="9" t="s">
        <v>138</v>
      </c>
      <c r="AJ47" s="9" t="s">
        <v>135</v>
      </c>
    </row>
    <row r="48" spans="1:36" ht="15.75" thickBot="1" x14ac:dyDescent="0.3">
      <c r="A48" s="3" t="s">
        <v>82</v>
      </c>
      <c r="B48" s="4">
        <v>110</v>
      </c>
      <c r="C48" s="4">
        <v>150</v>
      </c>
      <c r="D48" s="4">
        <v>110</v>
      </c>
      <c r="E48" s="4">
        <v>135</v>
      </c>
      <c r="F48" s="4">
        <v>110</v>
      </c>
      <c r="G48" s="4">
        <v>150</v>
      </c>
      <c r="H48" s="4">
        <v>210</v>
      </c>
      <c r="I48" s="4">
        <v>600</v>
      </c>
      <c r="J48" s="4">
        <v>1</v>
      </c>
      <c r="K48" s="5"/>
      <c r="L48" s="4"/>
      <c r="M48" s="13" t="s">
        <v>128</v>
      </c>
      <c r="N48" s="4"/>
      <c r="O48" s="14" t="s">
        <v>155</v>
      </c>
      <c r="P48" s="14">
        <v>140</v>
      </c>
      <c r="Q48" s="8">
        <v>40</v>
      </c>
      <c r="R48" s="4"/>
      <c r="S48" s="4" t="s">
        <v>23</v>
      </c>
      <c r="T48" s="33">
        <f t="shared" si="14"/>
        <v>290</v>
      </c>
      <c r="U48" s="26">
        <f t="shared" si="15"/>
        <v>15</v>
      </c>
      <c r="V48" s="26">
        <f t="shared" si="16"/>
        <v>22.5</v>
      </c>
      <c r="W48" s="19">
        <f t="shared" si="17"/>
        <v>565</v>
      </c>
      <c r="X48" s="22">
        <f t="shared" si="18"/>
        <v>630</v>
      </c>
      <c r="Y48" s="29">
        <f t="shared" si="19"/>
        <v>317</v>
      </c>
      <c r="Z48" s="29">
        <f t="shared" si="20"/>
        <v>412</v>
      </c>
      <c r="AA48" s="30">
        <f t="shared" si="21"/>
        <v>0.72920353982300889</v>
      </c>
      <c r="AB48" s="24">
        <f t="shared" si="22"/>
        <v>1130</v>
      </c>
      <c r="AC48" s="24">
        <f t="shared" si="23"/>
        <v>1299</v>
      </c>
      <c r="AD48" s="24">
        <f t="shared" si="24"/>
        <v>1299</v>
      </c>
      <c r="AE48" s="24">
        <f t="shared" si="25"/>
        <v>1299</v>
      </c>
      <c r="AF48" s="24">
        <f t="shared" si="26"/>
        <v>649</v>
      </c>
      <c r="AG48" s="21">
        <f t="shared" si="27"/>
        <v>1299</v>
      </c>
      <c r="AH48" s="9" t="s">
        <v>137</v>
      </c>
      <c r="AI48" s="9" t="s">
        <v>138</v>
      </c>
      <c r="AJ48" s="9" t="s">
        <v>133</v>
      </c>
    </row>
    <row r="49" spans="1:36" ht="15.75" thickBot="1" x14ac:dyDescent="0.3">
      <c r="A49" s="3" t="s">
        <v>88</v>
      </c>
      <c r="B49" s="4">
        <v>150</v>
      </c>
      <c r="C49" s="4">
        <v>150</v>
      </c>
      <c r="D49" s="4">
        <v>110</v>
      </c>
      <c r="E49" s="4">
        <v>150</v>
      </c>
      <c r="F49" s="4">
        <v>150</v>
      </c>
      <c r="G49" s="4">
        <v>135</v>
      </c>
      <c r="H49" s="4">
        <v>135</v>
      </c>
      <c r="I49" s="4">
        <v>720</v>
      </c>
      <c r="J49" s="4">
        <v>1</v>
      </c>
      <c r="K49" s="13" t="s">
        <v>168</v>
      </c>
      <c r="L49" s="6"/>
      <c r="M49" s="17"/>
      <c r="N49" s="8"/>
      <c r="O49" s="14" t="s">
        <v>154</v>
      </c>
      <c r="P49" s="14">
        <v>135</v>
      </c>
      <c r="Q49" s="8">
        <v>60</v>
      </c>
      <c r="R49" s="8"/>
      <c r="S49" s="4" t="s">
        <v>19</v>
      </c>
      <c r="T49" s="33">
        <f t="shared" si="14"/>
        <v>345</v>
      </c>
      <c r="U49" s="26">
        <f t="shared" si="15"/>
        <v>13</v>
      </c>
      <c r="V49" s="26">
        <f t="shared" si="16"/>
        <v>19.5</v>
      </c>
      <c r="W49" s="19">
        <f t="shared" si="17"/>
        <v>652</v>
      </c>
      <c r="X49" s="22">
        <f t="shared" si="18"/>
        <v>719</v>
      </c>
      <c r="Y49" s="29">
        <f t="shared" si="19"/>
        <v>382</v>
      </c>
      <c r="Z49" s="29">
        <f t="shared" si="20"/>
        <v>481</v>
      </c>
      <c r="AA49" s="30">
        <f t="shared" si="21"/>
        <v>0.73773006134969321</v>
      </c>
      <c r="AB49" s="24">
        <f t="shared" si="22"/>
        <v>1304</v>
      </c>
      <c r="AC49" s="24">
        <f t="shared" si="23"/>
        <v>1499</v>
      </c>
      <c r="AD49" s="24">
        <f t="shared" si="24"/>
        <v>1499</v>
      </c>
      <c r="AE49" s="24">
        <f t="shared" si="25"/>
        <v>1499</v>
      </c>
      <c r="AF49" s="24">
        <f t="shared" si="26"/>
        <v>749</v>
      </c>
      <c r="AG49" s="21">
        <f t="shared" si="27"/>
        <v>1499</v>
      </c>
      <c r="AH49" s="9" t="s">
        <v>136</v>
      </c>
      <c r="AI49" s="9" t="s">
        <v>137</v>
      </c>
      <c r="AJ49" s="9" t="s">
        <v>136</v>
      </c>
    </row>
    <row r="50" spans="1:36" ht="15.75" thickBot="1" x14ac:dyDescent="0.3">
      <c r="A50" s="3" t="s">
        <v>93</v>
      </c>
      <c r="B50" s="4">
        <v>210</v>
      </c>
      <c r="C50" s="4">
        <v>150</v>
      </c>
      <c r="D50" s="4">
        <v>110</v>
      </c>
      <c r="E50" s="4">
        <v>110</v>
      </c>
      <c r="F50" s="4">
        <v>150</v>
      </c>
      <c r="G50" s="4">
        <v>175</v>
      </c>
      <c r="H50" s="4">
        <v>75</v>
      </c>
      <c r="I50" s="4">
        <v>780</v>
      </c>
      <c r="J50" s="4">
        <v>1</v>
      </c>
      <c r="K50" s="15"/>
      <c r="L50" s="6"/>
      <c r="M50" s="15"/>
      <c r="N50" s="7" t="s">
        <v>94</v>
      </c>
      <c r="O50" s="14" t="s">
        <v>159</v>
      </c>
      <c r="P50" s="14">
        <v>160</v>
      </c>
      <c r="Q50" s="8">
        <v>20</v>
      </c>
      <c r="R50" s="7" t="s">
        <v>94</v>
      </c>
      <c r="S50" s="4" t="s">
        <v>95</v>
      </c>
      <c r="T50" s="33">
        <f t="shared" si="14"/>
        <v>390</v>
      </c>
      <c r="U50" s="26">
        <f t="shared" si="15"/>
        <v>11</v>
      </c>
      <c r="V50" s="26">
        <f t="shared" si="16"/>
        <v>16.5</v>
      </c>
      <c r="W50" s="19">
        <f t="shared" si="17"/>
        <v>713</v>
      </c>
      <c r="X50" s="22">
        <f t="shared" si="18"/>
        <v>778</v>
      </c>
      <c r="Y50" s="29">
        <f t="shared" si="19"/>
        <v>427</v>
      </c>
      <c r="Z50" s="29">
        <f t="shared" si="20"/>
        <v>520</v>
      </c>
      <c r="AA50" s="30">
        <f t="shared" si="21"/>
        <v>0.72931276297335201</v>
      </c>
      <c r="AB50" s="24">
        <f t="shared" si="22"/>
        <v>1426</v>
      </c>
      <c r="AC50" s="24">
        <f t="shared" si="23"/>
        <v>1639</v>
      </c>
      <c r="AD50" s="24">
        <f t="shared" si="24"/>
        <v>1639</v>
      </c>
      <c r="AE50" s="24">
        <f t="shared" si="25"/>
        <v>1639</v>
      </c>
      <c r="AF50" s="24">
        <f t="shared" si="26"/>
        <v>819</v>
      </c>
      <c r="AG50" s="21">
        <f t="shared" si="27"/>
        <v>1639</v>
      </c>
      <c r="AH50" s="9" t="s">
        <v>135</v>
      </c>
      <c r="AI50" s="9" t="s">
        <v>136</v>
      </c>
      <c r="AJ50" s="9" t="s">
        <v>139</v>
      </c>
    </row>
    <row r="51" spans="1:36" ht="15.75" thickBot="1" x14ac:dyDescent="0.3">
      <c r="A51" s="3" t="s">
        <v>104</v>
      </c>
      <c r="B51" s="4">
        <v>297</v>
      </c>
      <c r="C51" s="4">
        <v>150</v>
      </c>
      <c r="D51" s="4">
        <v>110</v>
      </c>
      <c r="E51" s="4">
        <v>195</v>
      </c>
      <c r="F51" s="4">
        <v>242</v>
      </c>
      <c r="G51" s="4">
        <v>150</v>
      </c>
      <c r="H51" s="4">
        <v>150</v>
      </c>
      <c r="I51" s="4">
        <v>660</v>
      </c>
      <c r="J51" s="4">
        <v>1</v>
      </c>
      <c r="K51" s="15"/>
      <c r="L51" s="6"/>
      <c r="M51" s="15"/>
      <c r="N51" s="5" t="s">
        <v>17</v>
      </c>
      <c r="O51" s="14" t="s">
        <v>146</v>
      </c>
      <c r="P51" s="14">
        <v>0</v>
      </c>
      <c r="Q51" s="14">
        <v>0</v>
      </c>
      <c r="R51" s="5" t="s">
        <v>17</v>
      </c>
      <c r="S51" s="4"/>
      <c r="T51" s="33">
        <f t="shared" si="14"/>
        <v>297</v>
      </c>
      <c r="U51" s="26">
        <f t="shared" si="15"/>
        <v>14</v>
      </c>
      <c r="V51" s="26">
        <f t="shared" si="16"/>
        <v>21</v>
      </c>
      <c r="W51" s="19">
        <f t="shared" si="17"/>
        <v>380</v>
      </c>
      <c r="X51" s="22">
        <f t="shared" si="18"/>
        <v>421</v>
      </c>
      <c r="Y51" s="29">
        <f t="shared" si="19"/>
        <v>357</v>
      </c>
      <c r="Z51" s="29">
        <f t="shared" si="20"/>
        <v>456</v>
      </c>
      <c r="AA51" s="30">
        <f t="shared" si="21"/>
        <v>1.2</v>
      </c>
      <c r="AB51" s="24">
        <f t="shared" si="22"/>
        <v>760</v>
      </c>
      <c r="AC51" s="24">
        <f t="shared" si="23"/>
        <v>874</v>
      </c>
      <c r="AD51" s="24">
        <f t="shared" si="24"/>
        <v>874</v>
      </c>
      <c r="AE51" s="24">
        <f t="shared" si="25"/>
        <v>874</v>
      </c>
      <c r="AF51" s="24">
        <f t="shared" si="26"/>
        <v>437</v>
      </c>
      <c r="AG51" s="21">
        <f t="shared" si="27"/>
        <v>874</v>
      </c>
      <c r="AH51" s="9" t="s">
        <v>139</v>
      </c>
      <c r="AI51" s="9" t="s">
        <v>139</v>
      </c>
      <c r="AJ51" s="9" t="s">
        <v>134</v>
      </c>
    </row>
    <row r="52" spans="1:36" ht="15.75" thickBot="1" x14ac:dyDescent="0.3">
      <c r="A52" s="3" t="s">
        <v>111</v>
      </c>
      <c r="B52" s="4">
        <v>135</v>
      </c>
      <c r="C52" s="4">
        <v>150</v>
      </c>
      <c r="D52" s="4">
        <v>110</v>
      </c>
      <c r="E52" s="4">
        <v>210</v>
      </c>
      <c r="F52" s="4">
        <v>110</v>
      </c>
      <c r="G52" s="4">
        <v>150</v>
      </c>
      <c r="H52" s="4">
        <v>110</v>
      </c>
      <c r="I52" s="4">
        <v>660</v>
      </c>
      <c r="J52" s="4">
        <v>1</v>
      </c>
      <c r="K52" s="13" t="s">
        <v>173</v>
      </c>
      <c r="L52" s="6"/>
      <c r="M52" s="15"/>
      <c r="N52" s="4"/>
      <c r="O52" s="14" t="s">
        <v>126</v>
      </c>
      <c r="P52" s="14">
        <v>147</v>
      </c>
      <c r="Q52" s="8">
        <v>75</v>
      </c>
      <c r="R52" s="4"/>
      <c r="S52" s="4" t="s">
        <v>35</v>
      </c>
      <c r="T52" s="33">
        <f t="shared" si="14"/>
        <v>357</v>
      </c>
      <c r="U52" s="26">
        <f t="shared" si="15"/>
        <v>12</v>
      </c>
      <c r="V52" s="26">
        <f t="shared" si="16"/>
        <v>18</v>
      </c>
      <c r="W52" s="19">
        <f t="shared" si="17"/>
        <v>664</v>
      </c>
      <c r="X52" s="22">
        <f t="shared" si="18"/>
        <v>728</v>
      </c>
      <c r="Y52" s="29">
        <f t="shared" si="19"/>
        <v>384</v>
      </c>
      <c r="Z52" s="29">
        <f t="shared" si="20"/>
        <v>476</v>
      </c>
      <c r="AA52" s="30">
        <f t="shared" si="21"/>
        <v>0.7168674698795181</v>
      </c>
      <c r="AB52" s="24">
        <f t="shared" si="22"/>
        <v>1328</v>
      </c>
      <c r="AC52" s="24">
        <f t="shared" si="23"/>
        <v>1527</v>
      </c>
      <c r="AD52" s="24">
        <f t="shared" si="24"/>
        <v>1527</v>
      </c>
      <c r="AE52" s="24">
        <f t="shared" si="25"/>
        <v>1527</v>
      </c>
      <c r="AF52" s="24">
        <f t="shared" si="26"/>
        <v>763</v>
      </c>
      <c r="AG52" s="21">
        <f t="shared" si="27"/>
        <v>1527</v>
      </c>
      <c r="AH52" s="9" t="s">
        <v>136</v>
      </c>
      <c r="AI52" s="9" t="s">
        <v>137</v>
      </c>
      <c r="AJ52" s="9" t="s">
        <v>137</v>
      </c>
    </row>
    <row r="53" spans="1:36" ht="15.75" thickBot="1" x14ac:dyDescent="0.3">
      <c r="A53" s="3" t="s">
        <v>24</v>
      </c>
      <c r="B53" s="4">
        <v>135</v>
      </c>
      <c r="C53" s="4">
        <v>135</v>
      </c>
      <c r="D53" s="4">
        <v>110</v>
      </c>
      <c r="E53" s="4">
        <v>135</v>
      </c>
      <c r="F53" s="4">
        <v>135</v>
      </c>
      <c r="G53" s="4">
        <v>135</v>
      </c>
      <c r="H53" s="4">
        <v>110</v>
      </c>
      <c r="I53" s="4">
        <v>720</v>
      </c>
      <c r="J53" s="4">
        <v>1</v>
      </c>
      <c r="K53" s="15"/>
      <c r="L53" s="6"/>
      <c r="M53" s="13" t="s">
        <v>150</v>
      </c>
      <c r="N53" s="4"/>
      <c r="O53" s="14" t="s">
        <v>151</v>
      </c>
      <c r="P53" s="14">
        <v>165</v>
      </c>
      <c r="Q53" s="8">
        <v>79</v>
      </c>
      <c r="R53" s="4"/>
      <c r="S53" s="4" t="s">
        <v>25</v>
      </c>
      <c r="T53" s="33">
        <f t="shared" si="14"/>
        <v>379</v>
      </c>
      <c r="U53" s="26">
        <f t="shared" si="15"/>
        <v>11</v>
      </c>
      <c r="V53" s="26">
        <f t="shared" si="16"/>
        <v>16.5</v>
      </c>
      <c r="W53" s="19">
        <f t="shared" si="17"/>
        <v>693</v>
      </c>
      <c r="X53" s="22">
        <f t="shared" si="18"/>
        <v>756</v>
      </c>
      <c r="Y53" s="29">
        <f t="shared" si="19"/>
        <v>412</v>
      </c>
      <c r="Z53" s="29">
        <f t="shared" si="20"/>
        <v>502</v>
      </c>
      <c r="AA53" s="30">
        <f t="shared" si="21"/>
        <v>0.72438672438672436</v>
      </c>
      <c r="AB53" s="24">
        <f t="shared" si="22"/>
        <v>1386</v>
      </c>
      <c r="AC53" s="24">
        <f t="shared" si="23"/>
        <v>1593</v>
      </c>
      <c r="AD53" s="24">
        <f t="shared" si="24"/>
        <v>1593</v>
      </c>
      <c r="AE53" s="24">
        <f t="shared" si="25"/>
        <v>1593</v>
      </c>
      <c r="AF53" s="24">
        <f t="shared" si="26"/>
        <v>796</v>
      </c>
      <c r="AG53" s="21">
        <f t="shared" si="27"/>
        <v>1593</v>
      </c>
      <c r="AH53" s="9" t="s">
        <v>134</v>
      </c>
      <c r="AI53" s="9" t="s">
        <v>136</v>
      </c>
      <c r="AJ53" s="9" t="s">
        <v>138</v>
      </c>
    </row>
    <row r="54" spans="1:36" ht="15.75" thickBot="1" x14ac:dyDescent="0.3">
      <c r="A54" s="3" t="s">
        <v>26</v>
      </c>
      <c r="B54" s="4">
        <v>135</v>
      </c>
      <c r="C54" s="4">
        <v>135</v>
      </c>
      <c r="D54" s="4">
        <v>110</v>
      </c>
      <c r="E54" s="4">
        <v>150</v>
      </c>
      <c r="F54" s="4">
        <v>150</v>
      </c>
      <c r="G54" s="4">
        <v>175</v>
      </c>
      <c r="H54" s="4">
        <v>95</v>
      </c>
      <c r="I54" s="4">
        <v>780</v>
      </c>
      <c r="J54" s="4">
        <v>1</v>
      </c>
      <c r="K54" s="13" t="s">
        <v>152</v>
      </c>
      <c r="L54" s="6"/>
      <c r="M54" s="15"/>
      <c r="N54" s="4"/>
      <c r="O54" s="14" t="s">
        <v>151</v>
      </c>
      <c r="P54" s="14">
        <v>165</v>
      </c>
      <c r="Q54" s="8">
        <v>60</v>
      </c>
      <c r="R54" s="4"/>
      <c r="S54" s="4" t="s">
        <v>19</v>
      </c>
      <c r="T54" s="33">
        <f t="shared" si="14"/>
        <v>360</v>
      </c>
      <c r="U54" s="26">
        <f t="shared" si="15"/>
        <v>11</v>
      </c>
      <c r="V54" s="26">
        <f t="shared" si="16"/>
        <v>16.5</v>
      </c>
      <c r="W54" s="19">
        <f t="shared" si="17"/>
        <v>658</v>
      </c>
      <c r="X54" s="22">
        <f t="shared" si="18"/>
        <v>718</v>
      </c>
      <c r="Y54" s="29">
        <f t="shared" si="19"/>
        <v>397</v>
      </c>
      <c r="Z54" s="29">
        <f t="shared" si="20"/>
        <v>484</v>
      </c>
      <c r="AA54" s="30">
        <f t="shared" si="21"/>
        <v>0.73556231003039518</v>
      </c>
      <c r="AB54" s="24">
        <f t="shared" si="22"/>
        <v>1316</v>
      </c>
      <c r="AC54" s="24">
        <f t="shared" si="23"/>
        <v>1513</v>
      </c>
      <c r="AD54" s="24">
        <f t="shared" si="24"/>
        <v>1513</v>
      </c>
      <c r="AE54" s="24">
        <f t="shared" si="25"/>
        <v>1513</v>
      </c>
      <c r="AF54" s="24">
        <f t="shared" si="26"/>
        <v>756</v>
      </c>
      <c r="AG54" s="21">
        <f t="shared" si="27"/>
        <v>1513</v>
      </c>
      <c r="AH54" s="9" t="s">
        <v>136</v>
      </c>
      <c r="AI54" s="9" t="s">
        <v>137</v>
      </c>
      <c r="AJ54" s="9" t="s">
        <v>139</v>
      </c>
    </row>
    <row r="55" spans="1:36" ht="15.75" thickBot="1" x14ac:dyDescent="0.3">
      <c r="A55" s="3" t="s">
        <v>31</v>
      </c>
      <c r="B55" s="4">
        <v>135</v>
      </c>
      <c r="C55" s="4">
        <v>135</v>
      </c>
      <c r="D55" s="4">
        <v>110</v>
      </c>
      <c r="E55" s="4">
        <v>150</v>
      </c>
      <c r="F55" s="4">
        <v>135</v>
      </c>
      <c r="G55" s="4">
        <v>175</v>
      </c>
      <c r="H55" s="4">
        <v>175</v>
      </c>
      <c r="I55" s="4">
        <v>600</v>
      </c>
      <c r="J55" s="4">
        <v>3</v>
      </c>
      <c r="K55" s="6"/>
      <c r="L55" s="6"/>
      <c r="M55" s="6"/>
      <c r="N55" s="4"/>
      <c r="O55" s="14" t="s">
        <v>147</v>
      </c>
      <c r="P55" s="14">
        <v>140</v>
      </c>
      <c r="Q55" s="8">
        <v>60</v>
      </c>
      <c r="R55" s="4"/>
      <c r="S55" s="4" t="s">
        <v>32</v>
      </c>
      <c r="T55" s="33">
        <f t="shared" si="14"/>
        <v>335</v>
      </c>
      <c r="U55" s="26">
        <f t="shared" si="15"/>
        <v>13</v>
      </c>
      <c r="V55" s="26">
        <f t="shared" si="16"/>
        <v>19.5</v>
      </c>
      <c r="W55" s="19">
        <f t="shared" si="17"/>
        <v>633</v>
      </c>
      <c r="X55" s="22">
        <f t="shared" si="18"/>
        <v>698</v>
      </c>
      <c r="Y55" s="29">
        <f t="shared" si="19"/>
        <v>368</v>
      </c>
      <c r="Z55" s="29">
        <f t="shared" si="20"/>
        <v>463</v>
      </c>
      <c r="AA55" s="30">
        <f t="shared" si="21"/>
        <v>0.73143759873617697</v>
      </c>
      <c r="AB55" s="24">
        <f t="shared" si="22"/>
        <v>1899</v>
      </c>
      <c r="AC55" s="24">
        <f t="shared" si="23"/>
        <v>2848</v>
      </c>
      <c r="AD55" s="24">
        <f t="shared" si="24"/>
        <v>2408</v>
      </c>
      <c r="AE55" s="24">
        <f t="shared" si="25"/>
        <v>1597</v>
      </c>
      <c r="AF55" s="24">
        <f t="shared" si="26"/>
        <v>1424</v>
      </c>
      <c r="AG55" s="21">
        <f t="shared" si="27"/>
        <v>2848</v>
      </c>
      <c r="AH55" s="9" t="s">
        <v>137</v>
      </c>
      <c r="AI55" s="9" t="s">
        <v>133</v>
      </c>
      <c r="AJ55" s="9" t="s">
        <v>134</v>
      </c>
    </row>
    <row r="56" spans="1:36" ht="15.75" thickBot="1" x14ac:dyDescent="0.3">
      <c r="A56" s="3" t="s">
        <v>40</v>
      </c>
      <c r="B56" s="4">
        <v>135</v>
      </c>
      <c r="C56" s="4">
        <v>135</v>
      </c>
      <c r="D56" s="4">
        <v>110</v>
      </c>
      <c r="E56" s="4">
        <v>135</v>
      </c>
      <c r="F56" s="4">
        <v>135</v>
      </c>
      <c r="G56" s="4">
        <v>135</v>
      </c>
      <c r="H56" s="4">
        <v>195</v>
      </c>
      <c r="I56" s="4">
        <v>660</v>
      </c>
      <c r="J56" s="4">
        <v>2</v>
      </c>
      <c r="K56" s="15"/>
      <c r="L56" s="6"/>
      <c r="M56" s="6"/>
      <c r="N56" s="7" t="s">
        <v>14</v>
      </c>
      <c r="O56" s="14" t="s">
        <v>149</v>
      </c>
      <c r="P56" s="14">
        <v>150</v>
      </c>
      <c r="Q56" s="8">
        <v>59</v>
      </c>
      <c r="R56" s="7" t="s">
        <v>14</v>
      </c>
      <c r="S56" s="4" t="s">
        <v>30</v>
      </c>
      <c r="T56" s="33">
        <f t="shared" si="14"/>
        <v>344</v>
      </c>
      <c r="U56" s="26">
        <f t="shared" si="15"/>
        <v>14</v>
      </c>
      <c r="V56" s="26">
        <f t="shared" si="16"/>
        <v>21</v>
      </c>
      <c r="W56" s="19">
        <f t="shared" si="17"/>
        <v>550</v>
      </c>
      <c r="X56" s="22">
        <f t="shared" si="18"/>
        <v>610</v>
      </c>
      <c r="Y56" s="29">
        <f t="shared" si="19"/>
        <v>377</v>
      </c>
      <c r="Z56" s="29">
        <f t="shared" si="20"/>
        <v>482</v>
      </c>
      <c r="AA56" s="30">
        <f t="shared" si="21"/>
        <v>0.87636363636363634</v>
      </c>
      <c r="AB56" s="24">
        <f t="shared" si="22"/>
        <v>1650</v>
      </c>
      <c r="AC56" s="24">
        <f t="shared" si="23"/>
        <v>1897</v>
      </c>
      <c r="AD56" s="24">
        <f t="shared" si="24"/>
        <v>1897</v>
      </c>
      <c r="AE56" s="24">
        <f t="shared" si="25"/>
        <v>1897</v>
      </c>
      <c r="AF56" s="24">
        <f t="shared" si="26"/>
        <v>948</v>
      </c>
      <c r="AG56" s="21">
        <f t="shared" si="27"/>
        <v>1897</v>
      </c>
      <c r="AH56" s="9" t="s">
        <v>137</v>
      </c>
      <c r="AI56" s="9" t="s">
        <v>134</v>
      </c>
      <c r="AJ56" s="9" t="s">
        <v>135</v>
      </c>
    </row>
    <row r="57" spans="1:36" ht="15.75" thickBot="1" x14ac:dyDescent="0.3">
      <c r="A57" s="3" t="s">
        <v>69</v>
      </c>
      <c r="B57" s="4">
        <v>135</v>
      </c>
      <c r="C57" s="4">
        <v>135</v>
      </c>
      <c r="D57" s="4">
        <v>110</v>
      </c>
      <c r="E57" s="4">
        <v>150</v>
      </c>
      <c r="F57" s="4">
        <v>150</v>
      </c>
      <c r="G57" s="4">
        <v>150</v>
      </c>
      <c r="H57" s="4">
        <v>135</v>
      </c>
      <c r="I57" s="4">
        <v>660</v>
      </c>
      <c r="J57" s="4">
        <v>3</v>
      </c>
      <c r="K57" s="6"/>
      <c r="L57" s="6"/>
      <c r="M57" s="6"/>
      <c r="N57" s="4"/>
      <c r="O57" s="14" t="s">
        <v>151</v>
      </c>
      <c r="P57" s="14">
        <v>165</v>
      </c>
      <c r="Q57" s="8">
        <v>75</v>
      </c>
      <c r="R57" s="4"/>
      <c r="S57" s="4" t="s">
        <v>35</v>
      </c>
      <c r="T57" s="33">
        <f t="shared" si="14"/>
        <v>375</v>
      </c>
      <c r="U57" s="26">
        <f t="shared" si="15"/>
        <v>12</v>
      </c>
      <c r="V57" s="26">
        <f t="shared" si="16"/>
        <v>18</v>
      </c>
      <c r="W57" s="19">
        <f t="shared" si="17"/>
        <v>697</v>
      </c>
      <c r="X57" s="22">
        <f t="shared" si="18"/>
        <v>765</v>
      </c>
      <c r="Y57" s="29">
        <f t="shared" si="19"/>
        <v>412</v>
      </c>
      <c r="Z57" s="29">
        <f t="shared" si="20"/>
        <v>510</v>
      </c>
      <c r="AA57" s="30">
        <f t="shared" si="21"/>
        <v>0.73170731707317072</v>
      </c>
      <c r="AB57" s="24">
        <f t="shared" si="22"/>
        <v>2091</v>
      </c>
      <c r="AC57" s="24">
        <f t="shared" si="23"/>
        <v>3136</v>
      </c>
      <c r="AD57" s="24">
        <f t="shared" si="24"/>
        <v>2639</v>
      </c>
      <c r="AE57" s="24">
        <f t="shared" si="25"/>
        <v>1759</v>
      </c>
      <c r="AF57" s="24">
        <f t="shared" si="26"/>
        <v>1568</v>
      </c>
      <c r="AG57" s="21">
        <f t="shared" si="27"/>
        <v>3136</v>
      </c>
      <c r="AH57" s="9" t="s">
        <v>134</v>
      </c>
      <c r="AI57" s="9" t="s">
        <v>131</v>
      </c>
      <c r="AJ57" s="9" t="s">
        <v>137</v>
      </c>
    </row>
    <row r="58" spans="1:36" ht="15.75" thickBot="1" x14ac:dyDescent="0.3">
      <c r="A58" s="3" t="s">
        <v>71</v>
      </c>
      <c r="B58" s="4">
        <v>110</v>
      </c>
      <c r="C58" s="4">
        <v>135</v>
      </c>
      <c r="D58" s="4">
        <v>110</v>
      </c>
      <c r="E58" s="4">
        <v>150</v>
      </c>
      <c r="F58" s="4">
        <v>110</v>
      </c>
      <c r="G58" s="4">
        <v>150</v>
      </c>
      <c r="H58" s="4">
        <v>135</v>
      </c>
      <c r="I58" s="4">
        <v>660</v>
      </c>
      <c r="J58" s="4">
        <v>1</v>
      </c>
      <c r="K58" s="15"/>
      <c r="L58" s="6"/>
      <c r="M58" s="15"/>
      <c r="N58" s="4"/>
      <c r="O58" s="14" t="s">
        <v>160</v>
      </c>
      <c r="P58" s="14">
        <v>175</v>
      </c>
      <c r="Q58" s="8">
        <v>75</v>
      </c>
      <c r="R58" s="4"/>
      <c r="S58" s="4" t="s">
        <v>15</v>
      </c>
      <c r="T58" s="33">
        <f t="shared" si="14"/>
        <v>360</v>
      </c>
      <c r="U58" s="26">
        <f t="shared" si="15"/>
        <v>12</v>
      </c>
      <c r="V58" s="26">
        <f t="shared" si="16"/>
        <v>18</v>
      </c>
      <c r="W58" s="19">
        <f t="shared" si="17"/>
        <v>669</v>
      </c>
      <c r="X58" s="22">
        <f t="shared" si="18"/>
        <v>734</v>
      </c>
      <c r="Y58" s="29">
        <f t="shared" si="19"/>
        <v>387</v>
      </c>
      <c r="Z58" s="29">
        <f t="shared" si="20"/>
        <v>479</v>
      </c>
      <c r="AA58" s="30">
        <f t="shared" si="21"/>
        <v>0.71599402092675635</v>
      </c>
      <c r="AB58" s="24">
        <f t="shared" si="22"/>
        <v>1338</v>
      </c>
      <c r="AC58" s="24">
        <f t="shared" si="23"/>
        <v>1538</v>
      </c>
      <c r="AD58" s="24">
        <f t="shared" si="24"/>
        <v>1538</v>
      </c>
      <c r="AE58" s="24">
        <f t="shared" si="25"/>
        <v>1538</v>
      </c>
      <c r="AF58" s="24">
        <f t="shared" si="26"/>
        <v>769</v>
      </c>
      <c r="AG58" s="21">
        <f t="shared" si="27"/>
        <v>1538</v>
      </c>
      <c r="AH58" s="9" t="s">
        <v>134</v>
      </c>
      <c r="AI58" s="9" t="s">
        <v>137</v>
      </c>
      <c r="AJ58" s="9" t="s">
        <v>137</v>
      </c>
    </row>
    <row r="59" spans="1:36" ht="15.75" thickBot="1" x14ac:dyDescent="0.3">
      <c r="A59" s="3" t="s">
        <v>73</v>
      </c>
      <c r="B59" s="4">
        <v>150</v>
      </c>
      <c r="C59" s="4">
        <v>135</v>
      </c>
      <c r="D59" s="4">
        <v>110</v>
      </c>
      <c r="E59" s="4">
        <v>135</v>
      </c>
      <c r="F59" s="4">
        <v>135</v>
      </c>
      <c r="G59" s="4">
        <v>135</v>
      </c>
      <c r="H59" s="4">
        <v>150</v>
      </c>
      <c r="I59" s="4">
        <v>720</v>
      </c>
      <c r="J59" s="4">
        <v>1</v>
      </c>
      <c r="K59" s="15"/>
      <c r="L59" s="6"/>
      <c r="M59" s="15"/>
      <c r="N59" s="4"/>
      <c r="O59" s="14" t="s">
        <v>155</v>
      </c>
      <c r="P59" s="14">
        <v>140</v>
      </c>
      <c r="Q59" s="8">
        <v>79</v>
      </c>
      <c r="R59" s="4"/>
      <c r="S59" s="4" t="s">
        <v>74</v>
      </c>
      <c r="T59" s="33">
        <f t="shared" si="14"/>
        <v>369</v>
      </c>
      <c r="U59" s="26">
        <f t="shared" si="15"/>
        <v>13</v>
      </c>
      <c r="V59" s="26">
        <f t="shared" si="16"/>
        <v>19.5</v>
      </c>
      <c r="W59" s="19">
        <f t="shared" si="17"/>
        <v>697</v>
      </c>
      <c r="X59" s="22">
        <f t="shared" si="18"/>
        <v>769</v>
      </c>
      <c r="Y59" s="29">
        <f t="shared" si="19"/>
        <v>402</v>
      </c>
      <c r="Z59" s="29">
        <f t="shared" si="20"/>
        <v>506</v>
      </c>
      <c r="AA59" s="30">
        <f t="shared" si="21"/>
        <v>0.72596843615494977</v>
      </c>
      <c r="AB59" s="24">
        <f t="shared" si="22"/>
        <v>1394</v>
      </c>
      <c r="AC59" s="24">
        <f t="shared" si="23"/>
        <v>1603</v>
      </c>
      <c r="AD59" s="24">
        <f t="shared" si="24"/>
        <v>1603</v>
      </c>
      <c r="AE59" s="24">
        <f t="shared" si="25"/>
        <v>1603</v>
      </c>
      <c r="AF59" s="24">
        <f t="shared" si="26"/>
        <v>801</v>
      </c>
      <c r="AG59" s="21">
        <f t="shared" si="27"/>
        <v>1603</v>
      </c>
      <c r="AH59" s="9" t="s">
        <v>134</v>
      </c>
      <c r="AI59" s="9" t="s">
        <v>137</v>
      </c>
      <c r="AJ59" s="9" t="s">
        <v>136</v>
      </c>
    </row>
    <row r="60" spans="1:36" ht="15.75" thickBot="1" x14ac:dyDescent="0.3">
      <c r="A60" s="3" t="s">
        <v>84</v>
      </c>
      <c r="B60" s="4">
        <v>175</v>
      </c>
      <c r="C60" s="4">
        <v>135</v>
      </c>
      <c r="D60" s="4">
        <v>110</v>
      </c>
      <c r="E60" s="4">
        <v>135</v>
      </c>
      <c r="F60" s="4">
        <v>175</v>
      </c>
      <c r="G60" s="4">
        <v>135</v>
      </c>
      <c r="H60" s="4">
        <v>135</v>
      </c>
      <c r="I60" s="4">
        <v>720</v>
      </c>
      <c r="J60" s="4">
        <v>1</v>
      </c>
      <c r="K60" s="15"/>
      <c r="L60" s="13" t="s">
        <v>127</v>
      </c>
      <c r="M60" s="6"/>
      <c r="N60" s="4"/>
      <c r="O60" s="14" t="s">
        <v>149</v>
      </c>
      <c r="P60" s="14">
        <v>150</v>
      </c>
      <c r="Q60" s="8">
        <v>70</v>
      </c>
      <c r="R60" s="4"/>
      <c r="S60" s="4" t="s">
        <v>25</v>
      </c>
      <c r="T60" s="33">
        <f t="shared" si="14"/>
        <v>395</v>
      </c>
      <c r="U60" s="26">
        <f t="shared" si="15"/>
        <v>12</v>
      </c>
      <c r="V60" s="26">
        <f t="shared" si="16"/>
        <v>18</v>
      </c>
      <c r="W60" s="19">
        <f t="shared" si="17"/>
        <v>734</v>
      </c>
      <c r="X60" s="22">
        <f t="shared" si="18"/>
        <v>805</v>
      </c>
      <c r="Y60" s="29">
        <f t="shared" si="19"/>
        <v>438</v>
      </c>
      <c r="Z60" s="29">
        <f t="shared" si="20"/>
        <v>543</v>
      </c>
      <c r="AA60" s="30">
        <f t="shared" si="21"/>
        <v>0.73978201634877383</v>
      </c>
      <c r="AB60" s="24">
        <f t="shared" si="22"/>
        <v>1468</v>
      </c>
      <c r="AC60" s="24">
        <f t="shared" si="23"/>
        <v>1688</v>
      </c>
      <c r="AD60" s="24">
        <f t="shared" si="24"/>
        <v>1688</v>
      </c>
      <c r="AE60" s="24">
        <f t="shared" si="25"/>
        <v>1688</v>
      </c>
      <c r="AF60" s="24">
        <f t="shared" si="26"/>
        <v>844</v>
      </c>
      <c r="AG60" s="21">
        <f t="shared" si="27"/>
        <v>1688</v>
      </c>
      <c r="AH60" s="9" t="s">
        <v>135</v>
      </c>
      <c r="AI60" s="9" t="s">
        <v>136</v>
      </c>
      <c r="AJ60" s="9" t="s">
        <v>137</v>
      </c>
    </row>
    <row r="61" spans="1:36" ht="15.75" thickBot="1" x14ac:dyDescent="0.3">
      <c r="A61" s="3" t="s">
        <v>105</v>
      </c>
      <c r="B61" s="4">
        <v>135</v>
      </c>
      <c r="C61" s="4">
        <v>135</v>
      </c>
      <c r="D61" s="4">
        <v>110</v>
      </c>
      <c r="E61" s="4">
        <v>150</v>
      </c>
      <c r="F61" s="4">
        <v>150</v>
      </c>
      <c r="G61" s="4">
        <v>150</v>
      </c>
      <c r="H61" s="4">
        <v>150</v>
      </c>
      <c r="I61" s="4">
        <v>660</v>
      </c>
      <c r="J61" s="4">
        <v>3</v>
      </c>
      <c r="K61" s="6"/>
      <c r="L61" s="6"/>
      <c r="M61" s="6"/>
      <c r="N61" s="4"/>
      <c r="O61" s="14" t="s">
        <v>147</v>
      </c>
      <c r="P61" s="14">
        <v>140</v>
      </c>
      <c r="Q61" s="8">
        <v>60</v>
      </c>
      <c r="R61" s="4"/>
      <c r="S61" s="4" t="s">
        <v>32</v>
      </c>
      <c r="T61" s="33">
        <f t="shared" si="14"/>
        <v>335</v>
      </c>
      <c r="U61" s="26">
        <f t="shared" si="15"/>
        <v>13</v>
      </c>
      <c r="V61" s="26">
        <f t="shared" si="16"/>
        <v>19.5</v>
      </c>
      <c r="W61" s="19">
        <f t="shared" si="17"/>
        <v>633</v>
      </c>
      <c r="X61" s="22">
        <f t="shared" si="18"/>
        <v>698</v>
      </c>
      <c r="Y61" s="29">
        <f t="shared" si="19"/>
        <v>372</v>
      </c>
      <c r="Z61" s="29">
        <f t="shared" si="20"/>
        <v>468</v>
      </c>
      <c r="AA61" s="30">
        <f t="shared" si="21"/>
        <v>0.73933649289099523</v>
      </c>
      <c r="AB61" s="24">
        <f t="shared" si="22"/>
        <v>1899</v>
      </c>
      <c r="AC61" s="24">
        <f t="shared" si="23"/>
        <v>2848</v>
      </c>
      <c r="AD61" s="24">
        <f t="shared" si="24"/>
        <v>2408</v>
      </c>
      <c r="AE61" s="24">
        <f t="shared" si="25"/>
        <v>1614</v>
      </c>
      <c r="AF61" s="24">
        <f t="shared" si="26"/>
        <v>1424</v>
      </c>
      <c r="AG61" s="21">
        <f t="shared" si="27"/>
        <v>2848</v>
      </c>
      <c r="AH61" s="9" t="s">
        <v>137</v>
      </c>
      <c r="AI61" s="9" t="s">
        <v>133</v>
      </c>
      <c r="AJ61" s="9" t="s">
        <v>136</v>
      </c>
    </row>
    <row r="62" spans="1:36" ht="15.75" thickBot="1" x14ac:dyDescent="0.3">
      <c r="A62" s="3" t="s">
        <v>52</v>
      </c>
      <c r="B62" s="4">
        <v>110</v>
      </c>
      <c r="C62" s="4">
        <v>110</v>
      </c>
      <c r="D62" s="4">
        <v>110</v>
      </c>
      <c r="E62" s="4">
        <v>135</v>
      </c>
      <c r="F62" s="4">
        <v>135</v>
      </c>
      <c r="G62" s="4">
        <v>110</v>
      </c>
      <c r="H62" s="4">
        <v>135</v>
      </c>
      <c r="I62" s="4">
        <v>660</v>
      </c>
      <c r="J62" s="4">
        <v>3</v>
      </c>
      <c r="K62" s="6"/>
      <c r="L62" s="6"/>
      <c r="M62" s="6"/>
      <c r="N62" s="4"/>
      <c r="O62" s="14" t="s">
        <v>151</v>
      </c>
      <c r="P62" s="14">
        <v>165</v>
      </c>
      <c r="Q62" s="8">
        <v>75</v>
      </c>
      <c r="R62" s="4"/>
      <c r="S62" s="4" t="s">
        <v>35</v>
      </c>
      <c r="T62" s="33">
        <f t="shared" si="14"/>
        <v>350</v>
      </c>
      <c r="U62" s="26">
        <f t="shared" si="15"/>
        <v>11</v>
      </c>
      <c r="V62" s="26">
        <f t="shared" si="16"/>
        <v>16.5</v>
      </c>
      <c r="W62" s="19">
        <f t="shared" si="17"/>
        <v>640</v>
      </c>
      <c r="X62" s="22">
        <f t="shared" si="18"/>
        <v>698</v>
      </c>
      <c r="Y62" s="29">
        <f t="shared" si="19"/>
        <v>383</v>
      </c>
      <c r="Z62" s="29">
        <f t="shared" si="20"/>
        <v>467</v>
      </c>
      <c r="AA62" s="30">
        <f t="shared" si="21"/>
        <v>0.72968750000000004</v>
      </c>
      <c r="AB62" s="24">
        <f t="shared" si="22"/>
        <v>1920</v>
      </c>
      <c r="AC62" s="24">
        <f t="shared" si="23"/>
        <v>2880</v>
      </c>
      <c r="AD62" s="24">
        <f t="shared" si="24"/>
        <v>2408</v>
      </c>
      <c r="AE62" s="24">
        <f t="shared" si="25"/>
        <v>1611</v>
      </c>
      <c r="AF62" s="24">
        <f t="shared" si="26"/>
        <v>1440</v>
      </c>
      <c r="AG62" s="21">
        <f t="shared" si="27"/>
        <v>2880</v>
      </c>
      <c r="AH62" s="9" t="s">
        <v>136</v>
      </c>
      <c r="AI62" s="9" t="s">
        <v>133</v>
      </c>
      <c r="AJ62" s="9" t="s">
        <v>138</v>
      </c>
    </row>
    <row r="63" spans="1:36" ht="15.75" thickBot="1" x14ac:dyDescent="0.3">
      <c r="A63" s="3" t="s">
        <v>98</v>
      </c>
      <c r="B63" s="4">
        <v>465</v>
      </c>
      <c r="C63" s="4">
        <v>110</v>
      </c>
      <c r="D63" s="4">
        <v>110</v>
      </c>
      <c r="E63" s="4">
        <v>95</v>
      </c>
      <c r="F63" s="4">
        <v>225</v>
      </c>
      <c r="G63" s="4">
        <v>110</v>
      </c>
      <c r="H63" s="4">
        <v>135</v>
      </c>
      <c r="I63" s="4">
        <v>980</v>
      </c>
      <c r="J63" s="4">
        <v>0</v>
      </c>
      <c r="K63" s="13" t="s">
        <v>145</v>
      </c>
      <c r="L63" s="13" t="s">
        <v>170</v>
      </c>
      <c r="M63" s="15"/>
      <c r="N63" s="5" t="s">
        <v>17</v>
      </c>
      <c r="O63" s="14" t="s">
        <v>146</v>
      </c>
      <c r="P63" s="14">
        <v>0</v>
      </c>
      <c r="Q63" s="14">
        <v>0</v>
      </c>
      <c r="R63" s="5" t="s">
        <v>17</v>
      </c>
      <c r="S63" s="4"/>
      <c r="T63" s="33">
        <f t="shared" si="14"/>
        <v>465</v>
      </c>
      <c r="U63" s="26">
        <f t="shared" si="15"/>
        <v>11</v>
      </c>
      <c r="V63" s="26">
        <f t="shared" si="16"/>
        <v>11</v>
      </c>
      <c r="W63" s="19">
        <f t="shared" si="17"/>
        <v>567</v>
      </c>
      <c r="X63" s="22">
        <f t="shared" si="18"/>
        <v>618</v>
      </c>
      <c r="Y63" s="29">
        <f t="shared" si="19"/>
        <v>465</v>
      </c>
      <c r="Z63" s="29">
        <f t="shared" si="20"/>
        <v>567</v>
      </c>
      <c r="AA63" s="30">
        <f t="shared" si="21"/>
        <v>1</v>
      </c>
      <c r="AB63" s="24">
        <f t="shared" si="22"/>
        <v>567</v>
      </c>
      <c r="AC63" s="24">
        <f t="shared" si="23"/>
        <v>652</v>
      </c>
      <c r="AD63" s="24">
        <f t="shared" si="24"/>
        <v>652</v>
      </c>
      <c r="AE63" s="24">
        <f t="shared" si="25"/>
        <v>652</v>
      </c>
      <c r="AF63" s="24">
        <f t="shared" si="26"/>
        <v>567</v>
      </c>
      <c r="AG63" s="21">
        <f t="shared" si="27"/>
        <v>980</v>
      </c>
      <c r="AH63" s="9" t="s">
        <v>137</v>
      </c>
      <c r="AI63" s="9" t="s">
        <v>139</v>
      </c>
      <c r="AJ63" s="9" t="s">
        <v>138</v>
      </c>
    </row>
    <row r="64" spans="1:36" ht="15.75" thickBot="1" x14ac:dyDescent="0.3">
      <c r="A64" s="3" t="s">
        <v>34</v>
      </c>
      <c r="B64" s="4">
        <v>135</v>
      </c>
      <c r="C64" s="4">
        <v>210</v>
      </c>
      <c r="D64" s="4">
        <v>95</v>
      </c>
      <c r="E64" s="4">
        <v>175</v>
      </c>
      <c r="F64" s="4">
        <v>110</v>
      </c>
      <c r="G64" s="4">
        <v>135</v>
      </c>
      <c r="H64" s="4">
        <v>95</v>
      </c>
      <c r="I64" s="4">
        <v>660</v>
      </c>
      <c r="J64" s="4">
        <v>1</v>
      </c>
      <c r="K64" s="15"/>
      <c r="L64" s="6"/>
      <c r="M64" s="15"/>
      <c r="N64" s="4"/>
      <c r="O64" s="14" t="s">
        <v>155</v>
      </c>
      <c r="P64" s="14">
        <v>140</v>
      </c>
      <c r="Q64" s="8">
        <v>75</v>
      </c>
      <c r="R64" s="4"/>
      <c r="S64" s="4" t="s">
        <v>35</v>
      </c>
      <c r="T64" s="33">
        <f t="shared" si="14"/>
        <v>350</v>
      </c>
      <c r="U64" s="26">
        <f t="shared" si="15"/>
        <v>16</v>
      </c>
      <c r="V64" s="26">
        <f t="shared" si="16"/>
        <v>24</v>
      </c>
      <c r="W64" s="19">
        <f t="shared" si="17"/>
        <v>693</v>
      </c>
      <c r="X64" s="22">
        <f t="shared" si="18"/>
        <v>777</v>
      </c>
      <c r="Y64" s="29">
        <f t="shared" si="19"/>
        <v>377</v>
      </c>
      <c r="Z64" s="29">
        <f t="shared" si="20"/>
        <v>497</v>
      </c>
      <c r="AA64" s="30">
        <f t="shared" si="21"/>
        <v>0.71717171717171713</v>
      </c>
      <c r="AB64" s="24">
        <f t="shared" si="22"/>
        <v>1386</v>
      </c>
      <c r="AC64" s="24">
        <f t="shared" si="23"/>
        <v>1593</v>
      </c>
      <c r="AD64" s="24">
        <f t="shared" si="24"/>
        <v>1593</v>
      </c>
      <c r="AE64" s="24">
        <f t="shared" si="25"/>
        <v>1593</v>
      </c>
      <c r="AF64" s="24">
        <f t="shared" si="26"/>
        <v>796</v>
      </c>
      <c r="AG64" s="21">
        <f t="shared" si="27"/>
        <v>1593</v>
      </c>
      <c r="AH64" s="9" t="s">
        <v>136</v>
      </c>
      <c r="AI64" s="9" t="s">
        <v>137</v>
      </c>
      <c r="AJ64" s="9" t="s">
        <v>134</v>
      </c>
    </row>
    <row r="65" spans="1:36" ht="15.75" thickBot="1" x14ac:dyDescent="0.3">
      <c r="A65" s="3" t="s">
        <v>33</v>
      </c>
      <c r="B65" s="4">
        <v>132</v>
      </c>
      <c r="C65" s="4">
        <v>150</v>
      </c>
      <c r="D65" s="4">
        <v>95</v>
      </c>
      <c r="E65" s="4">
        <v>110</v>
      </c>
      <c r="F65" s="4">
        <v>330</v>
      </c>
      <c r="G65" s="4">
        <v>95</v>
      </c>
      <c r="H65" s="4">
        <v>175</v>
      </c>
      <c r="I65" s="4">
        <v>390</v>
      </c>
      <c r="J65" s="4">
        <v>1</v>
      </c>
      <c r="K65" s="15"/>
      <c r="L65" s="6"/>
      <c r="M65" s="15"/>
      <c r="N65" s="5" t="s">
        <v>17</v>
      </c>
      <c r="O65" s="14" t="s">
        <v>146</v>
      </c>
      <c r="P65" s="14">
        <v>0</v>
      </c>
      <c r="Q65" s="14">
        <v>0</v>
      </c>
      <c r="R65" s="5" t="s">
        <v>17</v>
      </c>
      <c r="S65" s="4"/>
      <c r="T65" s="33">
        <f t="shared" si="14"/>
        <v>132</v>
      </c>
      <c r="U65" s="26">
        <f t="shared" si="15"/>
        <v>14</v>
      </c>
      <c r="V65" s="26">
        <f t="shared" si="16"/>
        <v>21</v>
      </c>
      <c r="W65" s="19">
        <f t="shared" si="17"/>
        <v>168</v>
      </c>
      <c r="X65" s="22">
        <f t="shared" si="18"/>
        <v>187</v>
      </c>
      <c r="Y65" s="29">
        <f t="shared" si="19"/>
        <v>214</v>
      </c>
      <c r="Z65" s="29">
        <f t="shared" si="20"/>
        <v>273</v>
      </c>
      <c r="AA65" s="30">
        <f t="shared" si="21"/>
        <v>1.625</v>
      </c>
      <c r="AB65" s="24">
        <f t="shared" si="22"/>
        <v>336</v>
      </c>
      <c r="AC65" s="24">
        <f t="shared" si="23"/>
        <v>386</v>
      </c>
      <c r="AD65" s="24">
        <f t="shared" si="24"/>
        <v>386</v>
      </c>
      <c r="AE65" s="24">
        <f t="shared" si="25"/>
        <v>386</v>
      </c>
      <c r="AF65" s="24">
        <f t="shared" si="26"/>
        <v>193</v>
      </c>
      <c r="AG65" s="21">
        <f t="shared" si="27"/>
        <v>390</v>
      </c>
      <c r="AH65" s="9" t="s">
        <v>140</v>
      </c>
      <c r="AI65" s="9" t="s">
        <v>140</v>
      </c>
      <c r="AJ65" s="9" t="s">
        <v>135</v>
      </c>
    </row>
    <row r="66" spans="1:36" ht="15.75" thickBot="1" x14ac:dyDescent="0.3">
      <c r="A66" s="3" t="s">
        <v>53</v>
      </c>
      <c r="B66" s="4">
        <v>150</v>
      </c>
      <c r="C66" s="4">
        <v>150</v>
      </c>
      <c r="D66" s="4">
        <v>95</v>
      </c>
      <c r="E66" s="4">
        <v>110</v>
      </c>
      <c r="F66" s="4">
        <v>175</v>
      </c>
      <c r="G66" s="4">
        <v>110</v>
      </c>
      <c r="H66" s="4">
        <v>135</v>
      </c>
      <c r="I66" s="4">
        <v>720</v>
      </c>
      <c r="J66" s="4">
        <v>1</v>
      </c>
      <c r="K66" s="15"/>
      <c r="L66" s="6"/>
      <c r="M66" s="15"/>
      <c r="N66" s="4"/>
      <c r="O66" s="14" t="s">
        <v>149</v>
      </c>
      <c r="P66" s="14">
        <v>150</v>
      </c>
      <c r="Q66" s="8">
        <v>79</v>
      </c>
      <c r="R66" s="4"/>
      <c r="S66" s="4" t="s">
        <v>54</v>
      </c>
      <c r="T66" s="33">
        <f t="shared" ref="T66:T82" si="28">P66+Q66+B66</f>
        <v>379</v>
      </c>
      <c r="U66" s="26">
        <f t="shared" ref="U66:U82" si="29">FLOOR((C66+(H66/2))/16,1)</f>
        <v>13</v>
      </c>
      <c r="V66" s="26">
        <f t="shared" ref="V66:V97" si="30">U66*IF(J66&gt;=1,1.5,1)</f>
        <v>19.5</v>
      </c>
      <c r="W66" s="19">
        <f t="shared" ref="W66:W82" si="31">INT(T66*IF(R66="",1.5,VLOOKUP(R66,$AL$2:$AM$10,2,FALSE))*(U66*2+100)/100)</f>
        <v>716</v>
      </c>
      <c r="X66" s="22">
        <f t="shared" ref="X66:X82" si="32">INT(T66*IF(R66="",1.5,VLOOKUP(R66,$AL$2:$AM$10,2,FALSE))*(U66*3+100)/100)</f>
        <v>790</v>
      </c>
      <c r="Y66" s="29">
        <f t="shared" ref="Y66:Y82" si="33">INT((T66+IF(J66&gt;=1,F66/4,0)))</f>
        <v>422</v>
      </c>
      <c r="Z66" s="29">
        <f t="shared" ref="Z66:Z97" si="34">INT(Y66*(U66*2+100)/100)</f>
        <v>531</v>
      </c>
      <c r="AA66" s="30">
        <f t="shared" ref="AA66:AA97" si="35">Z66/W66</f>
        <v>0.74162011173184361</v>
      </c>
      <c r="AB66" s="24">
        <f t="shared" ref="AB66:AB82" si="36">W66*IF(J66&lt;1,1,IF(J66=1,2,IF(J66&gt;=2,3)))</f>
        <v>1432</v>
      </c>
      <c r="AC66" s="24">
        <f t="shared" ref="AC66:AC97" si="37">INT(AB66*IF(J66&gt;=3,1.5,1.15))</f>
        <v>1646</v>
      </c>
      <c r="AD66" s="24">
        <f t="shared" ref="AD66:AD82" si="38">INT(IF(J66&gt;=3,X66,W66)*IF(J66&lt;1,1,IF(J66=1,2,IF(J66&gt;=2,3,1)))*1.15)</f>
        <v>1646</v>
      </c>
      <c r="AE66" s="24">
        <f t="shared" ref="AE66:AE82" si="39">INT(IF(J66=3,Z66*3,AB66)*1.15)</f>
        <v>1646</v>
      </c>
      <c r="AF66" s="24">
        <f t="shared" ref="AF66:AF82" si="40">INT(W66*IF(J66=0,1,IF(J66&gt;=2,1.5,1)*IF(J66&gt;=3,1.5,1.15)))</f>
        <v>823</v>
      </c>
      <c r="AG66" s="21">
        <f t="shared" ref="AG66:AG97" si="41">MAX(A66:AF66)</f>
        <v>1646</v>
      </c>
      <c r="AH66" s="9" t="s">
        <v>135</v>
      </c>
      <c r="AI66" s="9" t="s">
        <v>136</v>
      </c>
      <c r="AJ66" s="9" t="s">
        <v>136</v>
      </c>
    </row>
    <row r="67" spans="1:36" ht="15.75" thickBot="1" x14ac:dyDescent="0.3">
      <c r="A67" s="3" t="s">
        <v>59</v>
      </c>
      <c r="B67" s="4">
        <v>110</v>
      </c>
      <c r="C67" s="4">
        <v>150</v>
      </c>
      <c r="D67" s="4">
        <v>95</v>
      </c>
      <c r="E67" s="4">
        <v>175</v>
      </c>
      <c r="F67" s="4">
        <v>110</v>
      </c>
      <c r="G67" s="4">
        <v>95</v>
      </c>
      <c r="H67" s="4">
        <v>195</v>
      </c>
      <c r="I67" s="4">
        <v>600</v>
      </c>
      <c r="J67" s="4">
        <v>2</v>
      </c>
      <c r="K67" s="6"/>
      <c r="L67" s="6"/>
      <c r="M67" s="16"/>
      <c r="N67" s="7" t="s">
        <v>60</v>
      </c>
      <c r="O67" s="14" t="s">
        <v>151</v>
      </c>
      <c r="P67" s="14">
        <v>165</v>
      </c>
      <c r="Q67" s="8">
        <v>75</v>
      </c>
      <c r="R67" s="7" t="s">
        <v>60</v>
      </c>
      <c r="S67" s="4" t="s">
        <v>35</v>
      </c>
      <c r="T67" s="33">
        <f t="shared" si="28"/>
        <v>350</v>
      </c>
      <c r="U67" s="26">
        <f t="shared" si="29"/>
        <v>15</v>
      </c>
      <c r="V67" s="26">
        <f t="shared" si="30"/>
        <v>22.5</v>
      </c>
      <c r="W67" s="19">
        <f t="shared" si="31"/>
        <v>455</v>
      </c>
      <c r="X67" s="22">
        <f t="shared" si="32"/>
        <v>507</v>
      </c>
      <c r="Y67" s="29">
        <f t="shared" si="33"/>
        <v>377</v>
      </c>
      <c r="Z67" s="29">
        <f t="shared" si="34"/>
        <v>490</v>
      </c>
      <c r="AA67" s="30">
        <f t="shared" si="35"/>
        <v>1.0769230769230769</v>
      </c>
      <c r="AB67" s="24">
        <f t="shared" si="36"/>
        <v>1365</v>
      </c>
      <c r="AC67" s="24">
        <f t="shared" si="37"/>
        <v>1569</v>
      </c>
      <c r="AD67" s="24">
        <f t="shared" si="38"/>
        <v>1569</v>
      </c>
      <c r="AE67" s="24">
        <f t="shared" si="39"/>
        <v>1569</v>
      </c>
      <c r="AF67" s="24">
        <f t="shared" si="40"/>
        <v>784</v>
      </c>
      <c r="AG67" s="21">
        <f t="shared" si="41"/>
        <v>1569</v>
      </c>
      <c r="AH67" s="9" t="s">
        <v>138</v>
      </c>
      <c r="AI67" s="9" t="s">
        <v>137</v>
      </c>
      <c r="AJ67" s="9" t="s">
        <v>132</v>
      </c>
    </row>
    <row r="68" spans="1:36" ht="15.75" thickBot="1" x14ac:dyDescent="0.3">
      <c r="A68" s="3" t="s">
        <v>96</v>
      </c>
      <c r="B68" s="4">
        <v>150</v>
      </c>
      <c r="C68" s="4">
        <v>135</v>
      </c>
      <c r="D68" s="4">
        <v>95</v>
      </c>
      <c r="E68" s="4">
        <v>110</v>
      </c>
      <c r="F68" s="4">
        <v>150</v>
      </c>
      <c r="G68" s="4">
        <v>75</v>
      </c>
      <c r="H68" s="4">
        <v>110</v>
      </c>
      <c r="I68" s="4">
        <v>950</v>
      </c>
      <c r="J68" s="4">
        <v>1</v>
      </c>
      <c r="K68" s="15"/>
      <c r="L68" s="6"/>
      <c r="M68" s="15"/>
      <c r="N68" s="4"/>
      <c r="O68" s="14" t="s">
        <v>159</v>
      </c>
      <c r="P68" s="14">
        <v>160</v>
      </c>
      <c r="Q68" s="8">
        <v>79</v>
      </c>
      <c r="R68" s="4"/>
      <c r="S68" s="4" t="s">
        <v>56</v>
      </c>
      <c r="T68" s="33">
        <f t="shared" si="28"/>
        <v>389</v>
      </c>
      <c r="U68" s="26">
        <f t="shared" si="29"/>
        <v>11</v>
      </c>
      <c r="V68" s="26">
        <f t="shared" si="30"/>
        <v>16.5</v>
      </c>
      <c r="W68" s="19">
        <f t="shared" si="31"/>
        <v>711</v>
      </c>
      <c r="X68" s="22">
        <f t="shared" si="32"/>
        <v>776</v>
      </c>
      <c r="Y68" s="29">
        <f t="shared" si="33"/>
        <v>426</v>
      </c>
      <c r="Z68" s="29">
        <f t="shared" si="34"/>
        <v>519</v>
      </c>
      <c r="AA68" s="30">
        <f t="shared" si="35"/>
        <v>0.72995780590717296</v>
      </c>
      <c r="AB68" s="24">
        <f t="shared" si="36"/>
        <v>1422</v>
      </c>
      <c r="AC68" s="24">
        <f t="shared" si="37"/>
        <v>1635</v>
      </c>
      <c r="AD68" s="24">
        <f t="shared" si="38"/>
        <v>1635</v>
      </c>
      <c r="AE68" s="24">
        <f t="shared" si="39"/>
        <v>1635</v>
      </c>
      <c r="AF68" s="24">
        <f t="shared" si="40"/>
        <v>817</v>
      </c>
      <c r="AG68" s="21">
        <f t="shared" si="41"/>
        <v>1635</v>
      </c>
      <c r="AH68" s="9" t="s">
        <v>135</v>
      </c>
      <c r="AI68" s="9" t="s">
        <v>136</v>
      </c>
      <c r="AJ68" s="9" t="s">
        <v>138</v>
      </c>
    </row>
    <row r="69" spans="1:36" ht="15.75" thickBot="1" x14ac:dyDescent="0.3">
      <c r="A69" s="3" t="s">
        <v>18</v>
      </c>
      <c r="B69" s="4">
        <v>150</v>
      </c>
      <c r="C69" s="4">
        <v>110</v>
      </c>
      <c r="D69" s="4">
        <v>95</v>
      </c>
      <c r="E69" s="4">
        <v>110</v>
      </c>
      <c r="F69" s="4">
        <v>150</v>
      </c>
      <c r="G69" s="4">
        <v>110</v>
      </c>
      <c r="H69" s="4">
        <v>135</v>
      </c>
      <c r="I69" s="4">
        <v>850</v>
      </c>
      <c r="J69" s="4">
        <v>1</v>
      </c>
      <c r="K69" s="15"/>
      <c r="L69" s="6"/>
      <c r="M69" s="15"/>
      <c r="N69" s="4"/>
      <c r="O69" s="14" t="s">
        <v>147</v>
      </c>
      <c r="P69" s="14">
        <v>140</v>
      </c>
      <c r="Q69" s="8">
        <v>60</v>
      </c>
      <c r="R69" s="4"/>
      <c r="S69" s="6" t="s">
        <v>19</v>
      </c>
      <c r="T69" s="33">
        <f t="shared" si="28"/>
        <v>350</v>
      </c>
      <c r="U69" s="26">
        <f t="shared" si="29"/>
        <v>11</v>
      </c>
      <c r="V69" s="26">
        <f t="shared" si="30"/>
        <v>16.5</v>
      </c>
      <c r="W69" s="19">
        <f t="shared" si="31"/>
        <v>640</v>
      </c>
      <c r="X69" s="22">
        <f t="shared" si="32"/>
        <v>698</v>
      </c>
      <c r="Y69" s="29">
        <f t="shared" si="33"/>
        <v>387</v>
      </c>
      <c r="Z69" s="29">
        <f t="shared" si="34"/>
        <v>472</v>
      </c>
      <c r="AA69" s="30">
        <f t="shared" si="35"/>
        <v>0.73750000000000004</v>
      </c>
      <c r="AB69" s="24">
        <f t="shared" si="36"/>
        <v>1280</v>
      </c>
      <c r="AC69" s="24">
        <f t="shared" si="37"/>
        <v>1472</v>
      </c>
      <c r="AD69" s="24">
        <f t="shared" si="38"/>
        <v>1472</v>
      </c>
      <c r="AE69" s="24">
        <f t="shared" si="39"/>
        <v>1472</v>
      </c>
      <c r="AF69" s="24">
        <f t="shared" si="40"/>
        <v>736</v>
      </c>
      <c r="AG69" s="21">
        <f t="shared" si="41"/>
        <v>1472</v>
      </c>
      <c r="AH69" s="9" t="s">
        <v>136</v>
      </c>
      <c r="AI69" s="9" t="s">
        <v>138</v>
      </c>
      <c r="AJ69" s="9" t="s">
        <v>138</v>
      </c>
    </row>
    <row r="70" spans="1:36" ht="15.75" thickBot="1" x14ac:dyDescent="0.3">
      <c r="A70" s="3" t="s">
        <v>51</v>
      </c>
      <c r="B70" s="4">
        <v>175</v>
      </c>
      <c r="C70" s="4">
        <v>110</v>
      </c>
      <c r="D70" s="4">
        <v>95</v>
      </c>
      <c r="E70" s="4">
        <v>135</v>
      </c>
      <c r="F70" s="4">
        <v>150</v>
      </c>
      <c r="G70" s="4">
        <v>110</v>
      </c>
      <c r="H70" s="4">
        <v>135</v>
      </c>
      <c r="I70" s="4">
        <v>780</v>
      </c>
      <c r="J70" s="4">
        <v>1</v>
      </c>
      <c r="K70" s="15"/>
      <c r="L70" s="6"/>
      <c r="M70" s="15"/>
      <c r="N70" s="4"/>
      <c r="O70" s="14" t="s">
        <v>160</v>
      </c>
      <c r="P70" s="14">
        <v>175</v>
      </c>
      <c r="Q70" s="8">
        <v>79</v>
      </c>
      <c r="R70" s="4"/>
      <c r="S70" s="4" t="s">
        <v>25</v>
      </c>
      <c r="T70" s="33">
        <f t="shared" si="28"/>
        <v>429</v>
      </c>
      <c r="U70" s="26">
        <f t="shared" si="29"/>
        <v>11</v>
      </c>
      <c r="V70" s="26">
        <f t="shared" si="30"/>
        <v>16.5</v>
      </c>
      <c r="W70" s="19">
        <f t="shared" si="31"/>
        <v>785</v>
      </c>
      <c r="X70" s="22">
        <f t="shared" si="32"/>
        <v>855</v>
      </c>
      <c r="Y70" s="29">
        <f t="shared" si="33"/>
        <v>466</v>
      </c>
      <c r="Z70" s="29">
        <f t="shared" si="34"/>
        <v>568</v>
      </c>
      <c r="AA70" s="30">
        <f t="shared" si="35"/>
        <v>0.72356687898089167</v>
      </c>
      <c r="AB70" s="24">
        <f t="shared" si="36"/>
        <v>1570</v>
      </c>
      <c r="AC70" s="24">
        <f t="shared" si="37"/>
        <v>1805</v>
      </c>
      <c r="AD70" s="24">
        <f t="shared" si="38"/>
        <v>1805</v>
      </c>
      <c r="AE70" s="24">
        <f t="shared" si="39"/>
        <v>1805</v>
      </c>
      <c r="AF70" s="24">
        <f t="shared" si="40"/>
        <v>902</v>
      </c>
      <c r="AG70" s="21">
        <f t="shared" si="41"/>
        <v>1805</v>
      </c>
      <c r="AH70" s="9" t="s">
        <v>133</v>
      </c>
      <c r="AI70" s="9" t="s">
        <v>134</v>
      </c>
      <c r="AJ70" s="9" t="s">
        <v>138</v>
      </c>
    </row>
    <row r="71" spans="1:36" ht="15.75" thickBot="1" x14ac:dyDescent="0.3">
      <c r="A71" s="3" t="s">
        <v>83</v>
      </c>
      <c r="B71" s="4">
        <v>209</v>
      </c>
      <c r="C71" s="4">
        <v>110</v>
      </c>
      <c r="D71" s="4">
        <v>95</v>
      </c>
      <c r="E71" s="4">
        <v>135</v>
      </c>
      <c r="F71" s="4">
        <v>209</v>
      </c>
      <c r="G71" s="4">
        <v>95</v>
      </c>
      <c r="H71" s="4">
        <v>150</v>
      </c>
      <c r="I71" s="4">
        <v>550</v>
      </c>
      <c r="J71" s="4">
        <v>1</v>
      </c>
      <c r="K71" s="15"/>
      <c r="L71" s="6"/>
      <c r="M71" s="15"/>
      <c r="N71" s="5" t="s">
        <v>17</v>
      </c>
      <c r="O71" s="14" t="s">
        <v>146</v>
      </c>
      <c r="P71" s="14">
        <v>0</v>
      </c>
      <c r="Q71" s="14">
        <v>0</v>
      </c>
      <c r="R71" s="5" t="s">
        <v>17</v>
      </c>
      <c r="S71" s="4"/>
      <c r="T71" s="33">
        <f t="shared" si="28"/>
        <v>209</v>
      </c>
      <c r="U71" s="26">
        <f t="shared" si="29"/>
        <v>11</v>
      </c>
      <c r="V71" s="26">
        <f t="shared" si="30"/>
        <v>16.5</v>
      </c>
      <c r="W71" s="19">
        <f t="shared" si="31"/>
        <v>254</v>
      </c>
      <c r="X71" s="22">
        <f t="shared" si="32"/>
        <v>277</v>
      </c>
      <c r="Y71" s="29">
        <f t="shared" si="33"/>
        <v>261</v>
      </c>
      <c r="Z71" s="29">
        <f t="shared" si="34"/>
        <v>318</v>
      </c>
      <c r="AA71" s="30">
        <f t="shared" si="35"/>
        <v>1.2519685039370079</v>
      </c>
      <c r="AB71" s="24">
        <f t="shared" si="36"/>
        <v>508</v>
      </c>
      <c r="AC71" s="24">
        <f t="shared" si="37"/>
        <v>584</v>
      </c>
      <c r="AD71" s="24">
        <f t="shared" si="38"/>
        <v>584</v>
      </c>
      <c r="AE71" s="24">
        <f t="shared" si="39"/>
        <v>584</v>
      </c>
      <c r="AF71" s="24">
        <f t="shared" si="40"/>
        <v>292</v>
      </c>
      <c r="AG71" s="21">
        <f t="shared" si="41"/>
        <v>584</v>
      </c>
      <c r="AH71" s="9" t="s">
        <v>140</v>
      </c>
      <c r="AI71" s="9" t="s">
        <v>140</v>
      </c>
      <c r="AJ71" s="9" t="s">
        <v>137</v>
      </c>
    </row>
    <row r="72" spans="1:36" ht="15.75" thickBot="1" x14ac:dyDescent="0.3">
      <c r="A72" s="3" t="s">
        <v>85</v>
      </c>
      <c r="B72" s="4">
        <v>209</v>
      </c>
      <c r="C72" s="4">
        <v>110</v>
      </c>
      <c r="D72" s="4">
        <v>95</v>
      </c>
      <c r="E72" s="4">
        <v>195</v>
      </c>
      <c r="F72" s="4">
        <v>209</v>
      </c>
      <c r="G72" s="4">
        <v>95</v>
      </c>
      <c r="H72" s="4">
        <v>110</v>
      </c>
      <c r="I72" s="4">
        <v>550</v>
      </c>
      <c r="J72" s="4">
        <v>1</v>
      </c>
      <c r="K72" s="15"/>
      <c r="L72" s="6"/>
      <c r="M72" s="15"/>
      <c r="N72" s="5" t="s">
        <v>17</v>
      </c>
      <c r="O72" s="14" t="s">
        <v>146</v>
      </c>
      <c r="P72" s="14">
        <v>0</v>
      </c>
      <c r="Q72" s="14">
        <v>0</v>
      </c>
      <c r="R72" s="5" t="s">
        <v>17</v>
      </c>
      <c r="S72" s="4"/>
      <c r="T72" s="33">
        <f t="shared" si="28"/>
        <v>209</v>
      </c>
      <c r="U72" s="26">
        <f t="shared" si="29"/>
        <v>10</v>
      </c>
      <c r="V72" s="26">
        <f t="shared" si="30"/>
        <v>15</v>
      </c>
      <c r="W72" s="19">
        <f t="shared" si="31"/>
        <v>250</v>
      </c>
      <c r="X72" s="22">
        <f t="shared" si="32"/>
        <v>271</v>
      </c>
      <c r="Y72" s="29">
        <f t="shared" si="33"/>
        <v>261</v>
      </c>
      <c r="Z72" s="29">
        <f t="shared" si="34"/>
        <v>313</v>
      </c>
      <c r="AA72" s="30">
        <f t="shared" si="35"/>
        <v>1.252</v>
      </c>
      <c r="AB72" s="24">
        <f t="shared" si="36"/>
        <v>500</v>
      </c>
      <c r="AC72" s="24">
        <f t="shared" si="37"/>
        <v>575</v>
      </c>
      <c r="AD72" s="24">
        <f t="shared" si="38"/>
        <v>575</v>
      </c>
      <c r="AE72" s="24">
        <f t="shared" si="39"/>
        <v>575</v>
      </c>
      <c r="AF72" s="24">
        <f t="shared" si="40"/>
        <v>287</v>
      </c>
      <c r="AG72" s="21">
        <f t="shared" si="41"/>
        <v>575</v>
      </c>
      <c r="AH72" s="9" t="s">
        <v>140</v>
      </c>
      <c r="AI72" s="9" t="s">
        <v>140</v>
      </c>
      <c r="AJ72" s="9" t="s">
        <v>139</v>
      </c>
    </row>
    <row r="73" spans="1:36" ht="15.75" thickBot="1" x14ac:dyDescent="0.3">
      <c r="A73" s="3" t="s">
        <v>89</v>
      </c>
      <c r="B73" s="4">
        <v>242</v>
      </c>
      <c r="C73" s="4">
        <v>110</v>
      </c>
      <c r="D73" s="4">
        <v>95</v>
      </c>
      <c r="E73" s="4">
        <v>135</v>
      </c>
      <c r="F73" s="4">
        <v>132</v>
      </c>
      <c r="G73" s="4">
        <v>110</v>
      </c>
      <c r="H73" s="4">
        <v>110</v>
      </c>
      <c r="I73" s="4">
        <v>550</v>
      </c>
      <c r="J73" s="4">
        <v>1</v>
      </c>
      <c r="K73" s="15"/>
      <c r="L73" s="15"/>
      <c r="M73" s="6"/>
      <c r="N73" s="5" t="s">
        <v>17</v>
      </c>
      <c r="O73" s="14" t="s">
        <v>146</v>
      </c>
      <c r="P73" s="14">
        <v>0</v>
      </c>
      <c r="Q73" s="14">
        <v>0</v>
      </c>
      <c r="R73" s="5" t="s">
        <v>17</v>
      </c>
      <c r="S73" s="4"/>
      <c r="T73" s="33">
        <f t="shared" si="28"/>
        <v>242</v>
      </c>
      <c r="U73" s="26">
        <f t="shared" si="29"/>
        <v>10</v>
      </c>
      <c r="V73" s="26">
        <f t="shared" si="30"/>
        <v>15</v>
      </c>
      <c r="W73" s="19">
        <f t="shared" si="31"/>
        <v>290</v>
      </c>
      <c r="X73" s="22">
        <f t="shared" si="32"/>
        <v>314</v>
      </c>
      <c r="Y73" s="29">
        <f t="shared" si="33"/>
        <v>275</v>
      </c>
      <c r="Z73" s="29">
        <f t="shared" si="34"/>
        <v>330</v>
      </c>
      <c r="AA73" s="30">
        <f t="shared" si="35"/>
        <v>1.1379310344827587</v>
      </c>
      <c r="AB73" s="24">
        <f t="shared" si="36"/>
        <v>580</v>
      </c>
      <c r="AC73" s="24">
        <f t="shared" si="37"/>
        <v>667</v>
      </c>
      <c r="AD73" s="24">
        <f t="shared" si="38"/>
        <v>667</v>
      </c>
      <c r="AE73" s="24">
        <f t="shared" si="39"/>
        <v>667</v>
      </c>
      <c r="AF73" s="24">
        <f t="shared" si="40"/>
        <v>333</v>
      </c>
      <c r="AG73" s="21">
        <f t="shared" si="41"/>
        <v>667</v>
      </c>
      <c r="AH73" s="9" t="s">
        <v>140</v>
      </c>
      <c r="AI73" s="9" t="s">
        <v>140</v>
      </c>
      <c r="AJ73" s="9" t="s">
        <v>139</v>
      </c>
    </row>
    <row r="74" spans="1:36" ht="15.75" thickBot="1" x14ac:dyDescent="0.3">
      <c r="A74" s="3" t="s">
        <v>117</v>
      </c>
      <c r="B74" s="4">
        <v>95</v>
      </c>
      <c r="C74" s="4">
        <v>110</v>
      </c>
      <c r="D74" s="4">
        <v>95</v>
      </c>
      <c r="E74" s="4">
        <v>150</v>
      </c>
      <c r="F74" s="4">
        <v>75</v>
      </c>
      <c r="G74" s="4">
        <v>110</v>
      </c>
      <c r="H74" s="4">
        <v>150</v>
      </c>
      <c r="I74" s="4">
        <v>420</v>
      </c>
      <c r="J74" s="4">
        <v>1</v>
      </c>
      <c r="K74" s="6"/>
      <c r="L74" s="13" t="s">
        <v>174</v>
      </c>
      <c r="M74" s="15"/>
      <c r="N74" s="4"/>
      <c r="O74" s="14" t="s">
        <v>155</v>
      </c>
      <c r="P74" s="14">
        <v>140</v>
      </c>
      <c r="Q74" s="8">
        <v>60</v>
      </c>
      <c r="R74" s="4"/>
      <c r="S74" s="4" t="s">
        <v>77</v>
      </c>
      <c r="T74" s="33">
        <f t="shared" si="28"/>
        <v>295</v>
      </c>
      <c r="U74" s="26">
        <f t="shared" si="29"/>
        <v>11</v>
      </c>
      <c r="V74" s="26">
        <f t="shared" si="30"/>
        <v>16.5</v>
      </c>
      <c r="W74" s="19">
        <f t="shared" si="31"/>
        <v>539</v>
      </c>
      <c r="X74" s="22">
        <f t="shared" si="32"/>
        <v>588</v>
      </c>
      <c r="Y74" s="29">
        <f t="shared" si="33"/>
        <v>313</v>
      </c>
      <c r="Z74" s="29">
        <f t="shared" si="34"/>
        <v>381</v>
      </c>
      <c r="AA74" s="30">
        <f t="shared" si="35"/>
        <v>0.70686456400742115</v>
      </c>
      <c r="AB74" s="24">
        <f t="shared" si="36"/>
        <v>1078</v>
      </c>
      <c r="AC74" s="24">
        <f t="shared" si="37"/>
        <v>1239</v>
      </c>
      <c r="AD74" s="24">
        <f t="shared" si="38"/>
        <v>1239</v>
      </c>
      <c r="AE74" s="24">
        <f t="shared" si="39"/>
        <v>1239</v>
      </c>
      <c r="AF74" s="24">
        <f t="shared" si="40"/>
        <v>619</v>
      </c>
      <c r="AG74" s="21">
        <f t="shared" si="41"/>
        <v>1239</v>
      </c>
      <c r="AH74" s="9" t="s">
        <v>137</v>
      </c>
      <c r="AI74" s="9" t="s">
        <v>138</v>
      </c>
      <c r="AJ74" s="9" t="s">
        <v>137</v>
      </c>
    </row>
    <row r="75" spans="1:36" ht="15.75" thickBot="1" x14ac:dyDescent="0.3">
      <c r="A75" s="3" t="s">
        <v>61</v>
      </c>
      <c r="B75" s="4">
        <v>195</v>
      </c>
      <c r="C75" s="4">
        <v>135</v>
      </c>
      <c r="D75" s="4">
        <v>75</v>
      </c>
      <c r="E75" s="4">
        <v>95</v>
      </c>
      <c r="F75" s="4">
        <v>210</v>
      </c>
      <c r="G75" s="4">
        <v>110</v>
      </c>
      <c r="H75" s="4">
        <v>95</v>
      </c>
      <c r="I75" s="4">
        <v>850</v>
      </c>
      <c r="J75" s="4">
        <v>1</v>
      </c>
      <c r="K75" s="15"/>
      <c r="L75" s="15"/>
      <c r="M75" s="6"/>
      <c r="N75" s="4"/>
      <c r="O75" s="14" t="s">
        <v>159</v>
      </c>
      <c r="P75" s="14">
        <v>160</v>
      </c>
      <c r="Q75" s="8">
        <v>64</v>
      </c>
      <c r="R75" s="4"/>
      <c r="S75" s="4" t="s">
        <v>25</v>
      </c>
      <c r="T75" s="33">
        <f t="shared" si="28"/>
        <v>419</v>
      </c>
      <c r="U75" s="26">
        <f t="shared" si="29"/>
        <v>11</v>
      </c>
      <c r="V75" s="26">
        <f t="shared" si="30"/>
        <v>16.5</v>
      </c>
      <c r="W75" s="19">
        <f t="shared" si="31"/>
        <v>766</v>
      </c>
      <c r="X75" s="22">
        <f t="shared" si="32"/>
        <v>835</v>
      </c>
      <c r="Y75" s="29">
        <f t="shared" si="33"/>
        <v>471</v>
      </c>
      <c r="Z75" s="29">
        <f t="shared" si="34"/>
        <v>574</v>
      </c>
      <c r="AA75" s="30">
        <f t="shared" si="35"/>
        <v>0.74934725848563966</v>
      </c>
      <c r="AB75" s="24">
        <f t="shared" si="36"/>
        <v>1532</v>
      </c>
      <c r="AC75" s="24">
        <f t="shared" si="37"/>
        <v>1761</v>
      </c>
      <c r="AD75" s="24">
        <f t="shared" si="38"/>
        <v>1761</v>
      </c>
      <c r="AE75" s="24">
        <f t="shared" si="39"/>
        <v>1761</v>
      </c>
      <c r="AF75" s="24">
        <f t="shared" si="40"/>
        <v>880</v>
      </c>
      <c r="AG75" s="21">
        <f t="shared" si="41"/>
        <v>1761</v>
      </c>
      <c r="AH75" s="9" t="s">
        <v>132</v>
      </c>
      <c r="AI75" s="9" t="s">
        <v>134</v>
      </c>
      <c r="AJ75" s="9" t="s">
        <v>139</v>
      </c>
    </row>
    <row r="76" spans="1:36" ht="15.75" thickBot="1" x14ac:dyDescent="0.3">
      <c r="A76" s="3" t="s">
        <v>92</v>
      </c>
      <c r="B76" s="4">
        <v>150</v>
      </c>
      <c r="C76" s="4">
        <v>135</v>
      </c>
      <c r="D76" s="4">
        <v>75</v>
      </c>
      <c r="E76" s="4">
        <v>110</v>
      </c>
      <c r="F76" s="4">
        <v>195</v>
      </c>
      <c r="G76" s="4">
        <v>195</v>
      </c>
      <c r="H76" s="4">
        <v>75</v>
      </c>
      <c r="I76" s="4">
        <v>850</v>
      </c>
      <c r="J76" s="4">
        <v>1</v>
      </c>
      <c r="K76" s="15"/>
      <c r="L76" s="6"/>
      <c r="M76" s="13" t="s">
        <v>169</v>
      </c>
      <c r="N76" s="4"/>
      <c r="O76" s="14" t="s">
        <v>154</v>
      </c>
      <c r="P76" s="14">
        <v>135</v>
      </c>
      <c r="Q76" s="8">
        <v>79</v>
      </c>
      <c r="R76" s="4"/>
      <c r="S76" s="4" t="s">
        <v>74</v>
      </c>
      <c r="T76" s="33">
        <f t="shared" si="28"/>
        <v>364</v>
      </c>
      <c r="U76" s="26">
        <f t="shared" si="29"/>
        <v>10</v>
      </c>
      <c r="V76" s="26">
        <f t="shared" si="30"/>
        <v>15</v>
      </c>
      <c r="W76" s="19">
        <f t="shared" si="31"/>
        <v>655</v>
      </c>
      <c r="X76" s="22">
        <f t="shared" si="32"/>
        <v>709</v>
      </c>
      <c r="Y76" s="29">
        <f t="shared" si="33"/>
        <v>412</v>
      </c>
      <c r="Z76" s="29">
        <f t="shared" si="34"/>
        <v>494</v>
      </c>
      <c r="AA76" s="30">
        <f t="shared" si="35"/>
        <v>0.75419847328244272</v>
      </c>
      <c r="AB76" s="24">
        <f t="shared" si="36"/>
        <v>1310</v>
      </c>
      <c r="AC76" s="24">
        <f t="shared" si="37"/>
        <v>1506</v>
      </c>
      <c r="AD76" s="24">
        <f t="shared" si="38"/>
        <v>1506</v>
      </c>
      <c r="AE76" s="24">
        <f t="shared" si="39"/>
        <v>1506</v>
      </c>
      <c r="AF76" s="24">
        <f t="shared" si="40"/>
        <v>753</v>
      </c>
      <c r="AG76" s="21">
        <f t="shared" si="41"/>
        <v>1506</v>
      </c>
      <c r="AH76" s="9" t="s">
        <v>136</v>
      </c>
      <c r="AI76" s="9" t="s">
        <v>137</v>
      </c>
      <c r="AJ76" s="9" t="s">
        <v>140</v>
      </c>
    </row>
    <row r="77" spans="1:36" ht="15.75" thickBot="1" x14ac:dyDescent="0.3">
      <c r="A77" s="3" t="s">
        <v>120</v>
      </c>
      <c r="B77" s="4">
        <v>190</v>
      </c>
      <c r="C77" s="4">
        <v>135</v>
      </c>
      <c r="D77" s="4">
        <v>75</v>
      </c>
      <c r="E77" s="4">
        <v>135</v>
      </c>
      <c r="F77" s="4">
        <v>195</v>
      </c>
      <c r="G77" s="4">
        <v>135</v>
      </c>
      <c r="H77" s="4">
        <v>150</v>
      </c>
      <c r="I77" s="4">
        <v>780</v>
      </c>
      <c r="J77" s="4">
        <v>2</v>
      </c>
      <c r="K77" s="15"/>
      <c r="L77" s="6"/>
      <c r="M77" s="6"/>
      <c r="N77" s="4"/>
      <c r="O77" s="14" t="s">
        <v>176</v>
      </c>
      <c r="P77" s="14">
        <v>170</v>
      </c>
      <c r="Q77" s="8">
        <v>75</v>
      </c>
      <c r="R77" s="4"/>
      <c r="S77" s="4" t="s">
        <v>35</v>
      </c>
      <c r="T77" s="33">
        <f t="shared" si="28"/>
        <v>435</v>
      </c>
      <c r="U77" s="26">
        <f t="shared" si="29"/>
        <v>13</v>
      </c>
      <c r="V77" s="26">
        <f t="shared" si="30"/>
        <v>19.5</v>
      </c>
      <c r="W77" s="19">
        <f t="shared" si="31"/>
        <v>822</v>
      </c>
      <c r="X77" s="22">
        <f t="shared" si="32"/>
        <v>906</v>
      </c>
      <c r="Y77" s="29">
        <f t="shared" si="33"/>
        <v>483</v>
      </c>
      <c r="Z77" s="29">
        <f t="shared" si="34"/>
        <v>608</v>
      </c>
      <c r="AA77" s="30">
        <f t="shared" si="35"/>
        <v>0.73965936739659366</v>
      </c>
      <c r="AB77" s="24">
        <f t="shared" si="36"/>
        <v>2466</v>
      </c>
      <c r="AC77" s="24">
        <f t="shared" si="37"/>
        <v>2835</v>
      </c>
      <c r="AD77" s="24">
        <f t="shared" si="38"/>
        <v>2835</v>
      </c>
      <c r="AE77" s="24">
        <f t="shared" si="39"/>
        <v>2835</v>
      </c>
      <c r="AF77" s="24">
        <f t="shared" si="40"/>
        <v>1417</v>
      </c>
      <c r="AG77" s="21">
        <f t="shared" si="41"/>
        <v>2835</v>
      </c>
      <c r="AH77" s="9" t="s">
        <v>133</v>
      </c>
      <c r="AI77" s="9" t="s">
        <v>133</v>
      </c>
      <c r="AJ77" s="9" t="s">
        <v>136</v>
      </c>
    </row>
    <row r="78" spans="1:36" ht="15.75" thickBot="1" x14ac:dyDescent="0.3">
      <c r="A78" s="3" t="s">
        <v>16</v>
      </c>
      <c r="B78" s="4">
        <v>604</v>
      </c>
      <c r="C78" s="4">
        <v>95</v>
      </c>
      <c r="D78" s="4">
        <v>75</v>
      </c>
      <c r="E78" s="4">
        <v>60</v>
      </c>
      <c r="F78" s="4">
        <v>262</v>
      </c>
      <c r="G78" s="4">
        <v>75</v>
      </c>
      <c r="H78" s="4">
        <v>150</v>
      </c>
      <c r="I78" s="4">
        <v>980</v>
      </c>
      <c r="J78" s="4">
        <v>0</v>
      </c>
      <c r="K78" s="13" t="s">
        <v>145</v>
      </c>
      <c r="L78" s="15"/>
      <c r="M78" s="15"/>
      <c r="N78" s="5" t="s">
        <v>17</v>
      </c>
      <c r="O78" s="14" t="s">
        <v>146</v>
      </c>
      <c r="P78" s="14">
        <v>0</v>
      </c>
      <c r="Q78" s="14">
        <v>0</v>
      </c>
      <c r="R78" s="5" t="s">
        <v>17</v>
      </c>
      <c r="S78" s="4"/>
      <c r="T78" s="33">
        <f t="shared" si="28"/>
        <v>604</v>
      </c>
      <c r="U78" s="26">
        <f t="shared" si="29"/>
        <v>10</v>
      </c>
      <c r="V78" s="26">
        <f t="shared" si="30"/>
        <v>10</v>
      </c>
      <c r="W78" s="19">
        <f t="shared" si="31"/>
        <v>724</v>
      </c>
      <c r="X78" s="22">
        <f t="shared" si="32"/>
        <v>785</v>
      </c>
      <c r="Y78" s="29">
        <f t="shared" si="33"/>
        <v>604</v>
      </c>
      <c r="Z78" s="29">
        <f t="shared" si="34"/>
        <v>724</v>
      </c>
      <c r="AA78" s="30">
        <f t="shared" si="35"/>
        <v>1</v>
      </c>
      <c r="AB78" s="24">
        <f t="shared" si="36"/>
        <v>724</v>
      </c>
      <c r="AC78" s="24">
        <f t="shared" si="37"/>
        <v>832</v>
      </c>
      <c r="AD78" s="24">
        <f t="shared" si="38"/>
        <v>832</v>
      </c>
      <c r="AE78" s="24">
        <f t="shared" si="39"/>
        <v>832</v>
      </c>
      <c r="AF78" s="24">
        <f t="shared" si="40"/>
        <v>724</v>
      </c>
      <c r="AG78" s="21">
        <f t="shared" si="41"/>
        <v>980</v>
      </c>
      <c r="AH78" s="9" t="s">
        <v>135</v>
      </c>
      <c r="AI78" s="9" t="s">
        <v>139</v>
      </c>
      <c r="AJ78" s="9" t="s">
        <v>138</v>
      </c>
    </row>
    <row r="79" spans="1:36" ht="15.75" thickBot="1" x14ac:dyDescent="0.3">
      <c r="A79" s="3" t="s">
        <v>87</v>
      </c>
      <c r="B79" s="4">
        <v>297</v>
      </c>
      <c r="C79" s="4">
        <v>75</v>
      </c>
      <c r="D79" s="4">
        <v>75</v>
      </c>
      <c r="E79" s="4">
        <v>110</v>
      </c>
      <c r="F79" s="4">
        <v>297</v>
      </c>
      <c r="G79" s="4">
        <v>110</v>
      </c>
      <c r="H79" s="4">
        <v>110</v>
      </c>
      <c r="I79" s="4">
        <v>660</v>
      </c>
      <c r="J79" s="4">
        <v>1</v>
      </c>
      <c r="K79" s="15"/>
      <c r="L79" s="15"/>
      <c r="M79" s="6"/>
      <c r="N79" s="5" t="s">
        <v>17</v>
      </c>
      <c r="O79" s="14" t="s">
        <v>146</v>
      </c>
      <c r="P79" s="14">
        <v>0</v>
      </c>
      <c r="Q79" s="14">
        <v>0</v>
      </c>
      <c r="R79" s="5" t="s">
        <v>17</v>
      </c>
      <c r="S79" s="4"/>
      <c r="T79" s="33">
        <f t="shared" si="28"/>
        <v>297</v>
      </c>
      <c r="U79" s="26">
        <f t="shared" si="29"/>
        <v>8</v>
      </c>
      <c r="V79" s="26">
        <f t="shared" si="30"/>
        <v>12</v>
      </c>
      <c r="W79" s="19">
        <f t="shared" si="31"/>
        <v>344</v>
      </c>
      <c r="X79" s="22">
        <f t="shared" si="32"/>
        <v>368</v>
      </c>
      <c r="Y79" s="29">
        <f t="shared" si="33"/>
        <v>371</v>
      </c>
      <c r="Z79" s="29">
        <f t="shared" si="34"/>
        <v>430</v>
      </c>
      <c r="AA79" s="30">
        <f t="shared" si="35"/>
        <v>1.25</v>
      </c>
      <c r="AB79" s="24">
        <f t="shared" si="36"/>
        <v>688</v>
      </c>
      <c r="AC79" s="24">
        <f t="shared" si="37"/>
        <v>791</v>
      </c>
      <c r="AD79" s="24">
        <f t="shared" si="38"/>
        <v>791</v>
      </c>
      <c r="AE79" s="24">
        <f t="shared" si="39"/>
        <v>791</v>
      </c>
      <c r="AF79" s="24">
        <f t="shared" si="40"/>
        <v>395</v>
      </c>
      <c r="AG79" s="21">
        <f t="shared" si="41"/>
        <v>791</v>
      </c>
      <c r="AH79" s="9" t="s">
        <v>139</v>
      </c>
      <c r="AI79" s="9" t="s">
        <v>139</v>
      </c>
      <c r="AJ79" s="9" t="s">
        <v>140</v>
      </c>
    </row>
    <row r="80" spans="1:36" ht="15.75" thickBot="1" x14ac:dyDescent="0.3">
      <c r="A80" s="3" t="s">
        <v>50</v>
      </c>
      <c r="B80" s="4">
        <v>210</v>
      </c>
      <c r="C80" s="4">
        <v>195</v>
      </c>
      <c r="D80" s="4">
        <v>60</v>
      </c>
      <c r="E80" s="4">
        <v>175</v>
      </c>
      <c r="F80" s="4">
        <v>175</v>
      </c>
      <c r="G80" s="4">
        <v>60</v>
      </c>
      <c r="H80" s="4">
        <v>150</v>
      </c>
      <c r="I80" s="4">
        <v>780</v>
      </c>
      <c r="J80" s="4">
        <v>1</v>
      </c>
      <c r="K80" s="15"/>
      <c r="L80" s="6"/>
      <c r="M80" s="15"/>
      <c r="N80" s="4"/>
      <c r="O80" s="14" t="s">
        <v>159</v>
      </c>
      <c r="P80" s="14">
        <v>160</v>
      </c>
      <c r="Q80" s="8">
        <v>60</v>
      </c>
      <c r="R80" s="4"/>
      <c r="S80" s="4" t="s">
        <v>35</v>
      </c>
      <c r="T80" s="33">
        <f t="shared" si="28"/>
        <v>430</v>
      </c>
      <c r="U80" s="26">
        <f t="shared" si="29"/>
        <v>16</v>
      </c>
      <c r="V80" s="26">
        <f t="shared" si="30"/>
        <v>24</v>
      </c>
      <c r="W80" s="19">
        <f t="shared" si="31"/>
        <v>851</v>
      </c>
      <c r="X80" s="22">
        <f t="shared" si="32"/>
        <v>954</v>
      </c>
      <c r="Y80" s="29">
        <f t="shared" si="33"/>
        <v>473</v>
      </c>
      <c r="Z80" s="29">
        <f t="shared" si="34"/>
        <v>624</v>
      </c>
      <c r="AA80" s="30">
        <f t="shared" si="35"/>
        <v>0.7332549941245593</v>
      </c>
      <c r="AB80" s="24">
        <f t="shared" si="36"/>
        <v>1702</v>
      </c>
      <c r="AC80" s="24">
        <f t="shared" si="37"/>
        <v>1957</v>
      </c>
      <c r="AD80" s="24">
        <f t="shared" si="38"/>
        <v>1957</v>
      </c>
      <c r="AE80" s="24">
        <f t="shared" si="39"/>
        <v>1957</v>
      </c>
      <c r="AF80" s="24">
        <f t="shared" si="40"/>
        <v>978</v>
      </c>
      <c r="AG80" s="21">
        <f t="shared" si="41"/>
        <v>1957</v>
      </c>
      <c r="AH80" s="9" t="s">
        <v>131</v>
      </c>
      <c r="AI80" s="9" t="s">
        <v>134</v>
      </c>
      <c r="AJ80" s="9" t="s">
        <v>132</v>
      </c>
    </row>
    <row r="81" spans="1:36" ht="15.75" thickBot="1" x14ac:dyDescent="0.3">
      <c r="A81" s="3" t="s">
        <v>45</v>
      </c>
      <c r="B81" s="4">
        <v>297</v>
      </c>
      <c r="C81" s="4">
        <v>150</v>
      </c>
      <c r="D81" s="4">
        <v>60</v>
      </c>
      <c r="E81" s="4">
        <v>135</v>
      </c>
      <c r="F81" s="4">
        <v>429</v>
      </c>
      <c r="G81" s="4">
        <v>135</v>
      </c>
      <c r="H81" s="4">
        <v>110</v>
      </c>
      <c r="I81" s="4">
        <v>660</v>
      </c>
      <c r="J81" s="4">
        <v>0</v>
      </c>
      <c r="K81" s="15"/>
      <c r="L81" s="15"/>
      <c r="M81" s="15"/>
      <c r="N81" s="5" t="s">
        <v>17</v>
      </c>
      <c r="O81" s="14" t="s">
        <v>146</v>
      </c>
      <c r="P81" s="14">
        <v>0</v>
      </c>
      <c r="Q81" s="14">
        <v>0</v>
      </c>
      <c r="R81" s="5" t="s">
        <v>17</v>
      </c>
      <c r="S81" s="4"/>
      <c r="T81" s="33">
        <f t="shared" si="28"/>
        <v>297</v>
      </c>
      <c r="U81" s="26">
        <f t="shared" si="29"/>
        <v>12</v>
      </c>
      <c r="V81" s="26">
        <f t="shared" si="30"/>
        <v>12</v>
      </c>
      <c r="W81" s="19">
        <f t="shared" si="31"/>
        <v>368</v>
      </c>
      <c r="X81" s="22">
        <f t="shared" si="32"/>
        <v>403</v>
      </c>
      <c r="Y81" s="29">
        <f t="shared" si="33"/>
        <v>297</v>
      </c>
      <c r="Z81" s="29">
        <f t="shared" si="34"/>
        <v>368</v>
      </c>
      <c r="AA81" s="30">
        <f t="shared" si="35"/>
        <v>1</v>
      </c>
      <c r="AB81" s="24">
        <f t="shared" si="36"/>
        <v>368</v>
      </c>
      <c r="AC81" s="24">
        <f t="shared" si="37"/>
        <v>423</v>
      </c>
      <c r="AD81" s="24">
        <f t="shared" si="38"/>
        <v>423</v>
      </c>
      <c r="AE81" s="24">
        <f t="shared" si="39"/>
        <v>423</v>
      </c>
      <c r="AF81" s="24">
        <f t="shared" si="40"/>
        <v>368</v>
      </c>
      <c r="AG81" s="21">
        <f t="shared" si="41"/>
        <v>660</v>
      </c>
      <c r="AH81" s="9" t="s">
        <v>139</v>
      </c>
      <c r="AI81" s="9" t="s">
        <v>140</v>
      </c>
      <c r="AJ81" s="9" t="s">
        <v>137</v>
      </c>
    </row>
    <row r="82" spans="1:36" ht="15.75" thickBot="1" x14ac:dyDescent="0.3">
      <c r="A82" s="3" t="s">
        <v>27</v>
      </c>
      <c r="B82" s="4">
        <v>195</v>
      </c>
      <c r="C82" s="4">
        <v>95</v>
      </c>
      <c r="D82" s="4">
        <v>60</v>
      </c>
      <c r="E82" s="4">
        <v>75</v>
      </c>
      <c r="F82" s="4">
        <v>150</v>
      </c>
      <c r="G82" s="4">
        <v>110</v>
      </c>
      <c r="H82" s="4">
        <v>175</v>
      </c>
      <c r="I82" s="4">
        <v>780</v>
      </c>
      <c r="J82" s="4">
        <v>0</v>
      </c>
      <c r="K82" s="15"/>
      <c r="L82" s="13" t="s">
        <v>153</v>
      </c>
      <c r="M82" s="15"/>
      <c r="N82" s="4"/>
      <c r="O82" s="14" t="s">
        <v>154</v>
      </c>
      <c r="P82" s="14">
        <v>135</v>
      </c>
      <c r="Q82" s="8">
        <v>79</v>
      </c>
      <c r="R82" s="4"/>
      <c r="S82" s="4" t="s">
        <v>28</v>
      </c>
      <c r="T82" s="33">
        <f t="shared" si="28"/>
        <v>409</v>
      </c>
      <c r="U82" s="26">
        <f t="shared" si="29"/>
        <v>11</v>
      </c>
      <c r="V82" s="26">
        <f t="shared" si="30"/>
        <v>11</v>
      </c>
      <c r="W82" s="19">
        <f t="shared" si="31"/>
        <v>748</v>
      </c>
      <c r="X82" s="22">
        <f t="shared" si="32"/>
        <v>815</v>
      </c>
      <c r="Y82" s="29">
        <f t="shared" si="33"/>
        <v>409</v>
      </c>
      <c r="Z82" s="29">
        <f t="shared" si="34"/>
        <v>498</v>
      </c>
      <c r="AA82" s="30">
        <f t="shared" si="35"/>
        <v>0.66577540106951871</v>
      </c>
      <c r="AB82" s="24">
        <f t="shared" si="36"/>
        <v>748</v>
      </c>
      <c r="AC82" s="24">
        <f t="shared" si="37"/>
        <v>860</v>
      </c>
      <c r="AD82" s="24">
        <f t="shared" si="38"/>
        <v>860</v>
      </c>
      <c r="AE82" s="24">
        <f t="shared" si="39"/>
        <v>860</v>
      </c>
      <c r="AF82" s="24">
        <f t="shared" si="40"/>
        <v>748</v>
      </c>
      <c r="AG82" s="21">
        <f t="shared" si="41"/>
        <v>860</v>
      </c>
      <c r="AH82" s="9" t="s">
        <v>132</v>
      </c>
      <c r="AI82" s="9" t="s">
        <v>139</v>
      </c>
      <c r="AJ82" s="9" t="s">
        <v>137</v>
      </c>
    </row>
    <row r="87" spans="1:36" ht="15.75" thickBot="1" x14ac:dyDescent="0.3"/>
    <row r="88" spans="1:36" ht="15.75" thickBot="1" x14ac:dyDescent="0.3">
      <c r="A88" s="3" t="s">
        <v>91</v>
      </c>
      <c r="B88" s="4">
        <v>135</v>
      </c>
      <c r="C88" s="4">
        <v>110</v>
      </c>
      <c r="D88" s="4">
        <v>150</v>
      </c>
      <c r="E88" s="4">
        <v>135</v>
      </c>
      <c r="F88" s="4">
        <v>135</v>
      </c>
      <c r="G88" s="4">
        <v>175</v>
      </c>
      <c r="H88" s="4">
        <v>135</v>
      </c>
      <c r="I88" s="4">
        <v>660</v>
      </c>
    </row>
    <row r="89" spans="1:36" ht="15.75" thickBot="1" x14ac:dyDescent="0.3">
      <c r="A89" s="3" t="s">
        <v>63</v>
      </c>
      <c r="B89" s="4">
        <v>135</v>
      </c>
      <c r="C89" s="4">
        <v>150</v>
      </c>
      <c r="D89" s="4">
        <v>150</v>
      </c>
      <c r="E89" s="4">
        <v>135</v>
      </c>
      <c r="F89" s="4">
        <v>135</v>
      </c>
      <c r="G89" s="4">
        <v>150</v>
      </c>
      <c r="H89" s="4">
        <v>110</v>
      </c>
      <c r="I89" s="4">
        <v>720</v>
      </c>
    </row>
    <row r="90" spans="1:36" ht="15.75" thickBot="1" x14ac:dyDescent="0.3">
      <c r="A90" s="3" t="s">
        <v>107</v>
      </c>
      <c r="B90" s="4">
        <v>135</v>
      </c>
      <c r="C90" s="4">
        <v>135</v>
      </c>
      <c r="D90" s="4">
        <v>175</v>
      </c>
      <c r="E90" s="4">
        <v>150</v>
      </c>
      <c r="F90" s="4">
        <v>110</v>
      </c>
      <c r="G90" s="4">
        <v>135</v>
      </c>
      <c r="H90" s="4">
        <v>95</v>
      </c>
      <c r="I90" s="4">
        <v>660</v>
      </c>
      <c r="K90" s="4">
        <v>95</v>
      </c>
      <c r="L90" s="4">
        <v>660</v>
      </c>
    </row>
    <row r="91" spans="1:36" ht="15.75" thickBot="1" x14ac:dyDescent="0.3">
      <c r="A91" s="3" t="s">
        <v>97</v>
      </c>
      <c r="B91" s="4">
        <v>110</v>
      </c>
      <c r="C91" s="4">
        <v>135</v>
      </c>
      <c r="D91" s="4">
        <v>175</v>
      </c>
      <c r="E91" s="4">
        <v>135</v>
      </c>
      <c r="F91" s="4">
        <v>110</v>
      </c>
      <c r="G91" s="4">
        <v>175</v>
      </c>
      <c r="H91" s="4">
        <v>135</v>
      </c>
      <c r="I91" s="4">
        <v>600</v>
      </c>
    </row>
  </sheetData>
  <autoFilter ref="A1:AJ1">
    <sortState ref="A2:AJ82">
      <sortCondition descending="1" ref="D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M29"/>
  <sheetViews>
    <sheetView workbookViewId="0">
      <selection activeCell="O27" sqref="O27"/>
    </sheetView>
  </sheetViews>
  <sheetFormatPr defaultRowHeight="15" x14ac:dyDescent="0.25"/>
  <sheetData>
    <row r="10" spans="4:13" x14ac:dyDescent="0.25">
      <c r="J10" t="s">
        <v>527</v>
      </c>
      <c r="M10" t="s">
        <v>527</v>
      </c>
    </row>
    <row r="11" spans="4:13" x14ac:dyDescent="0.25">
      <c r="D11" t="s">
        <v>76</v>
      </c>
      <c r="E11">
        <v>19</v>
      </c>
      <c r="I11" t="s">
        <v>76</v>
      </c>
      <c r="J11">
        <v>37</v>
      </c>
      <c r="L11" t="s">
        <v>90</v>
      </c>
      <c r="M11">
        <v>42</v>
      </c>
    </row>
    <row r="12" spans="4:13" x14ac:dyDescent="0.25">
      <c r="D12" t="s">
        <v>3</v>
      </c>
      <c r="E12">
        <v>90.5</v>
      </c>
      <c r="F12">
        <v>2.75</v>
      </c>
      <c r="J12">
        <v>0</v>
      </c>
    </row>
    <row r="15" spans="4:13" x14ac:dyDescent="0.25">
      <c r="I15">
        <f>FLOOR(90*1.4+E12+(J11-E11)*F12-(M11-E16)*F18-E18+J12,1)</f>
        <v>157</v>
      </c>
      <c r="L15">
        <f>FLOOR(E17+(M11-E16)*(F17),1)</f>
        <v>346</v>
      </c>
    </row>
    <row r="16" spans="4:13" x14ac:dyDescent="0.25">
      <c r="D16" t="s">
        <v>90</v>
      </c>
      <c r="E16">
        <v>19</v>
      </c>
    </row>
    <row r="17" spans="3:13" x14ac:dyDescent="0.25">
      <c r="D17" t="s">
        <v>8</v>
      </c>
      <c r="E17">
        <v>151</v>
      </c>
      <c r="F17">
        <v>8.5</v>
      </c>
    </row>
    <row r="18" spans="3:13" x14ac:dyDescent="0.25">
      <c r="D18" t="s">
        <v>6</v>
      </c>
      <c r="E18">
        <v>65.2</v>
      </c>
      <c r="F18">
        <v>1.9</v>
      </c>
      <c r="I18" t="s">
        <v>2</v>
      </c>
      <c r="J18" t="s">
        <v>531</v>
      </c>
      <c r="K18" t="s">
        <v>528</v>
      </c>
    </row>
    <row r="19" spans="3:13" x14ac:dyDescent="0.25">
      <c r="D19" t="s">
        <v>2</v>
      </c>
      <c r="E19">
        <v>71.5</v>
      </c>
      <c r="F19">
        <v>2.25</v>
      </c>
      <c r="I19">
        <f>E19+(M11-E16)*F19</f>
        <v>123.25</v>
      </c>
      <c r="J19">
        <f>L15-I15</f>
        <v>189</v>
      </c>
      <c r="K19">
        <f>I15/L15</f>
        <v>0.45375722543352603</v>
      </c>
    </row>
    <row r="21" spans="3:13" x14ac:dyDescent="0.25">
      <c r="M21" t="s">
        <v>527</v>
      </c>
    </row>
    <row r="22" spans="3:13" x14ac:dyDescent="0.25">
      <c r="L22" t="s">
        <v>82</v>
      </c>
      <c r="M22">
        <v>37</v>
      </c>
    </row>
    <row r="23" spans="3:13" x14ac:dyDescent="0.25">
      <c r="D23" t="s">
        <v>82</v>
      </c>
      <c r="E23">
        <v>19</v>
      </c>
    </row>
    <row r="24" spans="3:13" x14ac:dyDescent="0.25">
      <c r="D24" t="s">
        <v>8</v>
      </c>
      <c r="E24">
        <v>151</v>
      </c>
      <c r="F24">
        <v>8.5</v>
      </c>
    </row>
    <row r="25" spans="3:13" x14ac:dyDescent="0.25">
      <c r="D25" t="s">
        <v>6</v>
      </c>
      <c r="E25">
        <v>65.2</v>
      </c>
      <c r="F25">
        <v>1.9</v>
      </c>
      <c r="L25">
        <f>E24+(M22-E23)*F24</f>
        <v>304</v>
      </c>
    </row>
    <row r="26" spans="3:13" x14ac:dyDescent="0.25">
      <c r="C26" t="s">
        <v>134</v>
      </c>
      <c r="D26" t="s">
        <v>2</v>
      </c>
      <c r="E26">
        <v>65.2</v>
      </c>
      <c r="F26">
        <v>1.9</v>
      </c>
      <c r="H26" t="s">
        <v>4</v>
      </c>
      <c r="I26" t="s">
        <v>2</v>
      </c>
      <c r="J26" t="s">
        <v>531</v>
      </c>
      <c r="K26" t="s">
        <v>528</v>
      </c>
    </row>
    <row r="27" spans="3:13" x14ac:dyDescent="0.25">
      <c r="C27" t="s">
        <v>136</v>
      </c>
      <c r="D27" t="s">
        <v>4</v>
      </c>
      <c r="E27">
        <v>55.2</v>
      </c>
      <c r="F27">
        <v>1.75</v>
      </c>
      <c r="H27">
        <f>E27+(M22-E23)*F27</f>
        <v>86.7</v>
      </c>
      <c r="I27">
        <f>E26+(M22-E23)*F26</f>
        <v>99.4</v>
      </c>
      <c r="J27">
        <f>L25-I15</f>
        <v>147</v>
      </c>
      <c r="K27">
        <f>I15/L25</f>
        <v>0.51644736842105265</v>
      </c>
    </row>
    <row r="28" spans="3:13" x14ac:dyDescent="0.25">
      <c r="H28">
        <v>18</v>
      </c>
      <c r="I28">
        <v>40</v>
      </c>
    </row>
    <row r="29" spans="3:13" x14ac:dyDescent="0.25">
      <c r="H29">
        <f>H28+H27</f>
        <v>104.7</v>
      </c>
      <c r="I29">
        <f>I27+I28</f>
        <v>139.4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C105"/>
  <sheetViews>
    <sheetView workbookViewId="0">
      <selection activeCell="F20" sqref="F20"/>
    </sheetView>
  </sheetViews>
  <sheetFormatPr defaultRowHeight="15" x14ac:dyDescent="0.25"/>
  <cols>
    <col min="24" max="24" width="33.5703125" customWidth="1"/>
  </cols>
  <sheetData>
    <row r="5" spans="2:20" ht="15.75" thickBot="1" x14ac:dyDescent="0.3"/>
    <row r="6" spans="2:20" ht="15.75" thickBot="1" x14ac:dyDescent="0.3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t="s">
        <v>192</v>
      </c>
      <c r="N6" t="s">
        <v>193</v>
      </c>
      <c r="O6" t="s">
        <v>196</v>
      </c>
      <c r="P6" t="s">
        <v>13</v>
      </c>
      <c r="Q6" t="s">
        <v>197</v>
      </c>
      <c r="R6" t="s">
        <v>194</v>
      </c>
      <c r="S6" t="s">
        <v>196</v>
      </c>
      <c r="T6" t="s">
        <v>195</v>
      </c>
    </row>
    <row r="7" spans="2:20" ht="15.75" thickBot="1" x14ac:dyDescent="0.3">
      <c r="B7" t="s">
        <v>32</v>
      </c>
      <c r="C7" s="3" t="s">
        <v>31</v>
      </c>
      <c r="D7" s="4">
        <v>135</v>
      </c>
      <c r="E7" s="4">
        <v>135</v>
      </c>
      <c r="F7" s="4">
        <v>110</v>
      </c>
      <c r="G7" s="4">
        <v>150</v>
      </c>
      <c r="H7" s="4">
        <v>135</v>
      </c>
      <c r="I7" s="4">
        <v>175</v>
      </c>
      <c r="J7" s="4">
        <v>175</v>
      </c>
      <c r="K7" s="4">
        <v>600</v>
      </c>
      <c r="L7" s="4">
        <v>3</v>
      </c>
      <c r="M7">
        <f t="shared" ref="M7:M15" si="0">SUM(D7:J7)</f>
        <v>1015</v>
      </c>
      <c r="N7">
        <f t="shared" ref="N7:N15" si="1">SUM(E7,G7,H7,I7,J7)</f>
        <v>770</v>
      </c>
      <c r="O7" s="35">
        <f>SUM(E7,G7*1.5,H7,I7,J7)</f>
        <v>845</v>
      </c>
      <c r="P7">
        <f>SUM(E7,J7)/32</f>
        <v>9.6875</v>
      </c>
      <c r="Q7">
        <f>P7*1.5</f>
        <v>14.53125</v>
      </c>
      <c r="R7">
        <f>G7+J7</f>
        <v>325</v>
      </c>
      <c r="S7">
        <f>G7*1.5+J7</f>
        <v>400</v>
      </c>
      <c r="T7">
        <f t="shared" ref="T7:T15" si="2">SUM(H7,I7,K7/4)</f>
        <v>460</v>
      </c>
    </row>
    <row r="8" spans="2:20" ht="15.75" thickBot="1" x14ac:dyDescent="0.3">
      <c r="B8" t="s">
        <v>23</v>
      </c>
      <c r="C8" s="3" t="s">
        <v>36</v>
      </c>
      <c r="D8" s="4">
        <v>135</v>
      </c>
      <c r="E8" s="4">
        <v>150</v>
      </c>
      <c r="F8" s="4">
        <v>135</v>
      </c>
      <c r="G8" s="4">
        <v>150</v>
      </c>
      <c r="H8" s="4">
        <v>135</v>
      </c>
      <c r="I8" s="4">
        <v>150</v>
      </c>
      <c r="J8" s="4">
        <v>135</v>
      </c>
      <c r="K8" s="4">
        <v>660</v>
      </c>
      <c r="L8" s="4">
        <v>2</v>
      </c>
      <c r="M8">
        <f t="shared" si="0"/>
        <v>990</v>
      </c>
      <c r="N8">
        <f t="shared" si="1"/>
        <v>720</v>
      </c>
      <c r="O8" s="36">
        <v>720</v>
      </c>
      <c r="P8">
        <f t="shared" ref="P8:P13" si="3">SUM(E8,J8)/32</f>
        <v>8.90625</v>
      </c>
      <c r="Q8">
        <v>8.90625</v>
      </c>
      <c r="R8">
        <f t="shared" ref="R8:R14" si="4">G8+J8</f>
        <v>285</v>
      </c>
      <c r="S8">
        <v>285</v>
      </c>
      <c r="T8">
        <f t="shared" si="2"/>
        <v>450</v>
      </c>
    </row>
    <row r="9" spans="2:20" ht="15.75" thickBot="1" x14ac:dyDescent="0.3">
      <c r="B9" t="s">
        <v>39</v>
      </c>
      <c r="C9" s="3" t="s">
        <v>101</v>
      </c>
      <c r="D9" s="4">
        <v>150</v>
      </c>
      <c r="E9" s="4">
        <v>150</v>
      </c>
      <c r="F9" s="4">
        <v>135</v>
      </c>
      <c r="G9" s="4">
        <v>135</v>
      </c>
      <c r="H9" s="4">
        <v>135</v>
      </c>
      <c r="I9" s="4">
        <v>150</v>
      </c>
      <c r="J9" s="4">
        <v>135</v>
      </c>
      <c r="K9" s="4">
        <v>660</v>
      </c>
      <c r="L9" s="4">
        <v>3</v>
      </c>
      <c r="M9">
        <f t="shared" si="0"/>
        <v>990</v>
      </c>
      <c r="N9">
        <f t="shared" si="1"/>
        <v>705</v>
      </c>
      <c r="O9" s="35">
        <f>SUM(E9,G9*1.5,H9,I9,J9)</f>
        <v>772.5</v>
      </c>
      <c r="P9">
        <f t="shared" si="3"/>
        <v>8.90625</v>
      </c>
      <c r="Q9">
        <f>P9*1.5</f>
        <v>13.359375</v>
      </c>
      <c r="R9">
        <f t="shared" si="4"/>
        <v>270</v>
      </c>
      <c r="S9">
        <f>G9*1.5+J9</f>
        <v>337.5</v>
      </c>
      <c r="T9">
        <f t="shared" si="2"/>
        <v>450</v>
      </c>
    </row>
    <row r="10" spans="2:20" ht="15.75" thickBot="1" x14ac:dyDescent="0.3">
      <c r="B10" t="s">
        <v>35</v>
      </c>
      <c r="C10" s="3" t="s">
        <v>69</v>
      </c>
      <c r="D10" s="4">
        <v>135</v>
      </c>
      <c r="E10" s="4">
        <v>135</v>
      </c>
      <c r="F10" s="4">
        <v>110</v>
      </c>
      <c r="G10" s="4">
        <v>150</v>
      </c>
      <c r="H10" s="4">
        <v>150</v>
      </c>
      <c r="I10" s="4">
        <v>150</v>
      </c>
      <c r="J10" s="4">
        <v>135</v>
      </c>
      <c r="K10" s="4">
        <v>660</v>
      </c>
      <c r="L10" s="4">
        <v>3</v>
      </c>
      <c r="M10">
        <f t="shared" si="0"/>
        <v>965</v>
      </c>
      <c r="N10">
        <f t="shared" si="1"/>
        <v>720</v>
      </c>
      <c r="O10" s="35">
        <f>SUM(E10,G10*1.5,H10,I10,J10)</f>
        <v>795</v>
      </c>
      <c r="P10">
        <f t="shared" si="3"/>
        <v>8.4375</v>
      </c>
      <c r="Q10">
        <f>P10*1.5</f>
        <v>12.65625</v>
      </c>
      <c r="R10">
        <f t="shared" si="4"/>
        <v>285</v>
      </c>
      <c r="S10">
        <f>G10*1.5+J10</f>
        <v>360</v>
      </c>
      <c r="T10">
        <f t="shared" si="2"/>
        <v>465</v>
      </c>
    </row>
    <row r="11" spans="2:20" ht="15.75" thickBot="1" x14ac:dyDescent="0.3">
      <c r="B11" t="s">
        <v>19</v>
      </c>
      <c r="C11" s="3" t="s">
        <v>116</v>
      </c>
      <c r="D11" s="4">
        <v>135</v>
      </c>
      <c r="E11" s="4">
        <v>195</v>
      </c>
      <c r="F11" s="4">
        <v>110</v>
      </c>
      <c r="G11" s="4">
        <v>135</v>
      </c>
      <c r="H11" s="4">
        <v>150</v>
      </c>
      <c r="I11" s="4">
        <v>135</v>
      </c>
      <c r="J11" s="4">
        <v>175</v>
      </c>
      <c r="K11" s="4">
        <v>660</v>
      </c>
      <c r="L11" s="4">
        <v>2</v>
      </c>
      <c r="M11">
        <f t="shared" si="0"/>
        <v>1035</v>
      </c>
      <c r="N11">
        <f t="shared" si="1"/>
        <v>790</v>
      </c>
      <c r="O11" s="36">
        <v>790</v>
      </c>
      <c r="P11">
        <f t="shared" si="3"/>
        <v>11.5625</v>
      </c>
      <c r="Q11">
        <v>11.5625</v>
      </c>
      <c r="R11">
        <f t="shared" si="4"/>
        <v>310</v>
      </c>
      <c r="S11">
        <v>310</v>
      </c>
      <c r="T11">
        <f t="shared" si="2"/>
        <v>450</v>
      </c>
    </row>
    <row r="12" spans="2:20" ht="15.75" thickBot="1" x14ac:dyDescent="0.3">
      <c r="B12" t="s">
        <v>32</v>
      </c>
      <c r="C12" s="3" t="s">
        <v>105</v>
      </c>
      <c r="D12" s="4">
        <v>135</v>
      </c>
      <c r="E12" s="4">
        <v>135</v>
      </c>
      <c r="F12" s="4">
        <v>110</v>
      </c>
      <c r="G12" s="4">
        <v>150</v>
      </c>
      <c r="H12" s="4">
        <v>150</v>
      </c>
      <c r="I12" s="4">
        <v>150</v>
      </c>
      <c r="J12" s="4">
        <v>150</v>
      </c>
      <c r="K12" s="4">
        <v>660</v>
      </c>
      <c r="L12" s="4">
        <v>3</v>
      </c>
      <c r="M12">
        <f t="shared" si="0"/>
        <v>980</v>
      </c>
      <c r="N12">
        <f t="shared" si="1"/>
        <v>735</v>
      </c>
      <c r="O12" s="35">
        <f>SUM(E12,G12*1.5,H12,I12,J12)</f>
        <v>810</v>
      </c>
      <c r="P12">
        <f t="shared" si="3"/>
        <v>8.90625</v>
      </c>
      <c r="Q12">
        <f>P12*1.5</f>
        <v>13.359375</v>
      </c>
      <c r="R12">
        <f t="shared" si="4"/>
        <v>300</v>
      </c>
      <c r="S12">
        <f>G12*1.5+J12</f>
        <v>375</v>
      </c>
      <c r="T12">
        <f t="shared" si="2"/>
        <v>465</v>
      </c>
    </row>
    <row r="13" spans="2:20" ht="15.75" thickBot="1" x14ac:dyDescent="0.3">
      <c r="B13" t="s">
        <v>67</v>
      </c>
      <c r="C13" s="3" t="s">
        <v>97</v>
      </c>
      <c r="D13" s="4">
        <v>110</v>
      </c>
      <c r="E13" s="4">
        <v>135</v>
      </c>
      <c r="F13" s="4">
        <v>175</v>
      </c>
      <c r="G13" s="4">
        <v>135</v>
      </c>
      <c r="H13" s="4">
        <v>110</v>
      </c>
      <c r="I13" s="4">
        <v>175</v>
      </c>
      <c r="J13" s="4">
        <v>135</v>
      </c>
      <c r="K13" s="4">
        <v>600</v>
      </c>
      <c r="L13" s="4">
        <v>3</v>
      </c>
      <c r="M13">
        <f t="shared" si="0"/>
        <v>975</v>
      </c>
      <c r="N13">
        <f t="shared" si="1"/>
        <v>690</v>
      </c>
      <c r="O13" s="35">
        <f>SUM(E13,G13*1.5,H13,I13,J13)</f>
        <v>757.5</v>
      </c>
      <c r="P13">
        <f t="shared" si="3"/>
        <v>8.4375</v>
      </c>
      <c r="Q13">
        <f>P13*1.5</f>
        <v>12.65625</v>
      </c>
      <c r="R13">
        <f t="shared" si="4"/>
        <v>270</v>
      </c>
      <c r="S13">
        <f>G13*1.5+J13</f>
        <v>337.5</v>
      </c>
      <c r="T13">
        <f t="shared" si="2"/>
        <v>435</v>
      </c>
    </row>
    <row r="14" spans="2:20" ht="15.75" thickBot="1" x14ac:dyDescent="0.3">
      <c r="B14" t="s">
        <v>67</v>
      </c>
      <c r="C14" s="3" t="s">
        <v>90</v>
      </c>
      <c r="D14" s="4">
        <v>135</v>
      </c>
      <c r="E14" s="4">
        <v>175</v>
      </c>
      <c r="F14" s="4">
        <v>110</v>
      </c>
      <c r="G14" s="4">
        <v>195</v>
      </c>
      <c r="H14" s="4">
        <v>135</v>
      </c>
      <c r="I14" s="4">
        <v>150</v>
      </c>
      <c r="J14" s="4">
        <v>150</v>
      </c>
      <c r="K14" s="4">
        <v>600</v>
      </c>
      <c r="L14" s="4">
        <v>2</v>
      </c>
      <c r="M14">
        <f t="shared" si="0"/>
        <v>1050</v>
      </c>
      <c r="N14">
        <f t="shared" si="1"/>
        <v>805</v>
      </c>
      <c r="O14" s="35">
        <v>805</v>
      </c>
      <c r="P14">
        <f>SUM(E14,J14)/32</f>
        <v>10.15625</v>
      </c>
      <c r="Q14">
        <v>10.15625</v>
      </c>
      <c r="R14">
        <f t="shared" si="4"/>
        <v>345</v>
      </c>
      <c r="S14">
        <v>345</v>
      </c>
      <c r="T14">
        <f t="shared" si="2"/>
        <v>435</v>
      </c>
    </row>
    <row r="15" spans="2:20" ht="15.75" thickBot="1" x14ac:dyDescent="0.3">
      <c r="C15" s="3" t="s">
        <v>70</v>
      </c>
      <c r="D15" s="4">
        <v>135</v>
      </c>
      <c r="E15" s="4">
        <v>175</v>
      </c>
      <c r="F15" s="4">
        <v>110</v>
      </c>
      <c r="G15" s="4">
        <v>150</v>
      </c>
      <c r="H15" s="4">
        <v>135</v>
      </c>
      <c r="I15" s="4">
        <v>150</v>
      </c>
      <c r="J15" s="4">
        <v>150</v>
      </c>
      <c r="K15" s="4">
        <v>660</v>
      </c>
      <c r="M15">
        <f t="shared" si="0"/>
        <v>1005</v>
      </c>
      <c r="N15">
        <f t="shared" si="1"/>
        <v>760</v>
      </c>
      <c r="O15" s="35">
        <f>SUM(E15,G15*1.5,H15,I15,J15)</f>
        <v>835</v>
      </c>
      <c r="P15">
        <f>SUM(E15,J15)/32</f>
        <v>10.15625</v>
      </c>
      <c r="Q15">
        <f>P15*1.5</f>
        <v>15.234375</v>
      </c>
      <c r="R15">
        <f>G15+J15</f>
        <v>300</v>
      </c>
      <c r="S15">
        <f>G15*1.5+J15</f>
        <v>375</v>
      </c>
      <c r="T15">
        <f t="shared" si="2"/>
        <v>450</v>
      </c>
    </row>
    <row r="16" spans="2:20" x14ac:dyDescent="0.25">
      <c r="O16" s="35"/>
    </row>
    <row r="17" spans="1:29" ht="15.75" thickBot="1" x14ac:dyDescent="0.3">
      <c r="O17" s="35"/>
    </row>
    <row r="18" spans="1:29" ht="15.75" thickBot="1" x14ac:dyDescent="0.3">
      <c r="C18" s="3" t="s">
        <v>38</v>
      </c>
      <c r="D18" s="4">
        <v>175</v>
      </c>
      <c r="E18" s="4">
        <v>175</v>
      </c>
      <c r="F18" s="4">
        <v>175</v>
      </c>
      <c r="G18" s="4">
        <v>150</v>
      </c>
      <c r="H18" s="4">
        <v>150</v>
      </c>
      <c r="I18" s="4">
        <v>135</v>
      </c>
      <c r="J18" s="4">
        <v>95</v>
      </c>
      <c r="K18" s="4">
        <v>720</v>
      </c>
      <c r="L18" s="4"/>
      <c r="M18" s="4"/>
      <c r="N18" s="4"/>
      <c r="O18" s="4"/>
      <c r="P18" s="4"/>
      <c r="Q18" s="4"/>
      <c r="R18" s="4"/>
      <c r="S18" s="4"/>
    </row>
    <row r="19" spans="1:29" x14ac:dyDescent="0.25">
      <c r="O19" s="35"/>
    </row>
    <row r="20" spans="1:29" x14ac:dyDescent="0.25">
      <c r="O20" s="35"/>
    </row>
    <row r="21" spans="1:29" x14ac:dyDescent="0.25">
      <c r="D21" t="s">
        <v>202</v>
      </c>
      <c r="E21" t="s">
        <v>203</v>
      </c>
    </row>
    <row r="22" spans="1:29" x14ac:dyDescent="0.25">
      <c r="B22" t="s">
        <v>201</v>
      </c>
      <c r="C22" t="s">
        <v>204</v>
      </c>
      <c r="D22">
        <v>2</v>
      </c>
      <c r="E22">
        <v>2</v>
      </c>
      <c r="O22" t="s">
        <v>456</v>
      </c>
      <c r="P22">
        <f>HEX2DEC(O22)</f>
        <v>178</v>
      </c>
    </row>
    <row r="23" spans="1:29" x14ac:dyDescent="0.25">
      <c r="B23">
        <v>11</v>
      </c>
      <c r="C23" t="s">
        <v>205</v>
      </c>
      <c r="D23">
        <v>0.6</v>
      </c>
      <c r="E23">
        <v>0.1</v>
      </c>
      <c r="K23" t="s">
        <v>29</v>
      </c>
      <c r="L23">
        <v>35</v>
      </c>
    </row>
    <row r="24" spans="1:29" x14ac:dyDescent="0.25">
      <c r="K24" t="s">
        <v>2</v>
      </c>
      <c r="L24">
        <v>96</v>
      </c>
      <c r="M24">
        <f>L24+L25</f>
        <v>178</v>
      </c>
    </row>
    <row r="25" spans="1:29" x14ac:dyDescent="0.25">
      <c r="K25" t="s">
        <v>7</v>
      </c>
      <c r="L25">
        <v>82</v>
      </c>
      <c r="M25">
        <f>L25*2</f>
        <v>164</v>
      </c>
    </row>
    <row r="26" spans="1:29" x14ac:dyDescent="0.25">
      <c r="D26" t="s">
        <v>198</v>
      </c>
      <c r="E26" t="s">
        <v>206</v>
      </c>
      <c r="F26" t="s">
        <v>207</v>
      </c>
      <c r="K26" t="s">
        <v>4</v>
      </c>
      <c r="L26">
        <v>96</v>
      </c>
      <c r="M26">
        <f>L26*2</f>
        <v>192</v>
      </c>
      <c r="O26" t="s">
        <v>457</v>
      </c>
      <c r="P26">
        <v>41</v>
      </c>
    </row>
    <row r="27" spans="1:29" x14ac:dyDescent="0.25">
      <c r="C27">
        <v>2</v>
      </c>
      <c r="D27">
        <f>$B$23+($D$22*$D$23+($D$22-1)*(1-$D$23))</f>
        <v>12.6</v>
      </c>
      <c r="E27">
        <f>B23+(D22-1)</f>
        <v>12</v>
      </c>
      <c r="F27">
        <f>B23+D22</f>
        <v>13</v>
      </c>
      <c r="O27" t="s">
        <v>4</v>
      </c>
      <c r="P27">
        <v>103</v>
      </c>
      <c r="R27">
        <f>P27+P29</f>
        <v>181</v>
      </c>
    </row>
    <row r="28" spans="1:29" x14ac:dyDescent="0.25">
      <c r="C28">
        <v>3</v>
      </c>
      <c r="D28">
        <f t="shared" ref="D28:D44" si="5">D27+($D$22*$D$23+($D$22-1)*(1-$D$23))</f>
        <v>14.2</v>
      </c>
      <c r="E28">
        <f>E27+($D$22-1)</f>
        <v>13</v>
      </c>
      <c r="F28">
        <f>F27+$D$22</f>
        <v>15</v>
      </c>
      <c r="O28" t="s">
        <v>2</v>
      </c>
      <c r="P28">
        <v>98</v>
      </c>
      <c r="S28">
        <f>1*0.25</f>
        <v>0.25</v>
      </c>
      <c r="Y28" t="s">
        <v>525</v>
      </c>
      <c r="Z28" t="s">
        <v>76</v>
      </c>
      <c r="AB28" t="s">
        <v>526</v>
      </c>
      <c r="AC28" t="s">
        <v>90</v>
      </c>
    </row>
    <row r="29" spans="1:29" x14ac:dyDescent="0.25">
      <c r="C29">
        <v>4</v>
      </c>
      <c r="D29">
        <f t="shared" si="5"/>
        <v>15.799999999999999</v>
      </c>
      <c r="E29">
        <f t="shared" ref="E29:E44" si="6">E28+($D$22-1)</f>
        <v>14</v>
      </c>
      <c r="F29">
        <f t="shared" ref="F29:F44" si="7">F28+$D$22</f>
        <v>17</v>
      </c>
      <c r="O29" t="s">
        <v>7</v>
      </c>
      <c r="P29">
        <v>78</v>
      </c>
      <c r="Y29" t="s">
        <v>3</v>
      </c>
      <c r="Z29">
        <v>112</v>
      </c>
      <c r="AB29" t="s">
        <v>6</v>
      </c>
      <c r="AC29">
        <v>76</v>
      </c>
    </row>
    <row r="30" spans="1:29" x14ac:dyDescent="0.25">
      <c r="C30">
        <f>C29+1</f>
        <v>5</v>
      </c>
      <c r="D30">
        <f t="shared" si="5"/>
        <v>17.399999999999999</v>
      </c>
      <c r="E30">
        <f t="shared" si="6"/>
        <v>15</v>
      </c>
      <c r="F30">
        <f t="shared" si="7"/>
        <v>19</v>
      </c>
      <c r="Y30" t="s">
        <v>6</v>
      </c>
      <c r="Z30">
        <v>99</v>
      </c>
      <c r="AB30" t="s">
        <v>8</v>
      </c>
      <c r="AC30">
        <v>202</v>
      </c>
    </row>
    <row r="31" spans="1:29" x14ac:dyDescent="0.25">
      <c r="A31">
        <v>139</v>
      </c>
      <c r="C31">
        <f t="shared" ref="C31:C94" si="8">C30+1</f>
        <v>6</v>
      </c>
      <c r="D31">
        <f t="shared" si="5"/>
        <v>19</v>
      </c>
      <c r="E31">
        <f t="shared" si="6"/>
        <v>16</v>
      </c>
      <c r="F31">
        <f t="shared" si="7"/>
        <v>21</v>
      </c>
      <c r="Y31" t="s">
        <v>8</v>
      </c>
      <c r="Z31">
        <v>219</v>
      </c>
    </row>
    <row r="32" spans="1:29" x14ac:dyDescent="0.25">
      <c r="C32">
        <f t="shared" si="8"/>
        <v>7</v>
      </c>
      <c r="D32">
        <f t="shared" si="5"/>
        <v>20.6</v>
      </c>
      <c r="E32">
        <f t="shared" si="6"/>
        <v>17</v>
      </c>
      <c r="F32">
        <f t="shared" si="7"/>
        <v>23</v>
      </c>
      <c r="K32" t="s">
        <v>119</v>
      </c>
      <c r="L32" t="s">
        <v>199</v>
      </c>
      <c r="M32" t="s">
        <v>200</v>
      </c>
      <c r="R32" t="s">
        <v>241</v>
      </c>
    </row>
    <row r="33" spans="3:29" x14ac:dyDescent="0.25">
      <c r="C33">
        <f t="shared" si="8"/>
        <v>8</v>
      </c>
      <c r="D33">
        <f t="shared" si="5"/>
        <v>22.200000000000003</v>
      </c>
      <c r="E33">
        <f t="shared" si="6"/>
        <v>18</v>
      </c>
      <c r="F33">
        <f t="shared" si="7"/>
        <v>25</v>
      </c>
      <c r="K33" t="s">
        <v>36</v>
      </c>
      <c r="L33" t="s">
        <v>76</v>
      </c>
      <c r="M33" t="s">
        <v>38</v>
      </c>
      <c r="Y33">
        <v>39</v>
      </c>
      <c r="AB33">
        <v>31</v>
      </c>
      <c r="AC33" t="s">
        <v>82</v>
      </c>
    </row>
    <row r="34" spans="3:29" x14ac:dyDescent="0.25">
      <c r="C34">
        <f t="shared" si="8"/>
        <v>9</v>
      </c>
      <c r="D34">
        <f t="shared" si="5"/>
        <v>23.800000000000004</v>
      </c>
      <c r="E34">
        <f t="shared" si="6"/>
        <v>19</v>
      </c>
      <c r="F34">
        <f t="shared" si="7"/>
        <v>27</v>
      </c>
      <c r="Y34" t="s">
        <v>3</v>
      </c>
      <c r="Z34">
        <v>145</v>
      </c>
      <c r="AB34" t="s">
        <v>6</v>
      </c>
      <c r="AC34">
        <v>88</v>
      </c>
    </row>
    <row r="35" spans="3:29" x14ac:dyDescent="0.25">
      <c r="C35">
        <f t="shared" si="8"/>
        <v>10</v>
      </c>
      <c r="D35">
        <f t="shared" si="5"/>
        <v>25.400000000000006</v>
      </c>
      <c r="E35">
        <f t="shared" si="6"/>
        <v>20</v>
      </c>
      <c r="F35">
        <f t="shared" si="7"/>
        <v>29</v>
      </c>
      <c r="AB35" t="s">
        <v>8</v>
      </c>
      <c r="AC35">
        <v>253</v>
      </c>
    </row>
    <row r="36" spans="3:29" x14ac:dyDescent="0.25">
      <c r="C36">
        <f t="shared" si="8"/>
        <v>11</v>
      </c>
      <c r="D36">
        <f t="shared" si="5"/>
        <v>27.000000000000007</v>
      </c>
      <c r="E36">
        <f t="shared" si="6"/>
        <v>21</v>
      </c>
      <c r="F36">
        <f t="shared" si="7"/>
        <v>31</v>
      </c>
    </row>
    <row r="37" spans="3:29" x14ac:dyDescent="0.25">
      <c r="C37">
        <f t="shared" si="8"/>
        <v>12</v>
      </c>
      <c r="D37">
        <f t="shared" si="5"/>
        <v>28.600000000000009</v>
      </c>
      <c r="E37">
        <f t="shared" si="6"/>
        <v>22</v>
      </c>
      <c r="F37">
        <f t="shared" si="7"/>
        <v>33</v>
      </c>
    </row>
    <row r="38" spans="3:29" x14ac:dyDescent="0.25">
      <c r="C38">
        <f t="shared" si="8"/>
        <v>13</v>
      </c>
      <c r="D38">
        <f t="shared" si="5"/>
        <v>30.20000000000001</v>
      </c>
      <c r="E38">
        <f t="shared" si="6"/>
        <v>23</v>
      </c>
      <c r="F38">
        <f t="shared" si="7"/>
        <v>35</v>
      </c>
      <c r="T38">
        <v>55.2</v>
      </c>
      <c r="X38">
        <v>88</v>
      </c>
      <c r="Y38">
        <f>45</f>
        <v>45</v>
      </c>
      <c r="Z38">
        <f>X38+Y38</f>
        <v>133</v>
      </c>
    </row>
    <row r="39" spans="3:29" x14ac:dyDescent="0.25">
      <c r="C39">
        <f t="shared" si="8"/>
        <v>14</v>
      </c>
      <c r="D39">
        <f t="shared" si="5"/>
        <v>31.800000000000011</v>
      </c>
      <c r="E39">
        <f t="shared" si="6"/>
        <v>24</v>
      </c>
      <c r="F39">
        <f t="shared" si="7"/>
        <v>37</v>
      </c>
      <c r="O39" t="s">
        <v>1</v>
      </c>
      <c r="P39">
        <v>160</v>
      </c>
      <c r="T39">
        <f>(5*0.75)+(5*2)-5</f>
        <v>8.75</v>
      </c>
    </row>
    <row r="40" spans="3:29" x14ac:dyDescent="0.25">
      <c r="C40">
        <f t="shared" si="8"/>
        <v>15</v>
      </c>
      <c r="D40">
        <f t="shared" si="5"/>
        <v>33.400000000000013</v>
      </c>
      <c r="E40">
        <f t="shared" si="6"/>
        <v>25</v>
      </c>
      <c r="F40">
        <f t="shared" si="7"/>
        <v>39</v>
      </c>
      <c r="J40">
        <v>100</v>
      </c>
      <c r="P40">
        <f>P39*1.2</f>
        <v>192</v>
      </c>
      <c r="Y40">
        <f>90*1.4</f>
        <v>125.99999999999999</v>
      </c>
    </row>
    <row r="41" spans="3:29" x14ac:dyDescent="0.25">
      <c r="C41">
        <f t="shared" si="8"/>
        <v>16</v>
      </c>
      <c r="D41">
        <f t="shared" si="5"/>
        <v>35.000000000000014</v>
      </c>
      <c r="E41">
        <f t="shared" si="6"/>
        <v>26</v>
      </c>
      <c r="F41">
        <f t="shared" si="7"/>
        <v>41</v>
      </c>
      <c r="K41">
        <f>P39-J40-10</f>
        <v>50</v>
      </c>
      <c r="M41">
        <f>P40-J40-10</f>
        <v>82</v>
      </c>
      <c r="P41">
        <f>P39*1.1</f>
        <v>176</v>
      </c>
      <c r="Y41">
        <f>Y40+160</f>
        <v>286</v>
      </c>
    </row>
    <row r="42" spans="3:29" x14ac:dyDescent="0.25">
      <c r="C42">
        <f t="shared" si="8"/>
        <v>17</v>
      </c>
      <c r="D42">
        <f t="shared" si="5"/>
        <v>36.600000000000016</v>
      </c>
      <c r="E42">
        <f t="shared" si="6"/>
        <v>27</v>
      </c>
      <c r="F42">
        <f t="shared" si="7"/>
        <v>43</v>
      </c>
      <c r="M42">
        <f>P41-J40-10</f>
        <v>66</v>
      </c>
      <c r="Y42">
        <f>Y41-88</f>
        <v>198</v>
      </c>
    </row>
    <row r="43" spans="3:29" x14ac:dyDescent="0.25">
      <c r="C43">
        <f t="shared" si="8"/>
        <v>18</v>
      </c>
      <c r="D43">
        <f t="shared" si="5"/>
        <v>38.200000000000017</v>
      </c>
      <c r="E43">
        <f t="shared" si="6"/>
        <v>28</v>
      </c>
      <c r="F43">
        <f t="shared" si="7"/>
        <v>45</v>
      </c>
      <c r="K43" t="s">
        <v>497</v>
      </c>
    </row>
    <row r="44" spans="3:29" x14ac:dyDescent="0.25">
      <c r="C44">
        <f t="shared" si="8"/>
        <v>19</v>
      </c>
      <c r="D44">
        <f t="shared" si="5"/>
        <v>39.800000000000018</v>
      </c>
      <c r="E44">
        <f t="shared" si="6"/>
        <v>29</v>
      </c>
      <c r="F44">
        <f t="shared" si="7"/>
        <v>47</v>
      </c>
      <c r="K44" t="s">
        <v>498</v>
      </c>
    </row>
    <row r="45" spans="3:29" x14ac:dyDescent="0.25">
      <c r="C45">
        <f t="shared" si="8"/>
        <v>20</v>
      </c>
      <c r="D45">
        <f t="shared" ref="D45:D60" si="9">D44+($E$22*$E$23+($E$22-1)*(1-$E$23))</f>
        <v>40.90000000000002</v>
      </c>
      <c r="E45">
        <f>E44+($E$22-1)</f>
        <v>30</v>
      </c>
      <c r="F45">
        <f>F44+$E$22</f>
        <v>49</v>
      </c>
      <c r="K45" t="s">
        <v>499</v>
      </c>
    </row>
    <row r="46" spans="3:29" x14ac:dyDescent="0.25">
      <c r="C46">
        <f t="shared" si="8"/>
        <v>21</v>
      </c>
      <c r="D46">
        <f t="shared" si="9"/>
        <v>42.000000000000021</v>
      </c>
      <c r="E46">
        <f t="shared" ref="E46:E84" si="10">E45+($E$22-1)</f>
        <v>31</v>
      </c>
      <c r="F46">
        <f t="shared" ref="F46:F84" si="11">F45+$E$22</f>
        <v>51</v>
      </c>
    </row>
    <row r="47" spans="3:29" x14ac:dyDescent="0.25">
      <c r="C47">
        <f t="shared" si="8"/>
        <v>22</v>
      </c>
      <c r="D47">
        <f t="shared" si="9"/>
        <v>43.100000000000023</v>
      </c>
      <c r="E47">
        <f t="shared" si="10"/>
        <v>32</v>
      </c>
      <c r="F47">
        <f t="shared" si="11"/>
        <v>53</v>
      </c>
      <c r="N47" t="s">
        <v>240</v>
      </c>
    </row>
    <row r="48" spans="3:29" x14ac:dyDescent="0.25">
      <c r="C48">
        <f t="shared" si="8"/>
        <v>23</v>
      </c>
      <c r="D48">
        <f t="shared" si="9"/>
        <v>44.200000000000024</v>
      </c>
      <c r="E48">
        <f t="shared" si="10"/>
        <v>33</v>
      </c>
      <c r="F48">
        <f t="shared" si="11"/>
        <v>55</v>
      </c>
      <c r="N48" t="s">
        <v>237</v>
      </c>
    </row>
    <row r="49" spans="3:25" x14ac:dyDescent="0.25">
      <c r="C49">
        <f t="shared" si="8"/>
        <v>24</v>
      </c>
      <c r="D49">
        <f t="shared" si="9"/>
        <v>45.300000000000026</v>
      </c>
      <c r="E49">
        <f t="shared" si="10"/>
        <v>34</v>
      </c>
      <c r="F49">
        <f t="shared" si="11"/>
        <v>57</v>
      </c>
    </row>
    <row r="50" spans="3:25" x14ac:dyDescent="0.25">
      <c r="C50">
        <f t="shared" si="8"/>
        <v>25</v>
      </c>
      <c r="D50">
        <f t="shared" si="9"/>
        <v>46.400000000000027</v>
      </c>
      <c r="E50">
        <f t="shared" si="10"/>
        <v>35</v>
      </c>
      <c r="F50">
        <f t="shared" si="11"/>
        <v>59</v>
      </c>
      <c r="I50" t="s">
        <v>90</v>
      </c>
      <c r="J50">
        <v>19</v>
      </c>
      <c r="N50">
        <v>90</v>
      </c>
      <c r="X50" t="s">
        <v>384</v>
      </c>
      <c r="Y50" t="s">
        <v>385</v>
      </c>
    </row>
    <row r="51" spans="3:25" x14ac:dyDescent="0.25">
      <c r="C51">
        <f t="shared" si="8"/>
        <v>26</v>
      </c>
      <c r="D51">
        <f t="shared" si="9"/>
        <v>47.500000000000028</v>
      </c>
      <c r="E51">
        <f t="shared" si="10"/>
        <v>36</v>
      </c>
      <c r="F51">
        <f t="shared" si="11"/>
        <v>61</v>
      </c>
      <c r="H51">
        <v>8.5</v>
      </c>
      <c r="I51" t="s">
        <v>8</v>
      </c>
      <c r="J51">
        <v>151</v>
      </c>
      <c r="K51">
        <v>9</v>
      </c>
      <c r="N51">
        <v>373</v>
      </c>
      <c r="W51" t="s">
        <v>141</v>
      </c>
      <c r="X51" t="s">
        <v>391</v>
      </c>
    </row>
    <row r="52" spans="3:25" x14ac:dyDescent="0.25">
      <c r="C52">
        <f t="shared" si="8"/>
        <v>27</v>
      </c>
      <c r="D52">
        <f t="shared" si="9"/>
        <v>48.60000000000003</v>
      </c>
      <c r="E52">
        <f t="shared" si="10"/>
        <v>37</v>
      </c>
      <c r="F52">
        <f t="shared" si="11"/>
        <v>63</v>
      </c>
      <c r="I52" t="s">
        <v>6</v>
      </c>
      <c r="J52">
        <v>65.2</v>
      </c>
      <c r="K52">
        <v>2</v>
      </c>
      <c r="L52">
        <v>0.9</v>
      </c>
      <c r="M52">
        <v>140</v>
      </c>
      <c r="N52">
        <v>148</v>
      </c>
      <c r="W52" t="s">
        <v>386</v>
      </c>
      <c r="X52" t="s">
        <v>393</v>
      </c>
    </row>
    <row r="53" spans="3:25" x14ac:dyDescent="0.25">
      <c r="C53">
        <f t="shared" si="8"/>
        <v>28</v>
      </c>
      <c r="D53">
        <f t="shared" si="9"/>
        <v>49.700000000000031</v>
      </c>
      <c r="E53">
        <f t="shared" si="10"/>
        <v>38</v>
      </c>
      <c r="F53">
        <f t="shared" si="11"/>
        <v>65</v>
      </c>
      <c r="I53" t="s">
        <v>4</v>
      </c>
      <c r="J53">
        <v>78.8</v>
      </c>
      <c r="K53">
        <v>3</v>
      </c>
      <c r="L53">
        <v>0.6</v>
      </c>
      <c r="N53">
        <v>107</v>
      </c>
      <c r="W53" t="s">
        <v>387</v>
      </c>
      <c r="X53" t="s">
        <v>390</v>
      </c>
    </row>
    <row r="54" spans="3:25" x14ac:dyDescent="0.25">
      <c r="C54">
        <f t="shared" si="8"/>
        <v>29</v>
      </c>
      <c r="D54">
        <f t="shared" si="9"/>
        <v>50.800000000000033</v>
      </c>
      <c r="E54">
        <f t="shared" si="10"/>
        <v>39</v>
      </c>
      <c r="F54">
        <f t="shared" si="11"/>
        <v>67</v>
      </c>
      <c r="N54">
        <v>1.4</v>
      </c>
      <c r="O54">
        <f>N50*N54</f>
        <v>125.99999999999999</v>
      </c>
      <c r="W54" t="s">
        <v>388</v>
      </c>
      <c r="X54" t="s">
        <v>392</v>
      </c>
    </row>
    <row r="55" spans="3:25" x14ac:dyDescent="0.25">
      <c r="C55">
        <f t="shared" si="8"/>
        <v>30</v>
      </c>
      <c r="D55">
        <f t="shared" si="9"/>
        <v>51.900000000000034</v>
      </c>
      <c r="E55">
        <f t="shared" si="10"/>
        <v>40</v>
      </c>
      <c r="F55">
        <f t="shared" si="11"/>
        <v>69</v>
      </c>
      <c r="I55" t="s">
        <v>101</v>
      </c>
      <c r="J55">
        <v>19</v>
      </c>
      <c r="W55" t="s">
        <v>389</v>
      </c>
    </row>
    <row r="56" spans="3:25" x14ac:dyDescent="0.25">
      <c r="C56">
        <f t="shared" si="8"/>
        <v>31</v>
      </c>
      <c r="D56">
        <f t="shared" si="9"/>
        <v>53.000000000000036</v>
      </c>
      <c r="E56">
        <f t="shared" si="10"/>
        <v>41</v>
      </c>
      <c r="F56">
        <f t="shared" si="11"/>
        <v>71</v>
      </c>
      <c r="H56">
        <v>9.5</v>
      </c>
      <c r="I56" t="s">
        <v>8</v>
      </c>
      <c r="J56">
        <v>164</v>
      </c>
      <c r="K56">
        <v>10</v>
      </c>
      <c r="N56">
        <f>((N50*N54)+N52-N53)</f>
        <v>167</v>
      </c>
    </row>
    <row r="57" spans="3:25" x14ac:dyDescent="0.25">
      <c r="C57">
        <f t="shared" si="8"/>
        <v>32</v>
      </c>
      <c r="D57">
        <f t="shared" si="9"/>
        <v>54.100000000000037</v>
      </c>
      <c r="E57">
        <f t="shared" si="10"/>
        <v>42</v>
      </c>
      <c r="F57">
        <f t="shared" si="11"/>
        <v>73</v>
      </c>
      <c r="I57" t="s">
        <v>6</v>
      </c>
      <c r="J57">
        <v>65.2</v>
      </c>
      <c r="K57">
        <v>2</v>
      </c>
      <c r="L57">
        <v>0.9</v>
      </c>
      <c r="N57">
        <f>N51-N56</f>
        <v>206</v>
      </c>
    </row>
    <row r="58" spans="3:25" x14ac:dyDescent="0.25">
      <c r="C58">
        <f t="shared" si="8"/>
        <v>33</v>
      </c>
      <c r="D58">
        <f t="shared" si="9"/>
        <v>55.200000000000038</v>
      </c>
      <c r="E58">
        <f t="shared" si="10"/>
        <v>43</v>
      </c>
      <c r="F58">
        <f t="shared" si="11"/>
        <v>75</v>
      </c>
      <c r="I58" t="s">
        <v>4</v>
      </c>
      <c r="J58">
        <v>55.2</v>
      </c>
      <c r="K58">
        <v>2</v>
      </c>
      <c r="L58">
        <v>0.75</v>
      </c>
      <c r="X58" t="s">
        <v>394</v>
      </c>
    </row>
    <row r="59" spans="3:25" x14ac:dyDescent="0.25">
      <c r="C59">
        <f t="shared" si="8"/>
        <v>34</v>
      </c>
      <c r="D59">
        <f t="shared" si="9"/>
        <v>56.30000000000004</v>
      </c>
      <c r="E59">
        <f t="shared" si="10"/>
        <v>44</v>
      </c>
      <c r="F59">
        <f t="shared" si="11"/>
        <v>77</v>
      </c>
    </row>
    <row r="60" spans="3:25" x14ac:dyDescent="0.25">
      <c r="C60">
        <f t="shared" si="8"/>
        <v>35</v>
      </c>
      <c r="D60">
        <f t="shared" si="9"/>
        <v>57.400000000000041</v>
      </c>
      <c r="E60">
        <f t="shared" si="10"/>
        <v>45</v>
      </c>
      <c r="F60">
        <f t="shared" si="11"/>
        <v>79</v>
      </c>
      <c r="I60" t="s">
        <v>76</v>
      </c>
      <c r="J60">
        <v>19</v>
      </c>
      <c r="N60" t="s">
        <v>238</v>
      </c>
    </row>
    <row r="61" spans="3:25" x14ac:dyDescent="0.25">
      <c r="C61">
        <f t="shared" si="8"/>
        <v>36</v>
      </c>
      <c r="D61">
        <f t="shared" ref="D61:D84" si="12">D60+($E$22*$E$23+($E$22-1)*(1-$E$23))</f>
        <v>58.500000000000043</v>
      </c>
      <c r="E61">
        <f t="shared" si="10"/>
        <v>46</v>
      </c>
      <c r="F61">
        <f t="shared" si="11"/>
        <v>81</v>
      </c>
      <c r="H61">
        <v>2.75</v>
      </c>
      <c r="I61" t="s">
        <v>3</v>
      </c>
      <c r="J61">
        <v>90.5</v>
      </c>
      <c r="K61">
        <v>3</v>
      </c>
      <c r="L61">
        <v>0.75</v>
      </c>
      <c r="N61" t="s">
        <v>239</v>
      </c>
    </row>
    <row r="62" spans="3:25" x14ac:dyDescent="0.25">
      <c r="C62">
        <f t="shared" si="8"/>
        <v>37</v>
      </c>
      <c r="D62">
        <f t="shared" si="12"/>
        <v>59.600000000000044</v>
      </c>
      <c r="E62">
        <f t="shared" si="10"/>
        <v>47</v>
      </c>
      <c r="F62">
        <f t="shared" si="11"/>
        <v>83</v>
      </c>
      <c r="I62" t="s">
        <v>4</v>
      </c>
      <c r="J62">
        <v>71.5</v>
      </c>
      <c r="K62">
        <v>3</v>
      </c>
      <c r="L62">
        <v>0.25</v>
      </c>
    </row>
    <row r="63" spans="3:25" x14ac:dyDescent="0.25">
      <c r="C63">
        <f t="shared" si="8"/>
        <v>38</v>
      </c>
      <c r="D63">
        <f t="shared" si="12"/>
        <v>60.700000000000045</v>
      </c>
      <c r="E63">
        <f t="shared" si="10"/>
        <v>48</v>
      </c>
      <c r="F63">
        <f t="shared" si="11"/>
        <v>85</v>
      </c>
    </row>
    <row r="64" spans="3:25" x14ac:dyDescent="0.25">
      <c r="C64">
        <f t="shared" si="8"/>
        <v>39</v>
      </c>
      <c r="D64">
        <f t="shared" si="12"/>
        <v>61.800000000000047</v>
      </c>
      <c r="E64">
        <f t="shared" si="10"/>
        <v>49</v>
      </c>
      <c r="F64">
        <f t="shared" si="11"/>
        <v>87</v>
      </c>
    </row>
    <row r="65" spans="1:28" x14ac:dyDescent="0.25">
      <c r="C65">
        <f t="shared" si="8"/>
        <v>40</v>
      </c>
      <c r="D65">
        <f t="shared" si="12"/>
        <v>62.900000000000048</v>
      </c>
      <c r="E65">
        <f t="shared" si="10"/>
        <v>50</v>
      </c>
      <c r="F65">
        <f t="shared" si="11"/>
        <v>89</v>
      </c>
      <c r="I65" t="s">
        <v>82</v>
      </c>
      <c r="J65">
        <v>19</v>
      </c>
    </row>
    <row r="66" spans="1:28" x14ac:dyDescent="0.25">
      <c r="C66">
        <f t="shared" si="8"/>
        <v>41</v>
      </c>
      <c r="D66">
        <f t="shared" si="12"/>
        <v>64.000000000000043</v>
      </c>
      <c r="E66">
        <f t="shared" si="10"/>
        <v>51</v>
      </c>
      <c r="F66">
        <f t="shared" si="11"/>
        <v>91</v>
      </c>
      <c r="I66" t="s">
        <v>8</v>
      </c>
      <c r="J66">
        <v>151</v>
      </c>
      <c r="K66">
        <v>9</v>
      </c>
      <c r="W66" t="s">
        <v>395</v>
      </c>
    </row>
    <row r="67" spans="1:28" x14ac:dyDescent="0.25">
      <c r="C67">
        <f t="shared" si="8"/>
        <v>42</v>
      </c>
      <c r="D67">
        <f t="shared" si="12"/>
        <v>65.100000000000037</v>
      </c>
      <c r="E67">
        <f t="shared" si="10"/>
        <v>52</v>
      </c>
      <c r="F67">
        <f t="shared" si="11"/>
        <v>93</v>
      </c>
      <c r="I67" t="s">
        <v>6</v>
      </c>
      <c r="J67">
        <v>65.2</v>
      </c>
      <c r="K67">
        <v>2</v>
      </c>
      <c r="L67">
        <v>0.9</v>
      </c>
      <c r="N67">
        <v>130</v>
      </c>
      <c r="O67">
        <v>114</v>
      </c>
      <c r="P67">
        <f>N67+O67/2</f>
        <v>187</v>
      </c>
      <c r="Q67">
        <f>P67/16</f>
        <v>11.6875</v>
      </c>
      <c r="X67" t="s">
        <v>396</v>
      </c>
      <c r="Y67" t="s">
        <v>397</v>
      </c>
      <c r="Z67" t="s">
        <v>398</v>
      </c>
      <c r="AB67" t="s">
        <v>404</v>
      </c>
    </row>
    <row r="68" spans="1:28" x14ac:dyDescent="0.25">
      <c r="A68">
        <f>139+28</f>
        <v>167</v>
      </c>
      <c r="C68">
        <f t="shared" si="8"/>
        <v>43</v>
      </c>
      <c r="D68">
        <f t="shared" si="12"/>
        <v>66.200000000000031</v>
      </c>
      <c r="E68">
        <f t="shared" si="10"/>
        <v>53</v>
      </c>
      <c r="F68">
        <f t="shared" si="11"/>
        <v>95</v>
      </c>
      <c r="H68" t="s">
        <v>134</v>
      </c>
      <c r="I68" t="s">
        <v>2</v>
      </c>
      <c r="J68">
        <v>65.2</v>
      </c>
      <c r="K68">
        <v>2</v>
      </c>
      <c r="L68">
        <v>0.9</v>
      </c>
      <c r="W68" t="s">
        <v>199</v>
      </c>
      <c r="X68" t="s">
        <v>14</v>
      </c>
      <c r="Y68" t="s">
        <v>190</v>
      </c>
      <c r="Z68" t="s">
        <v>403</v>
      </c>
      <c r="AB68" t="s">
        <v>405</v>
      </c>
    </row>
    <row r="69" spans="1:28" x14ac:dyDescent="0.25">
      <c r="A69">
        <f>A68-78</f>
        <v>89</v>
      </c>
      <c r="C69">
        <f t="shared" si="8"/>
        <v>44</v>
      </c>
      <c r="D69">
        <f t="shared" si="12"/>
        <v>67.300000000000026</v>
      </c>
      <c r="E69">
        <f t="shared" si="10"/>
        <v>54</v>
      </c>
      <c r="F69">
        <f t="shared" si="11"/>
        <v>97</v>
      </c>
      <c r="H69" t="s">
        <v>136</v>
      </c>
      <c r="I69" t="s">
        <v>4</v>
      </c>
      <c r="J69">
        <v>55.2</v>
      </c>
      <c r="K69">
        <v>2</v>
      </c>
      <c r="L69">
        <v>0.75</v>
      </c>
      <c r="W69" t="s">
        <v>76</v>
      </c>
      <c r="X69" t="s">
        <v>399</v>
      </c>
      <c r="Y69" t="s">
        <v>14</v>
      </c>
      <c r="Z69" t="s">
        <v>400</v>
      </c>
      <c r="AB69" t="s">
        <v>406</v>
      </c>
    </row>
    <row r="70" spans="1:28" x14ac:dyDescent="0.25">
      <c r="C70">
        <f t="shared" si="8"/>
        <v>45</v>
      </c>
      <c r="D70">
        <f t="shared" si="12"/>
        <v>68.40000000000002</v>
      </c>
      <c r="E70">
        <f t="shared" si="10"/>
        <v>55</v>
      </c>
      <c r="F70">
        <f t="shared" si="11"/>
        <v>99</v>
      </c>
      <c r="P70" t="s">
        <v>248</v>
      </c>
      <c r="T70" t="s">
        <v>250</v>
      </c>
      <c r="W70" t="s">
        <v>119</v>
      </c>
      <c r="X70" t="s">
        <v>400</v>
      </c>
      <c r="AB70" t="s">
        <v>407</v>
      </c>
    </row>
    <row r="71" spans="1:28" x14ac:dyDescent="0.25">
      <c r="C71">
        <f t="shared" si="8"/>
        <v>46</v>
      </c>
      <c r="D71">
        <f t="shared" si="12"/>
        <v>69.500000000000014</v>
      </c>
      <c r="E71">
        <f t="shared" si="10"/>
        <v>56</v>
      </c>
      <c r="F71">
        <f t="shared" si="11"/>
        <v>101</v>
      </c>
      <c r="O71" t="s">
        <v>249</v>
      </c>
      <c r="P71" t="s">
        <v>4</v>
      </c>
      <c r="Q71" t="s">
        <v>7</v>
      </c>
      <c r="S71" t="s">
        <v>249</v>
      </c>
      <c r="T71" t="s">
        <v>4</v>
      </c>
      <c r="U71" t="s">
        <v>7</v>
      </c>
      <c r="W71" t="s">
        <v>125</v>
      </c>
      <c r="X71" t="s">
        <v>416</v>
      </c>
      <c r="Y71" t="s">
        <v>402</v>
      </c>
    </row>
    <row r="72" spans="1:28" x14ac:dyDescent="0.25">
      <c r="C72">
        <f t="shared" si="8"/>
        <v>47</v>
      </c>
      <c r="D72">
        <f t="shared" si="12"/>
        <v>70.600000000000009</v>
      </c>
      <c r="E72">
        <f t="shared" si="10"/>
        <v>57</v>
      </c>
      <c r="F72">
        <f t="shared" si="11"/>
        <v>103</v>
      </c>
      <c r="O72" t="s">
        <v>135</v>
      </c>
      <c r="P72" t="s">
        <v>133</v>
      </c>
      <c r="Q72" t="s">
        <v>134</v>
      </c>
      <c r="S72">
        <v>115</v>
      </c>
      <c r="T72">
        <v>76</v>
      </c>
      <c r="U72">
        <v>65</v>
      </c>
      <c r="W72" t="s">
        <v>107</v>
      </c>
      <c r="X72" t="s">
        <v>14</v>
      </c>
    </row>
    <row r="73" spans="1:28" x14ac:dyDescent="0.25">
      <c r="C73">
        <f t="shared" si="8"/>
        <v>48</v>
      </c>
      <c r="D73">
        <f t="shared" si="12"/>
        <v>71.7</v>
      </c>
      <c r="E73">
        <f t="shared" si="10"/>
        <v>58</v>
      </c>
      <c r="F73">
        <f t="shared" si="11"/>
        <v>105</v>
      </c>
      <c r="N73">
        <v>38</v>
      </c>
      <c r="O73">
        <v>114.25</v>
      </c>
      <c r="P73">
        <v>128.19999999999999</v>
      </c>
      <c r="Q73">
        <v>101.3</v>
      </c>
      <c r="W73" t="s">
        <v>38</v>
      </c>
      <c r="X73" t="s">
        <v>14</v>
      </c>
    </row>
    <row r="74" spans="1:28" x14ac:dyDescent="0.25">
      <c r="C74">
        <f t="shared" si="8"/>
        <v>49</v>
      </c>
      <c r="D74">
        <f t="shared" si="12"/>
        <v>72.8</v>
      </c>
      <c r="E74">
        <f t="shared" si="10"/>
        <v>59</v>
      </c>
      <c r="F74">
        <f t="shared" si="11"/>
        <v>107</v>
      </c>
      <c r="N74">
        <v>45</v>
      </c>
      <c r="O74">
        <v>130</v>
      </c>
      <c r="P74">
        <v>146.4</v>
      </c>
      <c r="Q74">
        <v>114.6</v>
      </c>
    </row>
    <row r="75" spans="1:28" x14ac:dyDescent="0.25">
      <c r="C75">
        <f t="shared" si="8"/>
        <v>50</v>
      </c>
      <c r="D75">
        <f t="shared" si="12"/>
        <v>73.899999999999991</v>
      </c>
      <c r="E75">
        <f t="shared" si="10"/>
        <v>60</v>
      </c>
      <c r="F75">
        <f t="shared" si="11"/>
        <v>109</v>
      </c>
    </row>
    <row r="76" spans="1:28" x14ac:dyDescent="0.25">
      <c r="C76">
        <f t="shared" si="8"/>
        <v>51</v>
      </c>
      <c r="D76">
        <f t="shared" si="12"/>
        <v>74.999999999999986</v>
      </c>
      <c r="E76">
        <f t="shared" si="10"/>
        <v>61</v>
      </c>
      <c r="F76">
        <f t="shared" si="11"/>
        <v>111</v>
      </c>
    </row>
    <row r="77" spans="1:28" x14ac:dyDescent="0.25">
      <c r="C77">
        <f t="shared" si="8"/>
        <v>52</v>
      </c>
      <c r="D77">
        <f t="shared" si="12"/>
        <v>76.09999999999998</v>
      </c>
      <c r="E77">
        <f t="shared" si="10"/>
        <v>62</v>
      </c>
      <c r="F77">
        <f t="shared" si="11"/>
        <v>113</v>
      </c>
      <c r="Z77" t="s">
        <v>414</v>
      </c>
      <c r="AA77" t="s">
        <v>415</v>
      </c>
    </row>
    <row r="78" spans="1:28" x14ac:dyDescent="0.25">
      <c r="C78">
        <f t="shared" si="8"/>
        <v>53</v>
      </c>
      <c r="D78">
        <f t="shared" si="12"/>
        <v>77.199999999999974</v>
      </c>
      <c r="E78">
        <f t="shared" si="10"/>
        <v>63</v>
      </c>
      <c r="F78">
        <f t="shared" si="11"/>
        <v>115</v>
      </c>
      <c r="Y78">
        <v>3300</v>
      </c>
      <c r="Z78">
        <v>4800</v>
      </c>
      <c r="AA78">
        <v>4800</v>
      </c>
    </row>
    <row r="79" spans="1:28" x14ac:dyDescent="0.25">
      <c r="C79">
        <f t="shared" si="8"/>
        <v>54</v>
      </c>
      <c r="D79">
        <f t="shared" si="12"/>
        <v>78.299999999999969</v>
      </c>
      <c r="E79">
        <f t="shared" si="10"/>
        <v>64</v>
      </c>
      <c r="F79">
        <f t="shared" si="11"/>
        <v>117</v>
      </c>
      <c r="N79" t="s">
        <v>419</v>
      </c>
      <c r="W79" t="s">
        <v>408</v>
      </c>
      <c r="Y79" t="s">
        <v>411</v>
      </c>
      <c r="Z79" t="s">
        <v>412</v>
      </c>
      <c r="AA79" t="s">
        <v>413</v>
      </c>
    </row>
    <row r="80" spans="1:28" x14ac:dyDescent="0.25">
      <c r="C80">
        <f t="shared" si="8"/>
        <v>55</v>
      </c>
      <c r="D80">
        <f t="shared" si="12"/>
        <v>79.399999999999963</v>
      </c>
      <c r="E80">
        <f t="shared" si="10"/>
        <v>65</v>
      </c>
      <c r="F80">
        <f t="shared" si="11"/>
        <v>119</v>
      </c>
      <c r="W80" t="s">
        <v>409</v>
      </c>
      <c r="Y80">
        <v>2000</v>
      </c>
    </row>
    <row r="81" spans="2:27" x14ac:dyDescent="0.25">
      <c r="C81">
        <f t="shared" si="8"/>
        <v>56</v>
      </c>
      <c r="D81">
        <f t="shared" si="12"/>
        <v>80.499999999999957</v>
      </c>
      <c r="E81">
        <f t="shared" si="10"/>
        <v>66</v>
      </c>
      <c r="F81">
        <f t="shared" si="11"/>
        <v>121</v>
      </c>
      <c r="Q81" t="s">
        <v>401</v>
      </c>
      <c r="W81" t="s">
        <v>409</v>
      </c>
      <c r="Y81">
        <v>2000</v>
      </c>
    </row>
    <row r="82" spans="2:27" x14ac:dyDescent="0.25">
      <c r="C82">
        <f t="shared" si="8"/>
        <v>57</v>
      </c>
      <c r="D82">
        <f t="shared" si="12"/>
        <v>81.599999999999952</v>
      </c>
      <c r="E82">
        <f t="shared" si="10"/>
        <v>67</v>
      </c>
      <c r="F82">
        <f t="shared" si="11"/>
        <v>123</v>
      </c>
      <c r="W82" t="s">
        <v>409</v>
      </c>
      <c r="AA82">
        <v>2000</v>
      </c>
    </row>
    <row r="83" spans="2:27" x14ac:dyDescent="0.25">
      <c r="C83">
        <f t="shared" si="8"/>
        <v>58</v>
      </c>
      <c r="D83">
        <f t="shared" si="12"/>
        <v>82.699999999999946</v>
      </c>
      <c r="E83">
        <f t="shared" si="10"/>
        <v>68</v>
      </c>
      <c r="F83">
        <f t="shared" si="11"/>
        <v>125</v>
      </c>
      <c r="W83" t="s">
        <v>409</v>
      </c>
      <c r="AA83">
        <v>2000</v>
      </c>
    </row>
    <row r="84" spans="2:27" x14ac:dyDescent="0.25">
      <c r="C84">
        <f t="shared" si="8"/>
        <v>59</v>
      </c>
      <c r="D84">
        <f t="shared" si="12"/>
        <v>83.79999999999994</v>
      </c>
      <c r="E84">
        <f t="shared" si="10"/>
        <v>69</v>
      </c>
      <c r="F84">
        <f t="shared" si="11"/>
        <v>127</v>
      </c>
      <c r="W84" t="s">
        <v>410</v>
      </c>
      <c r="AA84">
        <v>1000</v>
      </c>
    </row>
    <row r="85" spans="2:27" x14ac:dyDescent="0.25">
      <c r="B85">
        <f>D84+5</f>
        <v>88.79999999999994</v>
      </c>
      <c r="C85">
        <f t="shared" si="8"/>
        <v>60</v>
      </c>
      <c r="D85">
        <f>D84+0.5</f>
        <v>84.29999999999994</v>
      </c>
      <c r="E85">
        <f>E84</f>
        <v>69</v>
      </c>
      <c r="F85">
        <f>F84+1</f>
        <v>128</v>
      </c>
      <c r="W85" t="s">
        <v>410</v>
      </c>
      <c r="Z85">
        <v>6000</v>
      </c>
    </row>
    <row r="86" spans="2:27" x14ac:dyDescent="0.25">
      <c r="B86">
        <f>B85+5</f>
        <v>93.79999999999994</v>
      </c>
      <c r="C86">
        <f t="shared" si="8"/>
        <v>61</v>
      </c>
      <c r="D86">
        <f t="shared" ref="D86:D105" si="13">D85+0.5</f>
        <v>84.79999999999994</v>
      </c>
      <c r="E86">
        <f t="shared" ref="E86:E105" si="14">E85</f>
        <v>69</v>
      </c>
      <c r="F86">
        <f t="shared" ref="F86:F105" si="15">F85+1</f>
        <v>129</v>
      </c>
      <c r="W86" t="s">
        <v>409</v>
      </c>
    </row>
    <row r="87" spans="2:27" x14ac:dyDescent="0.25">
      <c r="B87">
        <f t="shared" ref="B87:B105" si="16">B86+5</f>
        <v>98.79999999999994</v>
      </c>
      <c r="C87">
        <f t="shared" si="8"/>
        <v>62</v>
      </c>
      <c r="D87">
        <f t="shared" si="13"/>
        <v>85.29999999999994</v>
      </c>
      <c r="E87">
        <f t="shared" si="14"/>
        <v>69</v>
      </c>
      <c r="F87">
        <f t="shared" si="15"/>
        <v>130</v>
      </c>
    </row>
    <row r="88" spans="2:27" x14ac:dyDescent="0.25">
      <c r="B88">
        <f t="shared" si="16"/>
        <v>103.79999999999994</v>
      </c>
      <c r="C88">
        <f t="shared" si="8"/>
        <v>63</v>
      </c>
      <c r="D88">
        <f t="shared" si="13"/>
        <v>85.79999999999994</v>
      </c>
      <c r="E88">
        <f t="shared" si="14"/>
        <v>69</v>
      </c>
      <c r="F88">
        <f t="shared" si="15"/>
        <v>131</v>
      </c>
      <c r="L88" t="s">
        <v>76</v>
      </c>
    </row>
    <row r="89" spans="2:27" x14ac:dyDescent="0.25">
      <c r="B89">
        <f t="shared" si="16"/>
        <v>108.79999999999994</v>
      </c>
      <c r="C89">
        <f t="shared" si="8"/>
        <v>64</v>
      </c>
      <c r="D89">
        <f t="shared" si="13"/>
        <v>86.29999999999994</v>
      </c>
      <c r="E89">
        <f t="shared" si="14"/>
        <v>69</v>
      </c>
      <c r="F89">
        <f t="shared" si="15"/>
        <v>132</v>
      </c>
      <c r="L89" t="s">
        <v>3</v>
      </c>
      <c r="M89">
        <v>203</v>
      </c>
    </row>
    <row r="90" spans="2:27" x14ac:dyDescent="0.25">
      <c r="B90">
        <f t="shared" si="16"/>
        <v>113.79999999999994</v>
      </c>
      <c r="C90">
        <f t="shared" si="8"/>
        <v>65</v>
      </c>
      <c r="D90">
        <f t="shared" si="13"/>
        <v>86.79999999999994</v>
      </c>
      <c r="E90">
        <f t="shared" si="14"/>
        <v>69</v>
      </c>
      <c r="F90">
        <f t="shared" si="15"/>
        <v>133</v>
      </c>
    </row>
    <row r="91" spans="2:27" x14ac:dyDescent="0.25">
      <c r="B91">
        <f t="shared" si="16"/>
        <v>118.79999999999994</v>
      </c>
      <c r="C91">
        <f t="shared" si="8"/>
        <v>66</v>
      </c>
      <c r="D91">
        <f t="shared" si="13"/>
        <v>87.29999999999994</v>
      </c>
      <c r="E91">
        <f t="shared" si="14"/>
        <v>69</v>
      </c>
      <c r="F91">
        <f t="shared" si="15"/>
        <v>134</v>
      </c>
    </row>
    <row r="92" spans="2:27" x14ac:dyDescent="0.25">
      <c r="B92">
        <f t="shared" si="16"/>
        <v>123.79999999999994</v>
      </c>
      <c r="C92">
        <f t="shared" si="8"/>
        <v>67</v>
      </c>
      <c r="D92">
        <f t="shared" si="13"/>
        <v>87.79999999999994</v>
      </c>
      <c r="E92">
        <f t="shared" si="14"/>
        <v>69</v>
      </c>
      <c r="F92">
        <f t="shared" si="15"/>
        <v>135</v>
      </c>
    </row>
    <row r="93" spans="2:27" x14ac:dyDescent="0.25">
      <c r="B93">
        <f t="shared" si="16"/>
        <v>128.79999999999995</v>
      </c>
      <c r="C93">
        <f t="shared" si="8"/>
        <v>68</v>
      </c>
      <c r="D93">
        <f t="shared" si="13"/>
        <v>88.29999999999994</v>
      </c>
      <c r="E93">
        <f t="shared" si="14"/>
        <v>69</v>
      </c>
      <c r="F93">
        <f t="shared" si="15"/>
        <v>136</v>
      </c>
    </row>
    <row r="94" spans="2:27" x14ac:dyDescent="0.25">
      <c r="B94">
        <f t="shared" si="16"/>
        <v>133.79999999999995</v>
      </c>
      <c r="C94">
        <f t="shared" si="8"/>
        <v>69</v>
      </c>
      <c r="D94">
        <f t="shared" si="13"/>
        <v>88.79999999999994</v>
      </c>
      <c r="E94">
        <f t="shared" si="14"/>
        <v>69</v>
      </c>
      <c r="F94">
        <f t="shared" si="15"/>
        <v>137</v>
      </c>
    </row>
    <row r="95" spans="2:27" x14ac:dyDescent="0.25">
      <c r="B95">
        <f t="shared" si="16"/>
        <v>138.79999999999995</v>
      </c>
      <c r="C95">
        <f t="shared" ref="C95:C105" si="17">C94+1</f>
        <v>70</v>
      </c>
      <c r="D95">
        <f t="shared" si="13"/>
        <v>89.29999999999994</v>
      </c>
      <c r="E95">
        <f t="shared" si="14"/>
        <v>69</v>
      </c>
      <c r="F95">
        <f t="shared" si="15"/>
        <v>138</v>
      </c>
    </row>
    <row r="96" spans="2:27" x14ac:dyDescent="0.25">
      <c r="B96">
        <f t="shared" si="16"/>
        <v>143.79999999999995</v>
      </c>
      <c r="C96">
        <f t="shared" si="17"/>
        <v>71</v>
      </c>
      <c r="D96">
        <f t="shared" si="13"/>
        <v>89.79999999999994</v>
      </c>
      <c r="E96">
        <f t="shared" si="14"/>
        <v>69</v>
      </c>
      <c r="F96">
        <f t="shared" si="15"/>
        <v>139</v>
      </c>
    </row>
    <row r="97" spans="2:6" x14ac:dyDescent="0.25">
      <c r="B97">
        <f t="shared" si="16"/>
        <v>148.79999999999995</v>
      </c>
      <c r="C97">
        <f t="shared" si="17"/>
        <v>72</v>
      </c>
      <c r="D97">
        <f t="shared" si="13"/>
        <v>90.29999999999994</v>
      </c>
      <c r="E97">
        <f t="shared" si="14"/>
        <v>69</v>
      </c>
      <c r="F97">
        <f t="shared" si="15"/>
        <v>140</v>
      </c>
    </row>
    <row r="98" spans="2:6" x14ac:dyDescent="0.25">
      <c r="B98">
        <f t="shared" si="16"/>
        <v>153.79999999999995</v>
      </c>
      <c r="C98">
        <f t="shared" si="17"/>
        <v>73</v>
      </c>
      <c r="D98">
        <f t="shared" si="13"/>
        <v>90.79999999999994</v>
      </c>
      <c r="E98">
        <f t="shared" si="14"/>
        <v>69</v>
      </c>
      <c r="F98">
        <f t="shared" si="15"/>
        <v>141</v>
      </c>
    </row>
    <row r="99" spans="2:6" x14ac:dyDescent="0.25">
      <c r="B99">
        <f t="shared" si="16"/>
        <v>158.79999999999995</v>
      </c>
      <c r="C99">
        <f t="shared" si="17"/>
        <v>74</v>
      </c>
      <c r="D99">
        <f t="shared" si="13"/>
        <v>91.29999999999994</v>
      </c>
      <c r="E99">
        <f t="shared" si="14"/>
        <v>69</v>
      </c>
      <c r="F99">
        <f t="shared" si="15"/>
        <v>142</v>
      </c>
    </row>
    <row r="100" spans="2:6" x14ac:dyDescent="0.25">
      <c r="B100">
        <f t="shared" si="16"/>
        <v>163.79999999999995</v>
      </c>
      <c r="C100">
        <f t="shared" si="17"/>
        <v>75</v>
      </c>
      <c r="D100">
        <f t="shared" si="13"/>
        <v>91.79999999999994</v>
      </c>
      <c r="E100">
        <f t="shared" si="14"/>
        <v>69</v>
      </c>
      <c r="F100">
        <f t="shared" si="15"/>
        <v>143</v>
      </c>
    </row>
    <row r="101" spans="2:6" x14ac:dyDescent="0.25">
      <c r="B101">
        <f t="shared" si="16"/>
        <v>168.79999999999995</v>
      </c>
      <c r="C101">
        <f t="shared" si="17"/>
        <v>76</v>
      </c>
      <c r="D101">
        <f t="shared" si="13"/>
        <v>92.29999999999994</v>
      </c>
      <c r="E101">
        <f t="shared" si="14"/>
        <v>69</v>
      </c>
      <c r="F101">
        <f t="shared" si="15"/>
        <v>144</v>
      </c>
    </row>
    <row r="102" spans="2:6" x14ac:dyDescent="0.25">
      <c r="B102">
        <f t="shared" si="16"/>
        <v>173.79999999999995</v>
      </c>
      <c r="C102">
        <f t="shared" si="17"/>
        <v>77</v>
      </c>
      <c r="D102">
        <f t="shared" si="13"/>
        <v>92.79999999999994</v>
      </c>
      <c r="E102">
        <f t="shared" si="14"/>
        <v>69</v>
      </c>
      <c r="F102">
        <f t="shared" si="15"/>
        <v>145</v>
      </c>
    </row>
    <row r="103" spans="2:6" x14ac:dyDescent="0.25">
      <c r="B103">
        <f t="shared" si="16"/>
        <v>178.79999999999995</v>
      </c>
      <c r="C103">
        <f t="shared" si="17"/>
        <v>78</v>
      </c>
      <c r="D103">
        <f t="shared" si="13"/>
        <v>93.29999999999994</v>
      </c>
      <c r="E103">
        <f t="shared" si="14"/>
        <v>69</v>
      </c>
      <c r="F103">
        <f t="shared" si="15"/>
        <v>146</v>
      </c>
    </row>
    <row r="104" spans="2:6" x14ac:dyDescent="0.25">
      <c r="B104">
        <f t="shared" si="16"/>
        <v>183.79999999999995</v>
      </c>
      <c r="C104">
        <f t="shared" si="17"/>
        <v>79</v>
      </c>
      <c r="D104">
        <f t="shared" si="13"/>
        <v>93.79999999999994</v>
      </c>
      <c r="E104">
        <f t="shared" si="14"/>
        <v>69</v>
      </c>
      <c r="F104">
        <f t="shared" si="15"/>
        <v>147</v>
      </c>
    </row>
    <row r="105" spans="2:6" x14ac:dyDescent="0.25">
      <c r="B105">
        <f t="shared" si="16"/>
        <v>188.79999999999995</v>
      </c>
      <c r="C105">
        <f t="shared" si="17"/>
        <v>80</v>
      </c>
      <c r="D105">
        <f t="shared" si="13"/>
        <v>94.29999999999994</v>
      </c>
      <c r="E105">
        <f t="shared" si="14"/>
        <v>69</v>
      </c>
      <c r="F105">
        <f t="shared" si="15"/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0"/>
  <sheetViews>
    <sheetView workbookViewId="0">
      <selection activeCell="O42" sqref="O42"/>
    </sheetView>
  </sheetViews>
  <sheetFormatPr defaultRowHeight="15" x14ac:dyDescent="0.25"/>
  <cols>
    <col min="8" max="8" width="11.28515625" customWidth="1"/>
    <col min="12" max="12" width="11.7109375" customWidth="1"/>
  </cols>
  <sheetData>
    <row r="3" spans="2:13" x14ac:dyDescent="0.25">
      <c r="G3" t="s">
        <v>233</v>
      </c>
      <c r="H3" t="s">
        <v>232</v>
      </c>
      <c r="I3" t="s">
        <v>227</v>
      </c>
      <c r="J3" t="s">
        <v>228</v>
      </c>
    </row>
    <row r="4" spans="2:13" x14ac:dyDescent="0.25">
      <c r="B4">
        <v>11</v>
      </c>
      <c r="C4">
        <v>8500</v>
      </c>
      <c r="G4" t="s">
        <v>210</v>
      </c>
      <c r="H4" t="s">
        <v>209</v>
      </c>
    </row>
    <row r="5" spans="2:13" x14ac:dyDescent="0.25">
      <c r="B5">
        <v>10</v>
      </c>
      <c r="C5">
        <v>8000</v>
      </c>
      <c r="G5" t="s">
        <v>208</v>
      </c>
      <c r="H5" t="s">
        <v>234</v>
      </c>
      <c r="I5" t="s">
        <v>229</v>
      </c>
      <c r="J5" t="s">
        <v>235</v>
      </c>
      <c r="K5" t="s">
        <v>236</v>
      </c>
      <c r="L5" t="s">
        <v>230</v>
      </c>
      <c r="M5" t="s">
        <v>231</v>
      </c>
    </row>
    <row r="6" spans="2:13" x14ac:dyDescent="0.25">
      <c r="B6">
        <v>9</v>
      </c>
      <c r="C6">
        <v>7500</v>
      </c>
      <c r="G6">
        <v>4</v>
      </c>
      <c r="H6">
        <f>3*C12/2</f>
        <v>2400</v>
      </c>
      <c r="I6">
        <f>5*C14/2</f>
        <v>1000</v>
      </c>
      <c r="J6">
        <f>5*C12/2</f>
        <v>4000</v>
      </c>
      <c r="K6">
        <f>C9/2</f>
        <v>2550</v>
      </c>
      <c r="L6">
        <f>3*C11/2</f>
        <v>3900</v>
      </c>
      <c r="M6">
        <f>C11</f>
        <v>2600</v>
      </c>
    </row>
    <row r="7" spans="2:13" x14ac:dyDescent="0.25">
      <c r="B7">
        <v>8</v>
      </c>
      <c r="C7">
        <v>6900</v>
      </c>
      <c r="G7">
        <v>5</v>
      </c>
      <c r="H7">
        <f>3*C13/2</f>
        <v>1350</v>
      </c>
      <c r="I7">
        <f>5*C15/2</f>
        <v>500</v>
      </c>
      <c r="J7">
        <f>5*C13/2</f>
        <v>2250</v>
      </c>
      <c r="K7">
        <f>C10/2</f>
        <v>1950</v>
      </c>
      <c r="L7">
        <f>3*C12/2</f>
        <v>2400</v>
      </c>
      <c r="M7">
        <f>C12</f>
        <v>1600</v>
      </c>
    </row>
    <row r="8" spans="2:13" x14ac:dyDescent="0.25">
      <c r="B8">
        <v>7</v>
      </c>
      <c r="C8">
        <v>6000</v>
      </c>
      <c r="G8">
        <v>6</v>
      </c>
      <c r="H8">
        <f>3*C14/2</f>
        <v>600</v>
      </c>
      <c r="I8">
        <f>5*C16/2</f>
        <v>400</v>
      </c>
      <c r="J8">
        <f>5*C14/2</f>
        <v>1000</v>
      </c>
      <c r="K8">
        <f>C11/2</f>
        <v>1300</v>
      </c>
      <c r="L8">
        <f>3*C13/2</f>
        <v>1350</v>
      </c>
      <c r="M8">
        <f>C13</f>
        <v>900</v>
      </c>
    </row>
    <row r="9" spans="2:13" x14ac:dyDescent="0.25">
      <c r="B9">
        <v>6</v>
      </c>
      <c r="C9">
        <v>5100</v>
      </c>
      <c r="G9">
        <v>7</v>
      </c>
      <c r="H9">
        <f>3*C15/2</f>
        <v>300</v>
      </c>
      <c r="I9">
        <f>5*C17/2</f>
        <v>300</v>
      </c>
      <c r="J9">
        <f>5*C15/2</f>
        <v>500</v>
      </c>
      <c r="K9">
        <f>C12/2</f>
        <v>800</v>
      </c>
      <c r="L9">
        <f>3*C14/2</f>
        <v>600</v>
      </c>
      <c r="M9">
        <f>C14</f>
        <v>400</v>
      </c>
    </row>
    <row r="10" spans="2:13" x14ac:dyDescent="0.25">
      <c r="B10">
        <v>5</v>
      </c>
      <c r="C10">
        <v>3900</v>
      </c>
    </row>
    <row r="11" spans="2:13" x14ac:dyDescent="0.25">
      <c r="B11">
        <v>4</v>
      </c>
      <c r="C11">
        <v>2600</v>
      </c>
    </row>
    <row r="12" spans="2:13" x14ac:dyDescent="0.25">
      <c r="B12">
        <v>3</v>
      </c>
      <c r="C12">
        <v>1600</v>
      </c>
      <c r="G12" t="s">
        <v>211</v>
      </c>
      <c r="H12" t="s">
        <v>209</v>
      </c>
    </row>
    <row r="13" spans="2:13" x14ac:dyDescent="0.25">
      <c r="B13">
        <v>2</v>
      </c>
      <c r="C13">
        <v>900</v>
      </c>
      <c r="G13" t="s">
        <v>208</v>
      </c>
      <c r="H13" t="s">
        <v>234</v>
      </c>
      <c r="I13" t="s">
        <v>229</v>
      </c>
      <c r="J13" t="s">
        <v>235</v>
      </c>
      <c r="K13" t="s">
        <v>236</v>
      </c>
      <c r="L13" t="s">
        <v>230</v>
      </c>
      <c r="M13" t="s">
        <v>231</v>
      </c>
    </row>
    <row r="14" spans="2:13" x14ac:dyDescent="0.25">
      <c r="B14">
        <v>1</v>
      </c>
      <c r="C14">
        <v>400</v>
      </c>
      <c r="G14">
        <v>4</v>
      </c>
      <c r="H14" s="37">
        <f t="shared" ref="H14:M17" si="0">H6*2/3</f>
        <v>1600</v>
      </c>
      <c r="I14" s="37">
        <f t="shared" si="0"/>
        <v>666.66666666666663</v>
      </c>
      <c r="J14" s="37">
        <f t="shared" si="0"/>
        <v>2666.6666666666665</v>
      </c>
      <c r="K14" s="37">
        <f t="shared" si="0"/>
        <v>1700</v>
      </c>
      <c r="L14" s="37">
        <f t="shared" si="0"/>
        <v>2600</v>
      </c>
      <c r="M14" s="37">
        <f t="shared" si="0"/>
        <v>1733.3333333333333</v>
      </c>
    </row>
    <row r="15" spans="2:13" x14ac:dyDescent="0.25">
      <c r="B15">
        <v>0</v>
      </c>
      <c r="C15">
        <v>200</v>
      </c>
      <c r="G15">
        <v>5</v>
      </c>
      <c r="H15" s="37">
        <f t="shared" si="0"/>
        <v>900</v>
      </c>
      <c r="I15" s="37">
        <f t="shared" si="0"/>
        <v>333.33333333333331</v>
      </c>
      <c r="J15" s="37">
        <f t="shared" si="0"/>
        <v>1500</v>
      </c>
      <c r="K15" s="37">
        <f t="shared" si="0"/>
        <v>1300</v>
      </c>
      <c r="L15" s="37">
        <f t="shared" si="0"/>
        <v>1600</v>
      </c>
      <c r="M15" s="37">
        <f t="shared" si="0"/>
        <v>1066.6666666666667</v>
      </c>
    </row>
    <row r="16" spans="2:13" x14ac:dyDescent="0.25">
      <c r="B16">
        <v>-1</v>
      </c>
      <c r="C16">
        <v>160</v>
      </c>
      <c r="G16">
        <v>6</v>
      </c>
      <c r="H16" s="37">
        <f t="shared" si="0"/>
        <v>400</v>
      </c>
      <c r="I16" s="37">
        <f t="shared" si="0"/>
        <v>266.66666666666669</v>
      </c>
      <c r="J16" s="37">
        <f t="shared" si="0"/>
        <v>666.66666666666663</v>
      </c>
      <c r="K16" s="37">
        <f t="shared" si="0"/>
        <v>866.66666666666663</v>
      </c>
      <c r="L16" s="37">
        <f t="shared" si="0"/>
        <v>900</v>
      </c>
      <c r="M16" s="37">
        <f t="shared" si="0"/>
        <v>600</v>
      </c>
    </row>
    <row r="17" spans="2:14" x14ac:dyDescent="0.25">
      <c r="B17">
        <v>-2</v>
      </c>
      <c r="C17">
        <v>120</v>
      </c>
      <c r="G17">
        <v>7</v>
      </c>
      <c r="H17" s="37">
        <f t="shared" si="0"/>
        <v>200</v>
      </c>
      <c r="I17" s="37">
        <f t="shared" si="0"/>
        <v>200</v>
      </c>
      <c r="J17" s="37">
        <f t="shared" si="0"/>
        <v>333.33333333333331</v>
      </c>
      <c r="K17" s="37">
        <f t="shared" si="0"/>
        <v>533.33333333333337</v>
      </c>
      <c r="L17" s="37">
        <f t="shared" si="0"/>
        <v>400</v>
      </c>
      <c r="M17" s="37">
        <f t="shared" si="0"/>
        <v>266.66666666666669</v>
      </c>
    </row>
    <row r="18" spans="2:14" x14ac:dyDescent="0.25">
      <c r="B18">
        <v>-3</v>
      </c>
      <c r="C18">
        <v>90</v>
      </c>
    </row>
    <row r="19" spans="2:14" x14ac:dyDescent="0.25">
      <c r="B19">
        <v>-4</v>
      </c>
      <c r="C19">
        <v>70</v>
      </c>
    </row>
    <row r="20" spans="2:14" x14ac:dyDescent="0.25">
      <c r="G20" t="s">
        <v>213</v>
      </c>
      <c r="H20" t="s">
        <v>214</v>
      </c>
      <c r="I20" t="s">
        <v>216</v>
      </c>
      <c r="J20" t="s">
        <v>217</v>
      </c>
      <c r="K20" t="s">
        <v>218</v>
      </c>
    </row>
    <row r="21" spans="2:14" x14ac:dyDescent="0.25">
      <c r="G21" t="s">
        <v>215</v>
      </c>
      <c r="H21" t="s">
        <v>212</v>
      </c>
    </row>
    <row r="22" spans="2:14" x14ac:dyDescent="0.25">
      <c r="G22" t="s">
        <v>208</v>
      </c>
      <c r="H22" t="s">
        <v>220</v>
      </c>
      <c r="I22" t="s">
        <v>221</v>
      </c>
      <c r="J22" t="s">
        <v>222</v>
      </c>
      <c r="K22" t="s">
        <v>223</v>
      </c>
      <c r="L22" t="s">
        <v>224</v>
      </c>
      <c r="M22" t="s">
        <v>225</v>
      </c>
      <c r="N22" t="s">
        <v>226</v>
      </c>
    </row>
    <row r="23" spans="2:14" x14ac:dyDescent="0.25">
      <c r="G23">
        <v>9</v>
      </c>
      <c r="H23">
        <f>2*C10+3*C12</f>
        <v>12600</v>
      </c>
      <c r="I23">
        <f>5*C10</f>
        <v>19500</v>
      </c>
      <c r="J23">
        <f>4*C9</f>
        <v>20400</v>
      </c>
      <c r="K23">
        <f>3*C9</f>
        <v>15300</v>
      </c>
      <c r="L23">
        <f>3*C11+C8</f>
        <v>13800</v>
      </c>
      <c r="M23">
        <f>3*C12</f>
        <v>4800</v>
      </c>
      <c r="N23">
        <f>2*C12</f>
        <v>3200</v>
      </c>
    </row>
    <row r="24" spans="2:14" x14ac:dyDescent="0.25">
      <c r="G24">
        <v>10</v>
      </c>
      <c r="H24">
        <f>2*C11+3*C13</f>
        <v>7900</v>
      </c>
      <c r="I24">
        <f>5*C11</f>
        <v>13000</v>
      </c>
      <c r="J24">
        <f>4*C10</f>
        <v>15600</v>
      </c>
      <c r="K24">
        <f>3*C10</f>
        <v>11700</v>
      </c>
      <c r="L24">
        <f>3*C12+C9</f>
        <v>9900</v>
      </c>
      <c r="M24">
        <f>3*C13</f>
        <v>2700</v>
      </c>
      <c r="N24">
        <f>2*C13</f>
        <v>1800</v>
      </c>
    </row>
    <row r="25" spans="2:14" x14ac:dyDescent="0.25">
      <c r="G25">
        <v>11</v>
      </c>
      <c r="H25">
        <f>2*C12+3*C14</f>
        <v>4400</v>
      </c>
      <c r="I25">
        <f>5*C12</f>
        <v>8000</v>
      </c>
      <c r="J25">
        <f>4*C11</f>
        <v>10400</v>
      </c>
      <c r="K25">
        <f>3*C11</f>
        <v>7800</v>
      </c>
      <c r="L25">
        <f>3*C13+C10</f>
        <v>6600</v>
      </c>
      <c r="M25">
        <f>3*C14</f>
        <v>1200</v>
      </c>
      <c r="N25">
        <f>2*C14</f>
        <v>800</v>
      </c>
    </row>
    <row r="26" spans="2:14" x14ac:dyDescent="0.25">
      <c r="B26" t="s">
        <v>522</v>
      </c>
    </row>
    <row r="27" spans="2:14" x14ac:dyDescent="0.25">
      <c r="C27">
        <f>3000+(200*3)/5</f>
        <v>3120</v>
      </c>
      <c r="D27">
        <f t="shared" ref="D27:D35" si="1">C27+(6000/5)</f>
        <v>4320</v>
      </c>
    </row>
    <row r="28" spans="2:14" x14ac:dyDescent="0.25">
      <c r="C28">
        <f>3000+(200*4)/5</f>
        <v>3160</v>
      </c>
      <c r="D28">
        <f t="shared" si="1"/>
        <v>4360</v>
      </c>
      <c r="G28" t="s">
        <v>219</v>
      </c>
      <c r="H28" t="s">
        <v>212</v>
      </c>
    </row>
    <row r="29" spans="2:14" x14ac:dyDescent="0.25">
      <c r="C29">
        <f>3000+(200*6)/5</f>
        <v>3240</v>
      </c>
      <c r="D29">
        <f t="shared" si="1"/>
        <v>4440</v>
      </c>
      <c r="G29" t="s">
        <v>208</v>
      </c>
      <c r="H29" t="s">
        <v>220</v>
      </c>
      <c r="I29" t="s">
        <v>221</v>
      </c>
      <c r="J29" t="s">
        <v>222</v>
      </c>
      <c r="K29" t="s">
        <v>223</v>
      </c>
      <c r="L29" t="s">
        <v>224</v>
      </c>
      <c r="M29" t="s">
        <v>225</v>
      </c>
      <c r="N29" t="s">
        <v>226</v>
      </c>
    </row>
    <row r="30" spans="2:14" x14ac:dyDescent="0.25">
      <c r="C30">
        <v>3280</v>
      </c>
      <c r="D30">
        <f t="shared" si="1"/>
        <v>4480</v>
      </c>
      <c r="G30">
        <v>5</v>
      </c>
      <c r="H30" s="37">
        <f t="shared" ref="H30:H37" si="2">(2*C6+3*C8)/6</f>
        <v>5500</v>
      </c>
      <c r="I30" s="37">
        <f t="shared" ref="I30:I37" si="3">5*C6</f>
        <v>37500</v>
      </c>
      <c r="J30" s="37">
        <f t="shared" ref="J30:J37" si="4">4*C5</f>
        <v>32000</v>
      </c>
      <c r="K30" s="37">
        <f t="shared" ref="K30:K37" si="5">3*C5/6</f>
        <v>4000</v>
      </c>
      <c r="L30" s="37">
        <f t="shared" ref="L30:L37" si="6">(3*C7+C4)/6</f>
        <v>4866.666666666667</v>
      </c>
      <c r="M30" s="37">
        <f t="shared" ref="M30:M37" si="7">3*C8/6</f>
        <v>3000</v>
      </c>
      <c r="N30" s="37">
        <f t="shared" ref="N30:N37" si="8">2*C8/6</f>
        <v>2000</v>
      </c>
    </row>
    <row r="31" spans="2:14" x14ac:dyDescent="0.25">
      <c r="C31">
        <v>3320</v>
      </c>
      <c r="D31">
        <f t="shared" si="1"/>
        <v>4520</v>
      </c>
      <c r="G31">
        <v>6</v>
      </c>
      <c r="H31" s="37">
        <f t="shared" si="2"/>
        <v>4850</v>
      </c>
      <c r="I31" s="37">
        <f t="shared" si="3"/>
        <v>34500</v>
      </c>
      <c r="J31" s="37">
        <f t="shared" si="4"/>
        <v>30000</v>
      </c>
      <c r="K31" s="37">
        <f t="shared" si="5"/>
        <v>3750</v>
      </c>
      <c r="L31" s="37">
        <f t="shared" si="6"/>
        <v>4333.333333333333</v>
      </c>
      <c r="M31" s="37">
        <f t="shared" si="7"/>
        <v>2550</v>
      </c>
      <c r="N31" s="37">
        <f t="shared" si="8"/>
        <v>1700</v>
      </c>
    </row>
    <row r="32" spans="2:14" x14ac:dyDescent="0.25">
      <c r="C32">
        <v>3360</v>
      </c>
      <c r="D32">
        <f t="shared" si="1"/>
        <v>4560</v>
      </c>
      <c r="G32">
        <v>7</v>
      </c>
      <c r="H32" s="37">
        <f t="shared" si="2"/>
        <v>3950</v>
      </c>
      <c r="I32" s="37">
        <f t="shared" si="3"/>
        <v>30000</v>
      </c>
      <c r="J32" s="37">
        <f t="shared" si="4"/>
        <v>27600</v>
      </c>
      <c r="K32" s="37">
        <f t="shared" si="5"/>
        <v>3450</v>
      </c>
      <c r="L32" s="37">
        <f t="shared" si="6"/>
        <v>3800</v>
      </c>
      <c r="M32" s="37">
        <f t="shared" si="7"/>
        <v>1950</v>
      </c>
      <c r="N32" s="37">
        <f t="shared" si="8"/>
        <v>1300</v>
      </c>
    </row>
    <row r="33" spans="3:14" x14ac:dyDescent="0.25">
      <c r="C33">
        <v>3400</v>
      </c>
      <c r="D33">
        <f t="shared" si="1"/>
        <v>4600</v>
      </c>
      <c r="G33">
        <v>8</v>
      </c>
      <c r="H33" s="37">
        <f t="shared" si="2"/>
        <v>3000</v>
      </c>
      <c r="I33" s="37">
        <f t="shared" si="3"/>
        <v>25500</v>
      </c>
      <c r="J33" s="37">
        <f t="shared" si="4"/>
        <v>24000</v>
      </c>
      <c r="K33" s="37">
        <f t="shared" si="5"/>
        <v>3000</v>
      </c>
      <c r="L33" s="37">
        <f t="shared" si="6"/>
        <v>3100</v>
      </c>
      <c r="M33" s="37">
        <f t="shared" si="7"/>
        <v>1300</v>
      </c>
      <c r="N33" s="37">
        <f t="shared" si="8"/>
        <v>866.66666666666663</v>
      </c>
    </row>
    <row r="34" spans="3:14" x14ac:dyDescent="0.25">
      <c r="C34">
        <v>3440</v>
      </c>
      <c r="D34">
        <f t="shared" si="1"/>
        <v>4640</v>
      </c>
      <c r="G34">
        <v>9</v>
      </c>
      <c r="H34" s="37">
        <f t="shared" si="2"/>
        <v>2100</v>
      </c>
      <c r="I34" s="37">
        <f t="shared" si="3"/>
        <v>19500</v>
      </c>
      <c r="J34" s="37">
        <f t="shared" si="4"/>
        <v>20400</v>
      </c>
      <c r="K34" s="37">
        <f t="shared" si="5"/>
        <v>2550</v>
      </c>
      <c r="L34" s="37">
        <f t="shared" si="6"/>
        <v>2300</v>
      </c>
      <c r="M34" s="37">
        <f t="shared" si="7"/>
        <v>800</v>
      </c>
      <c r="N34" s="37">
        <f t="shared" si="8"/>
        <v>533.33333333333337</v>
      </c>
    </row>
    <row r="35" spans="3:14" x14ac:dyDescent="0.25">
      <c r="C35">
        <v>3480</v>
      </c>
      <c r="D35">
        <f t="shared" si="1"/>
        <v>4680</v>
      </c>
      <c r="G35">
        <v>10</v>
      </c>
      <c r="H35" s="37">
        <f t="shared" si="2"/>
        <v>1316.6666666666667</v>
      </c>
      <c r="I35" s="37">
        <f t="shared" si="3"/>
        <v>13000</v>
      </c>
      <c r="J35" s="37">
        <f t="shared" si="4"/>
        <v>15600</v>
      </c>
      <c r="K35" s="37">
        <f t="shared" si="5"/>
        <v>1950</v>
      </c>
      <c r="L35" s="37">
        <f t="shared" si="6"/>
        <v>1650</v>
      </c>
      <c r="M35" s="37">
        <f t="shared" si="7"/>
        <v>450</v>
      </c>
      <c r="N35" s="37">
        <f t="shared" si="8"/>
        <v>300</v>
      </c>
    </row>
    <row r="36" spans="3:14" x14ac:dyDescent="0.25">
      <c r="G36">
        <v>11</v>
      </c>
      <c r="H36" s="37">
        <f t="shared" si="2"/>
        <v>733.33333333333337</v>
      </c>
      <c r="I36" s="37">
        <f t="shared" si="3"/>
        <v>8000</v>
      </c>
      <c r="J36" s="37">
        <f t="shared" si="4"/>
        <v>10400</v>
      </c>
      <c r="K36" s="37">
        <f t="shared" si="5"/>
        <v>1300</v>
      </c>
      <c r="L36" s="37">
        <f t="shared" si="6"/>
        <v>1100</v>
      </c>
      <c r="M36" s="37">
        <f t="shared" si="7"/>
        <v>200</v>
      </c>
      <c r="N36" s="37">
        <f t="shared" si="8"/>
        <v>133.33333333333334</v>
      </c>
    </row>
    <row r="37" spans="3:14" x14ac:dyDescent="0.25">
      <c r="G37">
        <v>12</v>
      </c>
      <c r="H37" s="37">
        <f t="shared" si="2"/>
        <v>400</v>
      </c>
      <c r="I37" s="37">
        <f t="shared" si="3"/>
        <v>4500</v>
      </c>
      <c r="J37" s="37">
        <f t="shared" si="4"/>
        <v>6400</v>
      </c>
      <c r="K37" s="37">
        <f t="shared" si="5"/>
        <v>800</v>
      </c>
      <c r="L37" s="37">
        <f t="shared" si="6"/>
        <v>633.33333333333337</v>
      </c>
      <c r="M37" s="37">
        <f t="shared" si="7"/>
        <v>100</v>
      </c>
      <c r="N37" s="37">
        <f t="shared" si="8"/>
        <v>66.666666666666671</v>
      </c>
    </row>
    <row r="41" spans="3:14" x14ac:dyDescent="0.25">
      <c r="G41" s="37">
        <f>10000+J35</f>
        <v>25600</v>
      </c>
      <c r="H41" s="37">
        <f>I35+10000</f>
        <v>23000</v>
      </c>
    </row>
    <row r="45" spans="3:14" x14ac:dyDescent="0.25">
      <c r="C45" t="s">
        <v>305</v>
      </c>
    </row>
    <row r="46" spans="3:14" x14ac:dyDescent="0.25">
      <c r="C46" t="s">
        <v>306</v>
      </c>
      <c r="D46" t="s">
        <v>307</v>
      </c>
      <c r="E46" t="s">
        <v>308</v>
      </c>
      <c r="F46" t="s">
        <v>265</v>
      </c>
      <c r="G46" t="s">
        <v>234</v>
      </c>
      <c r="H46" t="s">
        <v>229</v>
      </c>
      <c r="I46" t="s">
        <v>235</v>
      </c>
      <c r="J46" t="s">
        <v>236</v>
      </c>
      <c r="K46" t="s">
        <v>230</v>
      </c>
      <c r="L46" t="s">
        <v>231</v>
      </c>
    </row>
    <row r="47" spans="3:14" x14ac:dyDescent="0.25">
      <c r="C47">
        <f>2000+(C15*3+C13)/2</f>
        <v>2750</v>
      </c>
      <c r="D47">
        <v>2990</v>
      </c>
      <c r="E47">
        <f>D47+(C7)/5</f>
        <v>4370</v>
      </c>
      <c r="F47">
        <f>E47+(C15*5)/2</f>
        <v>4870</v>
      </c>
      <c r="G47">
        <f>F47+H6</f>
        <v>7270</v>
      </c>
      <c r="H47">
        <f>$F$47+I6</f>
        <v>5870</v>
      </c>
      <c r="I47">
        <f>$F$47+J6</f>
        <v>8870</v>
      </c>
      <c r="J47">
        <f>$F$47+K6</f>
        <v>7420</v>
      </c>
      <c r="K47">
        <f>$F$47+L6</f>
        <v>8770</v>
      </c>
      <c r="L47">
        <f>$F$47+M6</f>
        <v>7470</v>
      </c>
    </row>
    <row r="48" spans="3:14" x14ac:dyDescent="0.25">
      <c r="D48">
        <v>3070</v>
      </c>
      <c r="E48">
        <f>D48+(C8)/5</f>
        <v>4270</v>
      </c>
      <c r="F48">
        <f>E48+(C15*5)/2</f>
        <v>4770</v>
      </c>
      <c r="G48">
        <f t="shared" ref="G48:L48" si="9">$F$48+H6</f>
        <v>7170</v>
      </c>
      <c r="H48">
        <f t="shared" si="9"/>
        <v>5770</v>
      </c>
      <c r="I48">
        <f t="shared" si="9"/>
        <v>8770</v>
      </c>
      <c r="J48">
        <f t="shared" si="9"/>
        <v>7320</v>
      </c>
      <c r="K48">
        <f t="shared" si="9"/>
        <v>8670</v>
      </c>
      <c r="L48">
        <f t="shared" si="9"/>
        <v>7370</v>
      </c>
    </row>
    <row r="49" spans="4:24" x14ac:dyDescent="0.25">
      <c r="D49">
        <v>3230</v>
      </c>
      <c r="E49">
        <f>D49+C8/5</f>
        <v>4430</v>
      </c>
      <c r="F49">
        <f>E49+(C16*5)/2</f>
        <v>4830</v>
      </c>
      <c r="G49">
        <f t="shared" ref="G49:L49" si="10">$F49+H7</f>
        <v>6180</v>
      </c>
      <c r="H49">
        <f t="shared" si="10"/>
        <v>5330</v>
      </c>
      <c r="I49">
        <f t="shared" si="10"/>
        <v>7080</v>
      </c>
      <c r="J49">
        <f t="shared" si="10"/>
        <v>6780</v>
      </c>
      <c r="K49">
        <f t="shared" si="10"/>
        <v>7230</v>
      </c>
      <c r="L49">
        <f t="shared" si="10"/>
        <v>6430</v>
      </c>
    </row>
    <row r="51" spans="4:24" x14ac:dyDescent="0.25">
      <c r="D51">
        <f>C47+(C14*3)/5</f>
        <v>2990</v>
      </c>
      <c r="E51">
        <f>C15*3/5</f>
        <v>120</v>
      </c>
    </row>
    <row r="52" spans="4:24" x14ac:dyDescent="0.25">
      <c r="D52">
        <f>C47+(C14*4)/5</f>
        <v>3070</v>
      </c>
      <c r="E52">
        <f>C15*4/5</f>
        <v>160</v>
      </c>
    </row>
    <row r="53" spans="4:24" x14ac:dyDescent="0.25">
      <c r="D53">
        <f>C47+(C14*6)/5</f>
        <v>3230</v>
      </c>
      <c r="E53">
        <f>C15*6/5</f>
        <v>240</v>
      </c>
    </row>
    <row r="56" spans="4:24" x14ac:dyDescent="0.25">
      <c r="D56" t="s">
        <v>309</v>
      </c>
    </row>
    <row r="58" spans="4:24" x14ac:dyDescent="0.25">
      <c r="D58">
        <f>D52</f>
        <v>3070</v>
      </c>
      <c r="E58">
        <f>D58+E51</f>
        <v>3190</v>
      </c>
      <c r="F58">
        <f>D58+E52</f>
        <v>3230</v>
      </c>
      <c r="G58">
        <f>D58+E53</f>
        <v>3310</v>
      </c>
      <c r="H58">
        <f>F58+120</f>
        <v>3350</v>
      </c>
      <c r="I58">
        <f>F58+160</f>
        <v>3390</v>
      </c>
      <c r="J58">
        <f>G58+120</f>
        <v>3430</v>
      </c>
      <c r="K58">
        <f>G58+160</f>
        <v>3470</v>
      </c>
      <c r="L58">
        <f>I58+120</f>
        <v>3510</v>
      </c>
      <c r="M58">
        <f>I58+160</f>
        <v>3550</v>
      </c>
      <c r="N58">
        <f>K58+120</f>
        <v>3590</v>
      </c>
      <c r="O58">
        <f>K58+160</f>
        <v>3630</v>
      </c>
      <c r="P58">
        <f>M58+120</f>
        <v>3670</v>
      </c>
      <c r="Q58">
        <f>M58+160</f>
        <v>3710</v>
      </c>
      <c r="R58">
        <f>O58+120</f>
        <v>3750</v>
      </c>
      <c r="S58">
        <f>O58+160</f>
        <v>3790</v>
      </c>
      <c r="T58">
        <f>Q58+120</f>
        <v>3830</v>
      </c>
      <c r="U58">
        <f>Q58+160</f>
        <v>3870</v>
      </c>
      <c r="V58">
        <f>S58+120</f>
        <v>3910</v>
      </c>
      <c r="W58">
        <f>S58+160</f>
        <v>3950</v>
      </c>
      <c r="X58">
        <f>U58+120</f>
        <v>3990</v>
      </c>
    </row>
    <row r="60" spans="4:24" x14ac:dyDescent="0.25">
      <c r="D60">
        <v>3120</v>
      </c>
      <c r="E60">
        <v>3160</v>
      </c>
      <c r="F60">
        <v>3240</v>
      </c>
      <c r="G60">
        <v>3280</v>
      </c>
      <c r="H60">
        <v>3320</v>
      </c>
      <c r="I60">
        <v>3360</v>
      </c>
      <c r="J60">
        <v>3400</v>
      </c>
      <c r="K60">
        <v>3440</v>
      </c>
      <c r="L60">
        <v>3480</v>
      </c>
    </row>
  </sheetData>
  <sortState ref="B7:C19">
    <sortCondition descending="1" ref="B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4"/>
  <sheetViews>
    <sheetView topLeftCell="B1" workbookViewId="0">
      <selection activeCell="K3" sqref="K3"/>
    </sheetView>
  </sheetViews>
  <sheetFormatPr defaultRowHeight="15" x14ac:dyDescent="0.25"/>
  <sheetData>
    <row r="3" spans="3:27" x14ac:dyDescent="0.25">
      <c r="M3">
        <v>151.30000000000001</v>
      </c>
    </row>
    <row r="4" spans="3:27" x14ac:dyDescent="0.25">
      <c r="M4">
        <v>166.3</v>
      </c>
    </row>
    <row r="5" spans="3:27" x14ac:dyDescent="0.25">
      <c r="E5" t="s">
        <v>247</v>
      </c>
      <c r="F5" t="s">
        <v>246</v>
      </c>
      <c r="K5" t="s">
        <v>246</v>
      </c>
      <c r="M5">
        <v>181.3</v>
      </c>
      <c r="P5" t="s">
        <v>246</v>
      </c>
      <c r="U5" t="s">
        <v>246</v>
      </c>
    </row>
    <row r="6" spans="3:27" x14ac:dyDescent="0.25">
      <c r="E6">
        <v>9.5</v>
      </c>
      <c r="F6">
        <v>2.25</v>
      </c>
      <c r="J6">
        <v>8.5</v>
      </c>
      <c r="K6">
        <v>1.9</v>
      </c>
      <c r="O6">
        <v>8.5</v>
      </c>
      <c r="P6">
        <v>1.9</v>
      </c>
      <c r="T6">
        <v>8.5</v>
      </c>
      <c r="U6">
        <v>1.9</v>
      </c>
    </row>
    <row r="7" spans="3:27" x14ac:dyDescent="0.25">
      <c r="D7" t="s">
        <v>245</v>
      </c>
      <c r="E7" t="s">
        <v>244</v>
      </c>
      <c r="F7" t="s">
        <v>243</v>
      </c>
      <c r="I7" t="s">
        <v>245</v>
      </c>
      <c r="J7" t="s">
        <v>244</v>
      </c>
      <c r="K7" t="s">
        <v>243</v>
      </c>
      <c r="N7" t="s">
        <v>245</v>
      </c>
      <c r="O7" t="s">
        <v>244</v>
      </c>
      <c r="P7" t="s">
        <v>243</v>
      </c>
      <c r="S7" t="s">
        <v>245</v>
      </c>
      <c r="T7" t="s">
        <v>244</v>
      </c>
      <c r="U7" t="s">
        <v>243</v>
      </c>
      <c r="X7" t="s">
        <v>90</v>
      </c>
      <c r="Y7">
        <v>19</v>
      </c>
    </row>
    <row r="8" spans="3:27" x14ac:dyDescent="0.25">
      <c r="D8">
        <v>166.3</v>
      </c>
      <c r="E8">
        <v>0.85</v>
      </c>
      <c r="F8">
        <v>-3</v>
      </c>
      <c r="I8">
        <v>166.3</v>
      </c>
      <c r="J8">
        <f>2.75-1.9</f>
        <v>0.85000000000000009</v>
      </c>
      <c r="K8">
        <v>-1</v>
      </c>
      <c r="N8">
        <v>168.3</v>
      </c>
      <c r="O8">
        <f>2.75-1.9</f>
        <v>0.85000000000000009</v>
      </c>
      <c r="P8">
        <v>1</v>
      </c>
      <c r="S8">
        <v>166.3</v>
      </c>
      <c r="T8">
        <f>2.75-1.9</f>
        <v>0.85000000000000009</v>
      </c>
      <c r="U8">
        <v>2</v>
      </c>
      <c r="W8">
        <v>8.5</v>
      </c>
      <c r="X8" t="s">
        <v>8</v>
      </c>
      <c r="Y8">
        <v>151</v>
      </c>
      <c r="Z8">
        <v>9</v>
      </c>
    </row>
    <row r="9" spans="3:27" x14ac:dyDescent="0.25">
      <c r="C9" t="s">
        <v>242</v>
      </c>
      <c r="H9" t="s">
        <v>242</v>
      </c>
      <c r="M9" t="s">
        <v>242</v>
      </c>
      <c r="R9" t="s">
        <v>242</v>
      </c>
      <c r="X9" t="s">
        <v>6</v>
      </c>
      <c r="Y9">
        <v>65.2</v>
      </c>
      <c r="Z9">
        <v>2</v>
      </c>
      <c r="AA9">
        <v>0.9</v>
      </c>
    </row>
    <row r="10" spans="3:27" x14ac:dyDescent="0.25">
      <c r="C10">
        <v>19</v>
      </c>
      <c r="D10">
        <f>D8-(F6*F8)</f>
        <v>173.05</v>
      </c>
      <c r="E10">
        <f>164+(E6*F8)</f>
        <v>135.5</v>
      </c>
      <c r="F10">
        <f>D10/E10</f>
        <v>1.2771217712177123</v>
      </c>
      <c r="H10">
        <v>19</v>
      </c>
      <c r="I10">
        <f>I8-(K6*K8)</f>
        <v>168.20000000000002</v>
      </c>
      <c r="J10">
        <f>151+(J6*K8)</f>
        <v>142.5</v>
      </c>
      <c r="K10">
        <f>I10/J10</f>
        <v>1.1803508771929825</v>
      </c>
      <c r="M10">
        <v>19</v>
      </c>
      <c r="N10">
        <f>N8-(P6*P8)</f>
        <v>166.4</v>
      </c>
      <c r="O10">
        <f>151+(O6*P8)</f>
        <v>159.5</v>
      </c>
      <c r="P10">
        <f>N10/O10</f>
        <v>1.0432601880877743</v>
      </c>
      <c r="R10">
        <v>19</v>
      </c>
      <c r="S10">
        <f>S8-(U6*U8)</f>
        <v>162.5</v>
      </c>
      <c r="T10">
        <f>151+(T6*U8)</f>
        <v>168</v>
      </c>
      <c r="U10">
        <f>S10/T10</f>
        <v>0.96726190476190477</v>
      </c>
      <c r="X10" t="s">
        <v>4</v>
      </c>
      <c r="Y10">
        <v>78.8</v>
      </c>
      <c r="Z10">
        <v>3</v>
      </c>
      <c r="AA10">
        <v>0.6</v>
      </c>
    </row>
    <row r="11" spans="3:27" x14ac:dyDescent="0.25">
      <c r="C11">
        <v>20</v>
      </c>
      <c r="D11">
        <f>D10+$E$8</f>
        <v>173.9</v>
      </c>
      <c r="E11">
        <f>E10+8.5</f>
        <v>144</v>
      </c>
      <c r="F11">
        <f t="shared" ref="F11:F51" si="0">D11/E11</f>
        <v>1.2076388888888889</v>
      </c>
      <c r="H11">
        <v>20</v>
      </c>
      <c r="I11">
        <f>I10+$E$8</f>
        <v>169.05</v>
      </c>
      <c r="J11">
        <f>J10+8.5</f>
        <v>151</v>
      </c>
      <c r="K11">
        <f t="shared" ref="K11:K50" si="1">I11/J11</f>
        <v>1.1195364238410597</v>
      </c>
      <c r="M11">
        <v>20</v>
      </c>
      <c r="N11">
        <f>N10+$E$8</f>
        <v>167.25</v>
      </c>
      <c r="O11">
        <f>O10+8.5</f>
        <v>168</v>
      </c>
      <c r="P11">
        <f t="shared" ref="P11:P50" si="2">N11/O11</f>
        <v>0.9955357142857143</v>
      </c>
      <c r="Q11">
        <v>166.3</v>
      </c>
      <c r="R11">
        <v>20</v>
      </c>
      <c r="S11">
        <f>S10+$E$8</f>
        <v>163.35</v>
      </c>
      <c r="T11">
        <f>T10+8.5</f>
        <v>176.5</v>
      </c>
      <c r="U11">
        <f t="shared" ref="U11:U50" si="3">S11/T11</f>
        <v>0.92549575070821521</v>
      </c>
    </row>
    <row r="12" spans="3:27" x14ac:dyDescent="0.25">
      <c r="C12">
        <v>21</v>
      </c>
      <c r="D12">
        <f t="shared" ref="D12:D50" si="4">D11+$E$8</f>
        <v>174.75</v>
      </c>
      <c r="E12">
        <f t="shared" ref="E12:E50" si="5">E11+8.5</f>
        <v>152.5</v>
      </c>
      <c r="F12">
        <f t="shared" si="0"/>
        <v>1.1459016393442623</v>
      </c>
      <c r="H12">
        <v>21</v>
      </c>
      <c r="I12">
        <f t="shared" ref="I12:I50" si="6">I11+$E$8</f>
        <v>169.9</v>
      </c>
      <c r="J12">
        <f t="shared" ref="J12:J50" si="7">J11+8.5</f>
        <v>159.5</v>
      </c>
      <c r="K12">
        <f t="shared" si="1"/>
        <v>1.0652037617554859</v>
      </c>
      <c r="M12">
        <v>21</v>
      </c>
      <c r="N12">
        <f t="shared" ref="N12:N50" si="8">N11+$E$8</f>
        <v>168.1</v>
      </c>
      <c r="O12">
        <f t="shared" ref="O12:O50" si="9">O11+8.5</f>
        <v>176.5</v>
      </c>
      <c r="P12">
        <f t="shared" si="2"/>
        <v>0.95240793201133145</v>
      </c>
      <c r="R12">
        <v>21</v>
      </c>
      <c r="S12">
        <f t="shared" ref="S12:S50" si="10">S11+$E$8</f>
        <v>164.2</v>
      </c>
      <c r="T12">
        <f t="shared" ref="T12:T50" si="11">T11+8.5</f>
        <v>185</v>
      </c>
      <c r="U12">
        <f t="shared" si="3"/>
        <v>0.88756756756756749</v>
      </c>
      <c r="X12" t="s">
        <v>101</v>
      </c>
      <c r="Y12">
        <v>19</v>
      </c>
    </row>
    <row r="13" spans="3:27" x14ac:dyDescent="0.25">
      <c r="C13">
        <v>22</v>
      </c>
      <c r="D13">
        <f t="shared" si="4"/>
        <v>175.6</v>
      </c>
      <c r="E13">
        <f t="shared" si="5"/>
        <v>161</v>
      </c>
      <c r="F13">
        <f t="shared" si="0"/>
        <v>1.0906832298136646</v>
      </c>
      <c r="H13">
        <v>22</v>
      </c>
      <c r="I13">
        <f t="shared" si="6"/>
        <v>170.75</v>
      </c>
      <c r="J13">
        <f t="shared" si="7"/>
        <v>168</v>
      </c>
      <c r="K13">
        <f t="shared" si="1"/>
        <v>1.0163690476190477</v>
      </c>
      <c r="M13">
        <v>22</v>
      </c>
      <c r="N13">
        <f t="shared" si="8"/>
        <v>168.95</v>
      </c>
      <c r="O13">
        <f t="shared" si="9"/>
        <v>185</v>
      </c>
      <c r="P13">
        <f t="shared" si="2"/>
        <v>0.91324324324324313</v>
      </c>
      <c r="R13">
        <v>22</v>
      </c>
      <c r="S13">
        <f t="shared" si="10"/>
        <v>165.04999999999998</v>
      </c>
      <c r="T13">
        <f t="shared" si="11"/>
        <v>193.5</v>
      </c>
      <c r="U13">
        <f t="shared" si="3"/>
        <v>0.85297157622739006</v>
      </c>
      <c r="W13">
        <v>9.5</v>
      </c>
      <c r="X13" t="s">
        <v>8</v>
      </c>
      <c r="Y13">
        <v>164</v>
      </c>
      <c r="Z13">
        <v>10</v>
      </c>
    </row>
    <row r="14" spans="3:27" x14ac:dyDescent="0.25">
      <c r="C14">
        <v>23</v>
      </c>
      <c r="D14">
        <f t="shared" si="4"/>
        <v>176.45</v>
      </c>
      <c r="E14">
        <f t="shared" si="5"/>
        <v>169.5</v>
      </c>
      <c r="F14">
        <f t="shared" si="0"/>
        <v>1.0410029498525073</v>
      </c>
      <c r="H14">
        <v>23</v>
      </c>
      <c r="I14">
        <f t="shared" si="6"/>
        <v>171.6</v>
      </c>
      <c r="J14">
        <f t="shared" si="7"/>
        <v>176.5</v>
      </c>
      <c r="K14">
        <f t="shared" si="1"/>
        <v>0.97223796033994336</v>
      </c>
      <c r="M14">
        <v>23</v>
      </c>
      <c r="N14">
        <f t="shared" si="8"/>
        <v>169.79999999999998</v>
      </c>
      <c r="O14">
        <f t="shared" si="9"/>
        <v>193.5</v>
      </c>
      <c r="P14">
        <f t="shared" si="2"/>
        <v>0.8775193798449612</v>
      </c>
      <c r="R14">
        <v>23</v>
      </c>
      <c r="S14">
        <f t="shared" si="10"/>
        <v>165.89999999999998</v>
      </c>
      <c r="T14">
        <f t="shared" si="11"/>
        <v>202</v>
      </c>
      <c r="U14">
        <f t="shared" si="3"/>
        <v>0.82128712871287113</v>
      </c>
      <c r="X14" t="s">
        <v>6</v>
      </c>
      <c r="Y14">
        <v>65.2</v>
      </c>
      <c r="Z14">
        <v>2</v>
      </c>
      <c r="AA14">
        <v>0.9</v>
      </c>
    </row>
    <row r="15" spans="3:27" x14ac:dyDescent="0.25">
      <c r="C15">
        <v>24</v>
      </c>
      <c r="D15">
        <f t="shared" si="4"/>
        <v>177.29999999999998</v>
      </c>
      <c r="E15">
        <f t="shared" si="5"/>
        <v>178</v>
      </c>
      <c r="F15">
        <f t="shared" si="0"/>
        <v>0.99606741573033697</v>
      </c>
      <c r="H15">
        <v>24</v>
      </c>
      <c r="I15">
        <f t="shared" si="6"/>
        <v>172.45</v>
      </c>
      <c r="J15">
        <f t="shared" si="7"/>
        <v>185</v>
      </c>
      <c r="K15">
        <f t="shared" si="1"/>
        <v>0.93216216216216208</v>
      </c>
      <c r="M15">
        <v>24</v>
      </c>
      <c r="N15">
        <f t="shared" si="8"/>
        <v>170.64999999999998</v>
      </c>
      <c r="O15">
        <f t="shared" si="9"/>
        <v>202</v>
      </c>
      <c r="P15">
        <f t="shared" si="2"/>
        <v>0.84480198019801966</v>
      </c>
      <c r="R15">
        <v>24</v>
      </c>
      <c r="S15">
        <f t="shared" si="10"/>
        <v>166.74999999999997</v>
      </c>
      <c r="T15">
        <f t="shared" si="11"/>
        <v>210.5</v>
      </c>
      <c r="U15">
        <f t="shared" si="3"/>
        <v>0.79216152019002362</v>
      </c>
      <c r="X15" t="s">
        <v>4</v>
      </c>
      <c r="Y15">
        <v>55.2</v>
      </c>
      <c r="Z15">
        <v>2</v>
      </c>
      <c r="AA15">
        <v>0.75</v>
      </c>
    </row>
    <row r="16" spans="3:27" x14ac:dyDescent="0.25">
      <c r="C16">
        <v>25</v>
      </c>
      <c r="D16">
        <f t="shared" si="4"/>
        <v>178.14999999999998</v>
      </c>
      <c r="E16">
        <f t="shared" si="5"/>
        <v>186.5</v>
      </c>
      <c r="F16">
        <f t="shared" si="0"/>
        <v>0.95522788203753339</v>
      </c>
      <c r="H16">
        <v>25</v>
      </c>
      <c r="I16">
        <f t="shared" si="6"/>
        <v>173.29999999999998</v>
      </c>
      <c r="J16">
        <f t="shared" si="7"/>
        <v>193.5</v>
      </c>
      <c r="K16">
        <f t="shared" si="1"/>
        <v>0.89560723514211882</v>
      </c>
      <c r="M16">
        <v>25</v>
      </c>
      <c r="N16">
        <f t="shared" si="8"/>
        <v>171.49999999999997</v>
      </c>
      <c r="O16">
        <f t="shared" si="9"/>
        <v>210.5</v>
      </c>
      <c r="P16">
        <f t="shared" si="2"/>
        <v>0.81472684085510672</v>
      </c>
      <c r="R16">
        <v>25</v>
      </c>
      <c r="S16">
        <f t="shared" si="10"/>
        <v>167.59999999999997</v>
      </c>
      <c r="T16">
        <f t="shared" si="11"/>
        <v>219</v>
      </c>
      <c r="U16">
        <f t="shared" si="3"/>
        <v>0.76529680365296793</v>
      </c>
    </row>
    <row r="17" spans="3:27" x14ac:dyDescent="0.25">
      <c r="C17">
        <v>26</v>
      </c>
      <c r="D17">
        <f t="shared" si="4"/>
        <v>178.99999999999997</v>
      </c>
      <c r="E17">
        <f t="shared" si="5"/>
        <v>195</v>
      </c>
      <c r="F17">
        <f t="shared" si="0"/>
        <v>0.9179487179487178</v>
      </c>
      <c r="H17">
        <v>26</v>
      </c>
      <c r="I17">
        <f t="shared" si="6"/>
        <v>174.14999999999998</v>
      </c>
      <c r="J17">
        <f t="shared" si="7"/>
        <v>202</v>
      </c>
      <c r="K17">
        <f t="shared" si="1"/>
        <v>0.86212871287128701</v>
      </c>
      <c r="M17">
        <v>26</v>
      </c>
      <c r="N17">
        <f t="shared" si="8"/>
        <v>172.34999999999997</v>
      </c>
      <c r="O17">
        <f t="shared" si="9"/>
        <v>219</v>
      </c>
      <c r="P17">
        <f t="shared" si="2"/>
        <v>0.78698630136986281</v>
      </c>
      <c r="R17">
        <v>26</v>
      </c>
      <c r="S17">
        <f t="shared" si="10"/>
        <v>168.44999999999996</v>
      </c>
      <c r="T17">
        <f t="shared" si="11"/>
        <v>227.5</v>
      </c>
      <c r="U17">
        <f t="shared" si="3"/>
        <v>0.74043956043956027</v>
      </c>
      <c r="X17" t="s">
        <v>76</v>
      </c>
      <c r="Y17">
        <v>19</v>
      </c>
    </row>
    <row r="18" spans="3:27" x14ac:dyDescent="0.25">
      <c r="C18">
        <f>C17+1</f>
        <v>27</v>
      </c>
      <c r="D18">
        <f t="shared" si="4"/>
        <v>179.84999999999997</v>
      </c>
      <c r="E18">
        <f t="shared" si="5"/>
        <v>203.5</v>
      </c>
      <c r="F18">
        <f t="shared" si="0"/>
        <v>0.88378378378378364</v>
      </c>
      <c r="H18">
        <f>H17+1</f>
        <v>27</v>
      </c>
      <c r="I18">
        <f t="shared" si="6"/>
        <v>174.99999999999997</v>
      </c>
      <c r="J18">
        <f t="shared" si="7"/>
        <v>210.5</v>
      </c>
      <c r="K18">
        <f t="shared" si="1"/>
        <v>0.83135391923990487</v>
      </c>
      <c r="M18">
        <f>M17+1</f>
        <v>27</v>
      </c>
      <c r="N18">
        <f t="shared" si="8"/>
        <v>173.19999999999996</v>
      </c>
      <c r="O18">
        <f t="shared" si="9"/>
        <v>227.5</v>
      </c>
      <c r="P18">
        <f t="shared" si="2"/>
        <v>0.76131868131868119</v>
      </c>
      <c r="R18">
        <f>R17+1</f>
        <v>27</v>
      </c>
      <c r="S18">
        <f t="shared" si="10"/>
        <v>169.29999999999995</v>
      </c>
      <c r="T18">
        <f t="shared" si="11"/>
        <v>236</v>
      </c>
      <c r="U18">
        <f t="shared" si="3"/>
        <v>0.71737288135593202</v>
      </c>
      <c r="W18">
        <v>2.75</v>
      </c>
      <c r="X18" t="s">
        <v>3</v>
      </c>
      <c r="Y18">
        <v>90.5</v>
      </c>
      <c r="Z18">
        <v>3</v>
      </c>
      <c r="AA18">
        <v>0.75</v>
      </c>
    </row>
    <row r="19" spans="3:27" x14ac:dyDescent="0.25">
      <c r="C19">
        <f t="shared" ref="C19:C50" si="12">C18+1</f>
        <v>28</v>
      </c>
      <c r="D19">
        <f t="shared" si="4"/>
        <v>180.69999999999996</v>
      </c>
      <c r="E19">
        <f t="shared" si="5"/>
        <v>212</v>
      </c>
      <c r="F19">
        <f t="shared" si="0"/>
        <v>0.85235849056603752</v>
      </c>
      <c r="H19">
        <f t="shared" ref="H19:H50" si="13">H18+1</f>
        <v>28</v>
      </c>
      <c r="I19">
        <f t="shared" si="6"/>
        <v>175.84999999999997</v>
      </c>
      <c r="J19">
        <f t="shared" si="7"/>
        <v>219</v>
      </c>
      <c r="K19">
        <f t="shared" si="1"/>
        <v>0.80296803652968018</v>
      </c>
      <c r="M19">
        <f t="shared" ref="M19:M50" si="14">M18+1</f>
        <v>28</v>
      </c>
      <c r="N19">
        <f t="shared" si="8"/>
        <v>174.04999999999995</v>
      </c>
      <c r="O19">
        <f t="shared" si="9"/>
        <v>236</v>
      </c>
      <c r="P19">
        <f t="shared" si="2"/>
        <v>0.73749999999999982</v>
      </c>
      <c r="R19">
        <f t="shared" ref="R19:R50" si="15">R18+1</f>
        <v>28</v>
      </c>
      <c r="S19">
        <f t="shared" si="10"/>
        <v>170.14999999999995</v>
      </c>
      <c r="T19">
        <f t="shared" si="11"/>
        <v>244.5</v>
      </c>
      <c r="U19">
        <f t="shared" si="3"/>
        <v>0.69591002044989758</v>
      </c>
      <c r="X19" t="s">
        <v>4</v>
      </c>
      <c r="Y19">
        <v>71.5</v>
      </c>
      <c r="Z19">
        <v>3</v>
      </c>
      <c r="AA19">
        <v>0.25</v>
      </c>
    </row>
    <row r="20" spans="3:27" x14ac:dyDescent="0.25">
      <c r="C20">
        <f t="shared" si="12"/>
        <v>29</v>
      </c>
      <c r="D20">
        <f t="shared" si="4"/>
        <v>181.54999999999995</v>
      </c>
      <c r="E20">
        <f t="shared" si="5"/>
        <v>220.5</v>
      </c>
      <c r="F20">
        <f t="shared" si="0"/>
        <v>0.8233560090702946</v>
      </c>
      <c r="H20">
        <f t="shared" si="13"/>
        <v>29</v>
      </c>
      <c r="I20">
        <f t="shared" si="6"/>
        <v>176.69999999999996</v>
      </c>
      <c r="J20">
        <f t="shared" si="7"/>
        <v>227.5</v>
      </c>
      <c r="K20">
        <f t="shared" si="1"/>
        <v>0.77670329670329652</v>
      </c>
      <c r="M20">
        <f t="shared" si="14"/>
        <v>29</v>
      </c>
      <c r="N20">
        <f t="shared" si="8"/>
        <v>174.89999999999995</v>
      </c>
      <c r="O20">
        <f t="shared" si="9"/>
        <v>244.5</v>
      </c>
      <c r="P20">
        <f t="shared" si="2"/>
        <v>0.71533742331288319</v>
      </c>
      <c r="R20">
        <f t="shared" si="15"/>
        <v>29</v>
      </c>
      <c r="S20">
        <f t="shared" si="10"/>
        <v>170.99999999999994</v>
      </c>
      <c r="T20">
        <f t="shared" si="11"/>
        <v>253</v>
      </c>
      <c r="U20">
        <f t="shared" si="3"/>
        <v>0.67588932806324087</v>
      </c>
    </row>
    <row r="21" spans="3:27" x14ac:dyDescent="0.25">
      <c r="C21">
        <f t="shared" si="12"/>
        <v>30</v>
      </c>
      <c r="D21">
        <f t="shared" si="4"/>
        <v>182.39999999999995</v>
      </c>
      <c r="E21">
        <f t="shared" si="5"/>
        <v>229</v>
      </c>
      <c r="F21">
        <f t="shared" si="0"/>
        <v>0.79650655021834038</v>
      </c>
      <c r="H21">
        <f t="shared" si="13"/>
        <v>30</v>
      </c>
      <c r="I21">
        <f t="shared" si="6"/>
        <v>177.54999999999995</v>
      </c>
      <c r="J21">
        <f t="shared" si="7"/>
        <v>236</v>
      </c>
      <c r="K21">
        <f t="shared" si="1"/>
        <v>0.75233050847457605</v>
      </c>
      <c r="M21">
        <f t="shared" si="14"/>
        <v>30</v>
      </c>
      <c r="N21">
        <f t="shared" si="8"/>
        <v>175.74999999999994</v>
      </c>
      <c r="O21">
        <f t="shared" si="9"/>
        <v>253</v>
      </c>
      <c r="P21">
        <f t="shared" si="2"/>
        <v>0.69466403162055312</v>
      </c>
      <c r="R21">
        <f t="shared" si="15"/>
        <v>30</v>
      </c>
      <c r="S21">
        <f t="shared" si="10"/>
        <v>171.84999999999994</v>
      </c>
      <c r="T21">
        <f t="shared" si="11"/>
        <v>261.5</v>
      </c>
      <c r="U21">
        <f t="shared" si="3"/>
        <v>0.65717017208412976</v>
      </c>
      <c r="X21" t="s">
        <v>97</v>
      </c>
    </row>
    <row r="22" spans="3:27" x14ac:dyDescent="0.25">
      <c r="C22">
        <f t="shared" si="12"/>
        <v>31</v>
      </c>
      <c r="D22">
        <f t="shared" si="4"/>
        <v>183.24999999999994</v>
      </c>
      <c r="E22">
        <f t="shared" si="5"/>
        <v>237.5</v>
      </c>
      <c r="F22">
        <f t="shared" si="0"/>
        <v>0.77157894736842081</v>
      </c>
      <c r="H22">
        <f t="shared" si="13"/>
        <v>31</v>
      </c>
      <c r="I22">
        <f t="shared" si="6"/>
        <v>178.39999999999995</v>
      </c>
      <c r="J22">
        <f t="shared" si="7"/>
        <v>244.5</v>
      </c>
      <c r="K22">
        <f t="shared" si="1"/>
        <v>0.72965235173824106</v>
      </c>
      <c r="M22">
        <f t="shared" si="14"/>
        <v>31</v>
      </c>
      <c r="N22">
        <f t="shared" si="8"/>
        <v>176.59999999999994</v>
      </c>
      <c r="O22">
        <f t="shared" si="9"/>
        <v>261.5</v>
      </c>
      <c r="P22">
        <f t="shared" si="2"/>
        <v>0.67533460803059253</v>
      </c>
      <c r="R22">
        <f t="shared" si="15"/>
        <v>31</v>
      </c>
      <c r="S22">
        <f t="shared" si="10"/>
        <v>172.69999999999993</v>
      </c>
      <c r="T22">
        <f t="shared" si="11"/>
        <v>270</v>
      </c>
      <c r="U22">
        <f t="shared" si="3"/>
        <v>0.63962962962962933</v>
      </c>
      <c r="W22">
        <v>8.5</v>
      </c>
      <c r="X22" t="s">
        <v>8</v>
      </c>
      <c r="Y22">
        <v>151</v>
      </c>
      <c r="Z22">
        <v>9</v>
      </c>
    </row>
    <row r="23" spans="3:27" x14ac:dyDescent="0.25">
      <c r="C23">
        <f t="shared" si="12"/>
        <v>32</v>
      </c>
      <c r="D23">
        <f t="shared" si="4"/>
        <v>184.09999999999994</v>
      </c>
      <c r="E23">
        <f t="shared" si="5"/>
        <v>246</v>
      </c>
      <c r="F23">
        <f t="shared" si="0"/>
        <v>0.7483739837398371</v>
      </c>
      <c r="H23">
        <f t="shared" si="13"/>
        <v>32</v>
      </c>
      <c r="I23">
        <f t="shared" si="6"/>
        <v>179.24999999999994</v>
      </c>
      <c r="J23">
        <f t="shared" si="7"/>
        <v>253</v>
      </c>
      <c r="K23">
        <f t="shared" si="1"/>
        <v>0.70849802371541482</v>
      </c>
      <c r="M23">
        <f t="shared" si="14"/>
        <v>32</v>
      </c>
      <c r="N23">
        <f t="shared" si="8"/>
        <v>177.44999999999993</v>
      </c>
      <c r="O23">
        <f t="shared" si="9"/>
        <v>270</v>
      </c>
      <c r="P23">
        <f t="shared" si="2"/>
        <v>0.65722222222222193</v>
      </c>
      <c r="R23">
        <f t="shared" si="15"/>
        <v>32</v>
      </c>
      <c r="S23">
        <f t="shared" si="10"/>
        <v>173.54999999999993</v>
      </c>
      <c r="T23">
        <f t="shared" si="11"/>
        <v>278.5</v>
      </c>
      <c r="U23">
        <f t="shared" si="3"/>
        <v>0.62315978456014331</v>
      </c>
      <c r="X23" t="s">
        <v>6</v>
      </c>
      <c r="Y23">
        <v>71.5</v>
      </c>
      <c r="Z23">
        <v>3</v>
      </c>
      <c r="AA23">
        <v>0.25</v>
      </c>
    </row>
    <row r="24" spans="3:27" x14ac:dyDescent="0.25">
      <c r="C24">
        <f t="shared" si="12"/>
        <v>33</v>
      </c>
      <c r="D24">
        <f t="shared" si="4"/>
        <v>184.94999999999993</v>
      </c>
      <c r="E24">
        <f t="shared" si="5"/>
        <v>254.5</v>
      </c>
      <c r="F24">
        <f t="shared" si="0"/>
        <v>0.72671905697445949</v>
      </c>
      <c r="H24">
        <f t="shared" si="13"/>
        <v>33</v>
      </c>
      <c r="I24">
        <f t="shared" si="6"/>
        <v>180.09999999999994</v>
      </c>
      <c r="J24">
        <f t="shared" si="7"/>
        <v>261.5</v>
      </c>
      <c r="K24">
        <f t="shared" si="1"/>
        <v>0.68871892925430189</v>
      </c>
      <c r="M24">
        <f t="shared" si="14"/>
        <v>33</v>
      </c>
      <c r="N24">
        <f t="shared" si="8"/>
        <v>178.29999999999993</v>
      </c>
      <c r="O24">
        <f t="shared" si="9"/>
        <v>278.5</v>
      </c>
      <c r="P24">
        <f t="shared" si="2"/>
        <v>0.64021543985637319</v>
      </c>
      <c r="R24">
        <f t="shared" si="15"/>
        <v>33</v>
      </c>
      <c r="S24">
        <f t="shared" si="10"/>
        <v>174.39999999999992</v>
      </c>
      <c r="T24">
        <f t="shared" si="11"/>
        <v>287</v>
      </c>
      <c r="U24">
        <f t="shared" si="3"/>
        <v>0.60766550522648055</v>
      </c>
    </row>
    <row r="25" spans="3:27" x14ac:dyDescent="0.25">
      <c r="C25">
        <f t="shared" si="12"/>
        <v>34</v>
      </c>
      <c r="D25">
        <f t="shared" si="4"/>
        <v>185.79999999999993</v>
      </c>
      <c r="E25">
        <f t="shared" si="5"/>
        <v>263</v>
      </c>
      <c r="F25">
        <f t="shared" si="0"/>
        <v>0.70646387832699586</v>
      </c>
      <c r="H25">
        <f t="shared" si="13"/>
        <v>34</v>
      </c>
      <c r="I25">
        <f t="shared" si="6"/>
        <v>180.94999999999993</v>
      </c>
      <c r="J25">
        <f t="shared" si="7"/>
        <v>270</v>
      </c>
      <c r="K25">
        <f t="shared" si="1"/>
        <v>0.67018518518518488</v>
      </c>
      <c r="M25">
        <f t="shared" si="14"/>
        <v>34</v>
      </c>
      <c r="N25">
        <f t="shared" si="8"/>
        <v>179.14999999999992</v>
      </c>
      <c r="O25">
        <f t="shared" si="9"/>
        <v>287</v>
      </c>
      <c r="P25">
        <f t="shared" si="2"/>
        <v>0.62421602787456421</v>
      </c>
      <c r="R25">
        <f t="shared" si="15"/>
        <v>34</v>
      </c>
      <c r="S25">
        <f t="shared" si="10"/>
        <v>175.24999999999991</v>
      </c>
      <c r="T25">
        <f t="shared" si="11"/>
        <v>295.5</v>
      </c>
      <c r="U25">
        <f t="shared" si="3"/>
        <v>0.59306260575296077</v>
      </c>
    </row>
    <row r="26" spans="3:27" x14ac:dyDescent="0.25">
      <c r="C26">
        <f t="shared" si="12"/>
        <v>35</v>
      </c>
      <c r="D26">
        <f t="shared" si="4"/>
        <v>186.64999999999992</v>
      </c>
      <c r="E26">
        <f t="shared" si="5"/>
        <v>271.5</v>
      </c>
      <c r="F26">
        <f t="shared" si="0"/>
        <v>0.68747697974217281</v>
      </c>
      <c r="H26">
        <f t="shared" si="13"/>
        <v>35</v>
      </c>
      <c r="I26">
        <f t="shared" si="6"/>
        <v>181.79999999999993</v>
      </c>
      <c r="J26">
        <f t="shared" si="7"/>
        <v>278.5</v>
      </c>
      <c r="K26">
        <f t="shared" si="1"/>
        <v>0.65278276481148989</v>
      </c>
      <c r="M26">
        <f t="shared" si="14"/>
        <v>35</v>
      </c>
      <c r="N26">
        <f t="shared" si="8"/>
        <v>179.99999999999991</v>
      </c>
      <c r="O26">
        <f t="shared" si="9"/>
        <v>295.5</v>
      </c>
      <c r="P26">
        <f t="shared" si="2"/>
        <v>0.60913705583756317</v>
      </c>
      <c r="R26">
        <f t="shared" si="15"/>
        <v>35</v>
      </c>
      <c r="S26">
        <f t="shared" si="10"/>
        <v>176.09999999999991</v>
      </c>
      <c r="T26">
        <f t="shared" si="11"/>
        <v>304</v>
      </c>
      <c r="U26">
        <f t="shared" si="3"/>
        <v>0.57927631578947336</v>
      </c>
    </row>
    <row r="27" spans="3:27" x14ac:dyDescent="0.25">
      <c r="C27">
        <f t="shared" si="12"/>
        <v>36</v>
      </c>
      <c r="D27">
        <f t="shared" si="4"/>
        <v>187.49999999999991</v>
      </c>
      <c r="E27">
        <f t="shared" si="5"/>
        <v>280</v>
      </c>
      <c r="F27">
        <f t="shared" si="0"/>
        <v>0.66964285714285687</v>
      </c>
      <c r="H27">
        <f t="shared" si="13"/>
        <v>36</v>
      </c>
      <c r="I27">
        <f t="shared" si="6"/>
        <v>182.64999999999992</v>
      </c>
      <c r="J27">
        <f t="shared" si="7"/>
        <v>287</v>
      </c>
      <c r="K27">
        <f t="shared" si="1"/>
        <v>0.63641114982578373</v>
      </c>
      <c r="M27">
        <f t="shared" si="14"/>
        <v>36</v>
      </c>
      <c r="N27">
        <f t="shared" si="8"/>
        <v>180.84999999999991</v>
      </c>
      <c r="O27">
        <f t="shared" si="9"/>
        <v>304</v>
      </c>
      <c r="P27">
        <f t="shared" si="2"/>
        <v>0.59490131578947336</v>
      </c>
      <c r="R27">
        <f t="shared" si="15"/>
        <v>36</v>
      </c>
      <c r="S27">
        <f t="shared" si="10"/>
        <v>176.9499999999999</v>
      </c>
      <c r="T27">
        <f t="shared" si="11"/>
        <v>312.5</v>
      </c>
      <c r="U27">
        <f t="shared" si="3"/>
        <v>0.56623999999999974</v>
      </c>
    </row>
    <row r="28" spans="3:27" x14ac:dyDescent="0.25">
      <c r="C28">
        <f t="shared" si="12"/>
        <v>37</v>
      </c>
      <c r="D28">
        <f t="shared" si="4"/>
        <v>188.34999999999991</v>
      </c>
      <c r="E28">
        <f t="shared" si="5"/>
        <v>288.5</v>
      </c>
      <c r="F28">
        <f t="shared" si="0"/>
        <v>0.65285961871750398</v>
      </c>
      <c r="H28">
        <f t="shared" si="13"/>
        <v>37</v>
      </c>
      <c r="I28">
        <f t="shared" si="6"/>
        <v>183.49999999999991</v>
      </c>
      <c r="J28">
        <f t="shared" si="7"/>
        <v>295.5</v>
      </c>
      <c r="K28">
        <f t="shared" si="1"/>
        <v>0.62098138747884912</v>
      </c>
      <c r="M28">
        <f t="shared" si="14"/>
        <v>37</v>
      </c>
      <c r="N28">
        <f t="shared" si="8"/>
        <v>181.6999999999999</v>
      </c>
      <c r="O28">
        <f t="shared" si="9"/>
        <v>312.5</v>
      </c>
      <c r="P28">
        <f t="shared" si="2"/>
        <v>0.58143999999999973</v>
      </c>
      <c r="R28">
        <f t="shared" si="15"/>
        <v>37</v>
      </c>
      <c r="S28">
        <f t="shared" si="10"/>
        <v>177.7999999999999</v>
      </c>
      <c r="T28">
        <f t="shared" si="11"/>
        <v>321</v>
      </c>
      <c r="U28">
        <f t="shared" si="3"/>
        <v>0.55389408099688442</v>
      </c>
    </row>
    <row r="29" spans="3:27" x14ac:dyDescent="0.25">
      <c r="C29">
        <f t="shared" si="12"/>
        <v>38</v>
      </c>
      <c r="D29">
        <f t="shared" si="4"/>
        <v>189.1999999999999</v>
      </c>
      <c r="E29">
        <f t="shared" si="5"/>
        <v>297</v>
      </c>
      <c r="F29">
        <f t="shared" si="0"/>
        <v>0.63703703703703674</v>
      </c>
      <c r="H29">
        <f t="shared" si="13"/>
        <v>38</v>
      </c>
      <c r="I29">
        <f t="shared" si="6"/>
        <v>184.34999999999991</v>
      </c>
      <c r="J29">
        <f t="shared" si="7"/>
        <v>304</v>
      </c>
      <c r="K29">
        <f t="shared" si="1"/>
        <v>0.6064144736842102</v>
      </c>
      <c r="M29">
        <f t="shared" si="14"/>
        <v>38</v>
      </c>
      <c r="N29">
        <f t="shared" si="8"/>
        <v>182.5499999999999</v>
      </c>
      <c r="O29">
        <f t="shared" si="9"/>
        <v>321</v>
      </c>
      <c r="P29">
        <f t="shared" si="2"/>
        <v>0.56869158878504644</v>
      </c>
      <c r="R29">
        <f t="shared" si="15"/>
        <v>38</v>
      </c>
      <c r="S29">
        <f t="shared" si="10"/>
        <v>178.64999999999989</v>
      </c>
      <c r="T29">
        <f t="shared" si="11"/>
        <v>329.5</v>
      </c>
      <c r="U29">
        <f t="shared" si="3"/>
        <v>0.54218512898330773</v>
      </c>
    </row>
    <row r="30" spans="3:27" x14ac:dyDescent="0.25">
      <c r="C30">
        <f t="shared" si="12"/>
        <v>39</v>
      </c>
      <c r="D30">
        <f t="shared" si="4"/>
        <v>190.0499999999999</v>
      </c>
      <c r="E30">
        <f t="shared" si="5"/>
        <v>305.5</v>
      </c>
      <c r="F30">
        <f t="shared" si="0"/>
        <v>0.62209492635024521</v>
      </c>
      <c r="H30">
        <f t="shared" si="13"/>
        <v>39</v>
      </c>
      <c r="I30">
        <f t="shared" si="6"/>
        <v>185.1999999999999</v>
      </c>
      <c r="J30">
        <f t="shared" si="7"/>
        <v>312.5</v>
      </c>
      <c r="K30">
        <f t="shared" si="1"/>
        <v>0.59263999999999972</v>
      </c>
      <c r="M30">
        <f t="shared" si="14"/>
        <v>39</v>
      </c>
      <c r="N30">
        <f t="shared" si="8"/>
        <v>183.39999999999989</v>
      </c>
      <c r="O30">
        <f t="shared" si="9"/>
        <v>329.5</v>
      </c>
      <c r="P30">
        <f t="shared" si="2"/>
        <v>0.55660091047040938</v>
      </c>
      <c r="R30">
        <f t="shared" si="15"/>
        <v>39</v>
      </c>
      <c r="S30">
        <f t="shared" si="10"/>
        <v>179.49999999999989</v>
      </c>
      <c r="T30">
        <f t="shared" si="11"/>
        <v>338</v>
      </c>
      <c r="U30">
        <f t="shared" si="3"/>
        <v>0.53106508875739611</v>
      </c>
    </row>
    <row r="31" spans="3:27" x14ac:dyDescent="0.25">
      <c r="C31">
        <f t="shared" si="12"/>
        <v>40</v>
      </c>
      <c r="D31">
        <f t="shared" si="4"/>
        <v>190.89999999999989</v>
      </c>
      <c r="E31">
        <f t="shared" si="5"/>
        <v>314</v>
      </c>
      <c r="F31">
        <f t="shared" si="0"/>
        <v>0.60796178343949014</v>
      </c>
      <c r="H31">
        <f t="shared" si="13"/>
        <v>40</v>
      </c>
      <c r="I31">
        <f t="shared" si="6"/>
        <v>186.0499999999999</v>
      </c>
      <c r="J31">
        <f t="shared" si="7"/>
        <v>321</v>
      </c>
      <c r="K31">
        <f t="shared" si="1"/>
        <v>0.57959501557632365</v>
      </c>
      <c r="M31">
        <f t="shared" si="14"/>
        <v>40</v>
      </c>
      <c r="N31">
        <f t="shared" si="8"/>
        <v>184.24999999999989</v>
      </c>
      <c r="O31">
        <f t="shared" si="9"/>
        <v>338</v>
      </c>
      <c r="P31">
        <f t="shared" si="2"/>
        <v>0.54511834319526598</v>
      </c>
      <c r="R31">
        <f t="shared" si="15"/>
        <v>40</v>
      </c>
      <c r="S31">
        <f t="shared" si="10"/>
        <v>180.34999999999988</v>
      </c>
      <c r="T31">
        <f t="shared" si="11"/>
        <v>346.5</v>
      </c>
      <c r="U31">
        <f t="shared" si="3"/>
        <v>0.52049062049062012</v>
      </c>
    </row>
    <row r="32" spans="3:27" x14ac:dyDescent="0.25">
      <c r="C32">
        <f t="shared" si="12"/>
        <v>41</v>
      </c>
      <c r="D32">
        <f t="shared" si="4"/>
        <v>191.74999999999989</v>
      </c>
      <c r="E32">
        <f t="shared" si="5"/>
        <v>322.5</v>
      </c>
      <c r="F32">
        <f t="shared" si="0"/>
        <v>0.59457364341085239</v>
      </c>
      <c r="H32">
        <f t="shared" si="13"/>
        <v>41</v>
      </c>
      <c r="I32">
        <f t="shared" si="6"/>
        <v>186.89999999999989</v>
      </c>
      <c r="J32">
        <f t="shared" si="7"/>
        <v>329.5</v>
      </c>
      <c r="K32">
        <f t="shared" si="1"/>
        <v>0.56722306525037902</v>
      </c>
      <c r="M32">
        <f t="shared" si="14"/>
        <v>41</v>
      </c>
      <c r="N32">
        <f t="shared" si="8"/>
        <v>185.09999999999988</v>
      </c>
      <c r="O32">
        <f t="shared" si="9"/>
        <v>346.5</v>
      </c>
      <c r="P32">
        <f t="shared" si="2"/>
        <v>0.5341991341991339</v>
      </c>
      <c r="R32">
        <f t="shared" si="15"/>
        <v>41</v>
      </c>
      <c r="S32">
        <f t="shared" si="10"/>
        <v>181.19999999999987</v>
      </c>
      <c r="T32">
        <f t="shared" si="11"/>
        <v>355</v>
      </c>
      <c r="U32">
        <f t="shared" si="3"/>
        <v>0.51042253521126724</v>
      </c>
    </row>
    <row r="33" spans="3:25" x14ac:dyDescent="0.25">
      <c r="C33">
        <f t="shared" si="12"/>
        <v>42</v>
      </c>
      <c r="D33">
        <f t="shared" si="4"/>
        <v>192.59999999999988</v>
      </c>
      <c r="E33">
        <f t="shared" si="5"/>
        <v>331</v>
      </c>
      <c r="F33">
        <f t="shared" si="0"/>
        <v>0.58187311178247703</v>
      </c>
      <c r="H33">
        <f t="shared" si="13"/>
        <v>42</v>
      </c>
      <c r="I33">
        <f t="shared" si="6"/>
        <v>187.74999999999989</v>
      </c>
      <c r="J33">
        <f t="shared" si="7"/>
        <v>338</v>
      </c>
      <c r="K33">
        <f t="shared" si="1"/>
        <v>0.55547337278106479</v>
      </c>
      <c r="M33">
        <f t="shared" si="14"/>
        <v>42</v>
      </c>
      <c r="N33">
        <f t="shared" si="8"/>
        <v>185.94999999999987</v>
      </c>
      <c r="O33">
        <f t="shared" si="9"/>
        <v>355</v>
      </c>
      <c r="P33">
        <f t="shared" si="2"/>
        <v>0.52380281690140806</v>
      </c>
      <c r="R33">
        <f t="shared" si="15"/>
        <v>42</v>
      </c>
      <c r="S33">
        <f t="shared" si="10"/>
        <v>182.04999999999987</v>
      </c>
      <c r="T33">
        <f t="shared" si="11"/>
        <v>363.5</v>
      </c>
      <c r="U33">
        <f t="shared" si="3"/>
        <v>0.50082530949105875</v>
      </c>
      <c r="W33">
        <f>90*1.4</f>
        <v>125.99999999999999</v>
      </c>
      <c r="X33">
        <f>W33+90.5</f>
        <v>216.5</v>
      </c>
      <c r="Y33">
        <f>X33-Y14</f>
        <v>151.30000000000001</v>
      </c>
    </row>
    <row r="34" spans="3:25" x14ac:dyDescent="0.25">
      <c r="C34">
        <f t="shared" si="12"/>
        <v>43</v>
      </c>
      <c r="D34">
        <f t="shared" si="4"/>
        <v>193.44999999999987</v>
      </c>
      <c r="E34">
        <f t="shared" si="5"/>
        <v>339.5</v>
      </c>
      <c r="F34">
        <f t="shared" si="0"/>
        <v>0.56980854197349007</v>
      </c>
      <c r="H34">
        <f t="shared" si="13"/>
        <v>43</v>
      </c>
      <c r="I34">
        <f t="shared" si="6"/>
        <v>188.59999999999988</v>
      </c>
      <c r="J34">
        <f t="shared" si="7"/>
        <v>346.5</v>
      </c>
      <c r="K34">
        <f t="shared" si="1"/>
        <v>0.54430014430014395</v>
      </c>
      <c r="M34">
        <f t="shared" si="14"/>
        <v>43</v>
      </c>
      <c r="N34">
        <f t="shared" si="8"/>
        <v>186.79999999999987</v>
      </c>
      <c r="O34">
        <f t="shared" si="9"/>
        <v>363.5</v>
      </c>
      <c r="P34">
        <f t="shared" si="2"/>
        <v>0.51389270976616197</v>
      </c>
      <c r="R34">
        <f t="shared" si="15"/>
        <v>43</v>
      </c>
      <c r="S34">
        <f t="shared" si="10"/>
        <v>182.89999999999986</v>
      </c>
      <c r="T34">
        <f t="shared" si="11"/>
        <v>372</v>
      </c>
      <c r="U34">
        <f t="shared" si="3"/>
        <v>0.49166666666666631</v>
      </c>
      <c r="Y34">
        <f>Y33+30</f>
        <v>181.3</v>
      </c>
    </row>
    <row r="35" spans="3:25" x14ac:dyDescent="0.25">
      <c r="C35">
        <f t="shared" si="12"/>
        <v>44</v>
      </c>
      <c r="D35">
        <f t="shared" si="4"/>
        <v>194.29999999999987</v>
      </c>
      <c r="E35">
        <f t="shared" si="5"/>
        <v>348</v>
      </c>
      <c r="F35">
        <f t="shared" si="0"/>
        <v>0.5583333333333329</v>
      </c>
      <c r="H35">
        <f t="shared" si="13"/>
        <v>44</v>
      </c>
      <c r="I35">
        <f t="shared" si="6"/>
        <v>189.44999999999987</v>
      </c>
      <c r="J35">
        <f t="shared" si="7"/>
        <v>355</v>
      </c>
      <c r="K35">
        <f t="shared" si="1"/>
        <v>0.53366197183098552</v>
      </c>
      <c r="M35">
        <f t="shared" si="14"/>
        <v>44</v>
      </c>
      <c r="N35">
        <f t="shared" si="8"/>
        <v>187.64999999999986</v>
      </c>
      <c r="O35">
        <f t="shared" si="9"/>
        <v>372</v>
      </c>
      <c r="P35">
        <f t="shared" si="2"/>
        <v>0.50443548387096737</v>
      </c>
      <c r="R35">
        <f t="shared" si="15"/>
        <v>44</v>
      </c>
      <c r="S35">
        <f t="shared" si="10"/>
        <v>183.74999999999986</v>
      </c>
      <c r="T35">
        <f t="shared" si="11"/>
        <v>380.5</v>
      </c>
      <c r="U35">
        <f t="shared" si="3"/>
        <v>0.48291721419185246</v>
      </c>
    </row>
    <row r="36" spans="3:25" x14ac:dyDescent="0.25">
      <c r="C36">
        <f t="shared" si="12"/>
        <v>45</v>
      </c>
      <c r="D36">
        <f t="shared" si="4"/>
        <v>195.14999999999986</v>
      </c>
      <c r="E36">
        <f t="shared" si="5"/>
        <v>356.5</v>
      </c>
      <c r="F36">
        <f t="shared" si="0"/>
        <v>0.54740532959326749</v>
      </c>
      <c r="H36">
        <f t="shared" si="13"/>
        <v>45</v>
      </c>
      <c r="I36">
        <f t="shared" si="6"/>
        <v>190.29999999999987</v>
      </c>
      <c r="J36">
        <f t="shared" si="7"/>
        <v>363.5</v>
      </c>
      <c r="K36">
        <f t="shared" si="1"/>
        <v>0.52352132049518529</v>
      </c>
      <c r="M36">
        <f t="shared" si="14"/>
        <v>45</v>
      </c>
      <c r="N36">
        <f t="shared" si="8"/>
        <v>188.49999999999986</v>
      </c>
      <c r="O36">
        <f t="shared" si="9"/>
        <v>380.5</v>
      </c>
      <c r="P36">
        <f t="shared" si="2"/>
        <v>0.49540078843626767</v>
      </c>
      <c r="R36">
        <f t="shared" si="15"/>
        <v>45</v>
      </c>
      <c r="S36">
        <f t="shared" si="10"/>
        <v>184.59999999999985</v>
      </c>
      <c r="T36">
        <f t="shared" si="11"/>
        <v>389</v>
      </c>
      <c r="U36">
        <f t="shared" si="3"/>
        <v>0.47455012853470396</v>
      </c>
    </row>
    <row r="37" spans="3:25" x14ac:dyDescent="0.25">
      <c r="C37">
        <f t="shared" si="12"/>
        <v>46</v>
      </c>
      <c r="D37">
        <f t="shared" si="4"/>
        <v>195.99999999999986</v>
      </c>
      <c r="E37">
        <f t="shared" si="5"/>
        <v>365</v>
      </c>
      <c r="F37">
        <f t="shared" si="0"/>
        <v>0.53698630136986258</v>
      </c>
      <c r="H37">
        <f t="shared" si="13"/>
        <v>46</v>
      </c>
      <c r="I37">
        <f t="shared" si="6"/>
        <v>191.14999999999986</v>
      </c>
      <c r="J37">
        <f t="shared" si="7"/>
        <v>372</v>
      </c>
      <c r="K37">
        <f t="shared" si="1"/>
        <v>0.513844086021505</v>
      </c>
      <c r="M37">
        <f t="shared" si="14"/>
        <v>46</v>
      </c>
      <c r="N37">
        <f t="shared" si="8"/>
        <v>189.34999999999985</v>
      </c>
      <c r="O37">
        <f t="shared" si="9"/>
        <v>389</v>
      </c>
      <c r="P37">
        <f t="shared" si="2"/>
        <v>0.4867609254498711</v>
      </c>
      <c r="R37">
        <f t="shared" si="15"/>
        <v>46</v>
      </c>
      <c r="S37">
        <f t="shared" si="10"/>
        <v>185.44999999999985</v>
      </c>
      <c r="T37">
        <f t="shared" si="11"/>
        <v>397.5</v>
      </c>
      <c r="U37">
        <f t="shared" si="3"/>
        <v>0.4665408805031443</v>
      </c>
      <c r="X37">
        <f>145+46+30</f>
        <v>221</v>
      </c>
    </row>
    <row r="38" spans="3:25" x14ac:dyDescent="0.25">
      <c r="C38">
        <f t="shared" si="12"/>
        <v>47</v>
      </c>
      <c r="D38">
        <f t="shared" si="4"/>
        <v>196.84999999999985</v>
      </c>
      <c r="E38">
        <f t="shared" si="5"/>
        <v>373.5</v>
      </c>
      <c r="F38">
        <f t="shared" si="0"/>
        <v>0.52704149933065558</v>
      </c>
      <c r="H38">
        <f t="shared" si="13"/>
        <v>47</v>
      </c>
      <c r="I38">
        <f t="shared" si="6"/>
        <v>191.99999999999986</v>
      </c>
      <c r="J38">
        <f t="shared" si="7"/>
        <v>380.5</v>
      </c>
      <c r="K38">
        <f t="shared" si="1"/>
        <v>0.50459921156373155</v>
      </c>
      <c r="M38">
        <f t="shared" si="14"/>
        <v>47</v>
      </c>
      <c r="N38">
        <f t="shared" si="8"/>
        <v>190.19999999999985</v>
      </c>
      <c r="O38">
        <f t="shared" si="9"/>
        <v>397.5</v>
      </c>
      <c r="P38">
        <f t="shared" si="2"/>
        <v>0.47849056603773549</v>
      </c>
      <c r="R38">
        <f t="shared" si="15"/>
        <v>47</v>
      </c>
      <c r="S38">
        <f t="shared" si="10"/>
        <v>186.29999999999984</v>
      </c>
      <c r="T38">
        <f t="shared" si="11"/>
        <v>406</v>
      </c>
      <c r="U38">
        <f t="shared" si="3"/>
        <v>0.45886699507389123</v>
      </c>
    </row>
    <row r="39" spans="3:25" x14ac:dyDescent="0.25">
      <c r="C39">
        <f t="shared" si="12"/>
        <v>48</v>
      </c>
      <c r="D39">
        <f t="shared" si="4"/>
        <v>197.69999999999985</v>
      </c>
      <c r="E39">
        <f t="shared" si="5"/>
        <v>382</v>
      </c>
      <c r="F39">
        <f t="shared" si="0"/>
        <v>0.51753926701570641</v>
      </c>
      <c r="H39">
        <f t="shared" si="13"/>
        <v>48</v>
      </c>
      <c r="I39">
        <f t="shared" si="6"/>
        <v>192.84999999999985</v>
      </c>
      <c r="J39">
        <f t="shared" si="7"/>
        <v>389</v>
      </c>
      <c r="K39">
        <f t="shared" si="1"/>
        <v>0.49575835475578367</v>
      </c>
      <c r="M39">
        <f t="shared" si="14"/>
        <v>48</v>
      </c>
      <c r="N39">
        <f t="shared" si="8"/>
        <v>191.04999999999984</v>
      </c>
      <c r="O39">
        <f t="shared" si="9"/>
        <v>406</v>
      </c>
      <c r="P39">
        <f t="shared" si="2"/>
        <v>0.47056650246305382</v>
      </c>
      <c r="R39">
        <f t="shared" si="15"/>
        <v>48</v>
      </c>
      <c r="S39">
        <f t="shared" si="10"/>
        <v>187.14999999999984</v>
      </c>
      <c r="T39">
        <f t="shared" si="11"/>
        <v>414.5</v>
      </c>
      <c r="U39">
        <f t="shared" si="3"/>
        <v>0.45150784077201406</v>
      </c>
      <c r="W39">
        <v>185.3</v>
      </c>
      <c r="X39">
        <f>W39/4</f>
        <v>46.325000000000003</v>
      </c>
    </row>
    <row r="40" spans="3:25" x14ac:dyDescent="0.25">
      <c r="C40">
        <f t="shared" si="12"/>
        <v>49</v>
      </c>
      <c r="D40">
        <f t="shared" si="4"/>
        <v>198.54999999999984</v>
      </c>
      <c r="E40">
        <f t="shared" si="5"/>
        <v>390.5</v>
      </c>
      <c r="F40">
        <f t="shared" si="0"/>
        <v>0.50845070422535166</v>
      </c>
      <c r="H40">
        <f t="shared" si="13"/>
        <v>49</v>
      </c>
      <c r="I40">
        <f t="shared" si="6"/>
        <v>193.69999999999985</v>
      </c>
      <c r="J40">
        <f t="shared" si="7"/>
        <v>397.5</v>
      </c>
      <c r="K40">
        <f t="shared" si="1"/>
        <v>0.48729559748427637</v>
      </c>
      <c r="M40">
        <f t="shared" si="14"/>
        <v>49</v>
      </c>
      <c r="N40">
        <f t="shared" si="8"/>
        <v>191.89999999999984</v>
      </c>
      <c r="O40">
        <f t="shared" si="9"/>
        <v>414.5</v>
      </c>
      <c r="P40">
        <f t="shared" si="2"/>
        <v>0.46296743063932411</v>
      </c>
      <c r="R40">
        <f t="shared" si="15"/>
        <v>49</v>
      </c>
      <c r="S40">
        <f t="shared" si="10"/>
        <v>187.99999999999983</v>
      </c>
      <c r="T40">
        <f t="shared" si="11"/>
        <v>423</v>
      </c>
      <c r="U40">
        <f t="shared" si="3"/>
        <v>0.44444444444444403</v>
      </c>
      <c r="W40">
        <f>W39/2</f>
        <v>92.65</v>
      </c>
    </row>
    <row r="41" spans="3:25" x14ac:dyDescent="0.25">
      <c r="C41">
        <f t="shared" si="12"/>
        <v>50</v>
      </c>
      <c r="D41">
        <f t="shared" si="4"/>
        <v>199.39999999999984</v>
      </c>
      <c r="E41">
        <f t="shared" si="5"/>
        <v>399</v>
      </c>
      <c r="F41">
        <f t="shared" si="0"/>
        <v>0.49974937343358355</v>
      </c>
      <c r="H41">
        <f t="shared" si="13"/>
        <v>50</v>
      </c>
      <c r="I41">
        <f t="shared" si="6"/>
        <v>194.54999999999984</v>
      </c>
      <c r="J41">
        <f t="shared" si="7"/>
        <v>406</v>
      </c>
      <c r="K41">
        <f t="shared" si="1"/>
        <v>0.47918719211822619</v>
      </c>
      <c r="M41">
        <f t="shared" si="14"/>
        <v>50</v>
      </c>
      <c r="N41">
        <f t="shared" si="8"/>
        <v>192.74999999999983</v>
      </c>
      <c r="O41">
        <f t="shared" si="9"/>
        <v>423</v>
      </c>
      <c r="P41">
        <f t="shared" si="2"/>
        <v>0.4556737588652478</v>
      </c>
      <c r="R41">
        <f t="shared" si="15"/>
        <v>50</v>
      </c>
      <c r="S41">
        <f t="shared" si="10"/>
        <v>188.84999999999982</v>
      </c>
      <c r="T41">
        <f t="shared" si="11"/>
        <v>431.5</v>
      </c>
      <c r="U41">
        <f t="shared" si="3"/>
        <v>0.43765932792583967</v>
      </c>
    </row>
    <row r="42" spans="3:25" x14ac:dyDescent="0.25">
      <c r="C42">
        <f t="shared" si="12"/>
        <v>51</v>
      </c>
      <c r="D42">
        <f t="shared" si="4"/>
        <v>200.24999999999983</v>
      </c>
      <c r="E42">
        <f t="shared" si="5"/>
        <v>407.5</v>
      </c>
      <c r="F42">
        <f t="shared" si="0"/>
        <v>0.49141104294478488</v>
      </c>
      <c r="H42">
        <f t="shared" si="13"/>
        <v>51</v>
      </c>
      <c r="I42">
        <f t="shared" si="6"/>
        <v>195.39999999999984</v>
      </c>
      <c r="J42">
        <f t="shared" si="7"/>
        <v>414.5</v>
      </c>
      <c r="K42">
        <f t="shared" si="1"/>
        <v>0.47141133896260518</v>
      </c>
      <c r="M42">
        <f t="shared" si="14"/>
        <v>51</v>
      </c>
      <c r="N42">
        <f t="shared" si="8"/>
        <v>193.59999999999982</v>
      </c>
      <c r="O42">
        <f t="shared" si="9"/>
        <v>431.5</v>
      </c>
      <c r="P42">
        <f t="shared" si="2"/>
        <v>0.44866743916570062</v>
      </c>
      <c r="R42">
        <f t="shared" si="15"/>
        <v>51</v>
      </c>
      <c r="S42">
        <f t="shared" si="10"/>
        <v>189.69999999999982</v>
      </c>
      <c r="T42">
        <f t="shared" si="11"/>
        <v>440</v>
      </c>
      <c r="U42">
        <f t="shared" si="3"/>
        <v>0.43113636363636321</v>
      </c>
    </row>
    <row r="43" spans="3:25" x14ac:dyDescent="0.25">
      <c r="C43">
        <f t="shared" si="12"/>
        <v>52</v>
      </c>
      <c r="D43">
        <f t="shared" si="4"/>
        <v>201.09999999999982</v>
      </c>
      <c r="E43">
        <f t="shared" si="5"/>
        <v>416</v>
      </c>
      <c r="F43">
        <f t="shared" si="0"/>
        <v>0.4834134615384611</v>
      </c>
      <c r="H43">
        <f t="shared" si="13"/>
        <v>52</v>
      </c>
      <c r="I43">
        <f t="shared" si="6"/>
        <v>196.24999999999983</v>
      </c>
      <c r="J43">
        <f t="shared" si="7"/>
        <v>423</v>
      </c>
      <c r="K43">
        <f t="shared" si="1"/>
        <v>0.46394799054373481</v>
      </c>
      <c r="M43">
        <f t="shared" si="14"/>
        <v>52</v>
      </c>
      <c r="N43">
        <f t="shared" si="8"/>
        <v>194.44999999999982</v>
      </c>
      <c r="O43">
        <f t="shared" si="9"/>
        <v>440</v>
      </c>
      <c r="P43">
        <f t="shared" si="2"/>
        <v>0.44193181818181776</v>
      </c>
      <c r="R43">
        <f t="shared" si="15"/>
        <v>52</v>
      </c>
      <c r="S43">
        <f t="shared" si="10"/>
        <v>190.54999999999981</v>
      </c>
      <c r="T43">
        <f t="shared" si="11"/>
        <v>448.5</v>
      </c>
      <c r="U43">
        <f t="shared" si="3"/>
        <v>0.42486064659977663</v>
      </c>
    </row>
    <row r="44" spans="3:25" x14ac:dyDescent="0.25">
      <c r="C44">
        <f t="shared" si="12"/>
        <v>53</v>
      </c>
      <c r="D44">
        <f t="shared" si="4"/>
        <v>201.94999999999982</v>
      </c>
      <c r="E44">
        <f t="shared" si="5"/>
        <v>424.5</v>
      </c>
      <c r="F44">
        <f t="shared" si="0"/>
        <v>0.4757361601884566</v>
      </c>
      <c r="H44">
        <f t="shared" si="13"/>
        <v>53</v>
      </c>
      <c r="I44">
        <f t="shared" si="6"/>
        <v>197.09999999999982</v>
      </c>
      <c r="J44">
        <f t="shared" si="7"/>
        <v>431.5</v>
      </c>
      <c r="K44">
        <f t="shared" si="1"/>
        <v>0.45677867902665081</v>
      </c>
      <c r="M44">
        <f t="shared" si="14"/>
        <v>53</v>
      </c>
      <c r="N44">
        <f t="shared" si="8"/>
        <v>195.29999999999981</v>
      </c>
      <c r="O44">
        <f t="shared" si="9"/>
        <v>448.5</v>
      </c>
      <c r="P44">
        <f t="shared" si="2"/>
        <v>0.43545150501672197</v>
      </c>
      <c r="R44">
        <f t="shared" si="15"/>
        <v>53</v>
      </c>
      <c r="S44">
        <f t="shared" si="10"/>
        <v>191.39999999999981</v>
      </c>
      <c r="T44">
        <f t="shared" si="11"/>
        <v>457</v>
      </c>
      <c r="U44">
        <f t="shared" si="3"/>
        <v>0.41881838074398209</v>
      </c>
    </row>
    <row r="45" spans="3:25" x14ac:dyDescent="0.25">
      <c r="C45">
        <f t="shared" si="12"/>
        <v>54</v>
      </c>
      <c r="D45">
        <f t="shared" si="4"/>
        <v>202.79999999999981</v>
      </c>
      <c r="E45">
        <f t="shared" si="5"/>
        <v>433</v>
      </c>
      <c r="F45">
        <f t="shared" si="0"/>
        <v>0.46836027713625822</v>
      </c>
      <c r="H45">
        <f t="shared" si="13"/>
        <v>54</v>
      </c>
      <c r="I45">
        <f t="shared" si="6"/>
        <v>197.94999999999982</v>
      </c>
      <c r="J45">
        <f t="shared" si="7"/>
        <v>440</v>
      </c>
      <c r="K45">
        <f t="shared" si="1"/>
        <v>0.4498863636363632</v>
      </c>
      <c r="M45">
        <f t="shared" si="14"/>
        <v>54</v>
      </c>
      <c r="N45">
        <f t="shared" si="8"/>
        <v>196.14999999999981</v>
      </c>
      <c r="O45">
        <f t="shared" si="9"/>
        <v>457</v>
      </c>
      <c r="P45">
        <f t="shared" si="2"/>
        <v>0.42921225382932127</v>
      </c>
      <c r="R45">
        <f t="shared" si="15"/>
        <v>54</v>
      </c>
      <c r="S45">
        <f t="shared" si="10"/>
        <v>192.2499999999998</v>
      </c>
      <c r="T45">
        <f t="shared" si="11"/>
        <v>465.5</v>
      </c>
      <c r="U45">
        <f t="shared" si="3"/>
        <v>0.41299677765843135</v>
      </c>
    </row>
    <row r="46" spans="3:25" x14ac:dyDescent="0.25">
      <c r="C46">
        <f t="shared" si="12"/>
        <v>55</v>
      </c>
      <c r="D46">
        <f t="shared" si="4"/>
        <v>203.64999999999981</v>
      </c>
      <c r="E46">
        <f t="shared" si="5"/>
        <v>441.5</v>
      </c>
      <c r="F46">
        <f t="shared" si="0"/>
        <v>0.46126840317100748</v>
      </c>
      <c r="H46">
        <f t="shared" si="13"/>
        <v>55</v>
      </c>
      <c r="I46">
        <f t="shared" si="6"/>
        <v>198.79999999999981</v>
      </c>
      <c r="J46">
        <f t="shared" si="7"/>
        <v>448.5</v>
      </c>
      <c r="K46">
        <f t="shared" si="1"/>
        <v>0.44325529542920805</v>
      </c>
      <c r="M46">
        <f t="shared" si="14"/>
        <v>55</v>
      </c>
      <c r="N46">
        <f t="shared" si="8"/>
        <v>196.9999999999998</v>
      </c>
      <c r="O46">
        <f t="shared" si="9"/>
        <v>465.5</v>
      </c>
      <c r="P46">
        <f t="shared" si="2"/>
        <v>0.42320085929108442</v>
      </c>
      <c r="R46">
        <f t="shared" si="15"/>
        <v>55</v>
      </c>
      <c r="S46">
        <f t="shared" si="10"/>
        <v>193.0999999999998</v>
      </c>
      <c r="T46">
        <f t="shared" si="11"/>
        <v>474</v>
      </c>
      <c r="U46">
        <f t="shared" si="3"/>
        <v>0.40738396624472528</v>
      </c>
    </row>
    <row r="47" spans="3:25" x14ac:dyDescent="0.25">
      <c r="C47">
        <f t="shared" si="12"/>
        <v>56</v>
      </c>
      <c r="D47">
        <f t="shared" si="4"/>
        <v>204.4999999999998</v>
      </c>
      <c r="E47">
        <f t="shared" si="5"/>
        <v>450</v>
      </c>
      <c r="F47">
        <f t="shared" si="0"/>
        <v>0.45444444444444398</v>
      </c>
      <c r="H47">
        <f t="shared" si="13"/>
        <v>56</v>
      </c>
      <c r="I47">
        <f t="shared" si="6"/>
        <v>199.64999999999981</v>
      </c>
      <c r="J47">
        <f t="shared" si="7"/>
        <v>457</v>
      </c>
      <c r="K47">
        <f t="shared" si="1"/>
        <v>0.43687089715536065</v>
      </c>
      <c r="M47">
        <f t="shared" si="14"/>
        <v>56</v>
      </c>
      <c r="N47">
        <f t="shared" si="8"/>
        <v>197.8499999999998</v>
      </c>
      <c r="O47">
        <f t="shared" si="9"/>
        <v>474</v>
      </c>
      <c r="P47">
        <f t="shared" si="2"/>
        <v>0.4174050632911388</v>
      </c>
      <c r="R47">
        <f t="shared" si="15"/>
        <v>56</v>
      </c>
      <c r="S47">
        <f t="shared" si="10"/>
        <v>193.94999999999979</v>
      </c>
      <c r="T47">
        <f t="shared" si="11"/>
        <v>482.5</v>
      </c>
      <c r="U47">
        <f t="shared" si="3"/>
        <v>0.40196891191709799</v>
      </c>
    </row>
    <row r="48" spans="3:25" x14ac:dyDescent="0.25">
      <c r="C48">
        <f t="shared" si="12"/>
        <v>57</v>
      </c>
      <c r="D48">
        <f t="shared" si="4"/>
        <v>205.3499999999998</v>
      </c>
      <c r="E48">
        <f t="shared" si="5"/>
        <v>458.5</v>
      </c>
      <c r="F48">
        <f t="shared" si="0"/>
        <v>0.44787350054525582</v>
      </c>
      <c r="H48">
        <f t="shared" si="13"/>
        <v>57</v>
      </c>
      <c r="I48">
        <f t="shared" si="6"/>
        <v>200.4999999999998</v>
      </c>
      <c r="J48">
        <f t="shared" si="7"/>
        <v>465.5</v>
      </c>
      <c r="K48">
        <f t="shared" si="1"/>
        <v>0.43071965628356562</v>
      </c>
      <c r="M48">
        <f t="shared" si="14"/>
        <v>57</v>
      </c>
      <c r="N48">
        <f t="shared" si="8"/>
        <v>198.69999999999979</v>
      </c>
      <c r="O48">
        <f t="shared" si="9"/>
        <v>482.5</v>
      </c>
      <c r="P48">
        <f t="shared" si="2"/>
        <v>0.41181347150259023</v>
      </c>
      <c r="R48">
        <f t="shared" si="15"/>
        <v>57</v>
      </c>
      <c r="S48">
        <f t="shared" si="10"/>
        <v>194.79999999999978</v>
      </c>
      <c r="T48">
        <f t="shared" si="11"/>
        <v>491</v>
      </c>
      <c r="U48">
        <f t="shared" si="3"/>
        <v>0.39674134419551893</v>
      </c>
      <c r="X48">
        <f>151.3+X39</f>
        <v>197.625</v>
      </c>
    </row>
    <row r="49" spans="3:21" x14ac:dyDescent="0.25">
      <c r="C49">
        <f t="shared" si="12"/>
        <v>58</v>
      </c>
      <c r="D49">
        <f t="shared" si="4"/>
        <v>206.19999999999979</v>
      </c>
      <c r="E49">
        <f t="shared" si="5"/>
        <v>467</v>
      </c>
      <c r="F49">
        <f t="shared" si="0"/>
        <v>0.44154175588865052</v>
      </c>
      <c r="H49">
        <f t="shared" si="13"/>
        <v>58</v>
      </c>
      <c r="I49">
        <f t="shared" si="6"/>
        <v>201.3499999999998</v>
      </c>
      <c r="J49">
        <f t="shared" si="7"/>
        <v>474</v>
      </c>
      <c r="K49">
        <f t="shared" si="1"/>
        <v>0.42478902953586456</v>
      </c>
      <c r="M49">
        <f t="shared" si="14"/>
        <v>58</v>
      </c>
      <c r="N49">
        <f t="shared" si="8"/>
        <v>199.54999999999978</v>
      </c>
      <c r="O49">
        <f t="shared" si="9"/>
        <v>491</v>
      </c>
      <c r="P49">
        <f t="shared" si="2"/>
        <v>0.40641547861507082</v>
      </c>
      <c r="R49">
        <f t="shared" si="15"/>
        <v>58</v>
      </c>
      <c r="S49">
        <f t="shared" si="10"/>
        <v>195.64999999999978</v>
      </c>
      <c r="T49">
        <f t="shared" si="11"/>
        <v>499.5</v>
      </c>
      <c r="U49">
        <f t="shared" si="3"/>
        <v>0.39169169169169127</v>
      </c>
    </row>
    <row r="50" spans="3:21" x14ac:dyDescent="0.25">
      <c r="C50">
        <f t="shared" si="12"/>
        <v>59</v>
      </c>
      <c r="D50">
        <f t="shared" si="4"/>
        <v>207.04999999999978</v>
      </c>
      <c r="E50">
        <f t="shared" si="5"/>
        <v>475.5</v>
      </c>
      <c r="F50">
        <f t="shared" si="0"/>
        <v>0.4354363827549943</v>
      </c>
      <c r="H50">
        <f t="shared" si="13"/>
        <v>59</v>
      </c>
      <c r="I50">
        <f t="shared" si="6"/>
        <v>202.19999999999979</v>
      </c>
      <c r="J50">
        <f t="shared" si="7"/>
        <v>482.5</v>
      </c>
      <c r="K50">
        <f t="shared" si="1"/>
        <v>0.41906735751295293</v>
      </c>
      <c r="M50">
        <f t="shared" si="14"/>
        <v>59</v>
      </c>
      <c r="N50">
        <f t="shared" si="8"/>
        <v>200.39999999999978</v>
      </c>
      <c r="O50">
        <f t="shared" si="9"/>
        <v>499.5</v>
      </c>
      <c r="P50">
        <f t="shared" si="2"/>
        <v>0.40120120120120073</v>
      </c>
      <c r="R50">
        <f t="shared" si="15"/>
        <v>59</v>
      </c>
      <c r="S50">
        <f t="shared" si="10"/>
        <v>196.49999999999977</v>
      </c>
      <c r="T50">
        <f t="shared" si="11"/>
        <v>508</v>
      </c>
      <c r="U50">
        <f t="shared" si="3"/>
        <v>0.38681102362204678</v>
      </c>
    </row>
    <row r="51" spans="3:21" x14ac:dyDescent="0.25">
      <c r="D51">
        <f>D50</f>
        <v>207.04999999999978</v>
      </c>
      <c r="E51">
        <f>E50+E6</f>
        <v>485</v>
      </c>
      <c r="F51">
        <f t="shared" si="0"/>
        <v>0.42690721649484492</v>
      </c>
    </row>
    <row r="52" spans="3:21" x14ac:dyDescent="0.25">
      <c r="D52">
        <f>D51</f>
        <v>207.04999999999978</v>
      </c>
      <c r="E52">
        <f>E51+$E$6</f>
        <v>494.5</v>
      </c>
      <c r="F52">
        <f>D52/E52</f>
        <v>0.41870576339737064</v>
      </c>
    </row>
    <row r="53" spans="3:21" x14ac:dyDescent="0.25">
      <c r="D53">
        <f>D52</f>
        <v>207.04999999999978</v>
      </c>
      <c r="E53">
        <f>E52+$E$6</f>
        <v>504</v>
      </c>
      <c r="F53">
        <f>D53/E53</f>
        <v>0.41081349206349166</v>
      </c>
    </row>
    <row r="54" spans="3:21" x14ac:dyDescent="0.25">
      <c r="D54">
        <f>D53</f>
        <v>207.04999999999978</v>
      </c>
      <c r="E54">
        <f>E53+$E$6</f>
        <v>513.5</v>
      </c>
      <c r="F54">
        <f>D54/E54</f>
        <v>0.40321324245374834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2"/>
  <sheetViews>
    <sheetView topLeftCell="B13" workbookViewId="0">
      <selection activeCell="V25" sqref="V25"/>
    </sheetView>
  </sheetViews>
  <sheetFormatPr defaultRowHeight="15" x14ac:dyDescent="0.25"/>
  <cols>
    <col min="3" max="3" width="12.5703125" customWidth="1"/>
    <col min="8" max="8" width="12.85546875" customWidth="1"/>
    <col min="13" max="13" width="13" customWidth="1"/>
  </cols>
  <sheetData>
    <row r="4" spans="1:25" x14ac:dyDescent="0.25">
      <c r="C4" t="s">
        <v>251</v>
      </c>
      <c r="E4">
        <v>5</v>
      </c>
      <c r="F4">
        <v>5000</v>
      </c>
    </row>
    <row r="5" spans="1:25" x14ac:dyDescent="0.25">
      <c r="C5" t="s">
        <v>252</v>
      </c>
      <c r="E5" t="s">
        <v>253</v>
      </c>
      <c r="F5">
        <f>160*5/2+F4</f>
        <v>5400</v>
      </c>
    </row>
    <row r="7" spans="1:25" x14ac:dyDescent="0.25">
      <c r="A7" t="s">
        <v>270</v>
      </c>
    </row>
    <row r="8" spans="1:25" x14ac:dyDescent="0.25">
      <c r="A8" t="s">
        <v>254</v>
      </c>
      <c r="C8" t="s">
        <v>255</v>
      </c>
      <c r="D8">
        <f>9700+F5</f>
        <v>15100</v>
      </c>
      <c r="F8" t="s">
        <v>254</v>
      </c>
      <c r="H8" t="s">
        <v>256</v>
      </c>
      <c r="I8">
        <f>9700*1.5+F5</f>
        <v>19950</v>
      </c>
      <c r="K8" t="s">
        <v>254</v>
      </c>
      <c r="M8" t="s">
        <v>257</v>
      </c>
      <c r="N8">
        <f>9700*2+F5</f>
        <v>24800</v>
      </c>
      <c r="P8" t="s">
        <v>254</v>
      </c>
      <c r="R8" t="s">
        <v>283</v>
      </c>
      <c r="S8">
        <f>(9700*3+10000)/2+F5</f>
        <v>24950</v>
      </c>
      <c r="Y8">
        <f>3900*5+6000</f>
        <v>25500</v>
      </c>
    </row>
    <row r="9" spans="1:25" x14ac:dyDescent="0.25">
      <c r="A9" t="s">
        <v>258</v>
      </c>
      <c r="C9" t="s">
        <v>259</v>
      </c>
      <c r="D9">
        <f>10000/6+D8</f>
        <v>16766.666666666668</v>
      </c>
      <c r="F9" t="s">
        <v>258</v>
      </c>
      <c r="H9" t="s">
        <v>259</v>
      </c>
      <c r="I9">
        <f>9300/6+I8</f>
        <v>21500</v>
      </c>
      <c r="K9" t="s">
        <v>258</v>
      </c>
      <c r="M9" t="s">
        <v>260</v>
      </c>
      <c r="N9">
        <f>6900/6+N8</f>
        <v>25950</v>
      </c>
      <c r="P9" t="s">
        <v>258</v>
      </c>
      <c r="R9" t="s">
        <v>260</v>
      </c>
      <c r="S9">
        <f>6900/6+S8</f>
        <v>26100</v>
      </c>
      <c r="Y9">
        <f>Y8/2</f>
        <v>12750</v>
      </c>
    </row>
    <row r="10" spans="1:25" x14ac:dyDescent="0.25">
      <c r="A10" t="s">
        <v>261</v>
      </c>
      <c r="C10" t="s">
        <v>262</v>
      </c>
      <c r="D10">
        <f>10000/6+D9</f>
        <v>18433.333333333336</v>
      </c>
      <c r="F10" t="s">
        <v>261</v>
      </c>
      <c r="H10" t="s">
        <v>262</v>
      </c>
      <c r="I10">
        <f>9300/6+I9</f>
        <v>23050</v>
      </c>
      <c r="K10" t="s">
        <v>261</v>
      </c>
      <c r="M10" t="s">
        <v>262</v>
      </c>
      <c r="N10">
        <f>7500/6+N9</f>
        <v>27200</v>
      </c>
      <c r="P10" t="s">
        <v>261</v>
      </c>
      <c r="R10" t="s">
        <v>262</v>
      </c>
      <c r="S10">
        <f>6900/6+S9</f>
        <v>27250</v>
      </c>
      <c r="Y10">
        <f>Y9+27000</f>
        <v>39750</v>
      </c>
    </row>
    <row r="13" spans="1:25" x14ac:dyDescent="0.25">
      <c r="A13" t="s">
        <v>263</v>
      </c>
      <c r="C13" t="s">
        <v>264</v>
      </c>
      <c r="D13">
        <f>10000/2+D10</f>
        <v>23433.333333333336</v>
      </c>
      <c r="F13" t="s">
        <v>263</v>
      </c>
      <c r="H13" t="s">
        <v>264</v>
      </c>
      <c r="I13">
        <f>5000+I10</f>
        <v>28050</v>
      </c>
      <c r="K13" t="s">
        <v>263</v>
      </c>
      <c r="M13" t="s">
        <v>264</v>
      </c>
      <c r="N13">
        <f>9300/2+N10</f>
        <v>31850</v>
      </c>
      <c r="P13" t="s">
        <v>263</v>
      </c>
      <c r="R13" t="s">
        <v>264</v>
      </c>
      <c r="S13">
        <f>9300/2+S10</f>
        <v>31900</v>
      </c>
    </row>
    <row r="14" spans="1:25" x14ac:dyDescent="0.25">
      <c r="A14" t="s">
        <v>265</v>
      </c>
      <c r="C14" t="s">
        <v>266</v>
      </c>
      <c r="D14">
        <f>(7500*5+8500)/2+D13</f>
        <v>46433.333333333336</v>
      </c>
      <c r="F14" t="s">
        <v>265</v>
      </c>
      <c r="H14" t="s">
        <v>266</v>
      </c>
      <c r="I14">
        <f>(2600*5+5100)/2+I13</f>
        <v>37100</v>
      </c>
      <c r="K14" t="s">
        <v>265</v>
      </c>
      <c r="M14" t="s">
        <v>266</v>
      </c>
      <c r="N14">
        <f>(200*5+900)/2+N13</f>
        <v>32800</v>
      </c>
      <c r="P14" t="s">
        <v>265</v>
      </c>
      <c r="R14" t="s">
        <v>266</v>
      </c>
      <c r="S14">
        <f>(200*5+900)/2+S13</f>
        <v>32850</v>
      </c>
    </row>
    <row r="17" spans="1:23" x14ac:dyDescent="0.25">
      <c r="A17" t="s">
        <v>263</v>
      </c>
      <c r="C17" t="s">
        <v>267</v>
      </c>
      <c r="D17">
        <f>10000/3+D10</f>
        <v>21766.666666666668</v>
      </c>
      <c r="F17" t="s">
        <v>263</v>
      </c>
      <c r="H17" t="s">
        <v>267</v>
      </c>
      <c r="I17">
        <f>10000/3+I10</f>
        <v>26383.333333333332</v>
      </c>
      <c r="K17" t="s">
        <v>263</v>
      </c>
      <c r="M17" t="s">
        <v>267</v>
      </c>
      <c r="N17">
        <f>9300/3+N10</f>
        <v>30300</v>
      </c>
      <c r="P17" t="s">
        <v>263</v>
      </c>
      <c r="R17" t="s">
        <v>267</v>
      </c>
      <c r="S17">
        <f>9300/3+S10</f>
        <v>30350</v>
      </c>
    </row>
    <row r="18" spans="1:23" x14ac:dyDescent="0.25">
      <c r="A18" t="s">
        <v>265</v>
      </c>
      <c r="C18" t="s">
        <v>268</v>
      </c>
      <c r="D18">
        <f>(8500*5+9300)/3+D17</f>
        <v>39033.333333333336</v>
      </c>
      <c r="F18" t="s">
        <v>265</v>
      </c>
      <c r="H18" t="s">
        <v>268</v>
      </c>
      <c r="I18">
        <f>(5100*5+6900)/3+I17</f>
        <v>37183.333333333328</v>
      </c>
      <c r="K18" t="s">
        <v>265</v>
      </c>
      <c r="M18" t="s">
        <v>268</v>
      </c>
      <c r="N18">
        <f>(900*5+2600)/3+N17</f>
        <v>32666.666666666668</v>
      </c>
      <c r="P18" t="s">
        <v>265</v>
      </c>
      <c r="R18" t="s">
        <v>268</v>
      </c>
      <c r="S18">
        <f>(900*5+2600)/3+S17</f>
        <v>32716.666666666668</v>
      </c>
    </row>
    <row r="21" spans="1:23" x14ac:dyDescent="0.25">
      <c r="A21" t="s">
        <v>269</v>
      </c>
    </row>
    <row r="22" spans="1:23" x14ac:dyDescent="0.25">
      <c r="A22" t="s">
        <v>254</v>
      </c>
      <c r="C22" t="s">
        <v>255</v>
      </c>
      <c r="D22">
        <f>9700+F5</f>
        <v>15100</v>
      </c>
      <c r="F22" t="s">
        <v>254</v>
      </c>
      <c r="H22" t="s">
        <v>256</v>
      </c>
      <c r="I22">
        <f>9700*1.5+F5</f>
        <v>19950</v>
      </c>
      <c r="K22" t="s">
        <v>254</v>
      </c>
      <c r="M22" t="s">
        <v>257</v>
      </c>
      <c r="N22">
        <f>9700*2+F5</f>
        <v>24800</v>
      </c>
      <c r="P22" t="s">
        <v>254</v>
      </c>
      <c r="R22" t="s">
        <v>257</v>
      </c>
      <c r="S22">
        <f>(9700*3+10000)/2+F5</f>
        <v>24950</v>
      </c>
    </row>
    <row r="23" spans="1:23" x14ac:dyDescent="0.25">
      <c r="A23" t="s">
        <v>271</v>
      </c>
      <c r="C23" t="s">
        <v>272</v>
      </c>
      <c r="D23">
        <f>10000*3+D22</f>
        <v>45100</v>
      </c>
      <c r="F23" t="s">
        <v>271</v>
      </c>
      <c r="H23" t="s">
        <v>272</v>
      </c>
      <c r="I23">
        <f>9700*3+I22</f>
        <v>49050</v>
      </c>
      <c r="K23" t="s">
        <v>271</v>
      </c>
      <c r="M23" t="s">
        <v>272</v>
      </c>
      <c r="N23">
        <f>7500*3+N22</f>
        <v>47300</v>
      </c>
      <c r="P23" t="s">
        <v>271</v>
      </c>
      <c r="R23" t="s">
        <v>272</v>
      </c>
      <c r="S23">
        <f>7500*3+S22</f>
        <v>47450</v>
      </c>
    </row>
    <row r="24" spans="1:23" x14ac:dyDescent="0.25">
      <c r="A24" t="s">
        <v>271</v>
      </c>
      <c r="C24" t="s">
        <v>273</v>
      </c>
      <c r="D24">
        <f>(10000*6)/5+D22</f>
        <v>27100</v>
      </c>
      <c r="F24" t="s">
        <v>271</v>
      </c>
      <c r="H24" t="s">
        <v>273</v>
      </c>
      <c r="I24">
        <f>(9700*6)/5+I22</f>
        <v>31590</v>
      </c>
      <c r="K24" t="s">
        <v>271</v>
      </c>
      <c r="M24" t="s">
        <v>273</v>
      </c>
      <c r="N24">
        <f>(7500*6)/5+N22</f>
        <v>33800</v>
      </c>
      <c r="P24" t="s">
        <v>271</v>
      </c>
      <c r="R24" t="s">
        <v>273</v>
      </c>
      <c r="S24">
        <f>(7500*6)/5+S22</f>
        <v>33950</v>
      </c>
    </row>
    <row r="27" spans="1:23" x14ac:dyDescent="0.25">
      <c r="A27" t="s">
        <v>274</v>
      </c>
    </row>
    <row r="28" spans="1:23" x14ac:dyDescent="0.25">
      <c r="A28" t="s">
        <v>258</v>
      </c>
      <c r="C28" t="s">
        <v>259</v>
      </c>
      <c r="D28">
        <f>10000/6+F5</f>
        <v>7066.666666666667</v>
      </c>
    </row>
    <row r="29" spans="1:23" x14ac:dyDescent="0.25">
      <c r="A29" t="s">
        <v>261</v>
      </c>
      <c r="C29" t="s">
        <v>262</v>
      </c>
      <c r="D29">
        <f>10000/6+D28</f>
        <v>8733.3333333333339</v>
      </c>
      <c r="M29" t="s">
        <v>275</v>
      </c>
    </row>
    <row r="30" spans="1:23" x14ac:dyDescent="0.25">
      <c r="M30" t="s">
        <v>276</v>
      </c>
      <c r="W30">
        <f>8000*6+9000</f>
        <v>57000</v>
      </c>
    </row>
    <row r="31" spans="1:23" x14ac:dyDescent="0.25">
      <c r="M31" t="s">
        <v>278</v>
      </c>
      <c r="W31">
        <f>7500*6+10000</f>
        <v>55000</v>
      </c>
    </row>
    <row r="32" spans="1:23" x14ac:dyDescent="0.25">
      <c r="A32" t="s">
        <v>263</v>
      </c>
      <c r="C32" t="s">
        <v>264</v>
      </c>
      <c r="D32">
        <f>10000/2+D29</f>
        <v>13733.333333333334</v>
      </c>
      <c r="M32" t="s">
        <v>279</v>
      </c>
    </row>
    <row r="33" spans="1:16" x14ac:dyDescent="0.25">
      <c r="A33" t="s">
        <v>265</v>
      </c>
      <c r="C33" t="s">
        <v>266</v>
      </c>
      <c r="D33">
        <f>(10000*6)/2+D32</f>
        <v>43733.333333333336</v>
      </c>
    </row>
    <row r="34" spans="1:16" x14ac:dyDescent="0.25">
      <c r="M34" t="s">
        <v>277</v>
      </c>
    </row>
    <row r="35" spans="1:16" x14ac:dyDescent="0.25">
      <c r="F35" t="s">
        <v>383</v>
      </c>
      <c r="M35" t="s">
        <v>280</v>
      </c>
    </row>
    <row r="36" spans="1:16" x14ac:dyDescent="0.25">
      <c r="A36" t="s">
        <v>263</v>
      </c>
      <c r="C36" t="s">
        <v>267</v>
      </c>
      <c r="D36">
        <f>10000/3+D29</f>
        <v>12066.666666666668</v>
      </c>
    </row>
    <row r="37" spans="1:16" x14ac:dyDescent="0.25">
      <c r="A37" t="s">
        <v>265</v>
      </c>
      <c r="C37" t="s">
        <v>268</v>
      </c>
      <c r="D37">
        <f>(10000*6)/3+D36</f>
        <v>32066.666666666668</v>
      </c>
    </row>
    <row r="38" spans="1:16" x14ac:dyDescent="0.25">
      <c r="M38" t="s">
        <v>281</v>
      </c>
    </row>
    <row r="39" spans="1:16" x14ac:dyDescent="0.25">
      <c r="M39" t="s">
        <v>280</v>
      </c>
    </row>
    <row r="40" spans="1:16" x14ac:dyDescent="0.25">
      <c r="A40" t="s">
        <v>285</v>
      </c>
      <c r="M40" t="s">
        <v>282</v>
      </c>
    </row>
    <row r="41" spans="1:16" x14ac:dyDescent="0.25">
      <c r="A41" t="s">
        <v>286</v>
      </c>
      <c r="C41" t="s">
        <v>273</v>
      </c>
      <c r="D41">
        <f>(10000*6)/5+F5</f>
        <v>17400</v>
      </c>
    </row>
    <row r="42" spans="1:16" x14ac:dyDescent="0.25">
      <c r="A42" t="s">
        <v>258</v>
      </c>
      <c r="C42" t="s">
        <v>259</v>
      </c>
      <c r="D42">
        <f>10000/6+D41</f>
        <v>19066.666666666668</v>
      </c>
      <c r="M42" t="s">
        <v>274</v>
      </c>
    </row>
    <row r="43" spans="1:16" x14ac:dyDescent="0.25">
      <c r="A43" t="s">
        <v>261</v>
      </c>
      <c r="C43" t="s">
        <v>262</v>
      </c>
      <c r="D43">
        <f>10000/6+D42</f>
        <v>20733.333333333336</v>
      </c>
      <c r="M43" t="s">
        <v>284</v>
      </c>
    </row>
    <row r="44" spans="1:16" x14ac:dyDescent="0.25">
      <c r="M44" t="s">
        <v>287</v>
      </c>
    </row>
    <row r="46" spans="1:16" x14ac:dyDescent="0.25">
      <c r="A46" t="s">
        <v>263</v>
      </c>
      <c r="C46" t="s">
        <v>264</v>
      </c>
      <c r="D46">
        <f>10000/2+D43</f>
        <v>25733.333333333336</v>
      </c>
    </row>
    <row r="47" spans="1:16" x14ac:dyDescent="0.25">
      <c r="A47" t="s">
        <v>265</v>
      </c>
      <c r="C47" t="s">
        <v>266</v>
      </c>
      <c r="D47">
        <f>(6000*5+7500)/2+D46</f>
        <v>44483.333333333336</v>
      </c>
      <c r="F47">
        <f>(6000*5+7500)+D46</f>
        <v>63233.333333333336</v>
      </c>
    </row>
    <row r="48" spans="1:16" x14ac:dyDescent="0.25">
      <c r="M48" t="s">
        <v>288</v>
      </c>
      <c r="P48">
        <v>27000</v>
      </c>
    </row>
    <row r="49" spans="1:18" x14ac:dyDescent="0.25">
      <c r="G49" t="s">
        <v>76</v>
      </c>
      <c r="J49" t="s">
        <v>530</v>
      </c>
      <c r="M49" t="s">
        <v>289</v>
      </c>
      <c r="N49" t="s">
        <v>291</v>
      </c>
      <c r="P49">
        <f>(7500*5)/2+P48</f>
        <v>45750</v>
      </c>
      <c r="R49">
        <f>(7500*5)+P48</f>
        <v>64500</v>
      </c>
    </row>
    <row r="50" spans="1:18" x14ac:dyDescent="0.25">
      <c r="A50" t="s">
        <v>263</v>
      </c>
      <c r="C50" t="s">
        <v>267</v>
      </c>
      <c r="D50">
        <f>10000/3+D43</f>
        <v>24066.666666666668</v>
      </c>
      <c r="G50">
        <f>27000+9300/3</f>
        <v>30100</v>
      </c>
      <c r="H50" t="s">
        <v>529</v>
      </c>
      <c r="M50" t="s">
        <v>289</v>
      </c>
      <c r="N50" t="s">
        <v>290</v>
      </c>
      <c r="P50">
        <f>(7500*5)/3+P48</f>
        <v>39500</v>
      </c>
    </row>
    <row r="51" spans="1:18" x14ac:dyDescent="0.25">
      <c r="A51" t="s">
        <v>265</v>
      </c>
      <c r="C51" t="s">
        <v>268</v>
      </c>
      <c r="D51">
        <f>(6900*5+8000)/3+D50</f>
        <v>38233.333333333336</v>
      </c>
      <c r="G51">
        <f>G50+(300*5+1300)</f>
        <v>32900</v>
      </c>
      <c r="H51">
        <f>27000+(1300*5+2000)</f>
        <v>35500</v>
      </c>
      <c r="J51">
        <f>D46+(2000*5+(7500/3))</f>
        <v>38233.333333333336</v>
      </c>
    </row>
    <row r="52" spans="1:18" x14ac:dyDescent="0.25">
      <c r="M52" t="s">
        <v>292</v>
      </c>
      <c r="N52" t="s">
        <v>293</v>
      </c>
    </row>
    <row r="53" spans="1:18" x14ac:dyDescent="0.25">
      <c r="N53" t="s">
        <v>294</v>
      </c>
    </row>
    <row r="54" spans="1:18" x14ac:dyDescent="0.25">
      <c r="N54" t="s">
        <v>295</v>
      </c>
    </row>
    <row r="55" spans="1:18" x14ac:dyDescent="0.25">
      <c r="N55" t="s">
        <v>296</v>
      </c>
    </row>
    <row r="56" spans="1:18" x14ac:dyDescent="0.25">
      <c r="N56" t="s">
        <v>297</v>
      </c>
    </row>
    <row r="57" spans="1:18" x14ac:dyDescent="0.25">
      <c r="N57" t="s">
        <v>298</v>
      </c>
    </row>
    <row r="58" spans="1:18" x14ac:dyDescent="0.25">
      <c r="B58">
        <v>15100</v>
      </c>
      <c r="C58">
        <v>19950</v>
      </c>
      <c r="D58">
        <v>24800</v>
      </c>
      <c r="E58">
        <v>24950</v>
      </c>
      <c r="N58" t="s">
        <v>299</v>
      </c>
    </row>
    <row r="59" spans="1:18" x14ac:dyDescent="0.25">
      <c r="B59">
        <f>B58+(10000*3)</f>
        <v>45100</v>
      </c>
      <c r="C59">
        <f>C58+(9700*3)</f>
        <v>49050</v>
      </c>
      <c r="D59">
        <f>D58+(7500*3)</f>
        <v>47300</v>
      </c>
      <c r="E59">
        <f>D59+150</f>
        <v>47450</v>
      </c>
      <c r="N59" t="s">
        <v>300</v>
      </c>
    </row>
    <row r="60" spans="1:18" x14ac:dyDescent="0.25">
      <c r="N60" t="s">
        <v>301</v>
      </c>
    </row>
    <row r="61" spans="1:18" x14ac:dyDescent="0.25">
      <c r="K61" t="s">
        <v>303</v>
      </c>
      <c r="N61" t="s">
        <v>302</v>
      </c>
    </row>
    <row r="62" spans="1:18" x14ac:dyDescent="0.25">
      <c r="N62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9"/>
  <sheetViews>
    <sheetView topLeftCell="I78" workbookViewId="0">
      <selection activeCell="U84" sqref="U84:AJ120"/>
    </sheetView>
  </sheetViews>
  <sheetFormatPr defaultRowHeight="15" x14ac:dyDescent="0.25"/>
  <cols>
    <col min="2" max="2" width="11.42578125" customWidth="1"/>
    <col min="3" max="3" width="16.28515625" customWidth="1"/>
    <col min="31" max="31" width="17.5703125" customWidth="1"/>
  </cols>
  <sheetData>
    <row r="2" spans="2:20" x14ac:dyDescent="0.25">
      <c r="C2" t="s">
        <v>310</v>
      </c>
      <c r="D2" t="s">
        <v>311</v>
      </c>
      <c r="E2" t="s">
        <v>312</v>
      </c>
    </row>
    <row r="3" spans="2:20" x14ac:dyDescent="0.25">
      <c r="B3" t="s">
        <v>313</v>
      </c>
      <c r="C3" t="s">
        <v>314</v>
      </c>
      <c r="D3" t="s">
        <v>315</v>
      </c>
      <c r="E3" t="s">
        <v>316</v>
      </c>
    </row>
    <row r="9" spans="2:20" x14ac:dyDescent="0.25">
      <c r="C9" t="s">
        <v>317</v>
      </c>
      <c r="J9" t="s">
        <v>318</v>
      </c>
      <c r="M9" t="s">
        <v>319</v>
      </c>
      <c r="R9" t="s">
        <v>310</v>
      </c>
      <c r="S9" t="s">
        <v>311</v>
      </c>
      <c r="T9" t="s">
        <v>312</v>
      </c>
    </row>
    <row r="10" spans="2:20" x14ac:dyDescent="0.25">
      <c r="B10" t="s">
        <v>320</v>
      </c>
      <c r="C10" t="s">
        <v>321</v>
      </c>
      <c r="G10" t="s">
        <v>206</v>
      </c>
      <c r="H10" t="s">
        <v>207</v>
      </c>
      <c r="I10" t="s">
        <v>322</v>
      </c>
      <c r="J10" t="s">
        <v>323</v>
      </c>
      <c r="K10" t="s">
        <v>324</v>
      </c>
      <c r="L10" t="s">
        <v>322</v>
      </c>
      <c r="M10" t="s">
        <v>323</v>
      </c>
      <c r="N10" t="s">
        <v>324</v>
      </c>
      <c r="Q10" t="s">
        <v>313</v>
      </c>
      <c r="R10" t="s">
        <v>314</v>
      </c>
      <c r="S10" t="s">
        <v>315</v>
      </c>
      <c r="T10" t="s">
        <v>316</v>
      </c>
    </row>
    <row r="11" spans="2:20" x14ac:dyDescent="0.25">
      <c r="B11" t="s">
        <v>316</v>
      </c>
      <c r="C11" t="s">
        <v>324</v>
      </c>
      <c r="G11">
        <v>4000</v>
      </c>
      <c r="H11">
        <v>4209</v>
      </c>
      <c r="I11">
        <v>1000</v>
      </c>
      <c r="J11">
        <v>2400</v>
      </c>
      <c r="K11">
        <v>4000</v>
      </c>
      <c r="L11">
        <f t="shared" ref="L11:L27" si="0">I11*2/3</f>
        <v>666.66666666666663</v>
      </c>
      <c r="M11">
        <f t="shared" ref="M11:N26" si="1">J11*2/3</f>
        <v>1600</v>
      </c>
      <c r="N11">
        <f t="shared" si="1"/>
        <v>2666.6666666666665</v>
      </c>
    </row>
    <row r="12" spans="2:20" x14ac:dyDescent="0.25">
      <c r="B12" t="s">
        <v>325</v>
      </c>
      <c r="C12" t="s">
        <v>326</v>
      </c>
      <c r="G12">
        <v>4210</v>
      </c>
      <c r="H12">
        <v>4432</v>
      </c>
      <c r="I12">
        <v>1000</v>
      </c>
      <c r="J12">
        <v>2400</v>
      </c>
      <c r="K12">
        <v>4000</v>
      </c>
      <c r="L12">
        <f t="shared" si="0"/>
        <v>666.66666666666663</v>
      </c>
      <c r="M12">
        <f t="shared" si="1"/>
        <v>1600</v>
      </c>
      <c r="N12">
        <f t="shared" si="1"/>
        <v>2666.6666666666665</v>
      </c>
    </row>
    <row r="13" spans="2:20" x14ac:dyDescent="0.25">
      <c r="B13" t="s">
        <v>327</v>
      </c>
      <c r="C13" t="s">
        <v>328</v>
      </c>
      <c r="G13">
        <v>4433</v>
      </c>
      <c r="H13">
        <v>4742</v>
      </c>
      <c r="I13">
        <v>1000</v>
      </c>
      <c r="J13">
        <v>2400</v>
      </c>
      <c r="K13">
        <v>4000</v>
      </c>
      <c r="L13">
        <f t="shared" si="0"/>
        <v>666.66666666666663</v>
      </c>
      <c r="M13">
        <f t="shared" si="1"/>
        <v>1600</v>
      </c>
      <c r="N13">
        <f t="shared" si="1"/>
        <v>2666.6666666666665</v>
      </c>
    </row>
    <row r="14" spans="2:20" x14ac:dyDescent="0.25">
      <c r="B14" t="s">
        <v>329</v>
      </c>
      <c r="C14" t="s">
        <v>323</v>
      </c>
      <c r="G14">
        <v>4700</v>
      </c>
      <c r="H14">
        <v>4999</v>
      </c>
      <c r="I14">
        <v>1000</v>
      </c>
      <c r="J14">
        <v>2400</v>
      </c>
      <c r="K14">
        <v>4000</v>
      </c>
      <c r="L14">
        <f t="shared" si="0"/>
        <v>666.66666666666663</v>
      </c>
      <c r="M14">
        <f t="shared" si="1"/>
        <v>1600</v>
      </c>
      <c r="N14">
        <f t="shared" si="1"/>
        <v>2666.6666666666665</v>
      </c>
      <c r="R14" t="s">
        <v>533</v>
      </c>
    </row>
    <row r="15" spans="2:20" x14ac:dyDescent="0.25">
      <c r="G15">
        <v>5000</v>
      </c>
      <c r="H15">
        <v>5159</v>
      </c>
      <c r="I15">
        <v>500</v>
      </c>
      <c r="J15">
        <v>1350</v>
      </c>
      <c r="K15">
        <v>2250</v>
      </c>
      <c r="L15">
        <f t="shared" si="0"/>
        <v>333.33333333333331</v>
      </c>
      <c r="M15">
        <f t="shared" si="1"/>
        <v>900</v>
      </c>
      <c r="N15">
        <f t="shared" si="1"/>
        <v>1500</v>
      </c>
      <c r="Q15">
        <v>13</v>
      </c>
      <c r="R15" t="s">
        <v>532</v>
      </c>
      <c r="S15">
        <v>600</v>
      </c>
    </row>
    <row r="16" spans="2:20" x14ac:dyDescent="0.25">
      <c r="C16" t="s">
        <v>330</v>
      </c>
      <c r="G16">
        <v>5160</v>
      </c>
      <c r="H16">
        <v>5499</v>
      </c>
      <c r="I16">
        <v>500</v>
      </c>
      <c r="J16">
        <v>1350</v>
      </c>
      <c r="K16">
        <v>2250</v>
      </c>
      <c r="L16">
        <f t="shared" si="0"/>
        <v>333.33333333333331</v>
      </c>
      <c r="M16">
        <f t="shared" si="1"/>
        <v>900</v>
      </c>
      <c r="N16">
        <f t="shared" si="1"/>
        <v>1500</v>
      </c>
    </row>
    <row r="17" spans="2:25" x14ac:dyDescent="0.25">
      <c r="B17" t="s">
        <v>320</v>
      </c>
      <c r="C17" t="s">
        <v>321</v>
      </c>
      <c r="G17">
        <v>5500</v>
      </c>
      <c r="H17">
        <v>5599</v>
      </c>
      <c r="I17">
        <v>500</v>
      </c>
      <c r="J17">
        <v>1350</v>
      </c>
      <c r="K17">
        <v>2250</v>
      </c>
      <c r="L17">
        <f t="shared" si="0"/>
        <v>333.33333333333331</v>
      </c>
      <c r="M17">
        <f t="shared" si="1"/>
        <v>900</v>
      </c>
      <c r="N17">
        <f t="shared" si="1"/>
        <v>1500</v>
      </c>
      <c r="Q17" t="s">
        <v>534</v>
      </c>
      <c r="R17">
        <v>2</v>
      </c>
      <c r="S17">
        <v>3</v>
      </c>
      <c r="T17">
        <v>4</v>
      </c>
      <c r="U17">
        <v>5</v>
      </c>
      <c r="V17">
        <v>6</v>
      </c>
    </row>
    <row r="18" spans="2:25" x14ac:dyDescent="0.25">
      <c r="B18" t="s">
        <v>331</v>
      </c>
      <c r="C18" t="s">
        <v>324</v>
      </c>
      <c r="G18">
        <v>5600</v>
      </c>
      <c r="H18">
        <v>5909</v>
      </c>
      <c r="I18">
        <v>500</v>
      </c>
      <c r="J18">
        <v>1350</v>
      </c>
      <c r="K18">
        <v>2250</v>
      </c>
      <c r="L18">
        <f t="shared" si="0"/>
        <v>333.33333333333331</v>
      </c>
      <c r="M18">
        <f t="shared" si="1"/>
        <v>900</v>
      </c>
      <c r="N18">
        <f t="shared" si="1"/>
        <v>1500</v>
      </c>
      <c r="O18">
        <v>4</v>
      </c>
      <c r="P18">
        <v>7500</v>
      </c>
      <c r="Q18">
        <v>4700</v>
      </c>
      <c r="R18">
        <f>$Q18+$P18/R$17</f>
        <v>8450</v>
      </c>
      <c r="S18">
        <f>$Q18+$P18/S$17</f>
        <v>7200</v>
      </c>
      <c r="T18">
        <f>$Q18+$P18/T$17</f>
        <v>6575</v>
      </c>
      <c r="U18">
        <f>$Q18+$P18/U$17</f>
        <v>6200</v>
      </c>
      <c r="V18">
        <f>$Q18+$P18/V$17</f>
        <v>5950</v>
      </c>
    </row>
    <row r="19" spans="2:25" x14ac:dyDescent="0.25">
      <c r="B19" t="s">
        <v>332</v>
      </c>
      <c r="C19" t="s">
        <v>326</v>
      </c>
      <c r="G19">
        <v>5910</v>
      </c>
      <c r="H19">
        <v>5999</v>
      </c>
      <c r="I19">
        <v>500</v>
      </c>
      <c r="J19">
        <v>1350</v>
      </c>
      <c r="K19">
        <v>2250</v>
      </c>
      <c r="L19">
        <f t="shared" si="0"/>
        <v>333.33333333333331</v>
      </c>
      <c r="M19">
        <f t="shared" si="1"/>
        <v>900</v>
      </c>
      <c r="N19">
        <f t="shared" si="1"/>
        <v>1500</v>
      </c>
      <c r="O19">
        <v>5</v>
      </c>
      <c r="P19">
        <v>6900</v>
      </c>
      <c r="Q19">
        <v>5440</v>
      </c>
      <c r="R19">
        <f t="shared" ref="R19:V22" si="2">$Q19+$P19/R$17</f>
        <v>8890</v>
      </c>
      <c r="S19">
        <f t="shared" si="2"/>
        <v>7740</v>
      </c>
      <c r="T19">
        <f t="shared" si="2"/>
        <v>7165</v>
      </c>
      <c r="U19">
        <f t="shared" si="2"/>
        <v>6820</v>
      </c>
      <c r="V19">
        <f t="shared" si="2"/>
        <v>6590</v>
      </c>
      <c r="X19">
        <v>6800</v>
      </c>
      <c r="Y19">
        <v>430</v>
      </c>
    </row>
    <row r="20" spans="2:25" x14ac:dyDescent="0.25">
      <c r="B20" t="s">
        <v>333</v>
      </c>
      <c r="C20" t="s">
        <v>322</v>
      </c>
      <c r="G20">
        <v>6000</v>
      </c>
      <c r="H20">
        <v>6009</v>
      </c>
      <c r="I20">
        <v>400</v>
      </c>
      <c r="J20">
        <v>600</v>
      </c>
      <c r="K20">
        <v>1000</v>
      </c>
      <c r="L20">
        <f t="shared" si="0"/>
        <v>266.66666666666669</v>
      </c>
      <c r="M20">
        <f t="shared" si="1"/>
        <v>400</v>
      </c>
      <c r="N20">
        <f t="shared" si="1"/>
        <v>666.66666666666663</v>
      </c>
      <c r="O20">
        <v>6</v>
      </c>
      <c r="P20">
        <v>6000</v>
      </c>
      <c r="Q20">
        <v>6750</v>
      </c>
      <c r="R20">
        <f t="shared" si="2"/>
        <v>9750</v>
      </c>
      <c r="S20">
        <f t="shared" si="2"/>
        <v>8750</v>
      </c>
      <c r="T20">
        <f t="shared" si="2"/>
        <v>8250</v>
      </c>
      <c r="U20">
        <f t="shared" si="2"/>
        <v>7950</v>
      </c>
      <c r="V20">
        <f t="shared" si="2"/>
        <v>7750</v>
      </c>
    </row>
    <row r="21" spans="2:25" x14ac:dyDescent="0.25">
      <c r="B21" t="s">
        <v>334</v>
      </c>
      <c r="C21" t="s">
        <v>335</v>
      </c>
      <c r="G21">
        <v>6010</v>
      </c>
      <c r="H21">
        <v>6099</v>
      </c>
      <c r="I21">
        <v>400</v>
      </c>
      <c r="J21">
        <v>600</v>
      </c>
      <c r="K21">
        <v>1000</v>
      </c>
      <c r="L21">
        <f t="shared" si="0"/>
        <v>266.66666666666669</v>
      </c>
      <c r="M21">
        <f t="shared" si="1"/>
        <v>400</v>
      </c>
      <c r="N21">
        <f t="shared" si="1"/>
        <v>666.66666666666663</v>
      </c>
      <c r="O21">
        <v>7</v>
      </c>
      <c r="P21">
        <v>5100</v>
      </c>
      <c r="Q21">
        <v>7100</v>
      </c>
      <c r="R21">
        <f t="shared" si="2"/>
        <v>9650</v>
      </c>
      <c r="S21">
        <f t="shared" si="2"/>
        <v>8800</v>
      </c>
      <c r="T21">
        <f t="shared" si="2"/>
        <v>8375</v>
      </c>
      <c r="U21">
        <f t="shared" si="2"/>
        <v>8120</v>
      </c>
      <c r="V21">
        <f t="shared" si="2"/>
        <v>7950</v>
      </c>
    </row>
    <row r="22" spans="2:25" x14ac:dyDescent="0.25">
      <c r="B22" t="s">
        <v>336</v>
      </c>
      <c r="C22" t="s">
        <v>323</v>
      </c>
      <c r="G22">
        <v>6100</v>
      </c>
      <c r="H22">
        <v>6409</v>
      </c>
      <c r="I22">
        <v>400</v>
      </c>
      <c r="J22">
        <v>600</v>
      </c>
      <c r="K22">
        <v>1000</v>
      </c>
      <c r="L22">
        <f t="shared" si="0"/>
        <v>266.66666666666669</v>
      </c>
      <c r="M22">
        <f t="shared" si="1"/>
        <v>400</v>
      </c>
      <c r="N22">
        <f t="shared" si="1"/>
        <v>666.66666666666663</v>
      </c>
      <c r="O22">
        <v>8</v>
      </c>
      <c r="P22">
        <v>3900</v>
      </c>
      <c r="Q22">
        <v>8100</v>
      </c>
      <c r="R22">
        <f t="shared" si="2"/>
        <v>10050</v>
      </c>
      <c r="S22">
        <f t="shared" si="2"/>
        <v>9400</v>
      </c>
      <c r="T22">
        <f t="shared" si="2"/>
        <v>9075</v>
      </c>
      <c r="U22">
        <f t="shared" si="2"/>
        <v>8880</v>
      </c>
      <c r="V22">
        <f t="shared" si="2"/>
        <v>8750</v>
      </c>
    </row>
    <row r="23" spans="2:25" x14ac:dyDescent="0.25">
      <c r="G23">
        <v>6410</v>
      </c>
      <c r="H23">
        <v>6499</v>
      </c>
      <c r="I23">
        <v>400</v>
      </c>
      <c r="J23">
        <v>600</v>
      </c>
      <c r="K23">
        <v>1000</v>
      </c>
      <c r="L23">
        <f t="shared" si="0"/>
        <v>266.66666666666669</v>
      </c>
      <c r="M23">
        <f t="shared" si="1"/>
        <v>400</v>
      </c>
      <c r="N23">
        <f t="shared" si="1"/>
        <v>666.66666666666663</v>
      </c>
    </row>
    <row r="24" spans="2:25" x14ac:dyDescent="0.25">
      <c r="C24" t="s">
        <v>310</v>
      </c>
      <c r="G24">
        <v>6500</v>
      </c>
      <c r="H24">
        <v>6809</v>
      </c>
      <c r="I24">
        <v>400</v>
      </c>
      <c r="J24">
        <v>600</v>
      </c>
      <c r="K24">
        <v>1000</v>
      </c>
      <c r="L24">
        <f t="shared" si="0"/>
        <v>266.66666666666669</v>
      </c>
      <c r="M24">
        <f t="shared" si="1"/>
        <v>400</v>
      </c>
      <c r="N24">
        <f t="shared" si="1"/>
        <v>666.66666666666663</v>
      </c>
      <c r="Q24" t="s">
        <v>534</v>
      </c>
      <c r="R24">
        <v>2</v>
      </c>
      <c r="S24">
        <v>3</v>
      </c>
      <c r="T24">
        <v>4</v>
      </c>
      <c r="U24">
        <v>5</v>
      </c>
      <c r="V24">
        <v>6</v>
      </c>
    </row>
    <row r="25" spans="2:25" x14ac:dyDescent="0.25">
      <c r="B25" t="s">
        <v>320</v>
      </c>
      <c r="C25" t="s">
        <v>321</v>
      </c>
      <c r="G25">
        <v>6810</v>
      </c>
      <c r="H25">
        <v>6999</v>
      </c>
      <c r="I25">
        <v>400</v>
      </c>
      <c r="J25">
        <v>600</v>
      </c>
      <c r="K25">
        <v>1000</v>
      </c>
      <c r="L25">
        <f t="shared" si="0"/>
        <v>266.66666666666669</v>
      </c>
      <c r="M25">
        <f t="shared" si="1"/>
        <v>400</v>
      </c>
      <c r="N25">
        <f t="shared" si="1"/>
        <v>666.66666666666663</v>
      </c>
      <c r="P25">
        <v>5100</v>
      </c>
      <c r="Q25">
        <f>X19+Y19</f>
        <v>7230</v>
      </c>
      <c r="R25">
        <f>$Q25+$P25/R$17</f>
        <v>9780</v>
      </c>
      <c r="S25">
        <f>$Q25+$P25/S$17</f>
        <v>8930</v>
      </c>
      <c r="T25">
        <f>$Q25+$P25/T$17</f>
        <v>8505</v>
      </c>
      <c r="U25">
        <f>$Q25+$P25/U$17</f>
        <v>8250</v>
      </c>
      <c r="V25">
        <f>$Q25+$P25/V$17</f>
        <v>8080</v>
      </c>
    </row>
    <row r="26" spans="2:25" x14ac:dyDescent="0.25">
      <c r="B26" t="s">
        <v>314</v>
      </c>
      <c r="C26" t="s">
        <v>17</v>
      </c>
      <c r="G26">
        <v>7000</v>
      </c>
      <c r="H26">
        <v>7099</v>
      </c>
      <c r="I26">
        <v>300</v>
      </c>
      <c r="J26">
        <v>300</v>
      </c>
      <c r="K26">
        <v>500</v>
      </c>
      <c r="L26">
        <f t="shared" si="0"/>
        <v>200</v>
      </c>
      <c r="M26">
        <f t="shared" si="1"/>
        <v>200</v>
      </c>
      <c r="N26">
        <f t="shared" si="1"/>
        <v>333.33333333333331</v>
      </c>
    </row>
    <row r="27" spans="2:25" x14ac:dyDescent="0.25">
      <c r="B27" s="38" t="s">
        <v>337</v>
      </c>
      <c r="C27" t="s">
        <v>338</v>
      </c>
      <c r="G27">
        <v>7100</v>
      </c>
      <c r="H27">
        <v>7409</v>
      </c>
      <c r="I27">
        <v>300</v>
      </c>
      <c r="J27">
        <v>300</v>
      </c>
      <c r="K27">
        <v>500</v>
      </c>
      <c r="L27">
        <f t="shared" si="0"/>
        <v>200</v>
      </c>
      <c r="M27">
        <f>J27*2/3</f>
        <v>200</v>
      </c>
      <c r="N27">
        <f>K27*2/3</f>
        <v>333.33333333333331</v>
      </c>
    </row>
    <row r="28" spans="2:25" x14ac:dyDescent="0.25">
      <c r="B28" t="s">
        <v>315</v>
      </c>
      <c r="C28" t="s">
        <v>324</v>
      </c>
      <c r="G28">
        <v>7410</v>
      </c>
      <c r="H28">
        <v>7709</v>
      </c>
      <c r="I28">
        <v>300</v>
      </c>
      <c r="J28">
        <v>300</v>
      </c>
      <c r="K28">
        <v>500</v>
      </c>
      <c r="L28">
        <f t="shared" ref="L28:N29" si="3">I28*2/3</f>
        <v>200</v>
      </c>
      <c r="M28">
        <f t="shared" si="3"/>
        <v>200</v>
      </c>
      <c r="N28">
        <f t="shared" si="3"/>
        <v>333.33333333333331</v>
      </c>
    </row>
    <row r="29" spans="2:25" x14ac:dyDescent="0.25">
      <c r="B29" t="s">
        <v>339</v>
      </c>
      <c r="C29" t="s">
        <v>323</v>
      </c>
      <c r="G29">
        <v>7710</v>
      </c>
      <c r="H29">
        <v>7999</v>
      </c>
      <c r="I29">
        <v>300</v>
      </c>
      <c r="J29">
        <v>300</v>
      </c>
      <c r="K29">
        <v>500</v>
      </c>
      <c r="L29">
        <f t="shared" si="3"/>
        <v>200</v>
      </c>
      <c r="M29">
        <f t="shared" si="3"/>
        <v>200</v>
      </c>
      <c r="N29">
        <f t="shared" si="3"/>
        <v>333.33333333333331</v>
      </c>
    </row>
    <row r="30" spans="2:25" x14ac:dyDescent="0.25">
      <c r="B30" t="s">
        <v>340</v>
      </c>
      <c r="C30" t="s">
        <v>326</v>
      </c>
    </row>
    <row r="31" spans="2:25" x14ac:dyDescent="0.25">
      <c r="S31" t="s">
        <v>537</v>
      </c>
      <c r="U31" t="s">
        <v>538</v>
      </c>
    </row>
    <row r="32" spans="2:25" x14ac:dyDescent="0.25">
      <c r="C32" t="s">
        <v>311</v>
      </c>
      <c r="S32" t="s">
        <v>539</v>
      </c>
      <c r="T32" t="s">
        <v>540</v>
      </c>
      <c r="U32">
        <v>4</v>
      </c>
    </row>
    <row r="33" spans="2:36" x14ac:dyDescent="0.25">
      <c r="B33" t="s">
        <v>320</v>
      </c>
      <c r="C33" t="s">
        <v>321</v>
      </c>
      <c r="S33" t="s">
        <v>541</v>
      </c>
      <c r="T33" t="s">
        <v>540</v>
      </c>
      <c r="U33">
        <v>5</v>
      </c>
    </row>
    <row r="34" spans="2:36" x14ac:dyDescent="0.25">
      <c r="B34" t="s">
        <v>341</v>
      </c>
      <c r="C34" t="s">
        <v>342</v>
      </c>
      <c r="Q34" t="s">
        <v>535</v>
      </c>
      <c r="S34" t="s">
        <v>542</v>
      </c>
      <c r="T34" t="s">
        <v>543</v>
      </c>
      <c r="U34">
        <v>3</v>
      </c>
      <c r="V34">
        <v>7</v>
      </c>
    </row>
    <row r="35" spans="2:36" x14ac:dyDescent="0.25">
      <c r="B35" t="s">
        <v>315</v>
      </c>
      <c r="C35" t="s">
        <v>17</v>
      </c>
      <c r="J35" s="39" t="s">
        <v>318</v>
      </c>
      <c r="Q35" t="s">
        <v>536</v>
      </c>
      <c r="S35" t="s">
        <v>539</v>
      </c>
      <c r="T35" t="s">
        <v>543</v>
      </c>
      <c r="U35" t="s">
        <v>544</v>
      </c>
      <c r="V35" t="s">
        <v>547</v>
      </c>
      <c r="AA35" t="s">
        <v>318</v>
      </c>
      <c r="AF35" t="s">
        <v>319</v>
      </c>
    </row>
    <row r="36" spans="2:36" x14ac:dyDescent="0.25">
      <c r="B36" t="s">
        <v>343</v>
      </c>
      <c r="C36" t="s">
        <v>344</v>
      </c>
      <c r="G36" s="39" t="s">
        <v>345</v>
      </c>
      <c r="H36" s="39" t="s">
        <v>208</v>
      </c>
      <c r="I36" s="39" t="s">
        <v>322</v>
      </c>
      <c r="J36" s="39" t="s">
        <v>323</v>
      </c>
      <c r="K36" s="39" t="s">
        <v>324</v>
      </c>
      <c r="L36" s="39" t="s">
        <v>346</v>
      </c>
      <c r="M36" s="39" t="s">
        <v>347</v>
      </c>
      <c r="N36" s="39" t="s">
        <v>348</v>
      </c>
      <c r="S36" t="s">
        <v>545</v>
      </c>
      <c r="T36" t="s">
        <v>543</v>
      </c>
      <c r="U36">
        <v>5</v>
      </c>
      <c r="Y36" t="s">
        <v>208</v>
      </c>
      <c r="Z36" t="s">
        <v>322</v>
      </c>
      <c r="AA36" t="s">
        <v>323</v>
      </c>
      <c r="AB36" t="s">
        <v>324</v>
      </c>
      <c r="AC36" t="s">
        <v>347</v>
      </c>
      <c r="AD36" t="s">
        <v>348</v>
      </c>
      <c r="AE36" t="s">
        <v>322</v>
      </c>
      <c r="AF36" t="s">
        <v>323</v>
      </c>
      <c r="AG36" t="s">
        <v>324</v>
      </c>
      <c r="AH36" t="s">
        <v>349</v>
      </c>
      <c r="AI36" t="s">
        <v>347</v>
      </c>
      <c r="AJ36" t="s">
        <v>348</v>
      </c>
    </row>
    <row r="37" spans="2:36" x14ac:dyDescent="0.25">
      <c r="B37" t="s">
        <v>350</v>
      </c>
      <c r="C37" t="s">
        <v>342</v>
      </c>
      <c r="G37" s="39">
        <v>440</v>
      </c>
      <c r="H37" s="39">
        <v>4</v>
      </c>
      <c r="I37" s="37">
        <f t="shared" ref="I37:K40" si="4">1000*$H37+$G$37+Z37</f>
        <v>5440</v>
      </c>
      <c r="J37" s="37">
        <f t="shared" si="4"/>
        <v>6840</v>
      </c>
      <c r="K37" s="37">
        <f t="shared" si="4"/>
        <v>8440</v>
      </c>
      <c r="L37" s="37">
        <f>H37*1000+$G$37+(AH37*3/2)</f>
        <v>6990</v>
      </c>
      <c r="M37" s="37">
        <f t="shared" ref="M37:N40" si="5">1000*$H37+$G$37+AC37</f>
        <v>7040</v>
      </c>
      <c r="N37" s="37">
        <f t="shared" si="5"/>
        <v>8340</v>
      </c>
      <c r="S37" t="s">
        <v>541</v>
      </c>
      <c r="T37" t="s">
        <v>543</v>
      </c>
      <c r="U37">
        <v>5</v>
      </c>
      <c r="V37">
        <v>7</v>
      </c>
      <c r="Y37">
        <v>4</v>
      </c>
      <c r="Z37">
        <v>1000</v>
      </c>
      <c r="AA37">
        <v>2400</v>
      </c>
      <c r="AB37">
        <v>4000</v>
      </c>
      <c r="AC37">
        <v>2600</v>
      </c>
      <c r="AD37">
        <v>3900</v>
      </c>
      <c r="AE37">
        <f t="shared" ref="AE37:AG40" si="6">Z37*2/3</f>
        <v>666.66666666666663</v>
      </c>
      <c r="AF37">
        <f t="shared" si="6"/>
        <v>1600</v>
      </c>
      <c r="AG37">
        <f t="shared" si="6"/>
        <v>2666.6666666666665</v>
      </c>
      <c r="AH37">
        <v>1700</v>
      </c>
      <c r="AI37">
        <f t="shared" ref="AI37:AJ40" si="7">AC37*2/3</f>
        <v>1733.3333333333333</v>
      </c>
      <c r="AJ37">
        <f t="shared" si="7"/>
        <v>2600</v>
      </c>
    </row>
    <row r="38" spans="2:36" x14ac:dyDescent="0.25">
      <c r="H38" s="39">
        <v>5</v>
      </c>
      <c r="I38" s="37">
        <f t="shared" si="4"/>
        <v>5940</v>
      </c>
      <c r="J38" s="37">
        <f t="shared" si="4"/>
        <v>6790</v>
      </c>
      <c r="K38" s="37">
        <f t="shared" si="4"/>
        <v>7690</v>
      </c>
      <c r="L38" s="37">
        <f>H38*1000+$G$37+(AH38*3/2)</f>
        <v>7390</v>
      </c>
      <c r="M38" s="37">
        <f t="shared" si="5"/>
        <v>7040</v>
      </c>
      <c r="N38" s="37">
        <f t="shared" si="5"/>
        <v>7840</v>
      </c>
      <c r="S38" t="s">
        <v>546</v>
      </c>
      <c r="T38" t="s">
        <v>543</v>
      </c>
      <c r="U38">
        <v>5</v>
      </c>
      <c r="Y38">
        <v>5</v>
      </c>
      <c r="Z38">
        <v>500</v>
      </c>
      <c r="AA38">
        <v>1350</v>
      </c>
      <c r="AB38">
        <v>2250</v>
      </c>
      <c r="AC38">
        <v>1600</v>
      </c>
      <c r="AD38">
        <v>2400</v>
      </c>
      <c r="AE38">
        <f t="shared" si="6"/>
        <v>333.33333333333331</v>
      </c>
      <c r="AF38">
        <f t="shared" si="6"/>
        <v>900</v>
      </c>
      <c r="AG38">
        <f t="shared" si="6"/>
        <v>1500</v>
      </c>
      <c r="AH38">
        <v>1300</v>
      </c>
      <c r="AI38">
        <f t="shared" si="7"/>
        <v>1066.6666666666667</v>
      </c>
      <c r="AJ38">
        <f t="shared" si="7"/>
        <v>1600</v>
      </c>
    </row>
    <row r="39" spans="2:36" x14ac:dyDescent="0.25">
      <c r="H39" s="39">
        <v>6</v>
      </c>
      <c r="I39" s="37">
        <f t="shared" si="4"/>
        <v>6840</v>
      </c>
      <c r="J39" s="37">
        <f t="shared" si="4"/>
        <v>7040</v>
      </c>
      <c r="K39" s="37">
        <f t="shared" si="4"/>
        <v>7440</v>
      </c>
      <c r="L39" s="37">
        <f>H39*1000+$G$37+(AH39*3/2)</f>
        <v>7740.5</v>
      </c>
      <c r="M39" s="37">
        <f t="shared" si="5"/>
        <v>7340</v>
      </c>
      <c r="N39" s="37">
        <f t="shared" si="5"/>
        <v>7790</v>
      </c>
      <c r="S39" t="s">
        <v>589</v>
      </c>
      <c r="T39" t="s">
        <v>540</v>
      </c>
      <c r="U39">
        <v>4</v>
      </c>
      <c r="Y39">
        <v>6</v>
      </c>
      <c r="Z39">
        <v>400</v>
      </c>
      <c r="AA39">
        <v>600</v>
      </c>
      <c r="AB39">
        <v>1000</v>
      </c>
      <c r="AC39">
        <v>900</v>
      </c>
      <c r="AD39">
        <v>1350</v>
      </c>
      <c r="AE39">
        <f t="shared" si="6"/>
        <v>266.66666666666669</v>
      </c>
      <c r="AF39">
        <f t="shared" si="6"/>
        <v>400</v>
      </c>
      <c r="AG39">
        <f t="shared" si="6"/>
        <v>666.66666666666663</v>
      </c>
      <c r="AH39">
        <v>867</v>
      </c>
      <c r="AI39">
        <f t="shared" si="7"/>
        <v>600</v>
      </c>
      <c r="AJ39">
        <f t="shared" si="7"/>
        <v>900</v>
      </c>
    </row>
    <row r="40" spans="2:36" x14ac:dyDescent="0.25">
      <c r="H40" s="39">
        <v>7</v>
      </c>
      <c r="I40" s="37">
        <f t="shared" si="4"/>
        <v>7740</v>
      </c>
      <c r="J40" s="37">
        <f t="shared" si="4"/>
        <v>7740</v>
      </c>
      <c r="K40" s="37">
        <f t="shared" si="4"/>
        <v>7940</v>
      </c>
      <c r="L40" s="37">
        <f>H40*1000+$G$37+(AH40*3/2)</f>
        <v>8239.5</v>
      </c>
      <c r="M40" s="37">
        <f t="shared" si="5"/>
        <v>7840</v>
      </c>
      <c r="N40" s="37">
        <f t="shared" si="5"/>
        <v>8040</v>
      </c>
      <c r="Y40">
        <v>7</v>
      </c>
      <c r="Z40">
        <v>300</v>
      </c>
      <c r="AA40">
        <v>300</v>
      </c>
      <c r="AB40">
        <v>500</v>
      </c>
      <c r="AC40">
        <v>400</v>
      </c>
      <c r="AD40">
        <v>600</v>
      </c>
      <c r="AE40">
        <f t="shared" si="6"/>
        <v>200</v>
      </c>
      <c r="AF40">
        <f t="shared" si="6"/>
        <v>200</v>
      </c>
      <c r="AG40">
        <f t="shared" si="6"/>
        <v>333.33333333333331</v>
      </c>
      <c r="AH40">
        <v>533</v>
      </c>
      <c r="AI40">
        <f t="shared" si="7"/>
        <v>266.66666666666669</v>
      </c>
      <c r="AJ40">
        <f t="shared" si="7"/>
        <v>400</v>
      </c>
    </row>
    <row r="42" spans="2:36" x14ac:dyDescent="0.25">
      <c r="J42" s="39" t="s">
        <v>319</v>
      </c>
    </row>
    <row r="43" spans="2:36" x14ac:dyDescent="0.25">
      <c r="I43" s="39" t="s">
        <v>322</v>
      </c>
      <c r="J43" s="39" t="s">
        <v>323</v>
      </c>
      <c r="K43" s="39" t="s">
        <v>324</v>
      </c>
      <c r="L43" s="39" t="s">
        <v>346</v>
      </c>
      <c r="M43" s="39" t="s">
        <v>347</v>
      </c>
      <c r="N43" s="39" t="s">
        <v>348</v>
      </c>
    </row>
    <row r="44" spans="2:36" x14ac:dyDescent="0.25">
      <c r="H44" s="39">
        <v>4</v>
      </c>
      <c r="I44" s="37">
        <f t="shared" ref="I44:N47" si="8">1000*$H37+$G$37+AE37</f>
        <v>5106.666666666667</v>
      </c>
      <c r="J44" s="37">
        <f t="shared" si="8"/>
        <v>6040</v>
      </c>
      <c r="K44" s="37">
        <f t="shared" si="8"/>
        <v>7106.6666666666661</v>
      </c>
      <c r="L44" s="37">
        <f t="shared" si="8"/>
        <v>6140</v>
      </c>
      <c r="M44" s="37">
        <f t="shared" si="8"/>
        <v>6173.333333333333</v>
      </c>
      <c r="N44" s="37">
        <f t="shared" si="8"/>
        <v>7040</v>
      </c>
      <c r="R44" t="s">
        <v>585</v>
      </c>
    </row>
    <row r="45" spans="2:36" x14ac:dyDescent="0.25">
      <c r="H45" s="39">
        <v>5</v>
      </c>
      <c r="I45" s="37">
        <f t="shared" si="8"/>
        <v>5773.333333333333</v>
      </c>
      <c r="J45" s="37">
        <f t="shared" si="8"/>
        <v>6340</v>
      </c>
      <c r="K45" s="37">
        <f t="shared" si="8"/>
        <v>6940</v>
      </c>
      <c r="L45" s="37">
        <f t="shared" si="8"/>
        <v>6740</v>
      </c>
      <c r="M45" s="37">
        <f t="shared" si="8"/>
        <v>6506.666666666667</v>
      </c>
      <c r="N45" s="37">
        <f t="shared" si="8"/>
        <v>7040</v>
      </c>
      <c r="R45" t="s">
        <v>542</v>
      </c>
      <c r="S45" t="s">
        <v>540</v>
      </c>
      <c r="T45">
        <v>4</v>
      </c>
    </row>
    <row r="46" spans="2:36" x14ac:dyDescent="0.25">
      <c r="H46" s="39">
        <v>6</v>
      </c>
      <c r="I46" s="37">
        <f t="shared" si="8"/>
        <v>6706.666666666667</v>
      </c>
      <c r="J46" s="37">
        <f t="shared" si="8"/>
        <v>6840</v>
      </c>
      <c r="K46" s="37">
        <f t="shared" si="8"/>
        <v>7106.666666666667</v>
      </c>
      <c r="L46" s="37">
        <f t="shared" si="8"/>
        <v>7307</v>
      </c>
      <c r="M46" s="37">
        <f t="shared" si="8"/>
        <v>7040</v>
      </c>
      <c r="N46" s="37">
        <f t="shared" si="8"/>
        <v>7340</v>
      </c>
      <c r="R46" t="s">
        <v>586</v>
      </c>
      <c r="S46" t="s">
        <v>540</v>
      </c>
      <c r="T46">
        <v>5</v>
      </c>
    </row>
    <row r="47" spans="2:36" x14ac:dyDescent="0.25">
      <c r="H47" s="39">
        <v>7</v>
      </c>
      <c r="I47" s="37">
        <f t="shared" si="8"/>
        <v>7640</v>
      </c>
      <c r="J47" s="37">
        <f t="shared" si="8"/>
        <v>7640</v>
      </c>
      <c r="K47" s="37">
        <f t="shared" si="8"/>
        <v>7773.333333333333</v>
      </c>
      <c r="L47" s="37">
        <f t="shared" si="8"/>
        <v>7973</v>
      </c>
      <c r="M47" s="37">
        <f t="shared" si="8"/>
        <v>7706.666666666667</v>
      </c>
      <c r="N47" s="37">
        <f t="shared" si="8"/>
        <v>7840</v>
      </c>
      <c r="R47" t="s">
        <v>590</v>
      </c>
      <c r="S47" t="s">
        <v>540</v>
      </c>
      <c r="T47">
        <v>5</v>
      </c>
    </row>
    <row r="48" spans="2:36" x14ac:dyDescent="0.25">
      <c r="R48" t="s">
        <v>591</v>
      </c>
      <c r="S48" t="s">
        <v>540</v>
      </c>
      <c r="T48">
        <v>5</v>
      </c>
    </row>
    <row r="49" spans="3:29" x14ac:dyDescent="0.25">
      <c r="R49" t="s">
        <v>592</v>
      </c>
      <c r="S49" t="s">
        <v>540</v>
      </c>
      <c r="T49">
        <v>5</v>
      </c>
    </row>
    <row r="52" spans="3:29" x14ac:dyDescent="0.25">
      <c r="H52">
        <v>1590</v>
      </c>
    </row>
    <row r="53" spans="3:29" x14ac:dyDescent="0.25">
      <c r="H53">
        <v>970</v>
      </c>
      <c r="S53" t="s">
        <v>548</v>
      </c>
      <c r="Y53">
        <f>150*1.4*2</f>
        <v>420</v>
      </c>
      <c r="Z53">
        <f>60*1.2*2</f>
        <v>144</v>
      </c>
      <c r="AA53">
        <f>SUM(Y53:Z53)</f>
        <v>564</v>
      </c>
      <c r="AC53">
        <v>79</v>
      </c>
    </row>
    <row r="54" spans="3:29" x14ac:dyDescent="0.25">
      <c r="C54">
        <f>(160*3)/4</f>
        <v>120</v>
      </c>
      <c r="H54">
        <f>(300*1.2+20)*2</f>
        <v>760</v>
      </c>
      <c r="S54" t="s">
        <v>549</v>
      </c>
      <c r="Z54">
        <f>60*1.4*2</f>
        <v>168</v>
      </c>
      <c r="AC54">
        <v>144</v>
      </c>
    </row>
    <row r="55" spans="3:29" x14ac:dyDescent="0.25">
      <c r="H55">
        <v>1190</v>
      </c>
      <c r="S55" t="s">
        <v>550</v>
      </c>
      <c r="AC55">
        <v>154</v>
      </c>
    </row>
    <row r="56" spans="3:29" x14ac:dyDescent="0.25">
      <c r="H56">
        <f>SUM(H52:H55)</f>
        <v>4510</v>
      </c>
      <c r="S56" t="s">
        <v>551</v>
      </c>
      <c r="AC56">
        <v>79</v>
      </c>
    </row>
    <row r="57" spans="3:29" x14ac:dyDescent="0.25">
      <c r="AC57">
        <v>144</v>
      </c>
    </row>
    <row r="58" spans="3:29" x14ac:dyDescent="0.25">
      <c r="S58" t="s">
        <v>561</v>
      </c>
      <c r="AC58">
        <v>89</v>
      </c>
    </row>
    <row r="59" spans="3:29" x14ac:dyDescent="0.25">
      <c r="S59" t="s">
        <v>562</v>
      </c>
      <c r="AC59">
        <v>80</v>
      </c>
    </row>
    <row r="60" spans="3:29" x14ac:dyDescent="0.25">
      <c r="S60" t="s">
        <v>564</v>
      </c>
      <c r="AC60">
        <v>57</v>
      </c>
    </row>
    <row r="61" spans="3:29" x14ac:dyDescent="0.25">
      <c r="C61" t="s">
        <v>518</v>
      </c>
      <c r="F61" t="s">
        <v>520</v>
      </c>
      <c r="L61" t="s">
        <v>521</v>
      </c>
      <c r="S61" t="s">
        <v>563</v>
      </c>
      <c r="AC61">
        <f>SUM(AC53:AC60)</f>
        <v>826</v>
      </c>
    </row>
    <row r="62" spans="3:29" x14ac:dyDescent="0.25">
      <c r="C62" t="s">
        <v>519</v>
      </c>
      <c r="F62" t="s">
        <v>258</v>
      </c>
      <c r="G62" s="41">
        <v>1.3888888888888888E-2</v>
      </c>
    </row>
    <row r="63" spans="3:29" x14ac:dyDescent="0.25">
      <c r="F63" t="s">
        <v>261</v>
      </c>
      <c r="G63" s="41">
        <v>1.3888888888888888E-2</v>
      </c>
      <c r="S63" t="s">
        <v>593</v>
      </c>
    </row>
    <row r="64" spans="3:29" x14ac:dyDescent="0.25">
      <c r="F64" t="s">
        <v>263</v>
      </c>
      <c r="G64" s="41">
        <v>1.3888888888888888E-2</v>
      </c>
    </row>
    <row r="65" spans="6:31" x14ac:dyDescent="0.25">
      <c r="F65" t="s">
        <v>250</v>
      </c>
      <c r="G65" s="41">
        <v>4.1666666666666664E-2</v>
      </c>
    </row>
    <row r="66" spans="6:31" x14ac:dyDescent="0.25">
      <c r="F66" t="s">
        <v>496</v>
      </c>
      <c r="G66" s="41">
        <v>2.0833333333333332E-2</v>
      </c>
      <c r="I66" t="s">
        <v>577</v>
      </c>
      <c r="K66" t="s">
        <v>579</v>
      </c>
      <c r="L66" t="s">
        <v>578</v>
      </c>
      <c r="N66" t="s">
        <v>570</v>
      </c>
      <c r="R66" t="s">
        <v>580</v>
      </c>
      <c r="S66" t="s">
        <v>581</v>
      </c>
      <c r="T66" t="s">
        <v>582</v>
      </c>
      <c r="W66" t="s">
        <v>552</v>
      </c>
      <c r="AA66" t="s">
        <v>565</v>
      </c>
      <c r="AB66" t="s">
        <v>566</v>
      </c>
      <c r="AC66" t="s">
        <v>567</v>
      </c>
      <c r="AD66" t="s">
        <v>568</v>
      </c>
      <c r="AE66" t="s">
        <v>569</v>
      </c>
    </row>
    <row r="67" spans="6:31" x14ac:dyDescent="0.25">
      <c r="I67" t="s">
        <v>583</v>
      </c>
      <c r="J67">
        <f>5100/2</f>
        <v>2550</v>
      </c>
      <c r="K67">
        <v>7</v>
      </c>
      <c r="L67">
        <v>10</v>
      </c>
      <c r="N67" t="s">
        <v>574</v>
      </c>
      <c r="P67">
        <f>400*4/2</f>
        <v>800</v>
      </c>
      <c r="R67">
        <v>5</v>
      </c>
      <c r="S67">
        <v>7</v>
      </c>
      <c r="T67">
        <v>4</v>
      </c>
      <c r="V67" t="s">
        <v>361</v>
      </c>
      <c r="W67" t="s">
        <v>553</v>
      </c>
      <c r="Y67">
        <f>600/4</f>
        <v>150</v>
      </c>
      <c r="AA67">
        <v>4</v>
      </c>
      <c r="AB67">
        <v>4</v>
      </c>
      <c r="AC67">
        <v>3</v>
      </c>
      <c r="AD67">
        <v>3</v>
      </c>
      <c r="AE67">
        <v>5</v>
      </c>
    </row>
    <row r="68" spans="6:31" x14ac:dyDescent="0.25">
      <c r="H68" t="s">
        <v>361</v>
      </c>
      <c r="I68" t="s">
        <v>584</v>
      </c>
      <c r="J68">
        <f>5100*3/2</f>
        <v>7650</v>
      </c>
      <c r="K68">
        <v>1600</v>
      </c>
      <c r="L68">
        <v>5100</v>
      </c>
      <c r="N68" t="s">
        <v>560</v>
      </c>
      <c r="P68">
        <f>200*5/2</f>
        <v>500</v>
      </c>
      <c r="R68">
        <v>400</v>
      </c>
      <c r="S68">
        <v>1600</v>
      </c>
      <c r="T68">
        <v>200</v>
      </c>
      <c r="V68" t="s">
        <v>361</v>
      </c>
      <c r="W68" t="s">
        <v>554</v>
      </c>
      <c r="Y68">
        <f>400*5/4</f>
        <v>500</v>
      </c>
      <c r="Z68">
        <v>4</v>
      </c>
      <c r="AA68">
        <v>200</v>
      </c>
      <c r="AB68">
        <v>200</v>
      </c>
      <c r="AC68">
        <v>160</v>
      </c>
      <c r="AD68">
        <v>160</v>
      </c>
      <c r="AE68">
        <v>400</v>
      </c>
    </row>
    <row r="69" spans="6:31" x14ac:dyDescent="0.25">
      <c r="I69" t="s">
        <v>587</v>
      </c>
      <c r="J69">
        <f>K68*3/2</f>
        <v>2400</v>
      </c>
      <c r="N69" t="s">
        <v>571</v>
      </c>
      <c r="P69">
        <f>1600*3/2</f>
        <v>2400</v>
      </c>
      <c r="W69" t="s">
        <v>555</v>
      </c>
      <c r="Y69">
        <f>160*6/4</f>
        <v>240</v>
      </c>
      <c r="Z69">
        <v>3</v>
      </c>
      <c r="AA69">
        <v>400</v>
      </c>
      <c r="AB69">
        <v>400</v>
      </c>
      <c r="AC69">
        <v>200</v>
      </c>
      <c r="AD69">
        <v>200</v>
      </c>
    </row>
    <row r="70" spans="6:31" x14ac:dyDescent="0.25">
      <c r="H70" t="s">
        <v>361</v>
      </c>
      <c r="I70" t="s">
        <v>588</v>
      </c>
      <c r="J70">
        <v>5100</v>
      </c>
      <c r="N70" t="s">
        <v>572</v>
      </c>
      <c r="P70">
        <f>600/2</f>
        <v>300</v>
      </c>
      <c r="W70" t="s">
        <v>556</v>
      </c>
      <c r="Y70">
        <f>3*AE68/4+AD68*3/4</f>
        <v>420</v>
      </c>
    </row>
    <row r="71" spans="6:31" x14ac:dyDescent="0.25">
      <c r="N71" t="s">
        <v>573</v>
      </c>
      <c r="P71">
        <f>400*3/2</f>
        <v>600</v>
      </c>
      <c r="W71" t="s">
        <v>557</v>
      </c>
      <c r="Y71">
        <f>AE68*3/4</f>
        <v>300</v>
      </c>
    </row>
    <row r="72" spans="6:31" x14ac:dyDescent="0.25">
      <c r="J72">
        <v>240</v>
      </c>
      <c r="K72">
        <v>500</v>
      </c>
      <c r="N72" t="s">
        <v>575</v>
      </c>
      <c r="P72">
        <f>1600</f>
        <v>1600</v>
      </c>
      <c r="W72" t="s">
        <v>558</v>
      </c>
      <c r="Y72">
        <f>AB68*6/4</f>
        <v>300</v>
      </c>
    </row>
    <row r="73" spans="6:31" x14ac:dyDescent="0.25">
      <c r="I73">
        <f>2550+4200</f>
        <v>6750</v>
      </c>
      <c r="J73">
        <f>I73+240</f>
        <v>6990</v>
      </c>
      <c r="K73">
        <v>7250</v>
      </c>
      <c r="N73" t="s">
        <v>576</v>
      </c>
      <c r="P73">
        <f>3*200+3*100</f>
        <v>900</v>
      </c>
      <c r="W73" t="s">
        <v>559</v>
      </c>
      <c r="Y73">
        <f>AC68*6/4</f>
        <v>240</v>
      </c>
    </row>
    <row r="74" spans="6:31" x14ac:dyDescent="0.25">
      <c r="I74">
        <f>J69+4200</f>
        <v>6600</v>
      </c>
      <c r="J74">
        <f>I74+240</f>
        <v>6840</v>
      </c>
      <c r="K74">
        <v>7100</v>
      </c>
      <c r="W74" t="s">
        <v>560</v>
      </c>
      <c r="Y74">
        <f>5*AB68/4</f>
        <v>250</v>
      </c>
    </row>
    <row r="76" spans="6:31" x14ac:dyDescent="0.25">
      <c r="N76" t="s">
        <v>574</v>
      </c>
      <c r="P76">
        <f>4200+P67</f>
        <v>5000</v>
      </c>
    </row>
    <row r="77" spans="6:31" x14ac:dyDescent="0.25">
      <c r="N77" t="s">
        <v>560</v>
      </c>
      <c r="P77">
        <f t="shared" ref="P77:P84" si="9">4200+P68</f>
        <v>4700</v>
      </c>
      <c r="Y77">
        <f>4200+Y67</f>
        <v>4350</v>
      </c>
    </row>
    <row r="78" spans="6:31" x14ac:dyDescent="0.25">
      <c r="N78" t="s">
        <v>571</v>
      </c>
      <c r="P78">
        <f t="shared" si="9"/>
        <v>6600</v>
      </c>
      <c r="Y78">
        <f>4200+Y72</f>
        <v>4500</v>
      </c>
    </row>
    <row r="79" spans="6:31" x14ac:dyDescent="0.25">
      <c r="N79" t="s">
        <v>572</v>
      </c>
      <c r="P79">
        <f t="shared" si="9"/>
        <v>4500</v>
      </c>
      <c r="Y79">
        <f>4200+Y68</f>
        <v>4700</v>
      </c>
    </row>
    <row r="80" spans="6:31" x14ac:dyDescent="0.25">
      <c r="N80" t="s">
        <v>573</v>
      </c>
      <c r="P80">
        <f t="shared" si="9"/>
        <v>4800</v>
      </c>
    </row>
    <row r="81" spans="8:35" x14ac:dyDescent="0.25">
      <c r="I81">
        <f>2550+4200</f>
        <v>6750</v>
      </c>
      <c r="N81" t="s">
        <v>575</v>
      </c>
      <c r="P81">
        <f t="shared" si="9"/>
        <v>5800</v>
      </c>
    </row>
    <row r="82" spans="8:35" x14ac:dyDescent="0.25">
      <c r="N82" t="s">
        <v>576</v>
      </c>
      <c r="P82">
        <f t="shared" si="9"/>
        <v>5100</v>
      </c>
    </row>
    <row r="84" spans="8:35" x14ac:dyDescent="0.25">
      <c r="U84" t="s">
        <v>637</v>
      </c>
    </row>
    <row r="85" spans="8:35" x14ac:dyDescent="0.25">
      <c r="H85" t="s">
        <v>594</v>
      </c>
      <c r="I85">
        <v>4463</v>
      </c>
      <c r="AB85" t="s">
        <v>646</v>
      </c>
    </row>
    <row r="86" spans="8:35" x14ac:dyDescent="0.25">
      <c r="U86" t="s">
        <v>624</v>
      </c>
      <c r="X86">
        <v>14</v>
      </c>
      <c r="AB86" t="s">
        <v>647</v>
      </c>
      <c r="AF86" t="s">
        <v>652</v>
      </c>
      <c r="AI86" t="s">
        <v>659</v>
      </c>
    </row>
    <row r="87" spans="8:35" x14ac:dyDescent="0.25">
      <c r="H87" t="s">
        <v>595</v>
      </c>
      <c r="U87" t="s">
        <v>648</v>
      </c>
      <c r="X87">
        <v>11</v>
      </c>
      <c r="AB87">
        <v>11</v>
      </c>
    </row>
    <row r="88" spans="8:35" x14ac:dyDescent="0.25">
      <c r="H88" t="s">
        <v>597</v>
      </c>
      <c r="U88" t="s">
        <v>625</v>
      </c>
      <c r="X88">
        <v>15</v>
      </c>
      <c r="AB88">
        <v>10</v>
      </c>
      <c r="AE88" t="s">
        <v>654</v>
      </c>
      <c r="AF88">
        <v>13</v>
      </c>
      <c r="AH88" t="s">
        <v>663</v>
      </c>
      <c r="AI88">
        <v>13</v>
      </c>
    </row>
    <row r="89" spans="8:35" x14ac:dyDescent="0.25">
      <c r="U89" t="s">
        <v>626</v>
      </c>
      <c r="X89">
        <v>24</v>
      </c>
      <c r="AB89">
        <v>30</v>
      </c>
      <c r="AE89" t="s">
        <v>653</v>
      </c>
      <c r="AF89">
        <v>13</v>
      </c>
      <c r="AH89" t="s">
        <v>664</v>
      </c>
      <c r="AI89">
        <v>0</v>
      </c>
    </row>
    <row r="90" spans="8:35" x14ac:dyDescent="0.25">
      <c r="U90" t="s">
        <v>627</v>
      </c>
      <c r="X90">
        <v>43</v>
      </c>
      <c r="AB90">
        <v>40</v>
      </c>
      <c r="AF90">
        <v>20</v>
      </c>
      <c r="AH90" t="s">
        <v>665</v>
      </c>
      <c r="AI90">
        <v>0</v>
      </c>
    </row>
    <row r="91" spans="8:35" x14ac:dyDescent="0.25">
      <c r="U91" t="s">
        <v>628</v>
      </c>
      <c r="X91">
        <v>15</v>
      </c>
      <c r="AA91" t="s">
        <v>649</v>
      </c>
      <c r="AB91">
        <v>35</v>
      </c>
      <c r="AF91">
        <v>22</v>
      </c>
      <c r="AH91" t="s">
        <v>667</v>
      </c>
      <c r="AI91">
        <v>5</v>
      </c>
    </row>
    <row r="92" spans="8:35" x14ac:dyDescent="0.25">
      <c r="U92" t="s">
        <v>629</v>
      </c>
      <c r="X92">
        <v>22</v>
      </c>
      <c r="AA92" t="s">
        <v>651</v>
      </c>
      <c r="AB92">
        <v>8</v>
      </c>
      <c r="AE92" t="s">
        <v>660</v>
      </c>
      <c r="AF92">
        <v>17</v>
      </c>
      <c r="AH92" t="s">
        <v>666</v>
      </c>
      <c r="AI92">
        <v>5</v>
      </c>
    </row>
    <row r="93" spans="8:35" x14ac:dyDescent="0.25">
      <c r="Q93" t="s">
        <v>600</v>
      </c>
      <c r="R93">
        <v>356</v>
      </c>
      <c r="U93" t="s">
        <v>630</v>
      </c>
      <c r="X93">
        <v>17</v>
      </c>
      <c r="AB93">
        <v>10</v>
      </c>
      <c r="AE93" t="s">
        <v>661</v>
      </c>
      <c r="AF93">
        <v>10</v>
      </c>
      <c r="AH93" t="s">
        <v>657</v>
      </c>
      <c r="AI93">
        <v>8</v>
      </c>
    </row>
    <row r="94" spans="8:35" x14ac:dyDescent="0.25">
      <c r="J94" t="s">
        <v>596</v>
      </c>
      <c r="Q94" t="s">
        <v>598</v>
      </c>
      <c r="R94">
        <v>66</v>
      </c>
      <c r="S94">
        <v>81</v>
      </c>
      <c r="U94" t="s">
        <v>631</v>
      </c>
      <c r="X94">
        <v>35</v>
      </c>
      <c r="AB94">
        <v>14</v>
      </c>
      <c r="AE94" t="s">
        <v>655</v>
      </c>
      <c r="AF94">
        <v>0</v>
      </c>
      <c r="AH94" t="s">
        <v>668</v>
      </c>
    </row>
    <row r="95" spans="8:35" x14ac:dyDescent="0.25">
      <c r="J95">
        <f>4200+2550</f>
        <v>6750</v>
      </c>
      <c r="Q95" t="s">
        <v>599</v>
      </c>
      <c r="R95">
        <v>140</v>
      </c>
      <c r="U95" t="s">
        <v>632</v>
      </c>
      <c r="X95">
        <v>18</v>
      </c>
      <c r="AB95">
        <v>6</v>
      </c>
      <c r="AH95" t="s">
        <v>657</v>
      </c>
      <c r="AI95">
        <v>8</v>
      </c>
    </row>
    <row r="96" spans="8:35" x14ac:dyDescent="0.25">
      <c r="J96">
        <f>4200+2400</f>
        <v>6600</v>
      </c>
      <c r="R96">
        <f>SUM(R93:S95)</f>
        <v>643</v>
      </c>
      <c r="U96" t="s">
        <v>633</v>
      </c>
      <c r="X96">
        <v>12</v>
      </c>
      <c r="AB96">
        <v>15</v>
      </c>
    </row>
    <row r="97" spans="8:35" x14ac:dyDescent="0.25">
      <c r="U97" t="s">
        <v>634</v>
      </c>
      <c r="X97">
        <v>25</v>
      </c>
      <c r="AB97">
        <v>18</v>
      </c>
      <c r="AE97" t="s">
        <v>656</v>
      </c>
      <c r="AF97">
        <v>9</v>
      </c>
    </row>
    <row r="98" spans="8:35" x14ac:dyDescent="0.25">
      <c r="U98" t="s">
        <v>635</v>
      </c>
      <c r="X98">
        <v>26</v>
      </c>
      <c r="AB98">
        <v>12</v>
      </c>
      <c r="AF98">
        <v>12</v>
      </c>
      <c r="AI98">
        <f>SUM(AI88:AI97)</f>
        <v>39</v>
      </c>
    </row>
    <row r="99" spans="8:35" x14ac:dyDescent="0.25">
      <c r="U99" t="s">
        <v>650</v>
      </c>
      <c r="X99">
        <v>12</v>
      </c>
      <c r="AB99">
        <v>8</v>
      </c>
      <c r="AF99">
        <v>8</v>
      </c>
    </row>
    <row r="100" spans="8:35" x14ac:dyDescent="0.25">
      <c r="U100" t="s">
        <v>636</v>
      </c>
      <c r="X100">
        <v>40</v>
      </c>
      <c r="AB100">
        <v>14</v>
      </c>
      <c r="AE100" t="s">
        <v>662</v>
      </c>
    </row>
    <row r="101" spans="8:35" x14ac:dyDescent="0.25">
      <c r="U101" t="s">
        <v>638</v>
      </c>
      <c r="X101">
        <v>30</v>
      </c>
      <c r="AB101">
        <v>6</v>
      </c>
      <c r="AE101" t="s">
        <v>657</v>
      </c>
      <c r="AF101">
        <v>8</v>
      </c>
    </row>
    <row r="102" spans="8:35" x14ac:dyDescent="0.25">
      <c r="H102" t="s">
        <v>601</v>
      </c>
      <c r="M102" t="s">
        <v>609</v>
      </c>
      <c r="N102" t="s">
        <v>610</v>
      </c>
      <c r="U102" t="s">
        <v>639</v>
      </c>
      <c r="X102">
        <v>40</v>
      </c>
      <c r="AB102">
        <v>15</v>
      </c>
      <c r="AF102">
        <v>10</v>
      </c>
    </row>
    <row r="103" spans="8:35" x14ac:dyDescent="0.25">
      <c r="H103" t="s">
        <v>618</v>
      </c>
      <c r="N103">
        <v>25</v>
      </c>
      <c r="U103" t="s">
        <v>640</v>
      </c>
      <c r="X103">
        <v>9</v>
      </c>
      <c r="AB103">
        <v>9</v>
      </c>
      <c r="AF103">
        <v>14</v>
      </c>
    </row>
    <row r="104" spans="8:35" x14ac:dyDescent="0.25">
      <c r="H104" t="s">
        <v>602</v>
      </c>
      <c r="N104">
        <v>15</v>
      </c>
      <c r="U104" t="s">
        <v>641</v>
      </c>
      <c r="X104">
        <v>10</v>
      </c>
      <c r="AB104">
        <v>12</v>
      </c>
      <c r="AF104">
        <v>6</v>
      </c>
    </row>
    <row r="105" spans="8:35" x14ac:dyDescent="0.25">
      <c r="H105" t="s">
        <v>603</v>
      </c>
      <c r="N105">
        <v>7</v>
      </c>
      <c r="U105" t="s">
        <v>642</v>
      </c>
      <c r="X105">
        <v>17</v>
      </c>
      <c r="AB105">
        <v>8</v>
      </c>
      <c r="AF105">
        <v>15</v>
      </c>
    </row>
    <row r="106" spans="8:35" x14ac:dyDescent="0.25">
      <c r="H106" t="s">
        <v>604</v>
      </c>
      <c r="M106">
        <v>52</v>
      </c>
      <c r="N106">
        <v>10</v>
      </c>
      <c r="U106" t="s">
        <v>643</v>
      </c>
      <c r="X106">
        <v>37</v>
      </c>
      <c r="AB106">
        <v>8</v>
      </c>
      <c r="AE106" t="s">
        <v>658</v>
      </c>
      <c r="AF106">
        <v>5</v>
      </c>
    </row>
    <row r="107" spans="8:35" x14ac:dyDescent="0.25">
      <c r="H107" t="s">
        <v>605</v>
      </c>
      <c r="M107">
        <v>8</v>
      </c>
      <c r="N107">
        <v>40</v>
      </c>
      <c r="U107" t="s">
        <v>644</v>
      </c>
      <c r="X107">
        <v>20</v>
      </c>
      <c r="AB107">
        <v>10</v>
      </c>
      <c r="AF107">
        <f>SUM(AF88,AF93:AF106)</f>
        <v>110</v>
      </c>
    </row>
    <row r="108" spans="8:35" x14ac:dyDescent="0.25">
      <c r="H108" t="s">
        <v>606</v>
      </c>
      <c r="M108">
        <v>70</v>
      </c>
      <c r="N108">
        <v>60</v>
      </c>
      <c r="U108" t="s">
        <v>645</v>
      </c>
      <c r="X108">
        <v>30</v>
      </c>
      <c r="AB108">
        <v>14</v>
      </c>
    </row>
    <row r="109" spans="8:35" x14ac:dyDescent="0.25">
      <c r="H109" t="s">
        <v>611</v>
      </c>
      <c r="N109">
        <v>15</v>
      </c>
      <c r="U109" t="s">
        <v>621</v>
      </c>
      <c r="X109">
        <v>20</v>
      </c>
      <c r="AB109">
        <v>6</v>
      </c>
    </row>
    <row r="110" spans="8:35" x14ac:dyDescent="0.25">
      <c r="H110" t="s">
        <v>619</v>
      </c>
      <c r="N110">
        <v>15</v>
      </c>
      <c r="U110" t="s">
        <v>622</v>
      </c>
      <c r="X110">
        <v>15</v>
      </c>
      <c r="AB110">
        <v>15</v>
      </c>
    </row>
    <row r="111" spans="8:35" x14ac:dyDescent="0.25">
      <c r="N111">
        <f>N108+N107-N106+N105+N104+N103-N109</f>
        <v>122</v>
      </c>
      <c r="U111" t="s">
        <v>623</v>
      </c>
      <c r="X111">
        <v>10</v>
      </c>
      <c r="AB111">
        <v>5</v>
      </c>
    </row>
    <row r="112" spans="8:35" x14ac:dyDescent="0.25">
      <c r="AB112">
        <f>SUM(AB87:AB111)</f>
        <v>339</v>
      </c>
    </row>
    <row r="113" spans="8:24" x14ac:dyDescent="0.25">
      <c r="H113" t="s">
        <v>607</v>
      </c>
      <c r="N113">
        <v>120</v>
      </c>
      <c r="U113" t="s">
        <v>613</v>
      </c>
      <c r="X113">
        <v>35</v>
      </c>
    </row>
    <row r="114" spans="8:24" x14ac:dyDescent="0.25">
      <c r="H114" t="s">
        <v>608</v>
      </c>
      <c r="U114" t="s">
        <v>614</v>
      </c>
      <c r="X114">
        <v>5</v>
      </c>
    </row>
    <row r="115" spans="8:24" x14ac:dyDescent="0.25">
      <c r="U115" t="s">
        <v>615</v>
      </c>
      <c r="X115">
        <v>25</v>
      </c>
    </row>
    <row r="116" spans="8:24" x14ac:dyDescent="0.25">
      <c r="U116" t="s">
        <v>616</v>
      </c>
      <c r="X116">
        <v>40</v>
      </c>
    </row>
    <row r="118" spans="8:24" x14ac:dyDescent="0.25">
      <c r="H118" t="s">
        <v>612</v>
      </c>
      <c r="N118">
        <f>35*2</f>
        <v>70</v>
      </c>
      <c r="U118" t="s">
        <v>617</v>
      </c>
      <c r="W118">
        <f>SUM(X113:X116)</f>
        <v>105</v>
      </c>
    </row>
    <row r="119" spans="8:24" x14ac:dyDescent="0.25">
      <c r="U119" t="s">
        <v>620</v>
      </c>
      <c r="W119">
        <f>X113*2</f>
        <v>70</v>
      </c>
    </row>
  </sheetData>
  <conditionalFormatting sqref="I44:N47 I37:K40 M37:N40">
    <cfRule type="cellIs" dxfId="7" priority="21" operator="between">
      <formula>7999</formula>
      <formula>8209</formula>
    </cfRule>
    <cfRule type="cellIs" dxfId="6" priority="22" operator="between">
      <formula>7099</formula>
      <formula>7409</formula>
    </cfRule>
    <cfRule type="cellIs" dxfId="5" priority="23" operator="between">
      <formula>5999</formula>
      <formula>6009</formula>
    </cfRule>
    <cfRule type="cellIs" dxfId="4" priority="24" operator="greaterThan">
      <formula>8209</formula>
    </cfRule>
  </conditionalFormatting>
  <conditionalFormatting sqref="L37:L40">
    <cfRule type="cellIs" dxfId="3" priority="17" operator="greaterThan">
      <formula>8209</formula>
    </cfRule>
    <cfRule type="cellIs" dxfId="2" priority="18" operator="between">
      <formula>8000</formula>
      <formula>8209</formula>
    </cfRule>
    <cfRule type="cellIs" dxfId="1" priority="19" operator="between">
      <formula>7100</formula>
      <formula>7409</formula>
    </cfRule>
    <cfRule type="cellIs" dxfId="0" priority="20" operator="between">
      <formula>6000</formula>
      <formula>6009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44"/>
  <sheetViews>
    <sheetView tabSelected="1" topLeftCell="A4" workbookViewId="0">
      <selection activeCell="V20" sqref="V20"/>
    </sheetView>
  </sheetViews>
  <sheetFormatPr defaultRowHeight="15" x14ac:dyDescent="0.25"/>
  <cols>
    <col min="13" max="13" width="15.42578125" customWidth="1"/>
    <col min="16" max="16" width="15.42578125" customWidth="1"/>
  </cols>
  <sheetData>
    <row r="5" spans="3:20" x14ac:dyDescent="0.25">
      <c r="C5" t="s">
        <v>637</v>
      </c>
    </row>
    <row r="6" spans="3:20" x14ac:dyDescent="0.25">
      <c r="J6" t="s">
        <v>646</v>
      </c>
    </row>
    <row r="7" spans="3:20" x14ac:dyDescent="0.25">
      <c r="C7" t="s">
        <v>624</v>
      </c>
      <c r="F7">
        <v>14</v>
      </c>
      <c r="J7" t="s">
        <v>674</v>
      </c>
      <c r="M7" t="s">
        <v>671</v>
      </c>
      <c r="P7" t="s">
        <v>672</v>
      </c>
      <c r="T7" t="s">
        <v>700</v>
      </c>
    </row>
    <row r="8" spans="3:20" x14ac:dyDescent="0.25">
      <c r="C8" t="s">
        <v>648</v>
      </c>
      <c r="F8">
        <v>11</v>
      </c>
    </row>
    <row r="9" spans="3:20" x14ac:dyDescent="0.25">
      <c r="C9" t="s">
        <v>625</v>
      </c>
      <c r="F9">
        <v>15</v>
      </c>
      <c r="P9" t="s">
        <v>685</v>
      </c>
      <c r="Q9">
        <v>11</v>
      </c>
    </row>
    <row r="10" spans="3:20" x14ac:dyDescent="0.25">
      <c r="C10" t="s">
        <v>626</v>
      </c>
      <c r="F10">
        <v>24</v>
      </c>
      <c r="P10" t="s">
        <v>654</v>
      </c>
      <c r="Q10">
        <v>13</v>
      </c>
    </row>
    <row r="11" spans="3:20" x14ac:dyDescent="0.25">
      <c r="C11" t="s">
        <v>627</v>
      </c>
      <c r="F11">
        <v>43</v>
      </c>
      <c r="P11" t="s">
        <v>681</v>
      </c>
      <c r="Q11">
        <v>30</v>
      </c>
    </row>
    <row r="12" spans="3:20" x14ac:dyDescent="0.25">
      <c r="C12" t="s">
        <v>628</v>
      </c>
      <c r="F12">
        <v>15</v>
      </c>
      <c r="P12" t="s">
        <v>682</v>
      </c>
      <c r="Q12">
        <v>10</v>
      </c>
    </row>
    <row r="13" spans="3:20" x14ac:dyDescent="0.25">
      <c r="C13" t="s">
        <v>629</v>
      </c>
      <c r="F13">
        <v>22</v>
      </c>
      <c r="J13" t="s">
        <v>663</v>
      </c>
      <c r="K13">
        <v>0</v>
      </c>
      <c r="M13" t="s">
        <v>654</v>
      </c>
      <c r="N13">
        <v>13</v>
      </c>
      <c r="P13" t="s">
        <v>683</v>
      </c>
      <c r="Q13">
        <v>5</v>
      </c>
      <c r="R13" t="s">
        <v>684</v>
      </c>
    </row>
    <row r="14" spans="3:20" x14ac:dyDescent="0.25">
      <c r="C14" t="s">
        <v>630</v>
      </c>
      <c r="F14">
        <v>17</v>
      </c>
      <c r="J14" t="s">
        <v>664</v>
      </c>
      <c r="K14">
        <v>0</v>
      </c>
      <c r="M14" t="s">
        <v>661</v>
      </c>
      <c r="N14">
        <v>10</v>
      </c>
      <c r="P14" t="s">
        <v>630</v>
      </c>
      <c r="Q14">
        <v>17</v>
      </c>
    </row>
    <row r="15" spans="3:20" x14ac:dyDescent="0.25">
      <c r="C15" t="s">
        <v>631</v>
      </c>
      <c r="F15">
        <v>35</v>
      </c>
      <c r="J15" t="s">
        <v>665</v>
      </c>
      <c r="K15">
        <v>0</v>
      </c>
      <c r="M15" t="s">
        <v>655</v>
      </c>
      <c r="N15">
        <v>0</v>
      </c>
      <c r="P15" t="s">
        <v>686</v>
      </c>
      <c r="Q15">
        <v>0</v>
      </c>
    </row>
    <row r="16" spans="3:20" x14ac:dyDescent="0.25">
      <c r="C16" t="s">
        <v>632</v>
      </c>
      <c r="F16">
        <v>18</v>
      </c>
      <c r="J16" t="s">
        <v>667</v>
      </c>
      <c r="K16">
        <v>5</v>
      </c>
      <c r="M16" t="s">
        <v>656</v>
      </c>
      <c r="N16">
        <v>9</v>
      </c>
      <c r="P16" t="s">
        <v>689</v>
      </c>
      <c r="Q16">
        <v>25</v>
      </c>
    </row>
    <row r="17" spans="3:18" x14ac:dyDescent="0.25">
      <c r="C17" t="s">
        <v>633</v>
      </c>
      <c r="F17">
        <v>12</v>
      </c>
      <c r="J17" t="s">
        <v>666</v>
      </c>
      <c r="K17">
        <v>5</v>
      </c>
      <c r="N17">
        <v>12</v>
      </c>
      <c r="P17" t="s">
        <v>687</v>
      </c>
      <c r="Q17">
        <v>10</v>
      </c>
    </row>
    <row r="18" spans="3:18" x14ac:dyDescent="0.25">
      <c r="C18" t="s">
        <v>634</v>
      </c>
      <c r="F18">
        <v>25</v>
      </c>
      <c r="J18" t="s">
        <v>657</v>
      </c>
      <c r="K18">
        <v>8</v>
      </c>
      <c r="N18">
        <v>8</v>
      </c>
      <c r="P18" t="s">
        <v>691</v>
      </c>
      <c r="Q18">
        <v>10</v>
      </c>
    </row>
    <row r="19" spans="3:18" x14ac:dyDescent="0.25">
      <c r="C19" t="s">
        <v>635</v>
      </c>
      <c r="F19">
        <v>26</v>
      </c>
      <c r="J19" t="s">
        <v>668</v>
      </c>
      <c r="M19" t="s">
        <v>657</v>
      </c>
      <c r="N19">
        <v>8</v>
      </c>
      <c r="P19" t="s">
        <v>692</v>
      </c>
      <c r="Q19">
        <v>14</v>
      </c>
    </row>
    <row r="20" spans="3:18" x14ac:dyDescent="0.25">
      <c r="C20" t="s">
        <v>650</v>
      </c>
      <c r="F20">
        <v>12</v>
      </c>
      <c r="J20" t="s">
        <v>657</v>
      </c>
      <c r="K20">
        <v>8</v>
      </c>
      <c r="N20">
        <v>10</v>
      </c>
      <c r="P20" t="s">
        <v>693</v>
      </c>
      <c r="Q20">
        <v>6</v>
      </c>
    </row>
    <row r="21" spans="3:18" x14ac:dyDescent="0.25">
      <c r="C21" t="s">
        <v>636</v>
      </c>
      <c r="F21">
        <v>40</v>
      </c>
      <c r="N21">
        <v>14</v>
      </c>
      <c r="P21" t="s">
        <v>687</v>
      </c>
      <c r="Q21">
        <v>15</v>
      </c>
    </row>
    <row r="22" spans="3:18" x14ac:dyDescent="0.25">
      <c r="C22" t="s">
        <v>638</v>
      </c>
      <c r="F22">
        <v>30</v>
      </c>
      <c r="N22">
        <v>6</v>
      </c>
      <c r="P22" t="s">
        <v>688</v>
      </c>
      <c r="Q22">
        <v>9</v>
      </c>
    </row>
    <row r="23" spans="3:18" x14ac:dyDescent="0.25">
      <c r="C23" t="s">
        <v>639</v>
      </c>
      <c r="F23">
        <v>40</v>
      </c>
      <c r="K23">
        <f>SUM(K13:K22)</f>
        <v>26</v>
      </c>
      <c r="N23">
        <v>15</v>
      </c>
      <c r="P23" t="s">
        <v>687</v>
      </c>
      <c r="Q23">
        <v>12</v>
      </c>
    </row>
    <row r="24" spans="3:18" x14ac:dyDescent="0.25">
      <c r="C24" t="s">
        <v>640</v>
      </c>
      <c r="F24">
        <v>9</v>
      </c>
      <c r="M24" t="s">
        <v>658</v>
      </c>
      <c r="N24">
        <v>5</v>
      </c>
      <c r="P24" t="s">
        <v>690</v>
      </c>
      <c r="Q24">
        <v>0</v>
      </c>
    </row>
    <row r="25" spans="3:18" x14ac:dyDescent="0.25">
      <c r="C25" t="s">
        <v>641</v>
      </c>
      <c r="F25">
        <v>10</v>
      </c>
      <c r="N25">
        <f>SUM(N13,N14:N24)</f>
        <v>110</v>
      </c>
      <c r="P25" t="s">
        <v>694</v>
      </c>
      <c r="Q25">
        <v>8</v>
      </c>
    </row>
    <row r="26" spans="3:18" x14ac:dyDescent="0.25">
      <c r="C26" t="s">
        <v>642</v>
      </c>
      <c r="F26">
        <v>17</v>
      </c>
      <c r="P26" t="s">
        <v>695</v>
      </c>
      <c r="Q26">
        <v>8</v>
      </c>
    </row>
    <row r="27" spans="3:18" x14ac:dyDescent="0.25">
      <c r="C27" t="s">
        <v>643</v>
      </c>
      <c r="F27">
        <v>37</v>
      </c>
      <c r="P27" t="s">
        <v>691</v>
      </c>
      <c r="Q27">
        <v>10</v>
      </c>
    </row>
    <row r="28" spans="3:18" x14ac:dyDescent="0.25">
      <c r="C28" t="s">
        <v>644</v>
      </c>
      <c r="F28">
        <v>20</v>
      </c>
      <c r="P28" t="s">
        <v>692</v>
      </c>
      <c r="Q28">
        <v>14</v>
      </c>
    </row>
    <row r="29" spans="3:18" x14ac:dyDescent="0.25">
      <c r="C29" t="s">
        <v>645</v>
      </c>
      <c r="F29">
        <v>30</v>
      </c>
      <c r="P29" t="s">
        <v>693</v>
      </c>
      <c r="Q29">
        <v>6</v>
      </c>
    </row>
    <row r="30" spans="3:18" x14ac:dyDescent="0.25">
      <c r="C30" t="s">
        <v>621</v>
      </c>
      <c r="F30">
        <v>20</v>
      </c>
      <c r="P30" t="s">
        <v>687</v>
      </c>
      <c r="Q30">
        <v>15</v>
      </c>
    </row>
    <row r="31" spans="3:18" x14ac:dyDescent="0.25">
      <c r="C31" t="s">
        <v>622</v>
      </c>
      <c r="F31">
        <v>15</v>
      </c>
      <c r="P31" t="s">
        <v>696</v>
      </c>
      <c r="Q31">
        <v>5</v>
      </c>
    </row>
    <row r="32" spans="3:18" x14ac:dyDescent="0.25">
      <c r="C32" t="s">
        <v>623</v>
      </c>
      <c r="F32">
        <v>10</v>
      </c>
      <c r="P32" t="s">
        <v>697</v>
      </c>
      <c r="Q32">
        <v>30</v>
      </c>
      <c r="R32" t="s">
        <v>699</v>
      </c>
    </row>
    <row r="34" spans="3:22" x14ac:dyDescent="0.25">
      <c r="C34" t="s">
        <v>613</v>
      </c>
      <c r="F34">
        <v>35</v>
      </c>
      <c r="Q34">
        <f>SUM(Q9:Q33)</f>
        <v>283</v>
      </c>
    </row>
    <row r="35" spans="3:22" x14ac:dyDescent="0.25">
      <c r="C35" t="s">
        <v>614</v>
      </c>
      <c r="F35">
        <v>5</v>
      </c>
    </row>
    <row r="36" spans="3:22" x14ac:dyDescent="0.25">
      <c r="C36" t="s">
        <v>615</v>
      </c>
      <c r="F36">
        <v>25</v>
      </c>
    </row>
    <row r="37" spans="3:22" x14ac:dyDescent="0.25">
      <c r="C37" t="s">
        <v>616</v>
      </c>
      <c r="F37">
        <v>40</v>
      </c>
      <c r="H37" t="s">
        <v>669</v>
      </c>
      <c r="J37">
        <f>6+10+8+15</f>
        <v>39</v>
      </c>
    </row>
    <row r="38" spans="3:22" x14ac:dyDescent="0.25">
      <c r="H38" t="s">
        <v>670</v>
      </c>
      <c r="J38">
        <f>13+25+22</f>
        <v>60</v>
      </c>
      <c r="U38" t="s">
        <v>676</v>
      </c>
    </row>
    <row r="39" spans="3:22" x14ac:dyDescent="0.25">
      <c r="C39" t="s">
        <v>617</v>
      </c>
      <c r="E39">
        <f>SUM(F34:F37)</f>
        <v>105</v>
      </c>
      <c r="H39" t="s">
        <v>673</v>
      </c>
      <c r="J39">
        <v>40</v>
      </c>
      <c r="Q39" t="s">
        <v>675</v>
      </c>
      <c r="U39" t="s">
        <v>677</v>
      </c>
    </row>
    <row r="40" spans="3:22" x14ac:dyDescent="0.25">
      <c r="C40" t="s">
        <v>620</v>
      </c>
      <c r="E40">
        <f>F34*2</f>
        <v>70</v>
      </c>
      <c r="Q40" t="s">
        <v>86</v>
      </c>
      <c r="U40" t="s">
        <v>678</v>
      </c>
    </row>
    <row r="42" spans="3:22" x14ac:dyDescent="0.25">
      <c r="U42" t="s">
        <v>679</v>
      </c>
    </row>
    <row r="43" spans="3:22" x14ac:dyDescent="0.25">
      <c r="V43" t="s">
        <v>680</v>
      </c>
    </row>
    <row r="44" spans="3:22" x14ac:dyDescent="0.25">
      <c r="N44" t="s">
        <v>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workbookViewId="0">
      <selection activeCell="P50" sqref="P50"/>
    </sheetView>
  </sheetViews>
  <sheetFormatPr defaultRowHeight="15" x14ac:dyDescent="0.25"/>
  <cols>
    <col min="2" max="2" width="10.28515625" customWidth="1"/>
    <col min="3" max="3" width="11" customWidth="1"/>
    <col min="4" max="4" width="20.7109375" customWidth="1"/>
    <col min="8" max="8" width="20" customWidth="1"/>
    <col min="10" max="10" width="22.7109375" customWidth="1"/>
    <col min="12" max="12" width="28.42578125" customWidth="1"/>
  </cols>
  <sheetData>
    <row r="4" spans="1:18" x14ac:dyDescent="0.25">
      <c r="B4" t="s">
        <v>76</v>
      </c>
      <c r="C4" t="s">
        <v>199</v>
      </c>
      <c r="D4" t="s">
        <v>378</v>
      </c>
      <c r="E4" t="s">
        <v>38</v>
      </c>
      <c r="F4" t="s">
        <v>355</v>
      </c>
      <c r="G4" t="s">
        <v>111</v>
      </c>
      <c r="L4" t="s">
        <v>356</v>
      </c>
      <c r="M4" t="s">
        <v>358</v>
      </c>
      <c r="N4" t="s">
        <v>376</v>
      </c>
      <c r="O4" t="s">
        <v>357</v>
      </c>
      <c r="P4" t="s">
        <v>360</v>
      </c>
      <c r="Q4" t="s">
        <v>190</v>
      </c>
      <c r="R4" t="s">
        <v>14</v>
      </c>
    </row>
    <row r="5" spans="1:18" x14ac:dyDescent="0.25">
      <c r="A5" t="s">
        <v>351</v>
      </c>
      <c r="B5" t="s">
        <v>165</v>
      </c>
      <c r="C5" t="s">
        <v>360</v>
      </c>
      <c r="D5" t="s">
        <v>190</v>
      </c>
      <c r="E5" t="s">
        <v>361</v>
      </c>
      <c r="F5" t="s">
        <v>361</v>
      </c>
      <c r="G5" t="s">
        <v>173</v>
      </c>
      <c r="L5" t="s">
        <v>199</v>
      </c>
      <c r="M5" s="40" t="s">
        <v>134</v>
      </c>
      <c r="N5" t="s">
        <v>135</v>
      </c>
      <c r="O5" s="40">
        <v>2</v>
      </c>
      <c r="P5" s="40" t="s">
        <v>137</v>
      </c>
      <c r="Q5" s="40" t="s">
        <v>137</v>
      </c>
      <c r="R5" s="40" t="s">
        <v>137</v>
      </c>
    </row>
    <row r="6" spans="1:18" x14ac:dyDescent="0.25">
      <c r="A6" t="s">
        <v>352</v>
      </c>
      <c r="B6" t="s">
        <v>14</v>
      </c>
      <c r="C6" t="s">
        <v>354</v>
      </c>
      <c r="D6" t="s">
        <v>175</v>
      </c>
      <c r="E6" t="s">
        <v>360</v>
      </c>
      <c r="F6" t="s">
        <v>360</v>
      </c>
      <c r="G6" t="s">
        <v>360</v>
      </c>
      <c r="L6" t="s">
        <v>29</v>
      </c>
      <c r="M6" s="40" t="s">
        <v>136</v>
      </c>
      <c r="N6" t="s">
        <v>134</v>
      </c>
      <c r="O6" s="40" t="s">
        <v>359</v>
      </c>
      <c r="P6" s="40" t="s">
        <v>137</v>
      </c>
      <c r="Q6" s="40" t="s">
        <v>137</v>
      </c>
      <c r="R6" s="40" t="s">
        <v>137</v>
      </c>
    </row>
    <row r="7" spans="1:18" x14ac:dyDescent="0.25">
      <c r="A7" t="s">
        <v>353</v>
      </c>
      <c r="B7" t="s">
        <v>360</v>
      </c>
      <c r="C7" t="s">
        <v>14</v>
      </c>
      <c r="D7" t="s">
        <v>361</v>
      </c>
      <c r="E7" t="s">
        <v>14</v>
      </c>
      <c r="F7" t="s">
        <v>361</v>
      </c>
      <c r="G7" t="s">
        <v>361</v>
      </c>
      <c r="L7" t="s">
        <v>31</v>
      </c>
      <c r="M7" s="40" t="s">
        <v>136</v>
      </c>
      <c r="N7" t="s">
        <v>134</v>
      </c>
      <c r="O7" s="40">
        <v>2</v>
      </c>
      <c r="P7" s="40" t="s">
        <v>137</v>
      </c>
      <c r="Q7" s="40" t="s">
        <v>138</v>
      </c>
      <c r="R7" s="40" t="s">
        <v>137</v>
      </c>
    </row>
    <row r="8" spans="1:18" x14ac:dyDescent="0.25">
      <c r="L8" t="s">
        <v>36</v>
      </c>
      <c r="M8" s="40" t="s">
        <v>136</v>
      </c>
      <c r="N8" t="s">
        <v>134</v>
      </c>
      <c r="O8" s="40">
        <v>2</v>
      </c>
      <c r="P8" s="40" t="s">
        <v>137</v>
      </c>
      <c r="Q8" s="40" t="s">
        <v>134</v>
      </c>
      <c r="R8" s="40" t="s">
        <v>137</v>
      </c>
    </row>
    <row r="9" spans="1:18" x14ac:dyDescent="0.25">
      <c r="L9" t="s">
        <v>38</v>
      </c>
      <c r="M9" s="40" t="s">
        <v>135</v>
      </c>
      <c r="N9" t="s">
        <v>134</v>
      </c>
      <c r="O9" s="40">
        <v>2</v>
      </c>
      <c r="P9" s="40" t="s">
        <v>138</v>
      </c>
      <c r="Q9" s="40" t="s">
        <v>137</v>
      </c>
      <c r="R9" s="40" t="s">
        <v>134</v>
      </c>
    </row>
    <row r="10" spans="1:18" x14ac:dyDescent="0.25">
      <c r="L10" t="s">
        <v>40</v>
      </c>
      <c r="M10" s="40" t="s">
        <v>137</v>
      </c>
      <c r="N10" t="s">
        <v>136</v>
      </c>
      <c r="O10" s="40">
        <v>2</v>
      </c>
      <c r="P10" s="40" t="s">
        <v>134</v>
      </c>
      <c r="Q10" s="40" t="s">
        <v>134</v>
      </c>
      <c r="R10" s="40" t="s">
        <v>137</v>
      </c>
    </row>
    <row r="11" spans="1:18" x14ac:dyDescent="0.25">
      <c r="L11" t="s">
        <v>63</v>
      </c>
      <c r="M11" s="40" t="s">
        <v>134</v>
      </c>
      <c r="N11" t="s">
        <v>136</v>
      </c>
      <c r="O11" s="40">
        <v>2</v>
      </c>
      <c r="P11" s="40" t="s">
        <v>137</v>
      </c>
      <c r="Q11" s="40" t="s">
        <v>137</v>
      </c>
      <c r="R11" s="40" t="s">
        <v>137</v>
      </c>
    </row>
    <row r="12" spans="1:18" x14ac:dyDescent="0.25">
      <c r="L12" t="s">
        <v>76</v>
      </c>
      <c r="M12" s="40" t="s">
        <v>131</v>
      </c>
      <c r="N12" t="s">
        <v>135</v>
      </c>
      <c r="O12" s="40">
        <v>3</v>
      </c>
      <c r="P12" s="40" t="s">
        <v>132</v>
      </c>
      <c r="Q12" s="40" t="s">
        <v>134</v>
      </c>
      <c r="R12" s="40" t="s">
        <v>134</v>
      </c>
    </row>
    <row r="13" spans="1:18" x14ac:dyDescent="0.25">
      <c r="L13" t="s">
        <v>91</v>
      </c>
      <c r="M13" s="40" t="s">
        <v>134</v>
      </c>
      <c r="N13" t="s">
        <v>136</v>
      </c>
      <c r="O13" s="40">
        <v>1</v>
      </c>
      <c r="P13" s="40" t="s">
        <v>134</v>
      </c>
      <c r="Q13" s="40" t="s">
        <v>132</v>
      </c>
      <c r="R13" s="40" t="s">
        <v>137</v>
      </c>
    </row>
    <row r="14" spans="1:18" x14ac:dyDescent="0.25">
      <c r="L14" t="s">
        <v>97</v>
      </c>
      <c r="M14" s="40" t="s">
        <v>135</v>
      </c>
      <c r="N14" t="s">
        <v>136</v>
      </c>
      <c r="O14" s="40">
        <v>3</v>
      </c>
      <c r="P14" s="40" t="s">
        <v>137</v>
      </c>
      <c r="Q14" s="40" t="s">
        <v>137</v>
      </c>
      <c r="R14" s="40" t="s">
        <v>137</v>
      </c>
    </row>
    <row r="15" spans="1:18" x14ac:dyDescent="0.25">
      <c r="L15" t="s">
        <v>101</v>
      </c>
      <c r="M15" s="40" t="s">
        <v>136</v>
      </c>
      <c r="N15" t="s">
        <v>136</v>
      </c>
      <c r="O15" s="40">
        <v>3</v>
      </c>
      <c r="P15" s="40" t="s">
        <v>138</v>
      </c>
      <c r="Q15" s="40" t="s">
        <v>134</v>
      </c>
      <c r="R15" s="40" t="s">
        <v>138</v>
      </c>
    </row>
    <row r="16" spans="1:18" x14ac:dyDescent="0.25">
      <c r="L16" t="s">
        <v>107</v>
      </c>
      <c r="M16" s="40" t="s">
        <v>135</v>
      </c>
      <c r="N16" t="s">
        <v>134</v>
      </c>
      <c r="O16" s="40">
        <v>1</v>
      </c>
      <c r="P16" s="40" t="s">
        <v>137</v>
      </c>
      <c r="Q16" s="40" t="s">
        <v>137</v>
      </c>
      <c r="R16" s="40" t="s">
        <v>132</v>
      </c>
    </row>
    <row r="17" spans="3:18" x14ac:dyDescent="0.25">
      <c r="C17" t="s">
        <v>362</v>
      </c>
      <c r="L17" t="s">
        <v>111</v>
      </c>
      <c r="M17" s="40" t="s">
        <v>137</v>
      </c>
      <c r="N17" t="s">
        <v>131</v>
      </c>
      <c r="O17" s="40">
        <v>1</v>
      </c>
      <c r="P17" s="40" t="s">
        <v>137</v>
      </c>
      <c r="Q17" s="40" t="s">
        <v>137</v>
      </c>
      <c r="R17" s="40" t="s">
        <v>134</v>
      </c>
    </row>
    <row r="18" spans="3:18" x14ac:dyDescent="0.25">
      <c r="C18" t="s">
        <v>363</v>
      </c>
      <c r="L18" t="s">
        <v>116</v>
      </c>
      <c r="M18" s="40" t="s">
        <v>137</v>
      </c>
      <c r="N18" t="s">
        <v>136</v>
      </c>
      <c r="O18" s="40">
        <v>2</v>
      </c>
      <c r="P18" s="40" t="s">
        <v>137</v>
      </c>
      <c r="Q18" s="40" t="s">
        <v>137</v>
      </c>
      <c r="R18" s="40" t="s">
        <v>137</v>
      </c>
    </row>
    <row r="19" spans="3:18" x14ac:dyDescent="0.25">
      <c r="C19" t="s">
        <v>364</v>
      </c>
      <c r="L19" t="s">
        <v>119</v>
      </c>
      <c r="M19" s="40" t="s">
        <v>135</v>
      </c>
      <c r="N19" t="s">
        <v>377</v>
      </c>
      <c r="O19" s="40">
        <v>1</v>
      </c>
      <c r="P19" s="40" t="s">
        <v>139</v>
      </c>
      <c r="Q19" s="40" t="s">
        <v>139</v>
      </c>
      <c r="R19" s="40" t="s">
        <v>139</v>
      </c>
    </row>
    <row r="20" spans="3:18" x14ac:dyDescent="0.25">
      <c r="C20" t="s">
        <v>365</v>
      </c>
      <c r="E20">
        <v>2100</v>
      </c>
      <c r="L20" t="s">
        <v>124</v>
      </c>
      <c r="M20" s="40" t="s">
        <v>136</v>
      </c>
      <c r="N20" t="s">
        <v>136</v>
      </c>
      <c r="O20" s="40">
        <v>2</v>
      </c>
      <c r="P20" s="40" t="s">
        <v>134</v>
      </c>
      <c r="Q20" s="40" t="s">
        <v>134</v>
      </c>
      <c r="R20" s="40" t="s">
        <v>134</v>
      </c>
    </row>
    <row r="21" spans="3:18" x14ac:dyDescent="0.25">
      <c r="C21" t="s">
        <v>366</v>
      </c>
      <c r="E21">
        <v>1200</v>
      </c>
      <c r="L21" t="s">
        <v>125</v>
      </c>
      <c r="M21" s="40" t="s">
        <v>134</v>
      </c>
      <c r="N21" t="s">
        <v>137</v>
      </c>
      <c r="O21" s="40">
        <v>1</v>
      </c>
      <c r="P21" s="40" t="s">
        <v>137</v>
      </c>
      <c r="Q21" s="40" t="s">
        <v>132</v>
      </c>
      <c r="R21" s="40" t="s">
        <v>137</v>
      </c>
    </row>
    <row r="23" spans="3:18" x14ac:dyDescent="0.25">
      <c r="C23" t="s">
        <v>367</v>
      </c>
    </row>
    <row r="24" spans="3:18" x14ac:dyDescent="0.25">
      <c r="C24" t="s">
        <v>409</v>
      </c>
      <c r="E24">
        <v>2000</v>
      </c>
    </row>
    <row r="25" spans="3:18" x14ac:dyDescent="0.25">
      <c r="C25" t="s">
        <v>374</v>
      </c>
      <c r="E25">
        <v>3120</v>
      </c>
    </row>
    <row r="27" spans="3:18" x14ac:dyDescent="0.25">
      <c r="C27" t="s">
        <v>368</v>
      </c>
      <c r="P27" t="s">
        <v>38</v>
      </c>
    </row>
    <row r="28" spans="3:18" x14ac:dyDescent="0.25">
      <c r="C28" t="s">
        <v>369</v>
      </c>
      <c r="E28">
        <v>5200</v>
      </c>
      <c r="P28" t="s">
        <v>97</v>
      </c>
    </row>
    <row r="29" spans="3:18" x14ac:dyDescent="0.25">
      <c r="P29" t="s">
        <v>76</v>
      </c>
    </row>
    <row r="30" spans="3:18" x14ac:dyDescent="0.25">
      <c r="E30">
        <f>1200*4</f>
        <v>4800</v>
      </c>
      <c r="P30" t="s">
        <v>107</v>
      </c>
    </row>
    <row r="31" spans="3:18" x14ac:dyDescent="0.25">
      <c r="L31" t="s">
        <v>417</v>
      </c>
      <c r="P31" t="s">
        <v>119</v>
      </c>
    </row>
    <row r="32" spans="3:18" x14ac:dyDescent="0.25">
      <c r="C32" t="s">
        <v>370</v>
      </c>
      <c r="L32" t="s">
        <v>355</v>
      </c>
    </row>
    <row r="33" spans="3:14" x14ac:dyDescent="0.25">
      <c r="C33" t="s">
        <v>371</v>
      </c>
      <c r="F33">
        <v>2920</v>
      </c>
      <c r="L33" t="s">
        <v>418</v>
      </c>
    </row>
    <row r="34" spans="3:14" x14ac:dyDescent="0.25">
      <c r="C34" t="s">
        <v>372</v>
      </c>
      <c r="F34">
        <v>2600</v>
      </c>
    </row>
    <row r="35" spans="3:14" x14ac:dyDescent="0.25">
      <c r="C35" t="s">
        <v>373</v>
      </c>
      <c r="F35">
        <v>2240</v>
      </c>
    </row>
    <row r="39" spans="3:14" x14ac:dyDescent="0.25">
      <c r="L39" t="s">
        <v>432</v>
      </c>
      <c r="M39" t="s">
        <v>435</v>
      </c>
    </row>
    <row r="40" spans="3:14" x14ac:dyDescent="0.25">
      <c r="C40" t="s">
        <v>375</v>
      </c>
      <c r="L40" t="s">
        <v>429</v>
      </c>
      <c r="M40" t="s">
        <v>430</v>
      </c>
      <c r="N40" t="s">
        <v>101</v>
      </c>
    </row>
    <row r="41" spans="3:14" x14ac:dyDescent="0.25">
      <c r="L41" t="s">
        <v>433</v>
      </c>
      <c r="M41" t="s">
        <v>431</v>
      </c>
      <c r="N41" t="s">
        <v>434</v>
      </c>
    </row>
    <row r="47" spans="3:14" x14ac:dyDescent="0.25">
      <c r="D47" t="s">
        <v>420</v>
      </c>
      <c r="G47" t="s">
        <v>440</v>
      </c>
      <c r="J47" t="s">
        <v>445</v>
      </c>
      <c r="L47" t="s">
        <v>454</v>
      </c>
    </row>
    <row r="49" spans="4:12" x14ac:dyDescent="0.25">
      <c r="D49" t="s">
        <v>421</v>
      </c>
      <c r="G49" t="s">
        <v>421</v>
      </c>
      <c r="J49" t="s">
        <v>421</v>
      </c>
      <c r="L49" t="s">
        <v>421</v>
      </c>
    </row>
    <row r="50" spans="4:12" x14ac:dyDescent="0.25">
      <c r="D50" t="s">
        <v>422</v>
      </c>
      <c r="G50" t="s">
        <v>422</v>
      </c>
      <c r="J50" t="s">
        <v>422</v>
      </c>
      <c r="L50" t="s">
        <v>422</v>
      </c>
    </row>
    <row r="51" spans="4:12" x14ac:dyDescent="0.25">
      <c r="D51" t="s">
        <v>423</v>
      </c>
      <c r="G51" t="s">
        <v>443</v>
      </c>
      <c r="J51" t="s">
        <v>453</v>
      </c>
      <c r="L51" t="s">
        <v>453</v>
      </c>
    </row>
    <row r="52" spans="4:12" x14ac:dyDescent="0.25">
      <c r="D52" t="s">
        <v>426</v>
      </c>
      <c r="G52" t="s">
        <v>423</v>
      </c>
      <c r="J52" t="s">
        <v>443</v>
      </c>
      <c r="L52" t="s">
        <v>455</v>
      </c>
    </row>
    <row r="53" spans="4:12" x14ac:dyDescent="0.25">
      <c r="D53" t="s">
        <v>424</v>
      </c>
      <c r="G53" t="s">
        <v>426</v>
      </c>
      <c r="J53" t="s">
        <v>446</v>
      </c>
      <c r="L53" t="s">
        <v>446</v>
      </c>
    </row>
    <row r="54" spans="4:12" x14ac:dyDescent="0.25">
      <c r="D54" t="s">
        <v>425</v>
      </c>
      <c r="G54" t="s">
        <v>424</v>
      </c>
      <c r="J54" t="s">
        <v>447</v>
      </c>
      <c r="L54" t="s">
        <v>447</v>
      </c>
    </row>
    <row r="55" spans="4:12" x14ac:dyDescent="0.25">
      <c r="D55" t="s">
        <v>427</v>
      </c>
      <c r="G55" t="s">
        <v>425</v>
      </c>
      <c r="J55" t="s">
        <v>448</v>
      </c>
      <c r="L55" t="s">
        <v>448</v>
      </c>
    </row>
    <row r="56" spans="4:12" x14ac:dyDescent="0.25">
      <c r="D56" t="s">
        <v>428</v>
      </c>
      <c r="G56" t="s">
        <v>442</v>
      </c>
      <c r="J56" t="s">
        <v>449</v>
      </c>
      <c r="L56" t="s">
        <v>442</v>
      </c>
    </row>
    <row r="57" spans="4:12" x14ac:dyDescent="0.25">
      <c r="D57" t="s">
        <v>441</v>
      </c>
      <c r="G57" t="s">
        <v>437</v>
      </c>
      <c r="J57" t="s">
        <v>450</v>
      </c>
      <c r="L57" t="s">
        <v>449</v>
      </c>
    </row>
    <row r="58" spans="4:12" x14ac:dyDescent="0.25">
      <c r="D58" t="s">
        <v>436</v>
      </c>
      <c r="G58" t="s">
        <v>444</v>
      </c>
      <c r="J58" t="s">
        <v>449</v>
      </c>
      <c r="L58" t="s">
        <v>450</v>
      </c>
    </row>
    <row r="59" spans="4:12" x14ac:dyDescent="0.25">
      <c r="D59" t="s">
        <v>437</v>
      </c>
      <c r="G59" t="s">
        <v>436</v>
      </c>
      <c r="J59" t="s">
        <v>451</v>
      </c>
      <c r="L59" t="s">
        <v>436</v>
      </c>
    </row>
    <row r="60" spans="4:12" x14ac:dyDescent="0.25">
      <c r="D60" t="s">
        <v>438</v>
      </c>
      <c r="G60" t="s">
        <v>437</v>
      </c>
      <c r="J60" t="s">
        <v>452</v>
      </c>
      <c r="L60" t="s">
        <v>437</v>
      </c>
    </row>
    <row r="61" spans="4:12" x14ac:dyDescent="0.25">
      <c r="D61" t="s">
        <v>439</v>
      </c>
      <c r="G61" t="s">
        <v>438</v>
      </c>
      <c r="L61" t="s">
        <v>438</v>
      </c>
    </row>
    <row r="62" spans="4:12" x14ac:dyDescent="0.25">
      <c r="G62" t="s">
        <v>439</v>
      </c>
      <c r="L62" t="s">
        <v>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83"/>
  <sheetViews>
    <sheetView topLeftCell="A25" workbookViewId="0">
      <selection activeCell="C84" sqref="C84"/>
    </sheetView>
  </sheetViews>
  <sheetFormatPr defaultRowHeight="15" x14ac:dyDescent="0.25"/>
  <cols>
    <col min="3" max="3" width="12.5703125" customWidth="1"/>
  </cols>
  <sheetData>
    <row r="7" spans="2:11" x14ac:dyDescent="0.25">
      <c r="B7" t="s">
        <v>458</v>
      </c>
      <c r="D7">
        <v>4500</v>
      </c>
      <c r="J7" t="s">
        <v>517</v>
      </c>
    </row>
    <row r="9" spans="2:11" x14ac:dyDescent="0.25">
      <c r="B9" t="s">
        <v>199</v>
      </c>
      <c r="C9" t="s">
        <v>459</v>
      </c>
      <c r="D9">
        <f>1590</f>
        <v>1590</v>
      </c>
    </row>
    <row r="10" spans="2:11" x14ac:dyDescent="0.25">
      <c r="B10" t="s">
        <v>36</v>
      </c>
      <c r="C10" t="s">
        <v>460</v>
      </c>
      <c r="D10">
        <v>436</v>
      </c>
    </row>
    <row r="11" spans="2:11" x14ac:dyDescent="0.25">
      <c r="B11" t="s">
        <v>63</v>
      </c>
      <c r="C11" t="s">
        <v>461</v>
      </c>
      <c r="D11">
        <v>1196</v>
      </c>
    </row>
    <row r="12" spans="2:11" x14ac:dyDescent="0.25">
      <c r="B12" t="s">
        <v>90</v>
      </c>
      <c r="C12" t="s">
        <v>462</v>
      </c>
      <c r="D12">
        <v>974</v>
      </c>
    </row>
    <row r="13" spans="2:11" x14ac:dyDescent="0.25">
      <c r="B13" t="s">
        <v>463</v>
      </c>
      <c r="C13" t="s">
        <v>460</v>
      </c>
      <c r="D13">
        <f>400</f>
        <v>400</v>
      </c>
      <c r="E13" t="s">
        <v>464</v>
      </c>
    </row>
    <row r="14" spans="2:11" x14ac:dyDescent="0.25">
      <c r="D14">
        <f>SUM(D9:D13)</f>
        <v>4596</v>
      </c>
    </row>
    <row r="16" spans="2:11" x14ac:dyDescent="0.25">
      <c r="K16" t="s">
        <v>490</v>
      </c>
    </row>
    <row r="18" spans="2:11" x14ac:dyDescent="0.25">
      <c r="K18" t="s">
        <v>489</v>
      </c>
    </row>
    <row r="19" spans="2:11" x14ac:dyDescent="0.25">
      <c r="K19" t="s">
        <v>487</v>
      </c>
    </row>
    <row r="20" spans="2:11" x14ac:dyDescent="0.25">
      <c r="K20" t="s">
        <v>488</v>
      </c>
    </row>
    <row r="24" spans="2:11" x14ac:dyDescent="0.25">
      <c r="B24" t="s">
        <v>465</v>
      </c>
    </row>
    <row r="25" spans="2:11" x14ac:dyDescent="0.25">
      <c r="B25" t="s">
        <v>466</v>
      </c>
      <c r="F25" t="s">
        <v>467</v>
      </c>
    </row>
    <row r="26" spans="2:11" x14ac:dyDescent="0.25">
      <c r="B26">
        <v>6900</v>
      </c>
      <c r="C26" t="s">
        <v>485</v>
      </c>
      <c r="F26" t="s">
        <v>38</v>
      </c>
      <c r="G26" t="s">
        <v>94</v>
      </c>
      <c r="H26" t="s">
        <v>14</v>
      </c>
    </row>
    <row r="27" spans="2:11" x14ac:dyDescent="0.25">
      <c r="B27">
        <f>6900+5400</f>
        <v>12300</v>
      </c>
      <c r="C27" t="s">
        <v>486</v>
      </c>
      <c r="F27" t="s">
        <v>199</v>
      </c>
      <c r="G27" t="s">
        <v>360</v>
      </c>
      <c r="H27" t="s">
        <v>14</v>
      </c>
      <c r="I27" t="s">
        <v>468</v>
      </c>
    </row>
    <row r="28" spans="2:11" x14ac:dyDescent="0.25">
      <c r="B28">
        <v>300</v>
      </c>
      <c r="C28" t="s">
        <v>491</v>
      </c>
      <c r="F28" t="s">
        <v>107</v>
      </c>
      <c r="G28" t="s">
        <v>469</v>
      </c>
    </row>
    <row r="29" spans="2:11" x14ac:dyDescent="0.25">
      <c r="B29">
        <v>3300</v>
      </c>
      <c r="C29" t="s">
        <v>500</v>
      </c>
      <c r="F29" t="s">
        <v>76</v>
      </c>
      <c r="G29" t="s">
        <v>470</v>
      </c>
      <c r="H29" t="s">
        <v>14</v>
      </c>
      <c r="I29" t="s">
        <v>400</v>
      </c>
      <c r="J29" t="s">
        <v>471</v>
      </c>
    </row>
    <row r="30" spans="2:11" x14ac:dyDescent="0.25">
      <c r="B30">
        <v>10300</v>
      </c>
      <c r="C30" t="s">
        <v>458</v>
      </c>
      <c r="F30" t="s">
        <v>97</v>
      </c>
      <c r="G30" t="s">
        <v>190</v>
      </c>
    </row>
    <row r="31" spans="2:11" x14ac:dyDescent="0.25">
      <c r="B31">
        <v>5300</v>
      </c>
      <c r="C31" t="s">
        <v>492</v>
      </c>
      <c r="F31" t="s">
        <v>103</v>
      </c>
      <c r="G31" t="s">
        <v>402</v>
      </c>
    </row>
    <row r="33" spans="1:18" x14ac:dyDescent="0.25">
      <c r="L33" t="s">
        <v>473</v>
      </c>
      <c r="M33" t="s">
        <v>101</v>
      </c>
      <c r="N33" t="s">
        <v>18</v>
      </c>
    </row>
    <row r="34" spans="1:18" x14ac:dyDescent="0.25">
      <c r="F34" t="s">
        <v>472</v>
      </c>
    </row>
    <row r="35" spans="1:18" x14ac:dyDescent="0.25">
      <c r="E35">
        <v>4000</v>
      </c>
      <c r="F35" t="s">
        <v>360</v>
      </c>
      <c r="G35">
        <v>1</v>
      </c>
      <c r="H35" t="s">
        <v>482</v>
      </c>
    </row>
    <row r="36" spans="1:18" x14ac:dyDescent="0.25">
      <c r="E36">
        <v>6000</v>
      </c>
      <c r="F36" t="s">
        <v>190</v>
      </c>
      <c r="G36">
        <v>1</v>
      </c>
      <c r="H36" t="s">
        <v>481</v>
      </c>
      <c r="J36" t="s">
        <v>483</v>
      </c>
    </row>
    <row r="37" spans="1:18" x14ac:dyDescent="0.25">
      <c r="E37">
        <v>6000</v>
      </c>
      <c r="F37" t="s">
        <v>14</v>
      </c>
      <c r="G37">
        <v>2</v>
      </c>
      <c r="H37" t="s">
        <v>480</v>
      </c>
    </row>
    <row r="38" spans="1:18" x14ac:dyDescent="0.25">
      <c r="E38">
        <v>7000</v>
      </c>
      <c r="F38" t="s">
        <v>400</v>
      </c>
      <c r="G38">
        <v>2</v>
      </c>
      <c r="H38" t="s">
        <v>484</v>
      </c>
    </row>
    <row r="39" spans="1:18" x14ac:dyDescent="0.25">
      <c r="H39" t="s">
        <v>501</v>
      </c>
    </row>
    <row r="40" spans="1:18" x14ac:dyDescent="0.25">
      <c r="E40">
        <v>5000</v>
      </c>
      <c r="F40" t="s">
        <v>399</v>
      </c>
    </row>
    <row r="43" spans="1:18" x14ac:dyDescent="0.25">
      <c r="B43">
        <v>7570</v>
      </c>
      <c r="C43" t="s">
        <v>506</v>
      </c>
      <c r="N43" t="s">
        <v>493</v>
      </c>
      <c r="P43" t="s">
        <v>496</v>
      </c>
      <c r="R43">
        <v>8900</v>
      </c>
    </row>
    <row r="44" spans="1:18" x14ac:dyDescent="0.25">
      <c r="A44" t="s">
        <v>508</v>
      </c>
      <c r="B44" t="s">
        <v>509</v>
      </c>
      <c r="C44" t="s">
        <v>510</v>
      </c>
    </row>
    <row r="45" spans="1:18" x14ac:dyDescent="0.25">
      <c r="A45">
        <v>16170</v>
      </c>
      <c r="B45">
        <v>14170</v>
      </c>
      <c r="C45">
        <v>12170</v>
      </c>
      <c r="D45" t="s">
        <v>507</v>
      </c>
      <c r="N45">
        <v>2620</v>
      </c>
      <c r="P45">
        <v>2770</v>
      </c>
    </row>
    <row r="46" spans="1:18" x14ac:dyDescent="0.25">
      <c r="A46">
        <f>A45+5400</f>
        <v>21570</v>
      </c>
      <c r="B46">
        <f>B45+5400</f>
        <v>19570</v>
      </c>
      <c r="C46">
        <f>C45+5400</f>
        <v>17570</v>
      </c>
      <c r="D46" t="s">
        <v>286</v>
      </c>
      <c r="N46">
        <v>2700</v>
      </c>
      <c r="P46">
        <f>(450*1.4-64+164)*2</f>
        <v>1460</v>
      </c>
    </row>
    <row r="47" spans="1:18" x14ac:dyDescent="0.25">
      <c r="A47">
        <f>A46-500</f>
        <v>21070</v>
      </c>
      <c r="B47">
        <f>B46-500</f>
        <v>19070</v>
      </c>
      <c r="C47">
        <f>C46-500</f>
        <v>17070</v>
      </c>
      <c r="D47" t="s">
        <v>516</v>
      </c>
      <c r="N47">
        <v>1100</v>
      </c>
      <c r="P47">
        <f>((450*1.2)-64+130)*2</f>
        <v>1212</v>
      </c>
    </row>
    <row r="48" spans="1:18" x14ac:dyDescent="0.25">
      <c r="A48">
        <f>A47-200</f>
        <v>20870</v>
      </c>
      <c r="B48">
        <f>B47-200</f>
        <v>18870</v>
      </c>
      <c r="C48">
        <f>C47-200</f>
        <v>16870</v>
      </c>
      <c r="D48" t="s">
        <v>402</v>
      </c>
      <c r="H48" t="s">
        <v>474</v>
      </c>
      <c r="N48">
        <v>1200</v>
      </c>
      <c r="P48">
        <f>999-78</f>
        <v>921</v>
      </c>
    </row>
    <row r="49" spans="1:16" x14ac:dyDescent="0.25">
      <c r="A49">
        <f>A48-600-12000</f>
        <v>8270</v>
      </c>
      <c r="B49">
        <f>B48-600-12000</f>
        <v>6270</v>
      </c>
      <c r="C49">
        <f>C48-600-12000</f>
        <v>4270</v>
      </c>
      <c r="D49" t="s">
        <v>511</v>
      </c>
      <c r="H49" t="s">
        <v>199</v>
      </c>
      <c r="I49" t="s">
        <v>477</v>
      </c>
      <c r="N49">
        <f>SUM(N44:N48)</f>
        <v>7620</v>
      </c>
      <c r="P49">
        <f>P46</f>
        <v>1460</v>
      </c>
    </row>
    <row r="50" spans="1:16" x14ac:dyDescent="0.25">
      <c r="A50">
        <f>A49-5000</f>
        <v>3270</v>
      </c>
      <c r="B50">
        <f>B49-5000</f>
        <v>1270</v>
      </c>
      <c r="C50">
        <f>C49-5000</f>
        <v>-730</v>
      </c>
      <c r="D50" t="s">
        <v>524</v>
      </c>
      <c r="H50" t="s">
        <v>76</v>
      </c>
      <c r="I50" t="s">
        <v>479</v>
      </c>
      <c r="P50">
        <f>P47</f>
        <v>1212</v>
      </c>
    </row>
    <row r="51" spans="1:16" x14ac:dyDescent="0.25">
      <c r="A51">
        <f>A50+3000+10000</f>
        <v>16270</v>
      </c>
      <c r="B51">
        <f>B50+3000+10000</f>
        <v>14270</v>
      </c>
      <c r="C51">
        <f>C50+3000+10000</f>
        <v>12270</v>
      </c>
      <c r="D51" t="s">
        <v>512</v>
      </c>
      <c r="H51" t="s">
        <v>103</v>
      </c>
      <c r="N51" t="s">
        <v>494</v>
      </c>
      <c r="P51">
        <f>SUM(P45:P50)</f>
        <v>9035</v>
      </c>
    </row>
    <row r="52" spans="1:16" x14ac:dyDescent="0.25">
      <c r="A52">
        <f>A51-1500</f>
        <v>14770</v>
      </c>
      <c r="B52">
        <f>B51-1500</f>
        <v>12770</v>
      </c>
      <c r="C52">
        <f>C51-1500</f>
        <v>10770</v>
      </c>
      <c r="D52" t="s">
        <v>513</v>
      </c>
      <c r="H52" t="s">
        <v>107</v>
      </c>
      <c r="I52" t="s">
        <v>503</v>
      </c>
      <c r="N52">
        <v>1230</v>
      </c>
    </row>
    <row r="53" spans="1:16" x14ac:dyDescent="0.25">
      <c r="A53">
        <f>A52-10000</f>
        <v>4770</v>
      </c>
      <c r="B53">
        <f>B52-10000</f>
        <v>2770</v>
      </c>
      <c r="C53">
        <f>C52-10000</f>
        <v>770</v>
      </c>
      <c r="D53" t="s">
        <v>523</v>
      </c>
      <c r="H53" t="s">
        <v>38</v>
      </c>
      <c r="I53" t="s">
        <v>476</v>
      </c>
      <c r="N53">
        <v>2715</v>
      </c>
    </row>
    <row r="54" spans="1:16" x14ac:dyDescent="0.25">
      <c r="H54" t="s">
        <v>475</v>
      </c>
      <c r="I54" t="s">
        <v>478</v>
      </c>
      <c r="N54">
        <v>600</v>
      </c>
    </row>
    <row r="55" spans="1:16" x14ac:dyDescent="0.25">
      <c r="H55" t="s">
        <v>502</v>
      </c>
      <c r="I55" t="s">
        <v>504</v>
      </c>
      <c r="N55">
        <f>SUM(N52:N54)</f>
        <v>4545</v>
      </c>
    </row>
    <row r="56" spans="1:16" x14ac:dyDescent="0.25">
      <c r="H56" t="s">
        <v>29</v>
      </c>
      <c r="I56" t="s">
        <v>503</v>
      </c>
    </row>
    <row r="57" spans="1:16" x14ac:dyDescent="0.25">
      <c r="B57">
        <v>12000</v>
      </c>
      <c r="C57" t="s">
        <v>14</v>
      </c>
      <c r="H57" t="s">
        <v>463</v>
      </c>
      <c r="I57" t="s">
        <v>503</v>
      </c>
    </row>
    <row r="58" spans="1:16" x14ac:dyDescent="0.25">
      <c r="B58">
        <v>600</v>
      </c>
      <c r="C58" t="s">
        <v>514</v>
      </c>
      <c r="G58" t="s">
        <v>505</v>
      </c>
    </row>
    <row r="59" spans="1:16" x14ac:dyDescent="0.25">
      <c r="B59">
        <v>200</v>
      </c>
      <c r="C59" t="s">
        <v>402</v>
      </c>
      <c r="H59" t="s">
        <v>116</v>
      </c>
      <c r="I59" t="s">
        <v>503</v>
      </c>
      <c r="N59" t="s">
        <v>495</v>
      </c>
      <c r="O59">
        <v>4700</v>
      </c>
    </row>
    <row r="60" spans="1:16" x14ac:dyDescent="0.25">
      <c r="B60" t="s">
        <v>515</v>
      </c>
      <c r="N60">
        <v>1300</v>
      </c>
    </row>
    <row r="61" spans="1:16" x14ac:dyDescent="0.25">
      <c r="N61">
        <v>2650</v>
      </c>
    </row>
    <row r="62" spans="1:16" x14ac:dyDescent="0.25">
      <c r="N62">
        <v>1000</v>
      </c>
    </row>
    <row r="63" spans="1:16" x14ac:dyDescent="0.25">
      <c r="N63">
        <f>SUM(N60:N62)</f>
        <v>4950</v>
      </c>
    </row>
    <row r="64" spans="1:16" x14ac:dyDescent="0.25">
      <c r="I64" t="s">
        <v>97</v>
      </c>
    </row>
    <row r="75" spans="3:4" x14ac:dyDescent="0.25">
      <c r="C75">
        <f>999-67</f>
        <v>932</v>
      </c>
      <c r="D75">
        <f>C75*3</f>
        <v>2796</v>
      </c>
    </row>
    <row r="78" spans="3:4" x14ac:dyDescent="0.25">
      <c r="C78">
        <f>999*1.5</f>
        <v>1498.5</v>
      </c>
    </row>
    <row r="79" spans="3:4" x14ac:dyDescent="0.25">
      <c r="C79">
        <f>C78-67</f>
        <v>1431.5</v>
      </c>
    </row>
    <row r="80" spans="3:4" x14ac:dyDescent="0.25">
      <c r="C80">
        <f>C79*3</f>
        <v>4294.5</v>
      </c>
    </row>
    <row r="81" spans="3:3" x14ac:dyDescent="0.25">
      <c r="C81">
        <f>C80*3</f>
        <v>12883.5</v>
      </c>
    </row>
    <row r="82" spans="3:3" x14ac:dyDescent="0.25">
      <c r="C82">
        <f>C81*2</f>
        <v>25767</v>
      </c>
    </row>
    <row r="83" spans="3:3" x14ac:dyDescent="0.25">
      <c r="C83">
        <f>C82+D75</f>
        <v>28563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Physical DD Tiers</vt:lpstr>
      <vt:lpstr>Sheet1</vt:lpstr>
      <vt:lpstr>Sheet2</vt:lpstr>
      <vt:lpstr>Sheet3</vt:lpstr>
      <vt:lpstr>Sheet4</vt:lpstr>
      <vt:lpstr>Experience Check</vt:lpstr>
      <vt:lpstr>Sheet8</vt:lpstr>
      <vt:lpstr>Sheet5</vt:lpstr>
      <vt:lpstr>Sheet6</vt:lpstr>
      <vt:lpstr>Sheet7</vt:lpstr>
      <vt:lpstr>'Physical DD Tiers'!_FilterDatabase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UniLOAD</dc:creator>
  <cp:lastModifiedBy>Eric Koziel</cp:lastModifiedBy>
  <dcterms:created xsi:type="dcterms:W3CDTF">2012-12-28T14:57:11Z</dcterms:created>
  <dcterms:modified xsi:type="dcterms:W3CDTF">2015-06-08T12:32:55Z</dcterms:modified>
</cp:coreProperties>
</file>