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240" yWindow="45" windowWidth="8595" windowHeight="5955" activeTab="1"/>
  </bookViews>
  <sheets>
    <sheet name="Physical DD Tier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Trade Route" sheetId="7" r:id="rId7"/>
  </sheets>
  <definedNames>
    <definedName name="_xlnm._FilterDatabase" localSheetId="0">'Physical DD Tiers'!$A$1:$AJ$1</definedName>
  </definedNames>
  <calcPr calcId="152511"/>
</workbook>
</file>

<file path=xl/calcChain.xml><?xml version="1.0" encoding="utf-8"?>
<calcChain xmlns="http://schemas.openxmlformats.org/spreadsheetml/2006/main">
  <c r="C54" i="3" l="1"/>
  <c r="C53" i="3"/>
  <c r="C52" i="3"/>
  <c r="C51" i="3"/>
  <c r="C50" i="3"/>
  <c r="C49" i="3"/>
  <c r="C48" i="3"/>
  <c r="C47" i="3"/>
  <c r="R90" i="2" l="1"/>
  <c r="M82" i="2" l="1"/>
  <c r="S78" i="2"/>
  <c r="P61" i="2"/>
  <c r="N62" i="2"/>
  <c r="M62" i="2"/>
  <c r="N59" i="2"/>
  <c r="F42" i="7" l="1"/>
  <c r="F41" i="7"/>
  <c r="H36" i="7"/>
  <c r="H44" i="7" s="1"/>
  <c r="G36" i="7"/>
  <c r="G44" i="7" s="1"/>
  <c r="M14" i="7"/>
  <c r="M12" i="7"/>
  <c r="M11" i="7"/>
  <c r="M10" i="7"/>
  <c r="M9" i="7"/>
  <c r="I36" i="7"/>
  <c r="I44" i="7" s="1"/>
  <c r="F35" i="7"/>
  <c r="F34" i="7"/>
  <c r="K27" i="7"/>
  <c r="L27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L30" i="6"/>
  <c r="L29" i="6"/>
  <c r="L28" i="6"/>
  <c r="L27" i="6"/>
  <c r="L26" i="6"/>
  <c r="L25" i="6"/>
  <c r="L24" i="6"/>
  <c r="L18" i="6"/>
  <c r="L17" i="6"/>
  <c r="L16" i="6"/>
  <c r="L15" i="6"/>
  <c r="L14" i="6"/>
  <c r="L13" i="6"/>
  <c r="L12" i="6"/>
  <c r="K32" i="6"/>
  <c r="L32" i="6" s="1"/>
  <c r="K31" i="6"/>
  <c r="L31" i="6" s="1"/>
  <c r="K30" i="6"/>
  <c r="K29" i="6"/>
  <c r="K28" i="6"/>
  <c r="K27" i="6"/>
  <c r="K26" i="6"/>
  <c r="K25" i="6"/>
  <c r="K24" i="6"/>
  <c r="K23" i="6"/>
  <c r="L23" i="6" s="1"/>
  <c r="K22" i="6"/>
  <c r="L22" i="6" s="1"/>
  <c r="K21" i="6"/>
  <c r="L21" i="6" s="1"/>
  <c r="K20" i="6"/>
  <c r="L20" i="6" s="1"/>
  <c r="K19" i="6"/>
  <c r="L19" i="6" s="1"/>
  <c r="K18" i="6"/>
  <c r="K17" i="6"/>
  <c r="K16" i="6"/>
  <c r="K15" i="6"/>
  <c r="K14" i="6"/>
  <c r="K13" i="6"/>
  <c r="K12" i="6"/>
  <c r="K11" i="6"/>
  <c r="L11" i="6" s="1"/>
  <c r="K10" i="6"/>
  <c r="L10" i="6" s="1"/>
  <c r="K9" i="6"/>
  <c r="L9" i="6" s="1"/>
  <c r="K8" i="6"/>
  <c r="L8" i="6" s="1"/>
  <c r="K7" i="6"/>
  <c r="L7" i="6" s="1"/>
  <c r="Y118" i="5"/>
  <c r="Y117" i="5"/>
  <c r="Y116" i="5"/>
  <c r="Y115" i="5"/>
  <c r="Y114" i="5"/>
  <c r="Y113" i="5"/>
  <c r="Y112" i="5"/>
  <c r="Y111" i="5"/>
  <c r="Y110" i="5"/>
  <c r="Y109" i="5"/>
  <c r="Y119" i="5"/>
  <c r="Q119" i="5"/>
  <c r="R119" i="5" s="1"/>
  <c r="S119" i="5" s="1"/>
  <c r="T119" i="5" s="1"/>
  <c r="P119" i="5"/>
  <c r="X119" i="5" s="1"/>
  <c r="O119" i="5"/>
  <c r="Q118" i="5"/>
  <c r="P118" i="5"/>
  <c r="X118" i="5" s="1"/>
  <c r="O118" i="5"/>
  <c r="Q117" i="5"/>
  <c r="R117" i="5" s="1"/>
  <c r="S117" i="5" s="1"/>
  <c r="T117" i="5" s="1"/>
  <c r="P117" i="5"/>
  <c r="X117" i="5" s="1"/>
  <c r="O117" i="5"/>
  <c r="Q116" i="5"/>
  <c r="P116" i="5"/>
  <c r="X116" i="5" s="1"/>
  <c r="O116" i="5"/>
  <c r="Q115" i="5"/>
  <c r="W115" i="5" s="1"/>
  <c r="P115" i="5"/>
  <c r="X115" i="5" s="1"/>
  <c r="O115" i="5"/>
  <c r="Q114" i="5"/>
  <c r="R114" i="5" s="1"/>
  <c r="S114" i="5" s="1"/>
  <c r="T114" i="5" s="1"/>
  <c r="P114" i="5"/>
  <c r="X114" i="5" s="1"/>
  <c r="O114" i="5"/>
  <c r="Q113" i="5"/>
  <c r="R113" i="5" s="1"/>
  <c r="S113" i="5" s="1"/>
  <c r="T113" i="5" s="1"/>
  <c r="P113" i="5"/>
  <c r="X113" i="5" s="1"/>
  <c r="O113" i="5"/>
  <c r="Q112" i="5"/>
  <c r="P112" i="5"/>
  <c r="X112" i="5" s="1"/>
  <c r="O112" i="5"/>
  <c r="Q111" i="5"/>
  <c r="P111" i="5"/>
  <c r="X111" i="5" s="1"/>
  <c r="O111" i="5"/>
  <c r="Q110" i="5"/>
  <c r="P110" i="5"/>
  <c r="X110" i="5" s="1"/>
  <c r="O110" i="5"/>
  <c r="Q109" i="5"/>
  <c r="W109" i="5" s="1"/>
  <c r="P109" i="5"/>
  <c r="X109" i="5" s="1"/>
  <c r="O109" i="5"/>
  <c r="M24" i="7" l="1"/>
  <c r="M25" i="7"/>
  <c r="M13" i="7"/>
  <c r="M26" i="7"/>
  <c r="M15" i="7"/>
  <c r="M18" i="7"/>
  <c r="R111" i="5"/>
  <c r="S111" i="5" s="1"/>
  <c r="T111" i="5" s="1"/>
  <c r="M16" i="7"/>
  <c r="M17" i="7"/>
  <c r="M7" i="7"/>
  <c r="M19" i="7"/>
  <c r="M27" i="7"/>
  <c r="M8" i="7"/>
  <c r="M21" i="7"/>
  <c r="R112" i="5"/>
  <c r="S112" i="5" s="1"/>
  <c r="T112" i="5" s="1"/>
  <c r="M22" i="7"/>
  <c r="M23" i="7"/>
  <c r="M20" i="7"/>
  <c r="R110" i="5"/>
  <c r="S110" i="5" s="1"/>
  <c r="T110" i="5" s="1"/>
  <c r="R118" i="5"/>
  <c r="S118" i="5" s="1"/>
  <c r="T118" i="5" s="1"/>
  <c r="R116" i="5"/>
  <c r="S116" i="5" s="1"/>
  <c r="T116" i="5" s="1"/>
  <c r="W113" i="5"/>
  <c r="W110" i="5"/>
  <c r="W119" i="5"/>
  <c r="R109" i="5"/>
  <c r="S109" i="5" s="1"/>
  <c r="T109" i="5" s="1"/>
  <c r="W117" i="5"/>
  <c r="W112" i="5"/>
  <c r="W116" i="5"/>
  <c r="W111" i="5"/>
  <c r="W114" i="5"/>
  <c r="W118" i="5"/>
  <c r="R115" i="5"/>
  <c r="S115" i="5" s="1"/>
  <c r="T115" i="5" s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G41" i="6"/>
  <c r="F40" i="6"/>
  <c r="G39" i="6"/>
  <c r="F39" i="6"/>
  <c r="AA50" i="5" l="1"/>
  <c r="AA39" i="5"/>
  <c r="AA40" i="5"/>
  <c r="AA41" i="5" s="1"/>
  <c r="Z40" i="5"/>
  <c r="Z41" i="5" s="1"/>
  <c r="Z39" i="5"/>
  <c r="X57" i="5"/>
  <c r="Q103" i="5"/>
  <c r="W103" i="5" s="1"/>
  <c r="P103" i="5"/>
  <c r="X103" i="5" s="1"/>
  <c r="O103" i="5"/>
  <c r="Q102" i="5"/>
  <c r="W102" i="5" s="1"/>
  <c r="P102" i="5"/>
  <c r="X102" i="5" s="1"/>
  <c r="O102" i="5"/>
  <c r="Q101" i="5"/>
  <c r="W101" i="5" s="1"/>
  <c r="P101" i="5"/>
  <c r="X101" i="5" s="1"/>
  <c r="O101" i="5"/>
  <c r="Q100" i="5"/>
  <c r="W100" i="5" s="1"/>
  <c r="P100" i="5"/>
  <c r="X100" i="5" s="1"/>
  <c r="O100" i="5"/>
  <c r="Q99" i="5"/>
  <c r="W99" i="5" s="1"/>
  <c r="P99" i="5"/>
  <c r="X99" i="5" s="1"/>
  <c r="O99" i="5"/>
  <c r="Q98" i="5"/>
  <c r="W98" i="5" s="1"/>
  <c r="P98" i="5"/>
  <c r="X98" i="5" s="1"/>
  <c r="O98" i="5"/>
  <c r="Q97" i="5"/>
  <c r="W97" i="5" s="1"/>
  <c r="P97" i="5"/>
  <c r="X97" i="5" s="1"/>
  <c r="O97" i="5"/>
  <c r="Q96" i="5"/>
  <c r="W96" i="5" s="1"/>
  <c r="P96" i="5"/>
  <c r="X96" i="5" s="1"/>
  <c r="O96" i="5"/>
  <c r="Q95" i="5"/>
  <c r="P95" i="5"/>
  <c r="X95" i="5" s="1"/>
  <c r="O95" i="5"/>
  <c r="Q94" i="5"/>
  <c r="R94" i="5" s="1"/>
  <c r="S94" i="5" s="1"/>
  <c r="T94" i="5" s="1"/>
  <c r="P94" i="5"/>
  <c r="X94" i="5" s="1"/>
  <c r="O94" i="5"/>
  <c r="Q89" i="5"/>
  <c r="R89" i="5" s="1"/>
  <c r="S89" i="5" s="1"/>
  <c r="T89" i="5" s="1"/>
  <c r="P89" i="5"/>
  <c r="X89" i="5" s="1"/>
  <c r="O89" i="5"/>
  <c r="Q88" i="5"/>
  <c r="P88" i="5"/>
  <c r="X88" i="5" s="1"/>
  <c r="O88" i="5"/>
  <c r="Q87" i="5"/>
  <c r="W87" i="5" s="1"/>
  <c r="P87" i="5"/>
  <c r="X87" i="5" s="1"/>
  <c r="O87" i="5"/>
  <c r="Q86" i="5"/>
  <c r="W86" i="5" s="1"/>
  <c r="P86" i="5"/>
  <c r="X86" i="5" s="1"/>
  <c r="O86" i="5"/>
  <c r="Q85" i="5"/>
  <c r="R85" i="5" s="1"/>
  <c r="S85" i="5" s="1"/>
  <c r="T85" i="5" s="1"/>
  <c r="P85" i="5"/>
  <c r="X85" i="5" s="1"/>
  <c r="O85" i="5"/>
  <c r="Q84" i="5"/>
  <c r="W84" i="5" s="1"/>
  <c r="P84" i="5"/>
  <c r="X84" i="5" s="1"/>
  <c r="O84" i="5"/>
  <c r="Q83" i="5"/>
  <c r="W83" i="5" s="1"/>
  <c r="P83" i="5"/>
  <c r="X83" i="5" s="1"/>
  <c r="O83" i="5"/>
  <c r="Q82" i="5"/>
  <c r="W82" i="5" s="1"/>
  <c r="P82" i="5"/>
  <c r="X82" i="5" s="1"/>
  <c r="O82" i="5"/>
  <c r="Q81" i="5"/>
  <c r="W81" i="5" s="1"/>
  <c r="P81" i="5"/>
  <c r="X81" i="5" s="1"/>
  <c r="O81" i="5"/>
  <c r="Q76" i="5"/>
  <c r="P76" i="5"/>
  <c r="X76" i="5" s="1"/>
  <c r="O76" i="5"/>
  <c r="Q75" i="5"/>
  <c r="W75" i="5" s="1"/>
  <c r="P75" i="5"/>
  <c r="X75" i="5" s="1"/>
  <c r="O75" i="5"/>
  <c r="Q74" i="5"/>
  <c r="W74" i="5" s="1"/>
  <c r="P74" i="5"/>
  <c r="X74" i="5" s="1"/>
  <c r="O74" i="5"/>
  <c r="Q73" i="5"/>
  <c r="W73" i="5" s="1"/>
  <c r="P73" i="5"/>
  <c r="X73" i="5" s="1"/>
  <c r="O73" i="5"/>
  <c r="Q72" i="5"/>
  <c r="P72" i="5"/>
  <c r="X72" i="5" s="1"/>
  <c r="O72" i="5"/>
  <c r="Q71" i="5"/>
  <c r="W71" i="5" s="1"/>
  <c r="P71" i="5"/>
  <c r="X71" i="5" s="1"/>
  <c r="O71" i="5"/>
  <c r="Q70" i="5"/>
  <c r="W70" i="5" s="1"/>
  <c r="P70" i="5"/>
  <c r="X70" i="5" s="1"/>
  <c r="O70" i="5"/>
  <c r="Q69" i="5"/>
  <c r="R69" i="5" s="1"/>
  <c r="S69" i="5" s="1"/>
  <c r="T69" i="5" s="1"/>
  <c r="P69" i="5"/>
  <c r="X69" i="5" s="1"/>
  <c r="O69" i="5"/>
  <c r="Q68" i="5"/>
  <c r="P68" i="5"/>
  <c r="X68" i="5" s="1"/>
  <c r="O68" i="5"/>
  <c r="Q67" i="5"/>
  <c r="W67" i="5" s="1"/>
  <c r="P67" i="5"/>
  <c r="X67" i="5" s="1"/>
  <c r="O67" i="5"/>
  <c r="Q62" i="5"/>
  <c r="R62" i="5" s="1"/>
  <c r="S62" i="5" s="1"/>
  <c r="T62" i="5" s="1"/>
  <c r="P62" i="5"/>
  <c r="X62" i="5" s="1"/>
  <c r="O62" i="5"/>
  <c r="Q61" i="5"/>
  <c r="W61" i="5" s="1"/>
  <c r="P61" i="5"/>
  <c r="X61" i="5" s="1"/>
  <c r="O61" i="5"/>
  <c r="Q60" i="5"/>
  <c r="W60" i="5" s="1"/>
  <c r="P60" i="5"/>
  <c r="X60" i="5" s="1"/>
  <c r="O60" i="5"/>
  <c r="Q59" i="5"/>
  <c r="W59" i="5" s="1"/>
  <c r="P59" i="5"/>
  <c r="X59" i="5" s="1"/>
  <c r="O59" i="5"/>
  <c r="Q58" i="5"/>
  <c r="R58" i="5" s="1"/>
  <c r="S58" i="5" s="1"/>
  <c r="T58" i="5" s="1"/>
  <c r="P58" i="5"/>
  <c r="X58" i="5" s="1"/>
  <c r="O58" i="5"/>
  <c r="Q57" i="5"/>
  <c r="W57" i="5" s="1"/>
  <c r="P57" i="5"/>
  <c r="O57" i="5"/>
  <c r="Q56" i="5"/>
  <c r="P56" i="5"/>
  <c r="X56" i="5" s="1"/>
  <c r="O56" i="5"/>
  <c r="Q55" i="5"/>
  <c r="W55" i="5" s="1"/>
  <c r="P55" i="5"/>
  <c r="X55" i="5" s="1"/>
  <c r="O55" i="5"/>
  <c r="Q50" i="5"/>
  <c r="W50" i="5" s="1"/>
  <c r="P50" i="5"/>
  <c r="X50" i="5" s="1"/>
  <c r="O50" i="5"/>
  <c r="Q49" i="5"/>
  <c r="W49" i="5" s="1"/>
  <c r="P49" i="5"/>
  <c r="X49" i="5" s="1"/>
  <c r="O49" i="5"/>
  <c r="Q48" i="5"/>
  <c r="W48" i="5" s="1"/>
  <c r="P48" i="5"/>
  <c r="X48" i="5" s="1"/>
  <c r="O48" i="5"/>
  <c r="Q47" i="5"/>
  <c r="W47" i="5" s="1"/>
  <c r="P47" i="5"/>
  <c r="X47" i="5" s="1"/>
  <c r="O47" i="5"/>
  <c r="Q46" i="5"/>
  <c r="W46" i="5" s="1"/>
  <c r="P46" i="5"/>
  <c r="X46" i="5" s="1"/>
  <c r="O46" i="5"/>
  <c r="Q45" i="5"/>
  <c r="W45" i="5" s="1"/>
  <c r="P45" i="5"/>
  <c r="X45" i="5" s="1"/>
  <c r="O45" i="5"/>
  <c r="Q44" i="5"/>
  <c r="W44" i="5" s="1"/>
  <c r="P44" i="5"/>
  <c r="X44" i="5" s="1"/>
  <c r="O44" i="5"/>
  <c r="Q43" i="5"/>
  <c r="W43" i="5" s="1"/>
  <c r="P43" i="5"/>
  <c r="X43" i="5" s="1"/>
  <c r="O43" i="5"/>
  <c r="Q42" i="5"/>
  <c r="W42" i="5" s="1"/>
  <c r="P42" i="5"/>
  <c r="X42" i="5" s="1"/>
  <c r="O42" i="5"/>
  <c r="Q41" i="5"/>
  <c r="W41" i="5" s="1"/>
  <c r="P41" i="5"/>
  <c r="X41" i="5" s="1"/>
  <c r="O41" i="5"/>
  <c r="Q40" i="5"/>
  <c r="W40" i="5" s="1"/>
  <c r="P40" i="5"/>
  <c r="X40" i="5" s="1"/>
  <c r="O40" i="5"/>
  <c r="Q39" i="5"/>
  <c r="W39" i="5" s="1"/>
  <c r="P39" i="5"/>
  <c r="X39" i="5" s="1"/>
  <c r="O39" i="5"/>
  <c r="Q38" i="5"/>
  <c r="W38" i="5" s="1"/>
  <c r="P38" i="5"/>
  <c r="X38" i="5" s="1"/>
  <c r="O38" i="5"/>
  <c r="Q33" i="5"/>
  <c r="R33" i="5" s="1"/>
  <c r="P33" i="5"/>
  <c r="X33" i="5" s="1"/>
  <c r="O33" i="5"/>
  <c r="Q32" i="5"/>
  <c r="P32" i="5"/>
  <c r="X32" i="5" s="1"/>
  <c r="O32" i="5"/>
  <c r="Q31" i="5"/>
  <c r="W31" i="5" s="1"/>
  <c r="P31" i="5"/>
  <c r="O31" i="5"/>
  <c r="Q30" i="5"/>
  <c r="R30" i="5" s="1"/>
  <c r="P30" i="5"/>
  <c r="X30" i="5" s="1"/>
  <c r="O30" i="5"/>
  <c r="Q29" i="5"/>
  <c r="R29" i="5" s="1"/>
  <c r="P29" i="5"/>
  <c r="X29" i="5" s="1"/>
  <c r="O29" i="5"/>
  <c r="Q28" i="5"/>
  <c r="P28" i="5"/>
  <c r="X28" i="5" s="1"/>
  <c r="O28" i="5"/>
  <c r="Q27" i="5"/>
  <c r="P27" i="5"/>
  <c r="X27" i="5" s="1"/>
  <c r="O27" i="5"/>
  <c r="Q26" i="5"/>
  <c r="R26" i="5" s="1"/>
  <c r="P26" i="5"/>
  <c r="X26" i="5" s="1"/>
  <c r="O26" i="5"/>
  <c r="Q25" i="5"/>
  <c r="R25" i="5" s="1"/>
  <c r="P25" i="5"/>
  <c r="X25" i="5" s="1"/>
  <c r="O25" i="5"/>
  <c r="Q24" i="5"/>
  <c r="P24" i="5"/>
  <c r="X24" i="5" s="1"/>
  <c r="O24" i="5"/>
  <c r="Q23" i="5"/>
  <c r="P23" i="5"/>
  <c r="X23" i="5" s="1"/>
  <c r="O23" i="5"/>
  <c r="Q22" i="5"/>
  <c r="P22" i="5"/>
  <c r="X22" i="5" s="1"/>
  <c r="O22" i="5"/>
  <c r="Q21" i="5"/>
  <c r="R21" i="5" s="1"/>
  <c r="P21" i="5"/>
  <c r="X21" i="5" s="1"/>
  <c r="O21" i="5"/>
  <c r="Q16" i="5"/>
  <c r="P16" i="5"/>
  <c r="X16" i="5" s="1"/>
  <c r="O16" i="5"/>
  <c r="Q15" i="5"/>
  <c r="P15" i="5"/>
  <c r="X15" i="5" s="1"/>
  <c r="O15" i="5"/>
  <c r="Q14" i="5"/>
  <c r="P14" i="5"/>
  <c r="X14" i="5" s="1"/>
  <c r="O14" i="5"/>
  <c r="Q13" i="5"/>
  <c r="R13" i="5" s="1"/>
  <c r="S13" i="5" s="1"/>
  <c r="T13" i="5" s="1"/>
  <c r="P13" i="5"/>
  <c r="X13" i="5" s="1"/>
  <c r="O13" i="5"/>
  <c r="Q12" i="5"/>
  <c r="P12" i="5"/>
  <c r="X12" i="5" s="1"/>
  <c r="O12" i="5"/>
  <c r="Q11" i="5"/>
  <c r="P11" i="5"/>
  <c r="X11" i="5" s="1"/>
  <c r="O11" i="5"/>
  <c r="Q10" i="5"/>
  <c r="P10" i="5"/>
  <c r="X10" i="5" s="1"/>
  <c r="O10" i="5"/>
  <c r="N25" i="4"/>
  <c r="N17" i="4"/>
  <c r="N16" i="4"/>
  <c r="N10" i="4"/>
  <c r="N5" i="4"/>
  <c r="N4" i="4"/>
  <c r="N26" i="4"/>
  <c r="N14" i="4"/>
  <c r="X31" i="5" l="1"/>
  <c r="G40" i="6"/>
  <c r="G45" i="6" s="1"/>
  <c r="W56" i="5"/>
  <c r="F36" i="7"/>
  <c r="F44" i="7" s="1"/>
  <c r="F41" i="6"/>
  <c r="F45" i="6" s="1"/>
  <c r="N22" i="4"/>
  <c r="N28" i="4"/>
  <c r="N29" i="4"/>
  <c r="M6" i="4"/>
  <c r="M18" i="4"/>
  <c r="M19" i="4"/>
  <c r="N23" i="4"/>
  <c r="N11" i="4"/>
  <c r="N13" i="4"/>
  <c r="M7" i="4"/>
  <c r="R14" i="5"/>
  <c r="S14" i="5" s="1"/>
  <c r="T14" i="5" s="1"/>
  <c r="R22" i="5"/>
  <c r="S22" i="5" s="1"/>
  <c r="R16" i="5"/>
  <c r="S16" i="5" s="1"/>
  <c r="T16" i="5" s="1"/>
  <c r="R24" i="5"/>
  <c r="R32" i="5"/>
  <c r="R68" i="5"/>
  <c r="S68" i="5" s="1"/>
  <c r="T68" i="5" s="1"/>
  <c r="R72" i="5"/>
  <c r="S72" i="5" s="1"/>
  <c r="T72" i="5" s="1"/>
  <c r="R76" i="5"/>
  <c r="S76" i="5" s="1"/>
  <c r="T76" i="5" s="1"/>
  <c r="R88" i="5"/>
  <c r="S88" i="5" s="1"/>
  <c r="T88" i="5" s="1"/>
  <c r="R10" i="5"/>
  <c r="S10" i="5" s="1"/>
  <c r="T10" i="5" s="1"/>
  <c r="R28" i="5"/>
  <c r="S28" i="5" s="1"/>
  <c r="R12" i="5"/>
  <c r="S12" i="5" s="1"/>
  <c r="T12" i="5" s="1"/>
  <c r="W24" i="5"/>
  <c r="W30" i="5"/>
  <c r="W62" i="5"/>
  <c r="W72" i="5"/>
  <c r="W88" i="5"/>
  <c r="W25" i="5"/>
  <c r="W89" i="5"/>
  <c r="R83" i="5"/>
  <c r="S83" i="5" s="1"/>
  <c r="T83" i="5" s="1"/>
  <c r="R95" i="5"/>
  <c r="S95" i="5" s="1"/>
  <c r="T95" i="5" s="1"/>
  <c r="R27" i="5"/>
  <c r="S27" i="5" s="1"/>
  <c r="W10" i="5"/>
  <c r="W26" i="5"/>
  <c r="W32" i="5"/>
  <c r="W58" i="5"/>
  <c r="W68" i="5"/>
  <c r="W94" i="5"/>
  <c r="R11" i="5"/>
  <c r="S11" i="5" s="1"/>
  <c r="T11" i="5" s="1"/>
  <c r="W11" i="5"/>
  <c r="W21" i="5"/>
  <c r="W27" i="5"/>
  <c r="W33" i="5"/>
  <c r="W69" i="5"/>
  <c r="W85" i="5"/>
  <c r="W95" i="5"/>
  <c r="W12" i="5"/>
  <c r="R23" i="5"/>
  <c r="W13" i="5"/>
  <c r="W22" i="5"/>
  <c r="W28" i="5"/>
  <c r="W76" i="5"/>
  <c r="R15" i="5"/>
  <c r="S15" i="5" s="1"/>
  <c r="T15" i="5" s="1"/>
  <c r="W14" i="5"/>
  <c r="R67" i="5"/>
  <c r="S67" i="5" s="1"/>
  <c r="T67" i="5" s="1"/>
  <c r="W15" i="5"/>
  <c r="W23" i="5"/>
  <c r="W29" i="5"/>
  <c r="R86" i="5"/>
  <c r="S86" i="5" s="1"/>
  <c r="T86" i="5" s="1"/>
  <c r="W16" i="5"/>
  <c r="R103" i="5"/>
  <c r="S103" i="5" s="1"/>
  <c r="T103" i="5" s="1"/>
  <c r="R100" i="5"/>
  <c r="S100" i="5" s="1"/>
  <c r="T100" i="5" s="1"/>
  <c r="R101" i="5"/>
  <c r="S101" i="5" s="1"/>
  <c r="T101" i="5" s="1"/>
  <c r="R97" i="5"/>
  <c r="S97" i="5" s="1"/>
  <c r="T97" i="5" s="1"/>
  <c r="R102" i="5"/>
  <c r="S102" i="5" s="1"/>
  <c r="T102" i="5" s="1"/>
  <c r="R99" i="5"/>
  <c r="S99" i="5" s="1"/>
  <c r="T99" i="5" s="1"/>
  <c r="R98" i="5"/>
  <c r="S98" i="5" s="1"/>
  <c r="T98" i="5" s="1"/>
  <c r="R96" i="5"/>
  <c r="S96" i="5" s="1"/>
  <c r="T96" i="5" s="1"/>
  <c r="R82" i="5"/>
  <c r="S82" i="5" s="1"/>
  <c r="T82" i="5" s="1"/>
  <c r="R87" i="5"/>
  <c r="S87" i="5" s="1"/>
  <c r="T87" i="5" s="1"/>
  <c r="R84" i="5"/>
  <c r="S84" i="5" s="1"/>
  <c r="T84" i="5" s="1"/>
  <c r="R81" i="5"/>
  <c r="S81" i="5" s="1"/>
  <c r="T81" i="5" s="1"/>
  <c r="R70" i="5"/>
  <c r="S70" i="5" s="1"/>
  <c r="T70" i="5" s="1"/>
  <c r="R71" i="5"/>
  <c r="S71" i="5" s="1"/>
  <c r="T71" i="5" s="1"/>
  <c r="R73" i="5"/>
  <c r="S73" i="5" s="1"/>
  <c r="T73" i="5" s="1"/>
  <c r="R75" i="5"/>
  <c r="S75" i="5" s="1"/>
  <c r="T75" i="5" s="1"/>
  <c r="R74" i="5"/>
  <c r="S74" i="5" s="1"/>
  <c r="T74" i="5" s="1"/>
  <c r="R61" i="5"/>
  <c r="S61" i="5" s="1"/>
  <c r="T61" i="5" s="1"/>
  <c r="R57" i="5"/>
  <c r="S57" i="5" s="1"/>
  <c r="T57" i="5" s="1"/>
  <c r="R59" i="5"/>
  <c r="S59" i="5" s="1"/>
  <c r="T59" i="5" s="1"/>
  <c r="R56" i="5"/>
  <c r="S56" i="5" s="1"/>
  <c r="T56" i="5" s="1"/>
  <c r="R55" i="5"/>
  <c r="S55" i="5" s="1"/>
  <c r="T55" i="5" s="1"/>
  <c r="R60" i="5"/>
  <c r="S60" i="5" s="1"/>
  <c r="T60" i="5" s="1"/>
  <c r="R39" i="5"/>
  <c r="S39" i="5" s="1"/>
  <c r="T39" i="5" s="1"/>
  <c r="R43" i="5"/>
  <c r="S43" i="5" s="1"/>
  <c r="T43" i="5" s="1"/>
  <c r="R42" i="5"/>
  <c r="S42" i="5" s="1"/>
  <c r="T42" i="5" s="1"/>
  <c r="R40" i="5"/>
  <c r="S40" i="5" s="1"/>
  <c r="T40" i="5" s="1"/>
  <c r="R47" i="5"/>
  <c r="S47" i="5" s="1"/>
  <c r="T47" i="5" s="1"/>
  <c r="R44" i="5"/>
  <c r="S44" i="5" s="1"/>
  <c r="T44" i="5" s="1"/>
  <c r="R45" i="5"/>
  <c r="S45" i="5" s="1"/>
  <c r="T45" i="5" s="1"/>
  <c r="R50" i="5"/>
  <c r="S50" i="5" s="1"/>
  <c r="R48" i="5"/>
  <c r="S48" i="5" s="1"/>
  <c r="R46" i="5"/>
  <c r="S46" i="5" s="1"/>
  <c r="R49" i="5"/>
  <c r="S49" i="5" s="1"/>
  <c r="R38" i="5"/>
  <c r="S38" i="5" s="1"/>
  <c r="R41" i="5"/>
  <c r="S41" i="5" s="1"/>
  <c r="S23" i="5"/>
  <c r="S32" i="5"/>
  <c r="S33" i="5"/>
  <c r="S21" i="5"/>
  <c r="S25" i="5"/>
  <c r="S29" i="5"/>
  <c r="S24" i="5"/>
  <c r="S26" i="5"/>
  <c r="S30" i="5"/>
  <c r="N8" i="4"/>
  <c r="N20" i="4"/>
  <c r="N9" i="4"/>
  <c r="N21" i="4"/>
  <c r="R31" i="5"/>
  <c r="N12" i="4"/>
  <c r="N24" i="4"/>
  <c r="M14" i="4"/>
  <c r="M26" i="4"/>
  <c r="N15" i="4"/>
  <c r="N27" i="4"/>
  <c r="M8" i="4"/>
  <c r="M20" i="4"/>
  <c r="N6" i="4"/>
  <c r="N18" i="4"/>
  <c r="M9" i="4"/>
  <c r="M21" i="4"/>
  <c r="N7" i="4"/>
  <c r="N19" i="4"/>
  <c r="M10" i="4"/>
  <c r="M22" i="4"/>
  <c r="M11" i="4"/>
  <c r="M23" i="4"/>
  <c r="M12" i="4"/>
  <c r="M24" i="4"/>
  <c r="M13" i="4"/>
  <c r="M25" i="4"/>
  <c r="M15" i="4"/>
  <c r="M27" i="4"/>
  <c r="M4" i="4"/>
  <c r="M16" i="4"/>
  <c r="M28" i="4"/>
  <c r="M5" i="4"/>
  <c r="M17" i="4"/>
  <c r="M29" i="4"/>
  <c r="K68" i="2"/>
  <c r="M68" i="2" s="1"/>
  <c r="M69" i="2" s="1"/>
  <c r="U54" i="1"/>
  <c r="U51" i="1"/>
  <c r="U37" i="1"/>
  <c r="U81" i="1"/>
  <c r="U80" i="1"/>
  <c r="U75" i="1"/>
  <c r="U15" i="1"/>
  <c r="U63" i="1"/>
  <c r="U62" i="1"/>
  <c r="U10" i="1"/>
  <c r="U61" i="1"/>
  <c r="U74" i="1"/>
  <c r="U58" i="1"/>
  <c r="U57" i="1"/>
  <c r="U26" i="1"/>
  <c r="U55" i="1"/>
  <c r="U53" i="1"/>
  <c r="U52" i="1"/>
  <c r="U73" i="1"/>
  <c r="U50" i="1"/>
  <c r="U78" i="1"/>
  <c r="U72" i="1"/>
  <c r="U48" i="1"/>
  <c r="U77" i="1"/>
  <c r="U71" i="1"/>
  <c r="U47" i="1"/>
  <c r="U70" i="1"/>
  <c r="U46" i="1"/>
  <c r="U4" i="1"/>
  <c r="U45" i="1"/>
  <c r="U44" i="1"/>
  <c r="U43" i="1"/>
  <c r="U42" i="1"/>
  <c r="U40" i="1"/>
  <c r="U21" i="1"/>
  <c r="U76" i="1"/>
  <c r="U39" i="1"/>
  <c r="U20" i="1"/>
  <c r="U68" i="1"/>
  <c r="U67" i="1"/>
  <c r="U82" i="1"/>
  <c r="U36" i="1"/>
  <c r="U35" i="1"/>
  <c r="U34" i="1"/>
  <c r="U32" i="1"/>
  <c r="U66" i="1"/>
  <c r="U65" i="1"/>
  <c r="U17" i="1"/>
  <c r="U30" i="1"/>
  <c r="U29" i="1"/>
  <c r="U16" i="1"/>
  <c r="U64" i="1"/>
  <c r="U27" i="1"/>
  <c r="U79" i="1"/>
  <c r="U60" i="1"/>
  <c r="U59" i="1"/>
  <c r="U9" i="1"/>
  <c r="U8" i="1"/>
  <c r="U14" i="1"/>
  <c r="U13" i="1"/>
  <c r="U49" i="1"/>
  <c r="U24" i="1"/>
  <c r="U5" i="1"/>
  <c r="U23" i="1"/>
  <c r="U22" i="1"/>
  <c r="U3" i="1"/>
  <c r="U69" i="1"/>
  <c r="U33" i="1"/>
  <c r="U6" i="1"/>
  <c r="U18" i="1"/>
  <c r="U28" i="1"/>
  <c r="U11" i="1"/>
  <c r="U56" i="1"/>
  <c r="U25" i="1"/>
  <c r="U7" i="1"/>
  <c r="U2" i="1"/>
  <c r="U41" i="1"/>
  <c r="U12" i="1"/>
  <c r="U38" i="1"/>
  <c r="U19" i="1"/>
  <c r="U31" i="1"/>
  <c r="T50" i="5" l="1"/>
  <c r="T49" i="5"/>
  <c r="T48" i="5"/>
  <c r="T46" i="5"/>
  <c r="T41" i="5"/>
  <c r="T38" i="5"/>
  <c r="S31" i="5"/>
  <c r="T28" i="5"/>
  <c r="T24" i="5"/>
  <c r="T21" i="5"/>
  <c r="T32" i="5"/>
  <c r="T22" i="5"/>
  <c r="T33" i="5"/>
  <c r="T30" i="5"/>
  <c r="T27" i="5"/>
  <c r="T25" i="5"/>
  <c r="T29" i="5"/>
  <c r="T23" i="5"/>
  <c r="T26" i="5"/>
  <c r="L40" i="3"/>
  <c r="L39" i="3"/>
  <c r="L38" i="3"/>
  <c r="L37" i="3"/>
  <c r="T31" i="5" l="1"/>
  <c r="M44" i="3"/>
  <c r="N40" i="3"/>
  <c r="M40" i="3"/>
  <c r="N39" i="3"/>
  <c r="M39" i="3"/>
  <c r="N38" i="3"/>
  <c r="M38" i="3"/>
  <c r="N37" i="3"/>
  <c r="M37" i="3"/>
  <c r="AF40" i="3"/>
  <c r="N47" i="3" s="1"/>
  <c r="AE40" i="3"/>
  <c r="M47" i="3" s="1"/>
  <c r="AF39" i="3"/>
  <c r="N46" i="3" s="1"/>
  <c r="AE39" i="3"/>
  <c r="M46" i="3" s="1"/>
  <c r="AF38" i="3"/>
  <c r="N45" i="3" s="1"/>
  <c r="AE38" i="3"/>
  <c r="M45" i="3" s="1"/>
  <c r="AF37" i="3"/>
  <c r="N44" i="3" s="1"/>
  <c r="AE37" i="3"/>
  <c r="L47" i="3"/>
  <c r="L46" i="3"/>
  <c r="L45" i="3"/>
  <c r="L44" i="3"/>
  <c r="K40" i="3"/>
  <c r="J40" i="3"/>
  <c r="I40" i="3"/>
  <c r="I46" i="3"/>
  <c r="K39" i="3"/>
  <c r="J39" i="3"/>
  <c r="I39" i="3"/>
  <c r="K38" i="3"/>
  <c r="J38" i="3"/>
  <c r="I38" i="3"/>
  <c r="K37" i="3"/>
  <c r="J37" i="3"/>
  <c r="I37" i="3"/>
  <c r="AC40" i="3"/>
  <c r="K47" i="3" s="1"/>
  <c r="AB40" i="3"/>
  <c r="J47" i="3" s="1"/>
  <c r="AA40" i="3"/>
  <c r="I47" i="3" s="1"/>
  <c r="AC39" i="3"/>
  <c r="K46" i="3" s="1"/>
  <c r="AB39" i="3"/>
  <c r="J46" i="3" s="1"/>
  <c r="AA39" i="3"/>
  <c r="AC38" i="3"/>
  <c r="K45" i="3" s="1"/>
  <c r="AB38" i="3"/>
  <c r="J45" i="3" s="1"/>
  <c r="AA38" i="3"/>
  <c r="I45" i="3" s="1"/>
  <c r="AC37" i="3"/>
  <c r="K44" i="3" s="1"/>
  <c r="AB37" i="3"/>
  <c r="J44" i="3" s="1"/>
  <c r="AA37" i="3"/>
  <c r="I44" i="3" s="1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O21" i="2" l="1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R21" i="2"/>
  <c r="Q21" i="2"/>
  <c r="P21" i="2"/>
  <c r="N21" i="2"/>
  <c r="M21" i="2"/>
  <c r="R20" i="2"/>
  <c r="Q20" i="2"/>
  <c r="P20" i="2"/>
  <c r="N20" i="2"/>
  <c r="M20" i="2"/>
  <c r="R19" i="2"/>
  <c r="Q19" i="2"/>
  <c r="P19" i="2"/>
  <c r="N19" i="2"/>
  <c r="M19" i="2"/>
  <c r="R18" i="2"/>
  <c r="Q18" i="2"/>
  <c r="P18" i="2"/>
  <c r="N18" i="2"/>
  <c r="M18" i="2"/>
  <c r="R17" i="2"/>
  <c r="Q17" i="2"/>
  <c r="P17" i="2"/>
  <c r="N17" i="2"/>
  <c r="M17" i="2"/>
  <c r="R16" i="2"/>
  <c r="Q16" i="2"/>
  <c r="P16" i="2"/>
  <c r="N16" i="2"/>
  <c r="M16" i="2"/>
  <c r="R15" i="2"/>
  <c r="Q15" i="2"/>
  <c r="P15" i="2"/>
  <c r="N15" i="2"/>
  <c r="M15" i="2"/>
  <c r="R14" i="2"/>
  <c r="Q14" i="2"/>
  <c r="P14" i="2"/>
  <c r="N14" i="2"/>
  <c r="M14" i="2"/>
  <c r="R13" i="2"/>
  <c r="Q13" i="2"/>
  <c r="P13" i="2"/>
  <c r="N13" i="2"/>
  <c r="M13" i="2"/>
  <c r="G31" i="2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31" i="2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E31" i="2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N12" i="2"/>
  <c r="N11" i="2"/>
  <c r="N10" i="2"/>
  <c r="N9" i="2"/>
  <c r="N8" i="2"/>
  <c r="M12" i="2"/>
  <c r="M11" i="2"/>
  <c r="M10" i="2"/>
  <c r="M9" i="2"/>
  <c r="M8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T46" i="1"/>
  <c r="Y46" i="1" s="1"/>
  <c r="T15" i="1"/>
  <c r="Y15" i="1" s="1"/>
  <c r="T27" i="1"/>
  <c r="Y27" i="1" s="1"/>
  <c r="T63" i="1"/>
  <c r="Y63" i="1" s="1"/>
  <c r="T62" i="1"/>
  <c r="Y62" i="1" s="1"/>
  <c r="T79" i="1"/>
  <c r="Y79" i="1" s="1"/>
  <c r="T10" i="1"/>
  <c r="Y10" i="1" s="1"/>
  <c r="T61" i="1"/>
  <c r="Y61" i="1" s="1"/>
  <c r="T74" i="1"/>
  <c r="Y74" i="1" s="1"/>
  <c r="T60" i="1"/>
  <c r="Y60" i="1" s="1"/>
  <c r="T59" i="1"/>
  <c r="T9" i="1"/>
  <c r="Y9" i="1" s="1"/>
  <c r="T58" i="1"/>
  <c r="Y58" i="1" s="1"/>
  <c r="T57" i="1"/>
  <c r="Y57" i="1" s="1"/>
  <c r="T26" i="1"/>
  <c r="Y26" i="1" s="1"/>
  <c r="T8" i="1"/>
  <c r="Y8" i="1" s="1"/>
  <c r="T14" i="1"/>
  <c r="Y14" i="1" s="1"/>
  <c r="T56" i="1"/>
  <c r="Y56" i="1" s="1"/>
  <c r="T55" i="1"/>
  <c r="Y55" i="1" s="1"/>
  <c r="T54" i="1"/>
  <c r="Y54" i="1" s="1"/>
  <c r="T53" i="1"/>
  <c r="Y53" i="1" s="1"/>
  <c r="T25" i="1"/>
  <c r="Y25" i="1" s="1"/>
  <c r="T52" i="1"/>
  <c r="Y52" i="1" s="1"/>
  <c r="T51" i="1"/>
  <c r="Y51" i="1" s="1"/>
  <c r="T7" i="1"/>
  <c r="Y7" i="1" s="1"/>
  <c r="T73" i="1"/>
  <c r="Y73" i="1" s="1"/>
  <c r="T50" i="1"/>
  <c r="Y50" i="1" s="1"/>
  <c r="T78" i="1"/>
  <c r="Y78" i="1" s="1"/>
  <c r="T13" i="1"/>
  <c r="Y13" i="1" s="1"/>
  <c r="T49" i="1"/>
  <c r="Y49" i="1" s="1"/>
  <c r="T72" i="1"/>
  <c r="Y72" i="1" s="1"/>
  <c r="T48" i="1"/>
  <c r="Y48" i="1" s="1"/>
  <c r="T77" i="1"/>
  <c r="Y77" i="1" s="1"/>
  <c r="T24" i="1"/>
  <c r="Y24" i="1" s="1"/>
  <c r="T71" i="1"/>
  <c r="Y71" i="1" s="1"/>
  <c r="T47" i="1"/>
  <c r="Y47" i="1" s="1"/>
  <c r="T70" i="1"/>
  <c r="Y70" i="1" s="1"/>
  <c r="T5" i="1"/>
  <c r="Y5" i="1" s="1"/>
  <c r="T4" i="1"/>
  <c r="Y4" i="1" s="1"/>
  <c r="T23" i="1"/>
  <c r="Y23" i="1" s="1"/>
  <c r="T2" i="1"/>
  <c r="Y2" i="1" s="1"/>
  <c r="T22" i="1"/>
  <c r="Y22" i="1" s="1"/>
  <c r="T45" i="1"/>
  <c r="Y45" i="1" s="1"/>
  <c r="T44" i="1"/>
  <c r="Y44" i="1" s="1"/>
  <c r="T43" i="1"/>
  <c r="Y43" i="1" s="1"/>
  <c r="T42" i="1"/>
  <c r="Y42" i="1" s="1"/>
  <c r="T41" i="1"/>
  <c r="Y41" i="1" s="1"/>
  <c r="T40" i="1"/>
  <c r="Y40" i="1" s="1"/>
  <c r="T21" i="1"/>
  <c r="Y21" i="1" s="1"/>
  <c r="T12" i="1"/>
  <c r="Y12" i="1" s="1"/>
  <c r="T3" i="1"/>
  <c r="Y3" i="1" s="1"/>
  <c r="T76" i="1"/>
  <c r="Y76" i="1" s="1"/>
  <c r="T69" i="1"/>
  <c r="Y69" i="1" s="1"/>
  <c r="T39" i="1"/>
  <c r="Y39" i="1" s="1"/>
  <c r="T20" i="1"/>
  <c r="Y20" i="1" s="1"/>
  <c r="T68" i="1"/>
  <c r="Y68" i="1" s="1"/>
  <c r="T38" i="1"/>
  <c r="Y38" i="1" s="1"/>
  <c r="T67" i="1"/>
  <c r="Y67" i="1" s="1"/>
  <c r="T82" i="1"/>
  <c r="Y82" i="1" s="1"/>
  <c r="T37" i="1"/>
  <c r="Y37" i="1" s="1"/>
  <c r="T36" i="1"/>
  <c r="Y36" i="1" s="1"/>
  <c r="T19" i="1"/>
  <c r="Y19" i="1" s="1"/>
  <c r="T81" i="1"/>
  <c r="Y81" i="1" s="1"/>
  <c r="T35" i="1"/>
  <c r="Y35" i="1" s="1"/>
  <c r="T34" i="1"/>
  <c r="Y34" i="1" s="1"/>
  <c r="T33" i="1"/>
  <c r="Y33" i="1" s="1"/>
  <c r="T6" i="1"/>
  <c r="Y6" i="1" s="1"/>
  <c r="T32" i="1"/>
  <c r="Y32" i="1" s="1"/>
  <c r="T18" i="1"/>
  <c r="Y18" i="1" s="1"/>
  <c r="T66" i="1"/>
  <c r="Y66" i="1" s="1"/>
  <c r="T65" i="1"/>
  <c r="Y65" i="1" s="1"/>
  <c r="T31" i="1"/>
  <c r="Y31" i="1" s="1"/>
  <c r="T17" i="1"/>
  <c r="Y17" i="1" s="1"/>
  <c r="T80" i="1"/>
  <c r="Y80" i="1" s="1"/>
  <c r="T30" i="1"/>
  <c r="Y30" i="1" s="1"/>
  <c r="T29" i="1"/>
  <c r="Y29" i="1" s="1"/>
  <c r="T28" i="1"/>
  <c r="Y28" i="1" s="1"/>
  <c r="T16" i="1"/>
  <c r="Y16" i="1" s="1"/>
  <c r="T64" i="1"/>
  <c r="Y64" i="1" s="1"/>
  <c r="T75" i="1"/>
  <c r="Y75" i="1" s="1"/>
  <c r="T11" i="1"/>
  <c r="Y11" i="1" s="1"/>
  <c r="Y59" i="1"/>
  <c r="V15" i="1"/>
  <c r="V63" i="1"/>
  <c r="V79" i="1"/>
  <c r="V61" i="1"/>
  <c r="V60" i="1"/>
  <c r="V9" i="1"/>
  <c r="V57" i="1"/>
  <c r="V8" i="1"/>
  <c r="V56" i="1"/>
  <c r="V54" i="1"/>
  <c r="V25" i="1"/>
  <c r="V51" i="1"/>
  <c r="V73" i="1"/>
  <c r="V78" i="1"/>
  <c r="V49" i="1"/>
  <c r="V48" i="1"/>
  <c r="V24" i="1"/>
  <c r="V47" i="1"/>
  <c r="V46" i="1"/>
  <c r="V4" i="1"/>
  <c r="V2" i="1"/>
  <c r="V45" i="1"/>
  <c r="V43" i="1"/>
  <c r="V41" i="1"/>
  <c r="V21" i="1"/>
  <c r="V3" i="1"/>
  <c r="W76" i="1"/>
  <c r="V69" i="1"/>
  <c r="V20" i="1"/>
  <c r="V38" i="1"/>
  <c r="V82" i="1"/>
  <c r="V36" i="1"/>
  <c r="V81" i="1"/>
  <c r="V34" i="1"/>
  <c r="V6" i="1"/>
  <c r="V18" i="1"/>
  <c r="V65" i="1"/>
  <c r="V17" i="1"/>
  <c r="V30" i="1"/>
  <c r="W29" i="1"/>
  <c r="V28" i="1"/>
  <c r="V64" i="1"/>
  <c r="V11" i="1"/>
  <c r="X5" i="1" l="1"/>
  <c r="X80" i="1"/>
  <c r="W12" i="1"/>
  <c r="W19" i="1"/>
  <c r="X23" i="1"/>
  <c r="W35" i="1"/>
  <c r="X16" i="1"/>
  <c r="W33" i="1"/>
  <c r="AF33" i="1" s="1"/>
  <c r="X39" i="1"/>
  <c r="W22" i="1"/>
  <c r="AF22" i="1" s="1"/>
  <c r="W31" i="1"/>
  <c r="AB31" i="1" s="1"/>
  <c r="AC31" i="1" s="1"/>
  <c r="W37" i="1"/>
  <c r="AF37" i="1" s="1"/>
  <c r="W40" i="1"/>
  <c r="X66" i="1"/>
  <c r="W67" i="1"/>
  <c r="AD67" i="1" s="1"/>
  <c r="W42" i="1"/>
  <c r="AD42" i="1" s="1"/>
  <c r="W75" i="1"/>
  <c r="AB75" i="1" s="1"/>
  <c r="W32" i="1"/>
  <c r="AD32" i="1" s="1"/>
  <c r="X68" i="1"/>
  <c r="X44" i="1"/>
  <c r="W70" i="1"/>
  <c r="AB70" i="1" s="1"/>
  <c r="AC70" i="1" s="1"/>
  <c r="X71" i="1"/>
  <c r="X77" i="1"/>
  <c r="W72" i="1"/>
  <c r="AB72" i="1" s="1"/>
  <c r="AC72" i="1" s="1"/>
  <c r="X13" i="1"/>
  <c r="W50" i="1"/>
  <c r="AF50" i="1" s="1"/>
  <c r="X7" i="1"/>
  <c r="X52" i="1"/>
  <c r="W53" i="1"/>
  <c r="AD53" i="1" s="1"/>
  <c r="X55" i="1"/>
  <c r="W14" i="1"/>
  <c r="AD14" i="1" s="1"/>
  <c r="W58" i="1"/>
  <c r="AF58" i="1" s="1"/>
  <c r="W59" i="1"/>
  <c r="AB59" i="1" s="1"/>
  <c r="AC59" i="1" s="1"/>
  <c r="X74" i="1"/>
  <c r="W10" i="1"/>
  <c r="AF10" i="1" s="1"/>
  <c r="X27" i="1"/>
  <c r="X26" i="1"/>
  <c r="W62" i="1"/>
  <c r="AD62" i="1" s="1"/>
  <c r="AB29" i="1"/>
  <c r="AC29" i="1" s="1"/>
  <c r="AD29" i="1"/>
  <c r="AF29" i="1"/>
  <c r="AB33" i="1"/>
  <c r="AC33" i="1" s="1"/>
  <c r="AD35" i="1"/>
  <c r="AB35" i="1"/>
  <c r="AC35" i="1" s="1"/>
  <c r="AF35" i="1"/>
  <c r="AB19" i="1"/>
  <c r="AC19" i="1" s="1"/>
  <c r="AF19" i="1"/>
  <c r="AD37" i="1"/>
  <c r="AB67" i="1"/>
  <c r="AC67" i="1" s="1"/>
  <c r="AF67" i="1"/>
  <c r="AD76" i="1"/>
  <c r="AB76" i="1"/>
  <c r="AC76" i="1" s="1"/>
  <c r="AF76" i="1"/>
  <c r="AB12" i="1"/>
  <c r="AC12" i="1" s="1"/>
  <c r="AF12" i="1"/>
  <c r="AB40" i="1"/>
  <c r="AC40" i="1" s="1"/>
  <c r="AD40" i="1"/>
  <c r="AF40" i="1"/>
  <c r="AD22" i="1"/>
  <c r="AD50" i="1"/>
  <c r="AF59" i="1"/>
  <c r="W11" i="1"/>
  <c r="W5" i="1"/>
  <c r="W3" i="1"/>
  <c r="W25" i="1"/>
  <c r="W41" i="1"/>
  <c r="W69" i="1"/>
  <c r="W13" i="1"/>
  <c r="W60" i="1"/>
  <c r="W38" i="1"/>
  <c r="W56" i="1"/>
  <c r="W8" i="1"/>
  <c r="W27" i="1"/>
  <c r="W7" i="1"/>
  <c r="W82" i="1"/>
  <c r="W20" i="1"/>
  <c r="W61" i="1"/>
  <c r="W47" i="1"/>
  <c r="W68" i="1"/>
  <c r="W16" i="1"/>
  <c r="W36" i="1"/>
  <c r="W39" i="1"/>
  <c r="W34" i="1"/>
  <c r="W44" i="1"/>
  <c r="W17" i="1"/>
  <c r="W63" i="1"/>
  <c r="W66" i="1"/>
  <c r="W57" i="1"/>
  <c r="W78" i="1"/>
  <c r="W26" i="1"/>
  <c r="W52" i="1"/>
  <c r="W15" i="1"/>
  <c r="W55" i="1"/>
  <c r="W74" i="1"/>
  <c r="W77" i="1"/>
  <c r="W4" i="1"/>
  <c r="W23" i="1"/>
  <c r="W51" i="1"/>
  <c r="W80" i="1"/>
  <c r="W71" i="1"/>
  <c r="W81" i="1"/>
  <c r="X14" i="1"/>
  <c r="X79" i="1"/>
  <c r="X6" i="1"/>
  <c r="X22" i="1"/>
  <c r="X12" i="1"/>
  <c r="X49" i="1"/>
  <c r="X59" i="1"/>
  <c r="X33" i="1"/>
  <c r="X28" i="1"/>
  <c r="X31" i="1"/>
  <c r="X18" i="1"/>
  <c r="X9" i="1"/>
  <c r="X32" i="1"/>
  <c r="X24" i="1"/>
  <c r="X19" i="1"/>
  <c r="X67" i="1"/>
  <c r="X76" i="1"/>
  <c r="X73" i="1"/>
  <c r="X50" i="1"/>
  <c r="X29" i="1"/>
  <c r="X45" i="1"/>
  <c r="X42" i="1"/>
  <c r="X21" i="1"/>
  <c r="X62" i="1"/>
  <c r="X43" i="1"/>
  <c r="X58" i="1"/>
  <c r="X53" i="1"/>
  <c r="X30" i="1"/>
  <c r="X48" i="1"/>
  <c r="X64" i="1"/>
  <c r="X40" i="1"/>
  <c r="X46" i="1"/>
  <c r="X75" i="1"/>
  <c r="X2" i="1"/>
  <c r="X10" i="1"/>
  <c r="X35" i="1"/>
  <c r="X72" i="1"/>
  <c r="X70" i="1"/>
  <c r="X54" i="1"/>
  <c r="X37" i="1"/>
  <c r="X65" i="1"/>
  <c r="AD2" i="1"/>
  <c r="W79" i="1"/>
  <c r="W6" i="1"/>
  <c r="W49" i="1"/>
  <c r="W28" i="1"/>
  <c r="W18" i="1"/>
  <c r="W9" i="1"/>
  <c r="W24" i="1"/>
  <c r="W73" i="1"/>
  <c r="W45" i="1"/>
  <c r="W21" i="1"/>
  <c r="W43" i="1"/>
  <c r="W30" i="1"/>
  <c r="W48" i="1"/>
  <c r="W64" i="1"/>
  <c r="W46" i="1"/>
  <c r="W2" i="1"/>
  <c r="W54" i="1"/>
  <c r="W65" i="1"/>
  <c r="X11" i="1"/>
  <c r="X3" i="1"/>
  <c r="X25" i="1"/>
  <c r="AD25" i="1" s="1"/>
  <c r="X41" i="1"/>
  <c r="AD41" i="1" s="1"/>
  <c r="X69" i="1"/>
  <c r="X60" i="1"/>
  <c r="X38" i="1"/>
  <c r="AD38" i="1" s="1"/>
  <c r="X56" i="1"/>
  <c r="AD56" i="1" s="1"/>
  <c r="X8" i="1"/>
  <c r="X82" i="1"/>
  <c r="X20" i="1"/>
  <c r="X61" i="1"/>
  <c r="X47" i="1"/>
  <c r="X36" i="1"/>
  <c r="X34" i="1"/>
  <c r="X17" i="1"/>
  <c r="X63" i="1"/>
  <c r="X57" i="1"/>
  <c r="X78" i="1"/>
  <c r="X15" i="1"/>
  <c r="X4" i="1"/>
  <c r="X51" i="1"/>
  <c r="X81" i="1"/>
  <c r="AF14" i="1"/>
  <c r="Z71" i="1"/>
  <c r="Z77" i="1"/>
  <c r="Z72" i="1"/>
  <c r="Z13" i="1"/>
  <c r="Z50" i="1"/>
  <c r="AA50" i="1" s="1"/>
  <c r="Z7" i="1"/>
  <c r="AE7" i="1" s="1"/>
  <c r="Z52" i="1"/>
  <c r="Z53" i="1"/>
  <c r="Z55" i="1"/>
  <c r="Z14" i="1"/>
  <c r="AA14" i="1" s="1"/>
  <c r="Z26" i="1"/>
  <c r="Z58" i="1"/>
  <c r="AA58" i="1" s="1"/>
  <c r="Z59" i="1"/>
  <c r="Z74" i="1"/>
  <c r="Z10" i="1"/>
  <c r="Z62" i="1"/>
  <c r="Z27" i="1"/>
  <c r="Z75" i="1"/>
  <c r="Z16" i="1"/>
  <c r="Z29" i="1"/>
  <c r="AA29" i="1" s="1"/>
  <c r="Z80" i="1"/>
  <c r="Z31" i="1"/>
  <c r="Z66" i="1"/>
  <c r="Z32" i="1"/>
  <c r="Z33" i="1"/>
  <c r="AA33" i="1" s="1"/>
  <c r="Z35" i="1"/>
  <c r="AA35" i="1" s="1"/>
  <c r="Z19" i="1"/>
  <c r="AA19" i="1" s="1"/>
  <c r="Z37" i="1"/>
  <c r="AA37" i="1" s="1"/>
  <c r="Z67" i="1"/>
  <c r="AA67" i="1" s="1"/>
  <c r="Z68" i="1"/>
  <c r="Z39" i="1"/>
  <c r="Z76" i="1"/>
  <c r="AA76" i="1" s="1"/>
  <c r="Z12" i="1"/>
  <c r="AA12" i="1" s="1"/>
  <c r="Z40" i="1"/>
  <c r="AA40" i="1" s="1"/>
  <c r="Z42" i="1"/>
  <c r="Z44" i="1"/>
  <c r="Z22" i="1"/>
  <c r="AA22" i="1" s="1"/>
  <c r="Z23" i="1"/>
  <c r="AA23" i="1" s="1"/>
  <c r="Z5" i="1"/>
  <c r="Z70" i="1"/>
  <c r="AA70" i="1" s="1"/>
  <c r="V75" i="1"/>
  <c r="V16" i="1"/>
  <c r="V29" i="1"/>
  <c r="V80" i="1"/>
  <c r="V31" i="1"/>
  <c r="V66" i="1"/>
  <c r="V32" i="1"/>
  <c r="V33" i="1"/>
  <c r="V35" i="1"/>
  <c r="V19" i="1"/>
  <c r="V37" i="1"/>
  <c r="V67" i="1"/>
  <c r="V68" i="1"/>
  <c r="V39" i="1"/>
  <c r="V76" i="1"/>
  <c r="V12" i="1"/>
  <c r="V40" i="1"/>
  <c r="V42" i="1"/>
  <c r="V44" i="1"/>
  <c r="V22" i="1"/>
  <c r="V23" i="1"/>
  <c r="V5" i="1"/>
  <c r="V70" i="1"/>
  <c r="V71" i="1"/>
  <c r="V77" i="1"/>
  <c r="V72" i="1"/>
  <c r="V13" i="1"/>
  <c r="V50" i="1"/>
  <c r="V7" i="1"/>
  <c r="AD7" i="1" s="1"/>
  <c r="V52" i="1"/>
  <c r="V53" i="1"/>
  <c r="V55" i="1"/>
  <c r="V14" i="1"/>
  <c r="V26" i="1"/>
  <c r="V58" i="1"/>
  <c r="V59" i="1"/>
  <c r="V74" i="1"/>
  <c r="V10" i="1"/>
  <c r="V62" i="1"/>
  <c r="V27" i="1"/>
  <c r="Z11" i="1"/>
  <c r="Z64" i="1"/>
  <c r="Z28" i="1"/>
  <c r="Z30" i="1"/>
  <c r="Z17" i="1"/>
  <c r="Z65" i="1"/>
  <c r="Z18" i="1"/>
  <c r="Z6" i="1"/>
  <c r="Z34" i="1"/>
  <c r="Z81" i="1"/>
  <c r="Z36" i="1"/>
  <c r="Z82" i="1"/>
  <c r="Z38" i="1"/>
  <c r="Z20" i="1"/>
  <c r="Z69" i="1"/>
  <c r="Z3" i="1"/>
  <c r="Z21" i="1"/>
  <c r="Z41" i="1"/>
  <c r="Z43" i="1"/>
  <c r="Z45" i="1"/>
  <c r="Z2" i="1"/>
  <c r="Z4" i="1"/>
  <c r="Z46" i="1"/>
  <c r="Z47" i="1"/>
  <c r="Z24" i="1"/>
  <c r="Z48" i="1"/>
  <c r="Z49" i="1"/>
  <c r="Z78" i="1"/>
  <c r="Z73" i="1"/>
  <c r="Z51" i="1"/>
  <c r="Z25" i="1"/>
  <c r="Z54" i="1"/>
  <c r="Z56" i="1"/>
  <c r="Z8" i="1"/>
  <c r="Z57" i="1"/>
  <c r="Z9" i="1"/>
  <c r="Z60" i="1"/>
  <c r="Z61" i="1"/>
  <c r="Z79" i="1"/>
  <c r="Z63" i="1"/>
  <c r="Z15" i="1"/>
  <c r="AD33" i="1" l="1"/>
  <c r="AA16" i="1"/>
  <c r="AB14" i="1"/>
  <c r="AC14" i="1" s="1"/>
  <c r="AB37" i="1"/>
  <c r="AC37" i="1" s="1"/>
  <c r="AA42" i="1"/>
  <c r="AF42" i="1"/>
  <c r="AF62" i="1"/>
  <c r="AB10" i="1"/>
  <c r="AC10" i="1" s="1"/>
  <c r="AA68" i="1"/>
  <c r="AA77" i="1"/>
  <c r="AB22" i="1"/>
  <c r="AC22" i="1" s="1"/>
  <c r="AA26" i="1"/>
  <c r="AB42" i="1"/>
  <c r="AC42" i="1" s="1"/>
  <c r="AA31" i="1"/>
  <c r="AA53" i="1"/>
  <c r="AA75" i="1"/>
  <c r="AF53" i="1"/>
  <c r="AB53" i="1"/>
  <c r="AC53" i="1" s="1"/>
  <c r="AA72" i="1"/>
  <c r="AF75" i="1"/>
  <c r="AD75" i="1"/>
  <c r="AB50" i="1"/>
  <c r="AC50" i="1" s="1"/>
  <c r="AF72" i="1"/>
  <c r="AD72" i="1"/>
  <c r="AD59" i="1"/>
  <c r="AF31" i="1"/>
  <c r="AD58" i="1"/>
  <c r="AD70" i="1"/>
  <c r="AB58" i="1"/>
  <c r="AC58" i="1" s="1"/>
  <c r="AA32" i="1"/>
  <c r="AF32" i="1"/>
  <c r="AB32" i="1"/>
  <c r="AC32" i="1" s="1"/>
  <c r="AA39" i="1"/>
  <c r="AC75" i="1"/>
  <c r="AE75" i="1"/>
  <c r="AA71" i="1"/>
  <c r="AA10" i="1"/>
  <c r="AA59" i="1"/>
  <c r="AD10" i="1"/>
  <c r="AF70" i="1"/>
  <c r="AA62" i="1"/>
  <c r="AB62" i="1"/>
  <c r="AC62" i="1" s="1"/>
  <c r="AE19" i="1"/>
  <c r="AA63" i="1"/>
  <c r="AA8" i="1"/>
  <c r="AA54" i="1"/>
  <c r="AA51" i="1"/>
  <c r="AA48" i="1"/>
  <c r="AA47" i="1"/>
  <c r="AA4" i="1"/>
  <c r="AA45" i="1"/>
  <c r="AA3" i="1"/>
  <c r="AA20" i="1"/>
  <c r="AD12" i="1"/>
  <c r="AD19" i="1"/>
  <c r="AE59" i="1"/>
  <c r="AE70" i="1"/>
  <c r="AE72" i="1"/>
  <c r="AE12" i="1"/>
  <c r="AA15" i="1"/>
  <c r="AA79" i="1"/>
  <c r="AA57" i="1"/>
  <c r="AA49" i="1"/>
  <c r="AA24" i="1"/>
  <c r="AA46" i="1"/>
  <c r="AA43" i="1"/>
  <c r="AA38" i="1"/>
  <c r="AA18" i="1"/>
  <c r="AA11" i="1"/>
  <c r="AE22" i="1"/>
  <c r="AG22" i="1" s="1"/>
  <c r="AE37" i="1"/>
  <c r="AG37" i="1" s="1"/>
  <c r="AE35" i="1"/>
  <c r="AG35" i="1" s="1"/>
  <c r="AE29" i="1"/>
  <c r="AG29" i="1" s="1"/>
  <c r="AA44" i="1"/>
  <c r="AA74" i="1"/>
  <c r="AA7" i="1"/>
  <c r="AA13" i="1"/>
  <c r="AA61" i="1"/>
  <c r="AA9" i="1"/>
  <c r="AA78" i="1"/>
  <c r="AA82" i="1"/>
  <c r="AA81" i="1"/>
  <c r="AA6" i="1"/>
  <c r="AA65" i="1"/>
  <c r="AA30" i="1"/>
  <c r="AA64" i="1"/>
  <c r="AE14" i="1"/>
  <c r="AG14" i="1" s="1"/>
  <c r="AE40" i="1"/>
  <c r="AG40" i="1" s="1"/>
  <c r="AE76" i="1"/>
  <c r="AG76" i="1" s="1"/>
  <c r="AA60" i="1"/>
  <c r="AA73" i="1"/>
  <c r="AA21" i="1"/>
  <c r="AA69" i="1"/>
  <c r="AA36" i="1"/>
  <c r="AA34" i="1"/>
  <c r="AA17" i="1"/>
  <c r="AA28" i="1"/>
  <c r="AD31" i="1"/>
  <c r="AE10" i="1"/>
  <c r="AE58" i="1"/>
  <c r="AE53" i="1"/>
  <c r="AE67" i="1"/>
  <c r="AG67" i="1" s="1"/>
  <c r="AE33" i="1"/>
  <c r="AG33" i="1" s="1"/>
  <c r="AE31" i="1"/>
  <c r="AA5" i="1"/>
  <c r="AA66" i="1"/>
  <c r="AA80" i="1"/>
  <c r="AA27" i="1"/>
  <c r="AA55" i="1"/>
  <c r="AA52" i="1"/>
  <c r="AF65" i="1"/>
  <c r="AD65" i="1"/>
  <c r="AB65" i="1"/>
  <c r="AF2" i="1"/>
  <c r="AB2" i="1"/>
  <c r="AC2" i="1" s="1"/>
  <c r="AD64" i="1"/>
  <c r="AF64" i="1"/>
  <c r="AB64" i="1"/>
  <c r="AD30" i="1"/>
  <c r="AF30" i="1"/>
  <c r="AB30" i="1"/>
  <c r="AD21" i="1"/>
  <c r="AF21" i="1"/>
  <c r="AB21" i="1"/>
  <c r="AD73" i="1"/>
  <c r="AF73" i="1"/>
  <c r="AB73" i="1"/>
  <c r="AD9" i="1"/>
  <c r="AF9" i="1"/>
  <c r="AB9" i="1"/>
  <c r="AD28" i="1"/>
  <c r="AF28" i="1"/>
  <c r="AB28" i="1"/>
  <c r="AF6" i="1"/>
  <c r="AD6" i="1"/>
  <c r="AB6" i="1"/>
  <c r="AB71" i="1"/>
  <c r="AD71" i="1"/>
  <c r="AF71" i="1"/>
  <c r="AF51" i="1"/>
  <c r="AD51" i="1"/>
  <c r="AB51" i="1"/>
  <c r="AD4" i="1"/>
  <c r="AF4" i="1"/>
  <c r="AB4" i="1"/>
  <c r="AF74" i="1"/>
  <c r="AB74" i="1"/>
  <c r="AD74" i="1"/>
  <c r="AD15" i="1"/>
  <c r="AF15" i="1"/>
  <c r="AB15" i="1"/>
  <c r="AF26" i="1"/>
  <c r="AB26" i="1"/>
  <c r="AD26" i="1"/>
  <c r="AD57" i="1"/>
  <c r="AF57" i="1"/>
  <c r="AB57" i="1"/>
  <c r="AD63" i="1"/>
  <c r="AF63" i="1"/>
  <c r="AB63" i="1"/>
  <c r="AD44" i="1"/>
  <c r="AB44" i="1"/>
  <c r="AF44" i="1"/>
  <c r="AD39" i="1"/>
  <c r="AB39" i="1"/>
  <c r="AF39" i="1"/>
  <c r="AB16" i="1"/>
  <c r="AD16" i="1"/>
  <c r="AF16" i="1"/>
  <c r="AD47" i="1"/>
  <c r="AF47" i="1"/>
  <c r="AB47" i="1"/>
  <c r="AF20" i="1"/>
  <c r="AD20" i="1"/>
  <c r="AB20" i="1"/>
  <c r="AB7" i="1"/>
  <c r="AC7" i="1" s="1"/>
  <c r="AF7" i="1"/>
  <c r="AD8" i="1"/>
  <c r="AF8" i="1"/>
  <c r="AB8" i="1"/>
  <c r="AF38" i="1"/>
  <c r="AB38" i="1"/>
  <c r="AC38" i="1" s="1"/>
  <c r="AB13" i="1"/>
  <c r="AD13" i="1"/>
  <c r="AF13" i="1"/>
  <c r="AF41" i="1"/>
  <c r="AB41" i="1"/>
  <c r="AC41" i="1" s="1"/>
  <c r="AF3" i="1"/>
  <c r="AD3" i="1"/>
  <c r="AB3" i="1"/>
  <c r="AF11" i="1"/>
  <c r="AD11" i="1"/>
  <c r="AB11" i="1"/>
  <c r="AD54" i="1"/>
  <c r="AF54" i="1"/>
  <c r="AB54" i="1"/>
  <c r="AD46" i="1"/>
  <c r="AF46" i="1"/>
  <c r="AB46" i="1"/>
  <c r="AD48" i="1"/>
  <c r="AF48" i="1"/>
  <c r="AB48" i="1"/>
  <c r="AF43" i="1"/>
  <c r="AD43" i="1"/>
  <c r="AB43" i="1"/>
  <c r="AF45" i="1"/>
  <c r="AD45" i="1"/>
  <c r="AB45" i="1"/>
  <c r="AD24" i="1"/>
  <c r="AF24" i="1"/>
  <c r="AB24" i="1"/>
  <c r="AF18" i="1"/>
  <c r="AD18" i="1"/>
  <c r="AB18" i="1"/>
  <c r="AD49" i="1"/>
  <c r="AF49" i="1"/>
  <c r="AB49" i="1"/>
  <c r="AD79" i="1"/>
  <c r="AF79" i="1"/>
  <c r="AB79" i="1"/>
  <c r="AF81" i="1"/>
  <c r="AD81" i="1"/>
  <c r="AB81" i="1"/>
  <c r="AB80" i="1"/>
  <c r="AD80" i="1"/>
  <c r="AF80" i="1"/>
  <c r="AB23" i="1"/>
  <c r="AD23" i="1"/>
  <c r="AF23" i="1"/>
  <c r="AB77" i="1"/>
  <c r="AD77" i="1"/>
  <c r="AF77" i="1"/>
  <c r="AB55" i="1"/>
  <c r="AD55" i="1"/>
  <c r="AF55" i="1"/>
  <c r="AD52" i="1"/>
  <c r="AB52" i="1"/>
  <c r="AF52" i="1"/>
  <c r="AD78" i="1"/>
  <c r="AF78" i="1"/>
  <c r="AB78" i="1"/>
  <c r="AD66" i="1"/>
  <c r="AB66" i="1"/>
  <c r="AF66" i="1"/>
  <c r="AD17" i="1"/>
  <c r="AF17" i="1"/>
  <c r="AB17" i="1"/>
  <c r="AF34" i="1"/>
  <c r="AD34" i="1"/>
  <c r="AB34" i="1"/>
  <c r="AD36" i="1"/>
  <c r="AF36" i="1"/>
  <c r="AB36" i="1"/>
  <c r="AD68" i="1"/>
  <c r="AB68" i="1"/>
  <c r="AF68" i="1"/>
  <c r="AD61" i="1"/>
  <c r="AF61" i="1"/>
  <c r="AB61" i="1"/>
  <c r="AD82" i="1"/>
  <c r="AF82" i="1"/>
  <c r="AB82" i="1"/>
  <c r="AD27" i="1"/>
  <c r="AF27" i="1"/>
  <c r="AB27" i="1"/>
  <c r="AF56" i="1"/>
  <c r="AB56" i="1"/>
  <c r="AC56" i="1" s="1"/>
  <c r="AD60" i="1"/>
  <c r="AF60" i="1"/>
  <c r="AB60" i="1"/>
  <c r="AF69" i="1"/>
  <c r="AD69" i="1"/>
  <c r="AB69" i="1"/>
  <c r="AF25" i="1"/>
  <c r="AB25" i="1"/>
  <c r="AC25" i="1" s="1"/>
  <c r="AB5" i="1"/>
  <c r="AD5" i="1"/>
  <c r="AF5" i="1"/>
  <c r="AE38" i="1"/>
  <c r="AA41" i="1"/>
  <c r="AE41" i="1"/>
  <c r="AA56" i="1"/>
  <c r="AE56" i="1"/>
  <c r="AA25" i="1"/>
  <c r="AE25" i="1"/>
  <c r="AA2" i="1"/>
  <c r="AE2" i="1"/>
  <c r="AG58" i="1" l="1"/>
  <c r="AE42" i="1"/>
  <c r="AG42" i="1" s="1"/>
  <c r="AG53" i="1"/>
  <c r="AG72" i="1"/>
  <c r="AE32" i="1"/>
  <c r="AG75" i="1"/>
  <c r="AG10" i="1"/>
  <c r="AE50" i="1"/>
  <c r="AG50" i="1" s="1"/>
  <c r="AG70" i="1"/>
  <c r="AG32" i="1"/>
  <c r="AG59" i="1"/>
  <c r="AE62" i="1"/>
  <c r="AG62" i="1" s="1"/>
  <c r="AG2" i="1"/>
  <c r="AG25" i="1"/>
  <c r="AG56" i="1"/>
  <c r="AG41" i="1"/>
  <c r="AG12" i="1"/>
  <c r="AG19" i="1"/>
  <c r="AG38" i="1"/>
  <c r="AG31" i="1"/>
  <c r="AG7" i="1"/>
  <c r="AC69" i="1"/>
  <c r="AE69" i="1"/>
  <c r="AC27" i="1"/>
  <c r="AE27" i="1"/>
  <c r="AC61" i="1"/>
  <c r="AE61" i="1"/>
  <c r="AC68" i="1"/>
  <c r="AE68" i="1"/>
  <c r="AC36" i="1"/>
  <c r="AE36" i="1"/>
  <c r="AC17" i="1"/>
  <c r="AE17" i="1"/>
  <c r="AC66" i="1"/>
  <c r="AE66" i="1"/>
  <c r="AC78" i="1"/>
  <c r="AE78" i="1"/>
  <c r="AC52" i="1"/>
  <c r="AE52" i="1"/>
  <c r="AC55" i="1"/>
  <c r="AE55" i="1"/>
  <c r="AC23" i="1"/>
  <c r="AE23" i="1"/>
  <c r="AC81" i="1"/>
  <c r="AE81" i="1"/>
  <c r="AC49" i="1"/>
  <c r="AE49" i="1"/>
  <c r="AC24" i="1"/>
  <c r="AE24" i="1"/>
  <c r="AC43" i="1"/>
  <c r="AE43" i="1"/>
  <c r="AC46" i="1"/>
  <c r="AE46" i="1"/>
  <c r="AC11" i="1"/>
  <c r="AE11" i="1"/>
  <c r="AC13" i="1"/>
  <c r="AE13" i="1"/>
  <c r="AC20" i="1"/>
  <c r="AE20" i="1"/>
  <c r="AC16" i="1"/>
  <c r="AE16" i="1"/>
  <c r="AC39" i="1"/>
  <c r="AE39" i="1"/>
  <c r="AC57" i="1"/>
  <c r="AE57" i="1"/>
  <c r="AC26" i="1"/>
  <c r="AE26" i="1"/>
  <c r="AC15" i="1"/>
  <c r="AE15" i="1"/>
  <c r="AC74" i="1"/>
  <c r="AE74" i="1"/>
  <c r="AC4" i="1"/>
  <c r="AE4" i="1"/>
  <c r="AC71" i="1"/>
  <c r="AE71" i="1"/>
  <c r="AC28" i="1"/>
  <c r="AE28" i="1"/>
  <c r="AC73" i="1"/>
  <c r="AE73" i="1"/>
  <c r="AC30" i="1"/>
  <c r="AE30" i="1"/>
  <c r="AC65" i="1"/>
  <c r="AE65" i="1"/>
  <c r="AC5" i="1"/>
  <c r="AE5" i="1"/>
  <c r="AC60" i="1"/>
  <c r="AE60" i="1"/>
  <c r="AC82" i="1"/>
  <c r="AE82" i="1"/>
  <c r="AC34" i="1"/>
  <c r="AE34" i="1"/>
  <c r="AC77" i="1"/>
  <c r="AE77" i="1"/>
  <c r="AC80" i="1"/>
  <c r="AE80" i="1"/>
  <c r="AC79" i="1"/>
  <c r="AE79" i="1"/>
  <c r="AC18" i="1"/>
  <c r="AE18" i="1"/>
  <c r="AC45" i="1"/>
  <c r="AE45" i="1"/>
  <c r="AC48" i="1"/>
  <c r="AE48" i="1"/>
  <c r="AC54" i="1"/>
  <c r="AE54" i="1"/>
  <c r="AC3" i="1"/>
  <c r="AE3" i="1"/>
  <c r="AC8" i="1"/>
  <c r="AE8" i="1"/>
  <c r="AC47" i="1"/>
  <c r="AE47" i="1"/>
  <c r="AC44" i="1"/>
  <c r="AE44" i="1"/>
  <c r="AC63" i="1"/>
  <c r="AE63" i="1"/>
  <c r="AC51" i="1"/>
  <c r="AE51" i="1"/>
  <c r="AC6" i="1"/>
  <c r="AE6" i="1"/>
  <c r="AC9" i="1"/>
  <c r="AE9" i="1"/>
  <c r="AC21" i="1"/>
  <c r="AE21" i="1"/>
  <c r="AC64" i="1"/>
  <c r="AE64" i="1"/>
  <c r="AG64" i="1" l="1"/>
  <c r="AG21" i="1"/>
  <c r="AG9" i="1"/>
  <c r="AG6" i="1"/>
  <c r="AG51" i="1"/>
  <c r="AG63" i="1"/>
  <c r="AG44" i="1"/>
  <c r="AG47" i="1"/>
  <c r="AG8" i="1"/>
  <c r="AG3" i="1"/>
  <c r="AG54" i="1"/>
  <c r="AG48" i="1"/>
  <c r="AG45" i="1"/>
  <c r="AG18" i="1"/>
  <c r="AG79" i="1"/>
  <c r="AG80" i="1"/>
  <c r="AG77" i="1"/>
  <c r="AG34" i="1"/>
  <c r="AG82" i="1"/>
  <c r="AG60" i="1"/>
  <c r="AG5" i="1"/>
  <c r="AG65" i="1"/>
  <c r="AG30" i="1"/>
  <c r="AG73" i="1"/>
  <c r="AG28" i="1"/>
  <c r="AG71" i="1"/>
  <c r="AG4" i="1"/>
  <c r="AG74" i="1"/>
  <c r="AG15" i="1"/>
  <c r="AG26" i="1"/>
  <c r="AG57" i="1"/>
  <c r="AG39" i="1"/>
  <c r="AG16" i="1"/>
  <c r="AG20" i="1"/>
  <c r="AG13" i="1"/>
  <c r="AG11" i="1"/>
  <c r="AG46" i="1"/>
  <c r="AG43" i="1"/>
  <c r="AG24" i="1"/>
  <c r="AG49" i="1"/>
  <c r="AG81" i="1"/>
  <c r="AG23" i="1"/>
  <c r="AG55" i="1"/>
  <c r="AG52" i="1"/>
  <c r="AG78" i="1"/>
  <c r="AG66" i="1"/>
  <c r="AG17" i="1"/>
  <c r="AG36" i="1"/>
  <c r="AG68" i="1"/>
  <c r="AG61" i="1"/>
  <c r="AG27" i="1"/>
  <c r="AG69" i="1"/>
</calcChain>
</file>

<file path=xl/sharedStrings.xml><?xml version="1.0" encoding="utf-8"?>
<sst xmlns="http://schemas.openxmlformats.org/spreadsheetml/2006/main" count="1083" uniqueCount="371">
  <si>
    <t>Character</t>
  </si>
  <si>
    <t>STR</t>
  </si>
  <si>
    <t>TECH</t>
  </si>
  <si>
    <t>MAG</t>
  </si>
  <si>
    <t>SPD</t>
  </si>
  <si>
    <t>PROT</t>
  </si>
  <si>
    <t>MDEF</t>
  </si>
  <si>
    <t>LUCK</t>
  </si>
  <si>
    <t>HP</t>
  </si>
  <si>
    <t>SLOT</t>
  </si>
  <si>
    <t>WPN</t>
  </si>
  <si>
    <t>Armor</t>
  </si>
  <si>
    <t>ATK</t>
  </si>
  <si>
    <t>CRIT</t>
  </si>
  <si>
    <t>Lightning</t>
  </si>
  <si>
    <t>CLMY</t>
  </si>
  <si>
    <t>Abizboah</t>
  </si>
  <si>
    <t>None</t>
  </si>
  <si>
    <t>Amada</t>
  </si>
  <si>
    <t>CVM</t>
  </si>
  <si>
    <t>Anita</t>
  </si>
  <si>
    <t>CLSF</t>
  </si>
  <si>
    <t>Ayda</t>
  </si>
  <si>
    <t>CVFY</t>
  </si>
  <si>
    <t>Badeaux</t>
  </si>
  <si>
    <t>EHM</t>
  </si>
  <si>
    <t>Bob</t>
  </si>
  <si>
    <t>Bolgan</t>
  </si>
  <si>
    <t>EHMY</t>
  </si>
  <si>
    <t>Camus</t>
  </si>
  <si>
    <t>ELSM</t>
  </si>
  <si>
    <t>Chaco</t>
  </si>
  <si>
    <t>CVW</t>
  </si>
  <si>
    <t>Chuchara</t>
  </si>
  <si>
    <t>Clive</t>
  </si>
  <si>
    <t>CLM</t>
  </si>
  <si>
    <t>Eilie</t>
  </si>
  <si>
    <t>Feather</t>
  </si>
  <si>
    <t>Flik</t>
  </si>
  <si>
    <t>CLSM</t>
  </si>
  <si>
    <t>Freed Y</t>
  </si>
  <si>
    <t>Futch</t>
  </si>
  <si>
    <t>ELSMY</t>
  </si>
  <si>
    <t>Gabocha</t>
  </si>
  <si>
    <t>CLKY</t>
  </si>
  <si>
    <t>Gadget</t>
  </si>
  <si>
    <t>Gantetsu</t>
  </si>
  <si>
    <t>Gengen</t>
  </si>
  <si>
    <t>ELSKY</t>
  </si>
  <si>
    <t>Genshu</t>
  </si>
  <si>
    <t>Georg</t>
  </si>
  <si>
    <t>Gijimu</t>
  </si>
  <si>
    <t>Hai Yo</t>
  </si>
  <si>
    <t>Hanna</t>
  </si>
  <si>
    <t>ELSF</t>
  </si>
  <si>
    <t>Hauser</t>
  </si>
  <si>
    <t>ELM</t>
  </si>
  <si>
    <t>Hix</t>
  </si>
  <si>
    <t>Exertion</t>
  </si>
  <si>
    <t>Hoi</t>
  </si>
  <si>
    <t>Technique</t>
  </si>
  <si>
    <t>Humphrey</t>
  </si>
  <si>
    <t>Jowy</t>
  </si>
  <si>
    <t>Kahn</t>
  </si>
  <si>
    <t>Magic Drain</t>
  </si>
  <si>
    <t>Karen</t>
  </si>
  <si>
    <t>Sleep</t>
  </si>
  <si>
    <t>CVF</t>
  </si>
  <si>
    <t>Kasumi</t>
  </si>
  <si>
    <t>Killey</t>
  </si>
  <si>
    <t>Kinnison</t>
  </si>
  <si>
    <t>Koyu</t>
  </si>
  <si>
    <t>L.C.Chan</t>
  </si>
  <si>
    <t>Lo Wen</t>
  </si>
  <si>
    <t>ELF</t>
  </si>
  <si>
    <t>Lorelai</t>
  </si>
  <si>
    <t>Luc</t>
  </si>
  <si>
    <t>CRMY</t>
  </si>
  <si>
    <t>Makumaku</t>
  </si>
  <si>
    <t>Mazus</t>
  </si>
  <si>
    <t>CRM</t>
  </si>
  <si>
    <t>McDohl</t>
  </si>
  <si>
    <t>Meg</t>
  </si>
  <si>
    <t>Mekumeku</t>
  </si>
  <si>
    <t>Miklotov</t>
  </si>
  <si>
    <t>Mikumiku</t>
  </si>
  <si>
    <t>Millie</t>
  </si>
  <si>
    <t>Mokumoku</t>
  </si>
  <si>
    <t>Mondo</t>
  </si>
  <si>
    <t>Mukumuku</t>
  </si>
  <si>
    <t>Nanami</t>
  </si>
  <si>
    <t>Nina</t>
  </si>
  <si>
    <t>Oulan</t>
  </si>
  <si>
    <t>Pesmerga</t>
  </si>
  <si>
    <t>Rage</t>
  </si>
  <si>
    <t>EHSM</t>
  </si>
  <si>
    <t>Rikimaru</t>
  </si>
  <si>
    <t>Rina</t>
  </si>
  <si>
    <t>Rulodia</t>
  </si>
  <si>
    <t>Sasuke</t>
  </si>
  <si>
    <t>CVMY</t>
  </si>
  <si>
    <t>Sheena</t>
  </si>
  <si>
    <t>Shilo</t>
  </si>
  <si>
    <t>Shin</t>
  </si>
  <si>
    <t>Shiro</t>
  </si>
  <si>
    <t>Sid</t>
  </si>
  <si>
    <t>Siegfried</t>
  </si>
  <si>
    <t>Sierra</t>
  </si>
  <si>
    <t>Thunder</t>
  </si>
  <si>
    <t>Simone</t>
  </si>
  <si>
    <t>CLN</t>
  </si>
  <si>
    <t>Stallion</t>
  </si>
  <si>
    <t>Tai Ho</t>
  </si>
  <si>
    <t>Tengaar</t>
  </si>
  <si>
    <t>CRF</t>
  </si>
  <si>
    <t>Tomo</t>
  </si>
  <si>
    <t>Tsai</t>
  </si>
  <si>
    <t>Tuta</t>
  </si>
  <si>
    <t>Valeria</t>
  </si>
  <si>
    <t>Viki</t>
  </si>
  <si>
    <t>Viktor</t>
  </si>
  <si>
    <t>Vincent</t>
  </si>
  <si>
    <t>CLSN</t>
  </si>
  <si>
    <t>Wakaba</t>
  </si>
  <si>
    <t>Yoshino</t>
  </si>
  <si>
    <t>Zamza</t>
  </si>
  <si>
    <t>Bow</t>
  </si>
  <si>
    <t>Knight</t>
  </si>
  <si>
    <t>Trick</t>
  </si>
  <si>
    <t>Warrior</t>
  </si>
  <si>
    <t>MAX</t>
  </si>
  <si>
    <t>S</t>
  </si>
  <si>
    <t>A</t>
  </si>
  <si>
    <t>A+</t>
  </si>
  <si>
    <t>B</t>
  </si>
  <si>
    <t>B+</t>
  </si>
  <si>
    <t>C+</t>
  </si>
  <si>
    <t>C</t>
  </si>
  <si>
    <t>D</t>
  </si>
  <si>
    <t>E</t>
  </si>
  <si>
    <t>F</t>
  </si>
  <si>
    <t>Head</t>
  </si>
  <si>
    <t>Type</t>
  </si>
  <si>
    <t>Bright Shield</t>
  </si>
  <si>
    <t>Hero</t>
  </si>
  <si>
    <t>Blue Drop</t>
  </si>
  <si>
    <t>Beast</t>
  </si>
  <si>
    <t>Spear</t>
  </si>
  <si>
    <t>Falcon</t>
  </si>
  <si>
    <t>Sword</t>
  </si>
  <si>
    <t>Howling</t>
  </si>
  <si>
    <t>Other</t>
  </si>
  <si>
    <t>Rabid Fang</t>
  </si>
  <si>
    <t>Fire Breath</t>
  </si>
  <si>
    <t>Claws</t>
  </si>
  <si>
    <t>Darts</t>
  </si>
  <si>
    <t>Shining Wind</t>
  </si>
  <si>
    <t>Rod</t>
  </si>
  <si>
    <t>Swallow</t>
  </si>
  <si>
    <t>Great Sword</t>
  </si>
  <si>
    <t>Axe</t>
  </si>
  <si>
    <t>Black Sword</t>
  </si>
  <si>
    <t>Twin Ring</t>
  </si>
  <si>
    <t>Shrike</t>
  </si>
  <si>
    <t>White Tiger</t>
  </si>
  <si>
    <t>Blue Gate</t>
  </si>
  <si>
    <t>Soul Eater</t>
  </si>
  <si>
    <t>Groundhog</t>
  </si>
  <si>
    <t>Mayfly</t>
  </si>
  <si>
    <t>Angry Dragon</t>
  </si>
  <si>
    <t>Flowing</t>
  </si>
  <si>
    <t>Spider Slay</t>
  </si>
  <si>
    <t>White Saint</t>
  </si>
  <si>
    <t>True Holy</t>
  </si>
  <si>
    <t>Medicine</t>
  </si>
  <si>
    <t>Blinking</t>
  </si>
  <si>
    <t>Zodiac</t>
  </si>
  <si>
    <t>Fire Dragon</t>
  </si>
  <si>
    <t>DMG</t>
  </si>
  <si>
    <t>EQP</t>
  </si>
  <si>
    <t>WPN Rune</t>
  </si>
  <si>
    <t>Right Hand</t>
  </si>
  <si>
    <t>Left Hand</t>
  </si>
  <si>
    <t>DB/DS</t>
  </si>
  <si>
    <t>+ Fury</t>
  </si>
  <si>
    <t xml:space="preserve"> + Killer</t>
  </si>
  <si>
    <t>DMG %</t>
  </si>
  <si>
    <t>+ Killer</t>
  </si>
  <si>
    <t>K/DS/F</t>
  </si>
  <si>
    <t>+Warrior</t>
  </si>
  <si>
    <t>Fire</t>
  </si>
  <si>
    <t>&lt;Riou&gt;</t>
  </si>
  <si>
    <t>RAW</t>
  </si>
  <si>
    <t>ADJ</t>
  </si>
  <si>
    <t>MULT</t>
  </si>
  <si>
    <t>SURV</t>
  </si>
  <si>
    <t>tier 1</t>
  </si>
  <si>
    <t>high</t>
  </si>
  <si>
    <t>prob</t>
  </si>
  <si>
    <t>tier 2</t>
  </si>
  <si>
    <t>Min</t>
  </si>
  <si>
    <t>Max</t>
  </si>
  <si>
    <t>Base</t>
  </si>
  <si>
    <t>Level</t>
  </si>
  <si>
    <t>Mean</t>
  </si>
  <si>
    <t>MAIN</t>
  </si>
  <si>
    <t>Level 4</t>
  </si>
  <si>
    <t>Level 5</t>
  </si>
  <si>
    <t>Exp Range</t>
  </si>
  <si>
    <t>Desired Battle</t>
  </si>
  <si>
    <t>End ranges:</t>
  </si>
  <si>
    <t>Level 7</t>
  </si>
  <si>
    <t>Level 8</t>
  </si>
  <si>
    <t>Level 6</t>
  </si>
  <si>
    <t>0-9</t>
  </si>
  <si>
    <t>100-409</t>
  </si>
  <si>
    <t>0-209</t>
  </si>
  <si>
    <t>Spiderx5</t>
  </si>
  <si>
    <t>700-999</t>
  </si>
  <si>
    <t>Spiderx3</t>
  </si>
  <si>
    <t>0-159</t>
  </si>
  <si>
    <t>600-909</t>
  </si>
  <si>
    <t>Spiderx5 +T</t>
  </si>
  <si>
    <t>750-999</t>
  </si>
  <si>
    <t>Birdx5</t>
  </si>
  <si>
    <t>160-499</t>
  </si>
  <si>
    <t>500-599</t>
  </si>
  <si>
    <t>0-99</t>
  </si>
  <si>
    <t>10 - 99</t>
  </si>
  <si>
    <t>Birdx5+T or Spiderx5 followed by Birds or Spiderx3</t>
  </si>
  <si>
    <t>500-809</t>
  </si>
  <si>
    <t>810-999</t>
  </si>
  <si>
    <t>Spiderx3 or Birdx5</t>
  </si>
  <si>
    <t>Any</t>
  </si>
  <si>
    <t>410-709</t>
  </si>
  <si>
    <t>710-999</t>
  </si>
  <si>
    <t>433-742</t>
  </si>
  <si>
    <t>Spiderx5+T</t>
  </si>
  <si>
    <t>210-432</t>
  </si>
  <si>
    <t>Birdsx5</t>
  </si>
  <si>
    <t xml:space="preserve"> +Tsai</t>
  </si>
  <si>
    <t>Norm</t>
  </si>
  <si>
    <t>EXP</t>
  </si>
  <si>
    <t>Boar</t>
  </si>
  <si>
    <t>Boarx1</t>
  </si>
  <si>
    <t>Snailx2</t>
  </si>
  <si>
    <t>Snailx3</t>
  </si>
  <si>
    <t>Kobold</t>
  </si>
  <si>
    <t>Forest</t>
  </si>
  <si>
    <t>South</t>
  </si>
  <si>
    <t>Rockaxe</t>
  </si>
  <si>
    <t>Highway</t>
  </si>
  <si>
    <t>Gregminster</t>
  </si>
  <si>
    <t>Rokkaku</t>
  </si>
  <si>
    <t>Crom</t>
  </si>
  <si>
    <t>ITEM</t>
  </si>
  <si>
    <t>Sugar</t>
  </si>
  <si>
    <t>Mayonnaise</t>
  </si>
  <si>
    <t>Wooden Amulet</t>
  </si>
  <si>
    <t>Flute</t>
  </si>
  <si>
    <t>Candle</t>
  </si>
  <si>
    <t>Ancient Text</t>
  </si>
  <si>
    <t>Crystal Ball</t>
  </si>
  <si>
    <t>Failure Urn</t>
  </si>
  <si>
    <t>Graffiti</t>
  </si>
  <si>
    <t>Salt</t>
  </si>
  <si>
    <t>Fur</t>
  </si>
  <si>
    <t>Holly Berry</t>
  </si>
  <si>
    <t>Wine</t>
  </si>
  <si>
    <t>Deer Antler</t>
  </si>
  <si>
    <t>Native Costume</t>
  </si>
  <si>
    <t>Book</t>
  </si>
  <si>
    <t>Vase</t>
  </si>
  <si>
    <t>Wide Urn</t>
  </si>
  <si>
    <t>Soy Sauce</t>
  </si>
  <si>
    <t>Musk</t>
  </si>
  <si>
    <t>Gold Bar</t>
  </si>
  <si>
    <t>Japanese Dish</t>
  </si>
  <si>
    <t>Red Pepper</t>
  </si>
  <si>
    <t>Pearl</t>
  </si>
  <si>
    <t>Persian Lamp</t>
  </si>
  <si>
    <t>Flower Painting</t>
  </si>
  <si>
    <t>Celadon Urn</t>
  </si>
  <si>
    <t>Chinese Dish</t>
  </si>
  <si>
    <t>Blue Dragon Urn</t>
  </si>
  <si>
    <t>Peeing Boy</t>
  </si>
  <si>
    <t>Coral</t>
  </si>
  <si>
    <t>Average</t>
  </si>
  <si>
    <t>Max Gain</t>
  </si>
  <si>
    <t>Avg Gain</t>
  </si>
  <si>
    <t>South Window</t>
  </si>
  <si>
    <t>Mayo</t>
  </si>
  <si>
    <t>Wooden</t>
  </si>
  <si>
    <t>Ancient</t>
  </si>
  <si>
    <t>Crystal</t>
  </si>
  <si>
    <t>Price</t>
  </si>
  <si>
    <t>AVERAGE</t>
  </si>
  <si>
    <t>MIN</t>
  </si>
  <si>
    <t>SWING</t>
  </si>
  <si>
    <t>Holly</t>
  </si>
  <si>
    <t>Deer</t>
  </si>
  <si>
    <t>Native</t>
  </si>
  <si>
    <t>Normalized</t>
  </si>
  <si>
    <t>Plus/Minus</t>
  </si>
  <si>
    <t>Chinese</t>
  </si>
  <si>
    <t>Flower</t>
  </si>
  <si>
    <t>Persian</t>
  </si>
  <si>
    <t>Blue Dragon</t>
  </si>
  <si>
    <t>Peeing</t>
  </si>
  <si>
    <t>Min Amt</t>
  </si>
  <si>
    <t>Max Amt</t>
  </si>
  <si>
    <t>Gold</t>
  </si>
  <si>
    <t>Soy</t>
  </si>
  <si>
    <t>Pepper</t>
  </si>
  <si>
    <t>Celadon</t>
  </si>
  <si>
    <t>Japanese</t>
  </si>
  <si>
    <t>Max Chart</t>
  </si>
  <si>
    <t>Min Chart</t>
  </si>
  <si>
    <t>Min cost</t>
  </si>
  <si>
    <t>Max Cost</t>
  </si>
  <si>
    <t>SCENARIOS:</t>
  </si>
  <si>
    <t>Best Case</t>
  </si>
  <si>
    <t>Worst Case</t>
  </si>
  <si>
    <t>Buy Crystal in SW, Sell in Kobold</t>
  </si>
  <si>
    <t>Buy Ancient in Kobold, sell in Forest</t>
  </si>
  <si>
    <t>Buy Mayo in SW, sell at HW</t>
  </si>
  <si>
    <t>Buy Persian in SW, sell at GM</t>
  </si>
  <si>
    <t>Buy Flower in SW, sell at GM</t>
  </si>
  <si>
    <t>Best Buy</t>
  </si>
  <si>
    <t>Best Sell</t>
  </si>
  <si>
    <t>Best Sale</t>
  </si>
  <si>
    <t>Best Purchase</t>
  </si>
  <si>
    <t>Amount</t>
  </si>
  <si>
    <t>S Window</t>
  </si>
  <si>
    <t>S Window/Rockaxe</t>
  </si>
  <si>
    <t>Profit</t>
  </si>
  <si>
    <t>ROI</t>
  </si>
  <si>
    <t>Score</t>
  </si>
  <si>
    <t>Buy Fail</t>
  </si>
  <si>
    <t>Sell Fail</t>
  </si>
  <si>
    <t>Buy Musk in HW, sell at HW</t>
  </si>
  <si>
    <t>Buy Books in HW, sell at HW</t>
  </si>
  <si>
    <t>Buy Mayo at Kobold, sell at HW</t>
  </si>
  <si>
    <t>Buy Mayo at HW, sell at HW</t>
  </si>
  <si>
    <t>Buy Coral at SW, sell at SW</t>
  </si>
  <si>
    <t>Plan:</t>
  </si>
  <si>
    <t>Check HW during Kindness Early for Musk, Books. Buy either if high stock.</t>
  </si>
  <si>
    <t>Check SW on first visit for Coral. If none, buy Crystal, Flower, Persian, or Chinese if high stock</t>
  </si>
  <si>
    <t>Sell Crystal at KO, buy Ancient if available.</t>
  </si>
  <si>
    <t>Sell Ancient at FO</t>
  </si>
  <si>
    <t>Check SW again until Coral available/unavailable as needed</t>
  </si>
  <si>
    <t>4 Possible visits to SW</t>
  </si>
  <si>
    <t>lvl 38 Sheena</t>
  </si>
  <si>
    <t>lvl 63 Luc</t>
  </si>
  <si>
    <t>Death 1: Worm</t>
  </si>
  <si>
    <t>Death 2: Luca</t>
  </si>
  <si>
    <t>Death 3: Muse? On the road? Unnecessary?</t>
  </si>
  <si>
    <t>Sierra:</t>
  </si>
  <si>
    <t>Golem:</t>
  </si>
  <si>
    <t>Bolt</t>
  </si>
  <si>
    <t>Neclord</t>
  </si>
  <si>
    <t>Thor</t>
  </si>
  <si>
    <t>42 dmg via worm jump…</t>
  </si>
  <si>
    <t>2 Blue Gates will kill, third for after</t>
  </si>
  <si>
    <t>3x8+11</t>
  </si>
  <si>
    <t>Fort</t>
  </si>
  <si>
    <t>lvl 17 Nanami</t>
  </si>
  <si>
    <t>Feathered Hat?</t>
  </si>
  <si>
    <t>SDS</t>
  </si>
  <si>
    <t>Abom</t>
  </si>
  <si>
    <t>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</si>
</sst>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11" borderId="0" applyNumberFormat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Font="1" applyFill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2" fontId="0" fillId="9" borderId="1" xfId="0" applyNumberFormat="1" applyFont="1" applyFill="1" applyBorder="1" applyAlignment="1">
      <alignment horizontal="center"/>
    </xf>
    <xf numFmtId="0" fontId="1" fillId="8" borderId="1" xfId="0" quotePrefix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0" fillId="0" borderId="0" xfId="0" applyNumberFormat="1"/>
    <xf numFmtId="1" fontId="0" fillId="0" borderId="0" xfId="0" applyNumberFormat="1"/>
    <xf numFmtId="0" fontId="3" fillId="11" borderId="0" xfId="1"/>
    <xf numFmtId="0" fontId="1" fillId="0" borderId="0" xfId="0" applyFont="1"/>
    <xf numFmtId="0" fontId="1" fillId="0" borderId="3" xfId="0" applyFont="1" applyBorder="1"/>
    <xf numFmtId="0" fontId="0" fillId="0" borderId="3" xfId="0" applyBorder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eutral" xfId="1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11.5703125" customWidth="1"/>
    <col min="2" max="3" width="9.140625" customWidth="1"/>
    <col min="4" max="4" width="8.85546875" customWidth="1"/>
    <col min="5" max="5" width="9.140625" customWidth="1"/>
    <col min="6" max="6" width="8.5703125" customWidth="1"/>
    <col min="7" max="7" width="8.85546875" customWidth="1"/>
    <col min="8" max="8" width="9.140625" customWidth="1"/>
    <col min="9" max="9" width="8.28515625" customWidth="1"/>
    <col min="10" max="10" width="11.85546875" customWidth="1"/>
    <col min="11" max="11" width="23.5703125" style="10" customWidth="1"/>
    <col min="12" max="12" width="22" style="10" customWidth="1"/>
    <col min="13" max="13" width="18.7109375" style="10" customWidth="1"/>
    <col min="14" max="14" width="21.7109375" style="11" customWidth="1"/>
    <col min="15" max="15" width="22.85546875" style="18" customWidth="1"/>
    <col min="16" max="16" width="6.85546875" style="18" customWidth="1"/>
    <col min="17" max="17" width="10.7109375" style="18" customWidth="1"/>
    <col min="18" max="18" width="11.28515625" customWidth="1"/>
    <col min="19" max="19" width="13.7109375" customWidth="1"/>
    <col min="20" max="20" width="9.140625" customWidth="1"/>
    <col min="21" max="21" width="8.28515625" customWidth="1"/>
    <col min="22" max="22" width="9" customWidth="1"/>
    <col min="24" max="24" width="0" hidden="1" customWidth="1"/>
    <col min="25" max="32" width="0" style="27" hidden="1" customWidth="1"/>
    <col min="33" max="33" width="9.140625" style="27"/>
    <col min="35" max="35" width="9.140625" customWidth="1"/>
    <col min="38" max="38" width="11.28515625" hidden="1" customWidth="1"/>
    <col min="39" max="39" width="0" hidden="1" customWidth="1"/>
  </cols>
  <sheetData>
    <row r="1" spans="1:3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141</v>
      </c>
      <c r="L1" s="2" t="s">
        <v>181</v>
      </c>
      <c r="M1" s="2" t="s">
        <v>182</v>
      </c>
      <c r="N1" s="2" t="s">
        <v>10</v>
      </c>
      <c r="O1" s="12" t="s">
        <v>142</v>
      </c>
      <c r="P1" s="12" t="s">
        <v>10</v>
      </c>
      <c r="Q1" s="12" t="s">
        <v>179</v>
      </c>
      <c r="R1" s="2" t="s">
        <v>180</v>
      </c>
      <c r="S1" s="2" t="s">
        <v>11</v>
      </c>
      <c r="T1" s="32" t="s">
        <v>12</v>
      </c>
      <c r="U1" s="22" t="s">
        <v>13</v>
      </c>
      <c r="V1" s="25" t="s">
        <v>187</v>
      </c>
      <c r="W1" s="19" t="s">
        <v>178</v>
      </c>
      <c r="X1" s="25" t="s">
        <v>187</v>
      </c>
      <c r="Y1" s="28" t="s">
        <v>129</v>
      </c>
      <c r="Z1" s="28" t="s">
        <v>178</v>
      </c>
      <c r="AA1" s="28" t="s">
        <v>186</v>
      </c>
      <c r="AB1" s="23" t="s">
        <v>183</v>
      </c>
      <c r="AC1" s="31" t="s">
        <v>184</v>
      </c>
      <c r="AD1" s="31" t="s">
        <v>185</v>
      </c>
      <c r="AE1" s="31" t="s">
        <v>189</v>
      </c>
      <c r="AF1" s="23" t="s">
        <v>188</v>
      </c>
      <c r="AG1" s="20" t="s">
        <v>130</v>
      </c>
      <c r="AH1" s="2" t="s">
        <v>178</v>
      </c>
      <c r="AI1" s="2" t="s">
        <v>130</v>
      </c>
      <c r="AJ1" s="2" t="s">
        <v>13</v>
      </c>
    </row>
    <row r="2" spans="1:39" ht="15.75" thickBot="1" x14ac:dyDescent="0.3">
      <c r="A2" s="3" t="s">
        <v>76</v>
      </c>
      <c r="B2" s="4">
        <v>60</v>
      </c>
      <c r="C2" s="4">
        <v>150</v>
      </c>
      <c r="D2" s="4">
        <v>210</v>
      </c>
      <c r="E2" s="4">
        <v>175</v>
      </c>
      <c r="F2" s="4">
        <v>60</v>
      </c>
      <c r="G2" s="4">
        <v>195</v>
      </c>
      <c r="H2" s="4">
        <v>60</v>
      </c>
      <c r="I2" s="4">
        <v>600</v>
      </c>
      <c r="J2" s="4">
        <v>3</v>
      </c>
      <c r="K2" s="6"/>
      <c r="L2" s="6"/>
      <c r="M2" s="6"/>
      <c r="N2" s="4"/>
      <c r="O2" s="14" t="s">
        <v>157</v>
      </c>
      <c r="P2" s="14">
        <v>100</v>
      </c>
      <c r="Q2" s="8">
        <v>40</v>
      </c>
      <c r="R2" s="4"/>
      <c r="S2" s="4" t="s">
        <v>77</v>
      </c>
      <c r="T2" s="33">
        <f>P2+Q2+B2</f>
        <v>200</v>
      </c>
      <c r="U2" s="26">
        <f>(C2+(H2/2))/16</f>
        <v>11.25</v>
      </c>
      <c r="V2" s="26">
        <f>U2*IF(J2&gt;=1,1.5,1)</f>
        <v>16.875</v>
      </c>
      <c r="W2" s="19">
        <f>INT(T2*IF(R2="",1.5,VLOOKUP(R2,$AL$2:$AM$10,2,FALSE))*(U2*2+100)/100)</f>
        <v>367</v>
      </c>
      <c r="X2" s="22">
        <f>INT(T2*IF(R2="",1.5,VLOOKUP(R2,$AL$2:$AM$10,2,FALSE))*(U2*3+100)/100)</f>
        <v>401</v>
      </c>
      <c r="Y2" s="29">
        <f>INT((T2+IF(J2&gt;=1,F2/4,0)))</f>
        <v>215</v>
      </c>
      <c r="Z2" s="29">
        <f>INT(Y2*(U2*2+100)/100)</f>
        <v>263</v>
      </c>
      <c r="AA2" s="30">
        <f>Z2/W2</f>
        <v>0.71662125340599458</v>
      </c>
      <c r="AB2" s="24">
        <f>W2*IF(J2&lt;1,1,IF(J2=1,2,IF(J2&gt;=2,3)))</f>
        <v>1101</v>
      </c>
      <c r="AC2" s="24">
        <f>INT(AB2*IF(J2&gt;=3,1.5,1.15))</f>
        <v>1651</v>
      </c>
      <c r="AD2" s="24">
        <f>INT(IF(J2&gt;=3,X2,W2)*IF(J2&lt;1,1,IF(J2=1,2,IF(J2&gt;=2,3,1)))*1.15)</f>
        <v>1383</v>
      </c>
      <c r="AE2" s="24">
        <f>INT(IF(J2=3,Z2*3,AB2)*1.15)</f>
        <v>907</v>
      </c>
      <c r="AF2" s="24">
        <f>INT(W2*IF(J2=0,1,IF(J2&gt;=2,1.5,1)*IF(J2&gt;=3,1.5,1.15)))</f>
        <v>825</v>
      </c>
      <c r="AG2" s="21">
        <f>MAX(A2:AF2)</f>
        <v>1651</v>
      </c>
      <c r="AH2" s="9" t="s">
        <v>139</v>
      </c>
      <c r="AI2" s="9" t="s">
        <v>136</v>
      </c>
      <c r="AJ2" s="9" t="s">
        <v>140</v>
      </c>
      <c r="AL2" t="s">
        <v>17</v>
      </c>
      <c r="AM2">
        <v>1</v>
      </c>
    </row>
    <row r="3" spans="1:39" ht="15.75" thickBot="1" x14ac:dyDescent="0.3">
      <c r="A3" s="3" t="s">
        <v>62</v>
      </c>
      <c r="B3" s="4">
        <v>150</v>
      </c>
      <c r="C3" s="4">
        <v>195</v>
      </c>
      <c r="D3" s="4">
        <v>195</v>
      </c>
      <c r="E3" s="4">
        <v>175</v>
      </c>
      <c r="F3" s="4">
        <v>150</v>
      </c>
      <c r="G3" s="4">
        <v>175</v>
      </c>
      <c r="H3" s="4">
        <v>175</v>
      </c>
      <c r="I3" s="4">
        <v>660</v>
      </c>
      <c r="J3" s="4">
        <v>2</v>
      </c>
      <c r="K3" s="6"/>
      <c r="L3" s="13" t="s">
        <v>161</v>
      </c>
      <c r="M3" s="6"/>
      <c r="N3" s="4"/>
      <c r="O3" s="14" t="s">
        <v>144</v>
      </c>
      <c r="P3" s="14">
        <v>170</v>
      </c>
      <c r="Q3" s="8">
        <v>60</v>
      </c>
      <c r="R3" s="4"/>
      <c r="S3" s="4" t="s">
        <v>35</v>
      </c>
      <c r="T3" s="33">
        <f>P3+Q3+B3</f>
        <v>380</v>
      </c>
      <c r="U3" s="26">
        <f>(C3+(H3/2))/16</f>
        <v>17.65625</v>
      </c>
      <c r="V3" s="26">
        <f>U3*IF(J3&gt;=1,1.5,1)</f>
        <v>26.484375</v>
      </c>
      <c r="W3" s="19">
        <f>INT(T3*IF(R3="",1.5,VLOOKUP(R3,$AL$2:$AM$10,2,FALSE))*(U3*2+100)/100)</f>
        <v>771</v>
      </c>
      <c r="X3" s="22">
        <f>INT(T3*IF(R3="",1.5,VLOOKUP(R3,$AL$2:$AM$10,2,FALSE))*(U3*3+100)/100)</f>
        <v>871</v>
      </c>
      <c r="Y3" s="29">
        <f>INT((T3+IF(J3&gt;=1,F3/4,0)))</f>
        <v>417</v>
      </c>
      <c r="Z3" s="29">
        <f>INT(Y3*(U3*2+100)/100)</f>
        <v>564</v>
      </c>
      <c r="AA3" s="30">
        <f>Z3/W3</f>
        <v>0.73151750972762641</v>
      </c>
      <c r="AB3" s="24">
        <f>W3*IF(J3&lt;1,1,IF(J3=1,2,IF(J3&gt;=2,3)))</f>
        <v>2313</v>
      </c>
      <c r="AC3" s="24">
        <f>INT(AB3*IF(J3&gt;=3,1.5,1.15))</f>
        <v>2659</v>
      </c>
      <c r="AD3" s="24">
        <f>INT(IF(J3&gt;=3,X3,W3)*IF(J3&lt;1,1,IF(J3=1,2,IF(J3&gt;=2,3,1)))*1.15)</f>
        <v>2659</v>
      </c>
      <c r="AE3" s="24">
        <f>INT(IF(J3=3,Z3*3,AB3)*1.15)</f>
        <v>2659</v>
      </c>
      <c r="AF3" s="24">
        <f>INT(W3*IF(J3=0,1,IF(J3&gt;=2,1.5,1)*IF(J3&gt;=3,1.5,1.15)))</f>
        <v>1329</v>
      </c>
      <c r="AG3" s="21">
        <f>MAX(A3:AF3)</f>
        <v>2659</v>
      </c>
      <c r="AH3" s="9" t="s">
        <v>132</v>
      </c>
      <c r="AI3" s="9" t="s">
        <v>132</v>
      </c>
      <c r="AJ3" s="9" t="s">
        <v>133</v>
      </c>
      <c r="AL3" t="s">
        <v>64</v>
      </c>
      <c r="AM3">
        <v>1</v>
      </c>
    </row>
    <row r="4" spans="1:39" ht="15.75" thickBot="1" x14ac:dyDescent="0.3">
      <c r="A4" s="3" t="s">
        <v>79</v>
      </c>
      <c r="B4" s="4">
        <v>110</v>
      </c>
      <c r="C4" s="4">
        <v>135</v>
      </c>
      <c r="D4" s="4">
        <v>195</v>
      </c>
      <c r="E4" s="4">
        <v>135</v>
      </c>
      <c r="F4" s="4">
        <v>95</v>
      </c>
      <c r="G4" s="4">
        <v>210</v>
      </c>
      <c r="H4" s="4">
        <v>75</v>
      </c>
      <c r="I4" s="4">
        <v>660</v>
      </c>
      <c r="J4" s="4">
        <v>1</v>
      </c>
      <c r="K4" s="13" t="s">
        <v>165</v>
      </c>
      <c r="L4" s="13" t="s">
        <v>108</v>
      </c>
      <c r="M4" s="6"/>
      <c r="N4" s="4"/>
      <c r="O4" s="14" t="s">
        <v>157</v>
      </c>
      <c r="P4" s="14">
        <v>100</v>
      </c>
      <c r="Q4" s="8">
        <v>60</v>
      </c>
      <c r="R4" s="4"/>
      <c r="S4" s="4" t="s">
        <v>80</v>
      </c>
      <c r="T4" s="33">
        <f>P4+Q4+B4</f>
        <v>270</v>
      </c>
      <c r="U4" s="26">
        <f>(C4+(H4/2))/16</f>
        <v>10.78125</v>
      </c>
      <c r="V4" s="26">
        <f>U4*IF(J4&gt;=1,1.5,1)</f>
        <v>16.171875</v>
      </c>
      <c r="W4" s="19">
        <f>INT(T4*IF(R4="",1.5,VLOOKUP(R4,$AL$2:$AM$10,2,FALSE))*(U4*2+100)/100)</f>
        <v>492</v>
      </c>
      <c r="X4" s="22">
        <f>INT(T4*IF(R4="",1.5,VLOOKUP(R4,$AL$2:$AM$10,2,FALSE))*(U4*3+100)/100)</f>
        <v>535</v>
      </c>
      <c r="Y4" s="29">
        <f>INT((T4+IF(J4&gt;=1,F4/4,0)))</f>
        <v>293</v>
      </c>
      <c r="Z4" s="29">
        <f>INT(Y4*(U4*2+100)/100)</f>
        <v>356</v>
      </c>
      <c r="AA4" s="30">
        <f>Z4/W4</f>
        <v>0.72357723577235777</v>
      </c>
      <c r="AB4" s="24">
        <f>W4*IF(J4&lt;1,1,IF(J4=1,2,IF(J4&gt;=2,3)))</f>
        <v>984</v>
      </c>
      <c r="AC4" s="24">
        <f>INT(AB4*IF(J4&gt;=3,1.5,1.15))</f>
        <v>1131</v>
      </c>
      <c r="AD4" s="24">
        <f>INT(IF(J4&gt;=3,X4,W4)*IF(J4&lt;1,1,IF(J4=1,2,IF(J4&gt;=2,3,1)))*1.15)</f>
        <v>1131</v>
      </c>
      <c r="AE4" s="24">
        <f>INT(IF(J4=3,Z4*3,AB4)*1.15)</f>
        <v>1131</v>
      </c>
      <c r="AF4" s="24">
        <f>INT(W4*IF(J4=0,1,IF(J4&gt;=2,1.5,1)*IF(J4&gt;=3,1.5,1.15)))</f>
        <v>565</v>
      </c>
      <c r="AG4" s="21">
        <f>MAX(A4:AF4)</f>
        <v>1131</v>
      </c>
      <c r="AH4" s="9" t="s">
        <v>138</v>
      </c>
      <c r="AI4" s="9" t="s">
        <v>138</v>
      </c>
      <c r="AJ4" s="9" t="s">
        <v>140</v>
      </c>
      <c r="AL4" t="s">
        <v>190</v>
      </c>
      <c r="AM4">
        <v>1.25</v>
      </c>
    </row>
    <row r="5" spans="1:39" ht="15.75" thickBot="1" x14ac:dyDescent="0.3">
      <c r="A5" s="3" t="s">
        <v>81</v>
      </c>
      <c r="B5" s="4">
        <v>175</v>
      </c>
      <c r="C5" s="4">
        <v>195</v>
      </c>
      <c r="D5" s="4">
        <v>195</v>
      </c>
      <c r="E5" s="4">
        <v>150</v>
      </c>
      <c r="F5" s="4">
        <v>175</v>
      </c>
      <c r="G5" s="4">
        <v>175</v>
      </c>
      <c r="H5" s="4">
        <v>175</v>
      </c>
      <c r="I5" s="4">
        <v>720</v>
      </c>
      <c r="J5" s="4">
        <v>2</v>
      </c>
      <c r="K5" s="6"/>
      <c r="L5" s="13" t="s">
        <v>166</v>
      </c>
      <c r="M5" s="6"/>
      <c r="N5" s="4"/>
      <c r="O5" s="14" t="s">
        <v>151</v>
      </c>
      <c r="P5" s="14">
        <v>165</v>
      </c>
      <c r="Q5" s="8">
        <v>75</v>
      </c>
      <c r="R5" s="4"/>
      <c r="S5" s="4" t="s">
        <v>35</v>
      </c>
      <c r="T5" s="33">
        <f>P5+Q5+B5</f>
        <v>415</v>
      </c>
      <c r="U5" s="26">
        <f>(C5+(H5/2))/16</f>
        <v>17.65625</v>
      </c>
      <c r="V5" s="26">
        <f>U5*IF(J5&gt;=1,1.5,1)</f>
        <v>26.484375</v>
      </c>
      <c r="W5" s="19">
        <f>INT(T5*IF(R5="",1.5,VLOOKUP(R5,$AL$2:$AM$10,2,FALSE))*(U5*2+100)/100)</f>
        <v>842</v>
      </c>
      <c r="X5" s="22">
        <f>INT(T5*IF(R5="",1.5,VLOOKUP(R5,$AL$2:$AM$10,2,FALSE))*(U5*3+100)/100)</f>
        <v>952</v>
      </c>
      <c r="Y5" s="29">
        <f>INT((T5+IF(J5&gt;=1,F5/4,0)))</f>
        <v>458</v>
      </c>
      <c r="Z5" s="29">
        <f>INT(Y5*(U5*2+100)/100)</f>
        <v>619</v>
      </c>
      <c r="AA5" s="30">
        <f>Z5/W5</f>
        <v>0.73515439429928742</v>
      </c>
      <c r="AB5" s="24">
        <f>W5*IF(J5&lt;1,1,IF(J5=1,2,IF(J5&gt;=2,3)))</f>
        <v>2526</v>
      </c>
      <c r="AC5" s="24">
        <f>INT(AB5*IF(J5&gt;=3,1.5,1.15))</f>
        <v>2904</v>
      </c>
      <c r="AD5" s="24">
        <f>INT(IF(J5&gt;=3,X5,W5)*IF(J5&lt;1,1,IF(J5=1,2,IF(J5&gt;=2,3,1)))*1.15)</f>
        <v>2904</v>
      </c>
      <c r="AE5" s="24">
        <f>INT(IF(J5=3,Z5*3,AB5)*1.15)</f>
        <v>2904</v>
      </c>
      <c r="AF5" s="24">
        <f>INT(W5*IF(J5=0,1,IF(J5&gt;=2,1.5,1)*IF(J5&gt;=3,1.5,1.15)))</f>
        <v>1452</v>
      </c>
      <c r="AG5" s="21">
        <f>MAX(A5:AF5)</f>
        <v>2904</v>
      </c>
      <c r="AH5" s="9" t="s">
        <v>133</v>
      </c>
      <c r="AI5" s="9" t="s">
        <v>133</v>
      </c>
      <c r="AJ5" s="9" t="s">
        <v>133</v>
      </c>
      <c r="AL5" t="s">
        <v>14</v>
      </c>
      <c r="AM5">
        <v>1.25</v>
      </c>
    </row>
    <row r="6" spans="1:39" ht="15.75" thickBot="1" x14ac:dyDescent="0.3">
      <c r="A6" s="3" t="s">
        <v>38</v>
      </c>
      <c r="B6" s="4">
        <v>175</v>
      </c>
      <c r="C6" s="4">
        <v>175</v>
      </c>
      <c r="D6" s="4">
        <v>175</v>
      </c>
      <c r="E6" s="4">
        <v>150</v>
      </c>
      <c r="F6" s="4">
        <v>150</v>
      </c>
      <c r="G6" s="4">
        <v>135</v>
      </c>
      <c r="H6" s="4">
        <v>95</v>
      </c>
      <c r="I6" s="4">
        <v>720</v>
      </c>
      <c r="J6" s="4">
        <v>2</v>
      </c>
      <c r="K6" s="15"/>
      <c r="L6" s="6"/>
      <c r="M6" s="6"/>
      <c r="N6" s="4"/>
      <c r="O6" s="14" t="s">
        <v>149</v>
      </c>
      <c r="P6" s="14">
        <v>150</v>
      </c>
      <c r="Q6" s="8">
        <v>75</v>
      </c>
      <c r="R6" s="4"/>
      <c r="S6" s="4" t="s">
        <v>39</v>
      </c>
      <c r="T6" s="33">
        <f>P6+Q6+B6</f>
        <v>400</v>
      </c>
      <c r="U6" s="26">
        <f>(C6+(H6/2))/16</f>
        <v>13.90625</v>
      </c>
      <c r="V6" s="26">
        <f>U6*IF(J6&gt;=1,1.5,1)</f>
        <v>20.859375</v>
      </c>
      <c r="W6" s="19">
        <f>INT(T6*IF(R6="",1.5,VLOOKUP(R6,$AL$2:$AM$10,2,FALSE))*(U6*2+100)/100)</f>
        <v>766</v>
      </c>
      <c r="X6" s="22">
        <f>INT(T6*IF(R6="",1.5,VLOOKUP(R6,$AL$2:$AM$10,2,FALSE))*(U6*3+100)/100)</f>
        <v>850</v>
      </c>
      <c r="Y6" s="29">
        <f>INT((T6+IF(J6&gt;=1,F6/4,0)))</f>
        <v>437</v>
      </c>
      <c r="Z6" s="29">
        <f>INT(Y6*(U6*2+100)/100)</f>
        <v>558</v>
      </c>
      <c r="AA6" s="30">
        <f>Z6/W6</f>
        <v>0.72845953002610964</v>
      </c>
      <c r="AB6" s="24">
        <f>W6*IF(J6&lt;1,1,IF(J6=1,2,IF(J6&gt;=2,3)))</f>
        <v>2298</v>
      </c>
      <c r="AC6" s="24">
        <f>INT(AB6*IF(J6&gt;=3,1.5,1.15))</f>
        <v>2642</v>
      </c>
      <c r="AD6" s="24">
        <f>INT(IF(J6&gt;=3,X6,W6)*IF(J6&lt;1,1,IF(J6=1,2,IF(J6&gt;=2,3,1)))*1.15)</f>
        <v>2642</v>
      </c>
      <c r="AE6" s="24">
        <f>INT(IF(J6=3,Z6*3,AB6)*1.15)</f>
        <v>2642</v>
      </c>
      <c r="AF6" s="24">
        <f>INT(W6*IF(J6=0,1,IF(J6&gt;=2,1.5,1)*IF(J6&gt;=3,1.5,1.15)))</f>
        <v>1321</v>
      </c>
      <c r="AG6" s="21">
        <f>MAX(A6:AF6)</f>
        <v>2642</v>
      </c>
      <c r="AH6" s="9" t="s">
        <v>132</v>
      </c>
      <c r="AI6" s="9" t="s">
        <v>132</v>
      </c>
      <c r="AJ6" s="9" t="s">
        <v>137</v>
      </c>
      <c r="AL6" t="s">
        <v>94</v>
      </c>
      <c r="AM6">
        <v>1.5</v>
      </c>
    </row>
    <row r="7" spans="1:39" ht="15.75" thickBot="1" x14ac:dyDescent="0.3">
      <c r="A7" s="3" t="s">
        <v>97</v>
      </c>
      <c r="B7" s="4">
        <v>110</v>
      </c>
      <c r="C7" s="4">
        <v>135</v>
      </c>
      <c r="D7" s="4">
        <v>175</v>
      </c>
      <c r="E7" s="4">
        <v>135</v>
      </c>
      <c r="F7" s="4">
        <v>110</v>
      </c>
      <c r="G7" s="4">
        <v>175</v>
      </c>
      <c r="H7" s="4">
        <v>135</v>
      </c>
      <c r="I7" s="4">
        <v>600</v>
      </c>
      <c r="J7" s="4">
        <v>3</v>
      </c>
      <c r="K7" s="6"/>
      <c r="L7" s="6"/>
      <c r="M7" s="6"/>
      <c r="N7" s="4"/>
      <c r="O7" s="14" t="s">
        <v>155</v>
      </c>
      <c r="P7" s="14">
        <v>140</v>
      </c>
      <c r="Q7" s="8">
        <v>60</v>
      </c>
      <c r="R7" s="4"/>
      <c r="S7" s="4" t="s">
        <v>67</v>
      </c>
      <c r="T7" s="33">
        <f>P7+Q7+B7</f>
        <v>310</v>
      </c>
      <c r="U7" s="26">
        <f>(C7+(H7/2))/16</f>
        <v>12.65625</v>
      </c>
      <c r="V7" s="26">
        <f>U7*IF(J7&gt;=1,1.5,1)</f>
        <v>18.984375</v>
      </c>
      <c r="W7" s="19">
        <f>INT(T7*IF(R7="",1.5,VLOOKUP(R7,$AL$2:$AM$10,2,FALSE))*(U7*2+100)/100)</f>
        <v>582</v>
      </c>
      <c r="X7" s="22">
        <f>INT(T7*IF(R7="",1.5,VLOOKUP(R7,$AL$2:$AM$10,2,FALSE))*(U7*3+100)/100)</f>
        <v>641</v>
      </c>
      <c r="Y7" s="29">
        <f>INT((T7+IF(J7&gt;=1,F7/4,0)))</f>
        <v>337</v>
      </c>
      <c r="Z7" s="29">
        <f>INT(Y7*(U7*2+100)/100)</f>
        <v>422</v>
      </c>
      <c r="AA7" s="30">
        <f>Z7/W7</f>
        <v>0.72508591065292094</v>
      </c>
      <c r="AB7" s="24">
        <f>W7*IF(J7&lt;1,1,IF(J7=1,2,IF(J7&gt;=2,3)))</f>
        <v>1746</v>
      </c>
      <c r="AC7" s="24">
        <f>INT(AB7*IF(J7&gt;=3,1.5,1.15))</f>
        <v>2619</v>
      </c>
      <c r="AD7" s="24">
        <f>INT(IF(J7&gt;=3,X7,W7)*IF(J7&lt;1,1,IF(J7=1,2,IF(J7&gt;=2,3,1)))*1.15)</f>
        <v>2211</v>
      </c>
      <c r="AE7" s="24">
        <f>INT(IF(J7=3,Z7*3,AB7)*1.15)</f>
        <v>1455</v>
      </c>
      <c r="AF7" s="24">
        <f>INT(W7*IF(J7=0,1,IF(J7&gt;=2,1.5,1)*IF(J7&gt;=3,1.5,1.15)))</f>
        <v>1309</v>
      </c>
      <c r="AG7" s="21">
        <f>MAX(A7:AF7)</f>
        <v>2619</v>
      </c>
      <c r="AH7" s="9" t="s">
        <v>137</v>
      </c>
      <c r="AI7" s="9" t="s">
        <v>132</v>
      </c>
      <c r="AJ7" s="9" t="s">
        <v>137</v>
      </c>
      <c r="AL7" t="s">
        <v>108</v>
      </c>
      <c r="AM7">
        <v>1.5</v>
      </c>
    </row>
    <row r="8" spans="1:39" ht="15.75" thickBot="1" x14ac:dyDescent="0.3">
      <c r="A8" s="1" t="s">
        <v>107</v>
      </c>
      <c r="B8" s="2">
        <v>135</v>
      </c>
      <c r="C8" s="2">
        <v>135</v>
      </c>
      <c r="D8" s="2">
        <v>175</v>
      </c>
      <c r="E8" s="2">
        <v>150</v>
      </c>
      <c r="F8" s="2">
        <v>110</v>
      </c>
      <c r="G8" s="2">
        <v>135</v>
      </c>
      <c r="H8" s="2">
        <v>95</v>
      </c>
      <c r="I8" s="2">
        <v>660</v>
      </c>
      <c r="J8" s="4">
        <v>2</v>
      </c>
      <c r="K8" s="6"/>
      <c r="L8" s="6"/>
      <c r="M8" s="15"/>
      <c r="N8" s="7" t="s">
        <v>108</v>
      </c>
      <c r="O8" s="14" t="s">
        <v>154</v>
      </c>
      <c r="P8" s="14">
        <v>135</v>
      </c>
      <c r="Q8" s="8">
        <v>60</v>
      </c>
      <c r="R8" s="7" t="s">
        <v>108</v>
      </c>
      <c r="S8" s="4" t="s">
        <v>67</v>
      </c>
      <c r="T8" s="33">
        <f>P8+Q8+B8</f>
        <v>330</v>
      </c>
      <c r="U8" s="26">
        <f>(C8+(H8/2))/16</f>
        <v>11.40625</v>
      </c>
      <c r="V8" s="26">
        <f>U8*IF(J8&gt;=1,1.5,1)</f>
        <v>17.109375</v>
      </c>
      <c r="W8" s="19">
        <f>INT(T8*IF(R8="",1.5,VLOOKUP(R8,$AL$2:$AM$10,2,FALSE))*(U8*2+100)/100)</f>
        <v>607</v>
      </c>
      <c r="X8" s="22">
        <f>INT(T8*IF(R8="",1.5,VLOOKUP(R8,$AL$2:$AM$10,2,FALSE))*(U8*3+100)/100)</f>
        <v>664</v>
      </c>
      <c r="Y8" s="29">
        <f>INT((T8+IF(J8&gt;=1,F8/4,0)))</f>
        <v>357</v>
      </c>
      <c r="Z8" s="29">
        <f>INT(Y8*(U8*2+100)/100)</f>
        <v>438</v>
      </c>
      <c r="AA8" s="30">
        <f>Z8/W8</f>
        <v>0.7215815485996705</v>
      </c>
      <c r="AB8" s="24">
        <f>W8*IF(J8&lt;1,1,IF(J8=1,2,IF(J8&gt;=2,3)))</f>
        <v>1821</v>
      </c>
      <c r="AC8" s="24">
        <f>INT(AB8*IF(J8&gt;=3,1.5,1.15))</f>
        <v>2094</v>
      </c>
      <c r="AD8" s="24">
        <f>INT(IF(J8&gt;=3,X8,W8)*IF(J8&lt;1,1,IF(J8=1,2,IF(J8&gt;=2,3,1)))*1.15)</f>
        <v>2094</v>
      </c>
      <c r="AE8" s="24">
        <f>INT(IF(J8=3,Z8*3,AB8)*1.15)</f>
        <v>2094</v>
      </c>
      <c r="AF8" s="24">
        <f>INT(W8*IF(J8=0,1,IF(J8&gt;=2,1.5,1)*IF(J8&gt;=3,1.5,1.15)))</f>
        <v>1047</v>
      </c>
      <c r="AG8" s="21">
        <f>MAX(A8:AF8)</f>
        <v>2094</v>
      </c>
      <c r="AH8" s="9" t="s">
        <v>137</v>
      </c>
      <c r="AI8" s="9" t="s">
        <v>134</v>
      </c>
      <c r="AJ8" s="9" t="s">
        <v>139</v>
      </c>
      <c r="AL8" t="s">
        <v>58</v>
      </c>
      <c r="AM8">
        <v>1.2</v>
      </c>
    </row>
    <row r="9" spans="1:39" ht="15.75" thickBot="1" x14ac:dyDescent="0.3">
      <c r="A9" s="3" t="s">
        <v>113</v>
      </c>
      <c r="B9" s="4">
        <v>110</v>
      </c>
      <c r="C9" s="4">
        <v>135</v>
      </c>
      <c r="D9" s="4">
        <v>175</v>
      </c>
      <c r="E9" s="4">
        <v>150</v>
      </c>
      <c r="F9" s="4">
        <v>110</v>
      </c>
      <c r="G9" s="4">
        <v>150</v>
      </c>
      <c r="H9" s="4">
        <v>150</v>
      </c>
      <c r="I9" s="4">
        <v>660</v>
      </c>
      <c r="J9" s="4">
        <v>2</v>
      </c>
      <c r="K9" s="15"/>
      <c r="L9" s="6"/>
      <c r="M9" s="6"/>
      <c r="N9" s="4"/>
      <c r="O9" s="14" t="s">
        <v>155</v>
      </c>
      <c r="P9" s="14">
        <v>140</v>
      </c>
      <c r="Q9" s="8">
        <v>40</v>
      </c>
      <c r="R9" s="4"/>
      <c r="S9" s="4" t="s">
        <v>114</v>
      </c>
      <c r="T9" s="33">
        <f>P9+Q9+B9</f>
        <v>290</v>
      </c>
      <c r="U9" s="26">
        <f>(C9+(H9/2))/16</f>
        <v>13.125</v>
      </c>
      <c r="V9" s="26">
        <f>U9*IF(J9&gt;=1,1.5,1)</f>
        <v>19.6875</v>
      </c>
      <c r="W9" s="19">
        <f>INT(T9*IF(R9="",1.5,VLOOKUP(R9,$AL$2:$AM$10,2,FALSE))*(U9*2+100)/100)</f>
        <v>549</v>
      </c>
      <c r="X9" s="22">
        <f>INT(T9*IF(R9="",1.5,VLOOKUP(R9,$AL$2:$AM$10,2,FALSE))*(U9*3+100)/100)</f>
        <v>606</v>
      </c>
      <c r="Y9" s="29">
        <f>INT((T9+IF(J9&gt;=1,F9/4,0)))</f>
        <v>317</v>
      </c>
      <c r="Z9" s="29">
        <f>INT(Y9*(U9*2+100)/100)</f>
        <v>400</v>
      </c>
      <c r="AA9" s="30">
        <f>Z9/W9</f>
        <v>0.72859744990892528</v>
      </c>
      <c r="AB9" s="24">
        <f>W9*IF(J9&lt;1,1,IF(J9=1,2,IF(J9&gt;=2,3)))</f>
        <v>1647</v>
      </c>
      <c r="AC9" s="24">
        <f>INT(AB9*IF(J9&gt;=3,1.5,1.15))</f>
        <v>1894</v>
      </c>
      <c r="AD9" s="24">
        <f>INT(IF(J9&gt;=3,X9,W9)*IF(J9&lt;1,1,IF(J9=1,2,IF(J9&gt;=2,3,1)))*1.15)</f>
        <v>1894</v>
      </c>
      <c r="AE9" s="24">
        <f>INT(IF(J9=3,Z9*3,AB9)*1.15)</f>
        <v>1894</v>
      </c>
      <c r="AF9" s="24">
        <f>INT(W9*IF(J9=0,1,IF(J9&gt;=2,1.5,1)*IF(J9&gt;=3,1.5,1.15)))</f>
        <v>947</v>
      </c>
      <c r="AG9" s="21">
        <f>MAX(A9:AF9)</f>
        <v>1894</v>
      </c>
      <c r="AH9" s="9" t="s">
        <v>137</v>
      </c>
      <c r="AI9" s="9" t="s">
        <v>134</v>
      </c>
      <c r="AJ9" s="9" t="s">
        <v>136</v>
      </c>
      <c r="AL9" t="s">
        <v>66</v>
      </c>
      <c r="AM9">
        <v>1</v>
      </c>
    </row>
    <row r="10" spans="1:39" ht="15.75" thickBot="1" x14ac:dyDescent="0.3">
      <c r="A10" s="3" t="s">
        <v>119</v>
      </c>
      <c r="B10" s="4">
        <v>95</v>
      </c>
      <c r="C10" s="4">
        <v>150</v>
      </c>
      <c r="D10" s="4">
        <v>175</v>
      </c>
      <c r="E10" s="4">
        <v>95</v>
      </c>
      <c r="F10" s="4">
        <v>95</v>
      </c>
      <c r="G10" s="4">
        <v>135</v>
      </c>
      <c r="H10" s="4">
        <v>210</v>
      </c>
      <c r="I10" s="4">
        <v>600</v>
      </c>
      <c r="J10" s="4">
        <v>1</v>
      </c>
      <c r="K10" s="6"/>
      <c r="L10" s="13" t="s">
        <v>175</v>
      </c>
      <c r="M10" s="15"/>
      <c r="N10" s="4"/>
      <c r="O10" s="14" t="s">
        <v>157</v>
      </c>
      <c r="P10" s="14">
        <v>100</v>
      </c>
      <c r="Q10" s="8">
        <v>60</v>
      </c>
      <c r="R10" s="4"/>
      <c r="S10" s="4" t="s">
        <v>114</v>
      </c>
      <c r="T10" s="33">
        <f>P10+Q10+B10</f>
        <v>255</v>
      </c>
      <c r="U10" s="26">
        <f>(C10+(H10/2))/16</f>
        <v>15.9375</v>
      </c>
      <c r="V10" s="26">
        <f>U10*IF(J10&gt;=1,1.5,1)</f>
        <v>23.90625</v>
      </c>
      <c r="W10" s="19">
        <f>INT(T10*IF(R10="",1.5,VLOOKUP(R10,$AL$2:$AM$10,2,FALSE))*(U10*2+100)/100)</f>
        <v>504</v>
      </c>
      <c r="X10" s="22">
        <f>INT(T10*IF(R10="",1.5,VLOOKUP(R10,$AL$2:$AM$10,2,FALSE))*(U10*3+100)/100)</f>
        <v>565</v>
      </c>
      <c r="Y10" s="29">
        <f>INT((T10+IF(J10&gt;=1,F10/4,0)))</f>
        <v>278</v>
      </c>
      <c r="Z10" s="29">
        <f>INT(Y10*(U10*2+100)/100)</f>
        <v>366</v>
      </c>
      <c r="AA10" s="30">
        <f>Z10/W10</f>
        <v>0.72619047619047616</v>
      </c>
      <c r="AB10" s="24">
        <f>W10*IF(J10&lt;1,1,IF(J10=1,2,IF(J10&gt;=2,3)))</f>
        <v>1008</v>
      </c>
      <c r="AC10" s="24">
        <f>INT(AB10*IF(J10&gt;=3,1.5,1.15))</f>
        <v>1159</v>
      </c>
      <c r="AD10" s="24">
        <f>INT(IF(J10&gt;=3,X10,W10)*IF(J10&lt;1,1,IF(J10=1,2,IF(J10&gt;=2,3,1)))*1.15)</f>
        <v>1159</v>
      </c>
      <c r="AE10" s="24">
        <f>INT(IF(J10=3,Z10*3,AB10)*1.15)</f>
        <v>1159</v>
      </c>
      <c r="AF10" s="24">
        <f>INT(W10*IF(J10=0,1,IF(J10&gt;=2,1.5,1)*IF(J10&gt;=3,1.5,1.15)))</f>
        <v>579</v>
      </c>
      <c r="AG10" s="21">
        <f>MAX(A10:AF10)</f>
        <v>1159</v>
      </c>
      <c r="AH10" s="9" t="s">
        <v>138</v>
      </c>
      <c r="AI10" s="9" t="s">
        <v>138</v>
      </c>
      <c r="AJ10" s="9" t="s">
        <v>133</v>
      </c>
      <c r="AL10" t="s">
        <v>60</v>
      </c>
      <c r="AM10">
        <v>1</v>
      </c>
    </row>
    <row r="11" spans="1:39" ht="15.75" thickBot="1" x14ac:dyDescent="0.3">
      <c r="A11" s="34" t="s">
        <v>191</v>
      </c>
      <c r="B11" s="4">
        <v>175</v>
      </c>
      <c r="C11" s="4">
        <v>195</v>
      </c>
      <c r="D11" s="4">
        <v>150</v>
      </c>
      <c r="E11" s="4">
        <v>175</v>
      </c>
      <c r="F11" s="4">
        <v>135</v>
      </c>
      <c r="G11" s="4">
        <v>150</v>
      </c>
      <c r="H11" s="4">
        <v>195</v>
      </c>
      <c r="I11" s="4">
        <v>720</v>
      </c>
      <c r="J11" s="4">
        <v>2</v>
      </c>
      <c r="K11" s="6"/>
      <c r="L11" s="13" t="s">
        <v>143</v>
      </c>
      <c r="M11" s="6"/>
      <c r="N11" s="4"/>
      <c r="O11" s="14" t="s">
        <v>144</v>
      </c>
      <c r="P11" s="14">
        <v>170</v>
      </c>
      <c r="Q11" s="8">
        <v>75</v>
      </c>
      <c r="R11" s="4"/>
      <c r="S11" s="4" t="s">
        <v>15</v>
      </c>
      <c r="T11" s="33">
        <f>P11+Q11+B11</f>
        <v>420</v>
      </c>
      <c r="U11" s="26">
        <f>(C11+(H11/2))/16</f>
        <v>18.28125</v>
      </c>
      <c r="V11" s="26">
        <f>U11*IF(J11&gt;=1,1.5,1)</f>
        <v>27.421875</v>
      </c>
      <c r="W11" s="19">
        <f>INT(T11*IF(R11="",1.5,VLOOKUP(R11,$AL$2:$AM$10,2,FALSE))*(U11*2+100)/100)</f>
        <v>860</v>
      </c>
      <c r="X11" s="22">
        <f>INT(T11*IF(R11="",1.5,VLOOKUP(R11,$AL$2:$AM$10,2,FALSE))*(U11*3+100)/100)</f>
        <v>975</v>
      </c>
      <c r="Y11" s="29">
        <f>INT((T11+IF(J11&gt;=1,F11/4,0)))</f>
        <v>453</v>
      </c>
      <c r="Z11" s="29">
        <f>INT(Y11*(U11*2+100)/100)</f>
        <v>618</v>
      </c>
      <c r="AA11" s="30">
        <f>Z11/W11</f>
        <v>0.71860465116279071</v>
      </c>
      <c r="AB11" s="24">
        <f>W11*IF(J11&lt;1,1,IF(J11=1,2,IF(J11&gt;=2,3)))</f>
        <v>2580</v>
      </c>
      <c r="AC11" s="24">
        <f>INT(AB11*IF(J11&gt;=3,1.5,1.15))</f>
        <v>2967</v>
      </c>
      <c r="AD11" s="24">
        <f>INT(IF(J11&gt;=3,X11,W11)*IF(J11&lt;1,1,IF(J11=1,2,IF(J11&gt;=2,3,1)))*1.15)</f>
        <v>2967</v>
      </c>
      <c r="AE11" s="24">
        <f>INT(IF(J11=3,Z11*3,AB11)*1.15)</f>
        <v>2967</v>
      </c>
      <c r="AF11" s="24">
        <f>INT(W11*IF(J11=0,1,IF(J11&gt;=2,1.5,1)*IF(J11&gt;=3,1.5,1.15)))</f>
        <v>1483</v>
      </c>
      <c r="AG11" s="21">
        <f>MAX(A11:AF11)</f>
        <v>2967</v>
      </c>
      <c r="AH11" s="9" t="s">
        <v>131</v>
      </c>
      <c r="AI11" s="9" t="s">
        <v>133</v>
      </c>
      <c r="AJ11" s="9" t="s">
        <v>131</v>
      </c>
    </row>
    <row r="12" spans="1:39" ht="15.75" thickBot="1" x14ac:dyDescent="0.3">
      <c r="A12" s="3" t="s">
        <v>63</v>
      </c>
      <c r="B12" s="4">
        <v>135</v>
      </c>
      <c r="C12" s="4">
        <v>150</v>
      </c>
      <c r="D12" s="4">
        <v>150</v>
      </c>
      <c r="E12" s="4">
        <v>135</v>
      </c>
      <c r="F12" s="4">
        <v>135</v>
      </c>
      <c r="G12" s="4">
        <v>150</v>
      </c>
      <c r="H12" s="4">
        <v>110</v>
      </c>
      <c r="I12" s="4">
        <v>720</v>
      </c>
      <c r="J12" s="4">
        <v>3</v>
      </c>
      <c r="K12" s="6"/>
      <c r="L12" s="6"/>
      <c r="M12" s="6"/>
      <c r="N12" s="7" t="s">
        <v>64</v>
      </c>
      <c r="O12" s="14" t="s">
        <v>151</v>
      </c>
      <c r="P12" s="14">
        <v>165</v>
      </c>
      <c r="Q12" s="8">
        <v>79</v>
      </c>
      <c r="R12" s="7" t="s">
        <v>64</v>
      </c>
      <c r="S12" s="4" t="s">
        <v>56</v>
      </c>
      <c r="T12" s="33">
        <f>P12+Q12+B12</f>
        <v>379</v>
      </c>
      <c r="U12" s="26">
        <f>(C12+(H12/2))/16</f>
        <v>12.8125</v>
      </c>
      <c r="V12" s="26">
        <f>U12*IF(J12&gt;=1,1.5,1)</f>
        <v>19.21875</v>
      </c>
      <c r="W12" s="19">
        <f>INT(T12*IF(R12="",1.5,VLOOKUP(R12,$AL$2:$AM$10,2,FALSE))*(U12*2+100)/100)</f>
        <v>476</v>
      </c>
      <c r="X12" s="22">
        <f>INT(T12*IF(R12="",1.5,VLOOKUP(R12,$AL$2:$AM$10,2,FALSE))*(U12*3+100)/100)</f>
        <v>524</v>
      </c>
      <c r="Y12" s="29">
        <f>INT((T12+IF(J12&gt;=1,F12/4,0)))</f>
        <v>412</v>
      </c>
      <c r="Z12" s="29">
        <f>INT(Y12*(U12*2+100)/100)</f>
        <v>517</v>
      </c>
      <c r="AA12" s="30">
        <f>Z12/W12</f>
        <v>1.0861344537815125</v>
      </c>
      <c r="AB12" s="24">
        <f>W12*IF(J12&lt;1,1,IF(J12=1,2,IF(J12&gt;=2,3)))</f>
        <v>1428</v>
      </c>
      <c r="AC12" s="24">
        <f>INT(AB12*IF(J12&gt;=3,1.5,1.15))</f>
        <v>2142</v>
      </c>
      <c r="AD12" s="24">
        <f>INT(IF(J12&gt;=3,X12,W12)*IF(J12&lt;1,1,IF(J12=1,2,IF(J12&gt;=2,3,1)))*1.15)</f>
        <v>1807</v>
      </c>
      <c r="AE12" s="24">
        <f>INT(IF(J12=3,Z12*3,AB12)*1.15)</f>
        <v>1783</v>
      </c>
      <c r="AF12" s="24">
        <f>INT(W12*IF(J12=0,1,IF(J12&gt;=2,1.5,1)*IF(J12&gt;=3,1.5,1.15)))</f>
        <v>1071</v>
      </c>
      <c r="AG12" s="21">
        <f>MAX(A12:AF12)</f>
        <v>2142</v>
      </c>
      <c r="AH12" s="9" t="s">
        <v>138</v>
      </c>
      <c r="AI12" s="9" t="s">
        <v>134</v>
      </c>
      <c r="AJ12" s="9" t="s">
        <v>137</v>
      </c>
    </row>
    <row r="13" spans="1:39" ht="15.75" thickBot="1" x14ac:dyDescent="0.3">
      <c r="A13" s="1" t="s">
        <v>91</v>
      </c>
      <c r="B13" s="2">
        <v>135</v>
      </c>
      <c r="C13" s="2">
        <v>110</v>
      </c>
      <c r="D13" s="2">
        <v>150</v>
      </c>
      <c r="E13" s="2">
        <v>135</v>
      </c>
      <c r="F13" s="2">
        <v>135</v>
      </c>
      <c r="G13" s="2">
        <v>175</v>
      </c>
      <c r="H13" s="2">
        <v>135</v>
      </c>
      <c r="I13" s="2">
        <v>660</v>
      </c>
      <c r="J13" s="4">
        <v>2</v>
      </c>
      <c r="K13" s="6"/>
      <c r="L13" s="6"/>
      <c r="M13" s="15"/>
      <c r="N13" s="4"/>
      <c r="O13" s="14" t="s">
        <v>151</v>
      </c>
      <c r="P13" s="14">
        <v>165</v>
      </c>
      <c r="Q13" s="8">
        <v>60</v>
      </c>
      <c r="R13" s="4"/>
      <c r="S13" s="4" t="s">
        <v>23</v>
      </c>
      <c r="T13" s="33">
        <f>P13+Q13+B13</f>
        <v>360</v>
      </c>
      <c r="U13" s="26">
        <f>(C13+(H13/2))/16</f>
        <v>11.09375</v>
      </c>
      <c r="V13" s="26">
        <f>U13*IF(J13&gt;=1,1.5,1)</f>
        <v>16.640625</v>
      </c>
      <c r="W13" s="19">
        <f>INT(T13*IF(R13="",1.5,VLOOKUP(R13,$AL$2:$AM$10,2,FALSE))*(U13*2+100)/100)</f>
        <v>659</v>
      </c>
      <c r="X13" s="22">
        <f>INT(T13*IF(R13="",1.5,VLOOKUP(R13,$AL$2:$AM$10,2,FALSE))*(U13*3+100)/100)</f>
        <v>719</v>
      </c>
      <c r="Y13" s="29">
        <f>INT((T13+IF(J13&gt;=1,F13/4,0)))</f>
        <v>393</v>
      </c>
      <c r="Z13" s="29">
        <f>INT(Y13*(U13*2+100)/100)</f>
        <v>480</v>
      </c>
      <c r="AA13" s="30">
        <f>Z13/W13</f>
        <v>0.72837632776934746</v>
      </c>
      <c r="AB13" s="24">
        <f>W13*IF(J13&lt;1,1,IF(J13=1,2,IF(J13&gt;=2,3)))</f>
        <v>1977</v>
      </c>
      <c r="AC13" s="24">
        <f>INT(AB13*IF(J13&gt;=3,1.5,1.15))</f>
        <v>2273</v>
      </c>
      <c r="AD13" s="24">
        <f>INT(IF(J13&gt;=3,X13,W13)*IF(J13&lt;1,1,IF(J13=1,2,IF(J13&gt;=2,3,1)))*1.15)</f>
        <v>2273</v>
      </c>
      <c r="AE13" s="24">
        <f>INT(IF(J13=3,Z13*3,AB13)*1.15)</f>
        <v>2273</v>
      </c>
      <c r="AF13" s="24">
        <f>INT(W13*IF(J13=0,1,IF(J13&gt;=2,1.5,1)*IF(J13&gt;=3,1.5,1.15)))</f>
        <v>1136</v>
      </c>
      <c r="AG13" s="21">
        <f>MAX(A13:AF13)</f>
        <v>2273</v>
      </c>
      <c r="AH13" s="9" t="s">
        <v>136</v>
      </c>
      <c r="AI13" s="9" t="s">
        <v>135</v>
      </c>
      <c r="AJ13" s="9" t="s">
        <v>138</v>
      </c>
    </row>
    <row r="14" spans="1:39" ht="15.75" thickBot="1" x14ac:dyDescent="0.3">
      <c r="A14" s="3" t="s">
        <v>106</v>
      </c>
      <c r="B14" s="4">
        <v>542</v>
      </c>
      <c r="C14" s="4">
        <v>135</v>
      </c>
      <c r="D14" s="4">
        <v>150</v>
      </c>
      <c r="E14" s="4">
        <v>110</v>
      </c>
      <c r="F14" s="4">
        <v>202</v>
      </c>
      <c r="G14" s="4">
        <v>175</v>
      </c>
      <c r="H14" s="4">
        <v>95</v>
      </c>
      <c r="I14" s="4">
        <v>860</v>
      </c>
      <c r="J14" s="4">
        <v>2</v>
      </c>
      <c r="K14" s="6"/>
      <c r="L14" s="6"/>
      <c r="M14" s="13" t="s">
        <v>172</v>
      </c>
      <c r="N14" s="5" t="s">
        <v>17</v>
      </c>
      <c r="O14" s="14" t="s">
        <v>146</v>
      </c>
      <c r="P14" s="14">
        <v>0</v>
      </c>
      <c r="Q14" s="14">
        <v>0</v>
      </c>
      <c r="R14" s="5" t="s">
        <v>17</v>
      </c>
      <c r="S14" s="4"/>
      <c r="T14" s="33">
        <f>P14+Q14+B14</f>
        <v>542</v>
      </c>
      <c r="U14" s="26">
        <f>(C14+(H14/2))/16</f>
        <v>11.40625</v>
      </c>
      <c r="V14" s="26">
        <f>U14*IF(J14&gt;=1,1.5,1)</f>
        <v>17.109375</v>
      </c>
      <c r="W14" s="19">
        <f>INT(T14*IF(R14="",1.5,VLOOKUP(R14,$AL$2:$AM$10,2,FALSE))*(U14*2+100)/100)</f>
        <v>665</v>
      </c>
      <c r="X14" s="22">
        <f>INT(T14*IF(R14="",1.5,VLOOKUP(R14,$AL$2:$AM$10,2,FALSE))*(U14*3+100)/100)</f>
        <v>727</v>
      </c>
      <c r="Y14" s="29">
        <f>INT((T14+IF(J14&gt;=1,F14/4,0)))</f>
        <v>592</v>
      </c>
      <c r="Z14" s="29">
        <f>INT(Y14*(U14*2+100)/100)</f>
        <v>727</v>
      </c>
      <c r="AA14" s="30">
        <f>Z14/W14</f>
        <v>1.0932330827067669</v>
      </c>
      <c r="AB14" s="24">
        <f>W14*IF(J14&lt;1,1,IF(J14=1,2,IF(J14&gt;=2,3)))</f>
        <v>1995</v>
      </c>
      <c r="AC14" s="24">
        <f>INT(AB14*IF(J14&gt;=3,1.5,1.15))</f>
        <v>2294</v>
      </c>
      <c r="AD14" s="24">
        <f>INT(IF(J14&gt;=3,X14,W14)*IF(J14&lt;1,1,IF(J14=1,2,IF(J14&gt;=2,3,1)))*1.15)</f>
        <v>2294</v>
      </c>
      <c r="AE14" s="24">
        <f>INT(IF(J14=3,Z14*3,AB14)*1.15)</f>
        <v>2294</v>
      </c>
      <c r="AF14" s="24">
        <f>INT(W14*IF(J14=0,1,IF(J14&gt;=2,1.5,1)*IF(J14&gt;=3,1.5,1.15)))</f>
        <v>1147</v>
      </c>
      <c r="AG14" s="21">
        <f>MAX(A14:AF14)</f>
        <v>2294</v>
      </c>
      <c r="AH14" s="9" t="s">
        <v>136</v>
      </c>
      <c r="AI14" s="9" t="s">
        <v>135</v>
      </c>
      <c r="AJ14" s="9" t="s">
        <v>139</v>
      </c>
    </row>
    <row r="15" spans="1:39" ht="15.75" thickBot="1" x14ac:dyDescent="0.3">
      <c r="A15" s="3" t="s">
        <v>125</v>
      </c>
      <c r="B15" s="4">
        <v>150</v>
      </c>
      <c r="C15" s="4">
        <v>135</v>
      </c>
      <c r="D15" s="4">
        <v>150</v>
      </c>
      <c r="E15" s="4">
        <v>110</v>
      </c>
      <c r="F15" s="4">
        <v>135</v>
      </c>
      <c r="G15" s="4">
        <v>135</v>
      </c>
      <c r="H15" s="4">
        <v>95</v>
      </c>
      <c r="I15" s="4">
        <v>720</v>
      </c>
      <c r="J15" s="4">
        <v>1</v>
      </c>
      <c r="K15" s="15"/>
      <c r="L15" s="13" t="s">
        <v>177</v>
      </c>
      <c r="M15" s="6"/>
      <c r="N15" s="4"/>
      <c r="O15" s="14" t="s">
        <v>154</v>
      </c>
      <c r="P15" s="14">
        <v>135</v>
      </c>
      <c r="Q15" s="8">
        <v>60</v>
      </c>
      <c r="R15" s="4"/>
      <c r="S15" s="4" t="s">
        <v>80</v>
      </c>
      <c r="T15" s="33">
        <f>P15+Q15+B15</f>
        <v>345</v>
      </c>
      <c r="U15" s="26">
        <f>(C15+(H15/2))/16</f>
        <v>11.40625</v>
      </c>
      <c r="V15" s="26">
        <f>U15*IF(J15&gt;=1,1.5,1)</f>
        <v>17.109375</v>
      </c>
      <c r="W15" s="19">
        <f>INT(T15*IF(R15="",1.5,VLOOKUP(R15,$AL$2:$AM$10,2,FALSE))*(U15*2+100)/100)</f>
        <v>635</v>
      </c>
      <c r="X15" s="22">
        <f>INT(T15*IF(R15="",1.5,VLOOKUP(R15,$AL$2:$AM$10,2,FALSE))*(U15*3+100)/100)</f>
        <v>694</v>
      </c>
      <c r="Y15" s="29">
        <f>INT((T15+IF(J15&gt;=1,F15/4,0)))</f>
        <v>378</v>
      </c>
      <c r="Z15" s="29">
        <f>INT(Y15*(U15*2+100)/100)</f>
        <v>464</v>
      </c>
      <c r="AA15" s="30">
        <f>Z15/W15</f>
        <v>0.73070866141732282</v>
      </c>
      <c r="AB15" s="24">
        <f>W15*IF(J15&lt;1,1,IF(J15=1,2,IF(J15&gt;=2,3)))</f>
        <v>1270</v>
      </c>
      <c r="AC15" s="24">
        <f>INT(AB15*IF(J15&gt;=3,1.5,1.15))</f>
        <v>1460</v>
      </c>
      <c r="AD15" s="24">
        <f>INT(IF(J15&gt;=3,X15,W15)*IF(J15&lt;1,1,IF(J15=1,2,IF(J15&gt;=2,3,1)))*1.15)</f>
        <v>1460</v>
      </c>
      <c r="AE15" s="24">
        <f>INT(IF(J15=3,Z15*3,AB15)*1.15)</f>
        <v>1460</v>
      </c>
      <c r="AF15" s="24">
        <f>INT(W15*IF(J15=0,1,IF(J15&gt;=2,1.5,1)*IF(J15&gt;=3,1.5,1.15)))</f>
        <v>730</v>
      </c>
      <c r="AG15" s="21">
        <f>MAX(A15:AF15)</f>
        <v>1460</v>
      </c>
      <c r="AH15" s="9" t="s">
        <v>137</v>
      </c>
      <c r="AI15" s="9" t="s">
        <v>138</v>
      </c>
      <c r="AJ15" s="9" t="s">
        <v>139</v>
      </c>
    </row>
    <row r="16" spans="1:39" ht="15.75" thickBot="1" x14ac:dyDescent="0.3">
      <c r="A16" s="3" t="s">
        <v>20</v>
      </c>
      <c r="B16" s="4">
        <v>150</v>
      </c>
      <c r="C16" s="4">
        <v>175</v>
      </c>
      <c r="D16" s="4">
        <v>135</v>
      </c>
      <c r="E16" s="4">
        <v>150</v>
      </c>
      <c r="F16" s="4">
        <v>135</v>
      </c>
      <c r="G16" s="4">
        <v>135</v>
      </c>
      <c r="H16" s="4">
        <v>110</v>
      </c>
      <c r="I16" s="4">
        <v>720</v>
      </c>
      <c r="J16" s="4">
        <v>1</v>
      </c>
      <c r="K16" s="15"/>
      <c r="L16" s="13" t="s">
        <v>148</v>
      </c>
      <c r="M16" s="6"/>
      <c r="N16" s="4"/>
      <c r="O16" s="14" t="s">
        <v>149</v>
      </c>
      <c r="P16" s="14">
        <v>150</v>
      </c>
      <c r="Q16" s="8">
        <v>75</v>
      </c>
      <c r="R16" s="4"/>
      <c r="S16" s="4" t="s">
        <v>21</v>
      </c>
      <c r="T16" s="33">
        <f>P16+Q16+B16</f>
        <v>375</v>
      </c>
      <c r="U16" s="26">
        <f>(C16+(H16/2))/16</f>
        <v>14.375</v>
      </c>
      <c r="V16" s="26">
        <f>U16*IF(J16&gt;=1,1.5,1)</f>
        <v>21.5625</v>
      </c>
      <c r="W16" s="19">
        <f>INT(T16*IF(R16="",1.5,VLOOKUP(R16,$AL$2:$AM$10,2,FALSE))*(U16*2+100)/100)</f>
        <v>724</v>
      </c>
      <c r="X16" s="22">
        <f>INT(T16*IF(R16="",1.5,VLOOKUP(R16,$AL$2:$AM$10,2,FALSE))*(U16*3+100)/100)</f>
        <v>805</v>
      </c>
      <c r="Y16" s="29">
        <f>INT((T16+IF(J16&gt;=1,F16/4,0)))</f>
        <v>408</v>
      </c>
      <c r="Z16" s="29">
        <f>INT(Y16*(U16*2+100)/100)</f>
        <v>525</v>
      </c>
      <c r="AA16" s="30">
        <f>Z16/W16</f>
        <v>0.72513812154696133</v>
      </c>
      <c r="AB16" s="24">
        <f>W16*IF(J16&lt;1,1,IF(J16=1,2,IF(J16&gt;=2,3)))</f>
        <v>1448</v>
      </c>
      <c r="AC16" s="24">
        <f>INT(AB16*IF(J16&gt;=3,1.5,1.15))</f>
        <v>1665</v>
      </c>
      <c r="AD16" s="24">
        <f>INT(IF(J16&gt;=3,X16,W16)*IF(J16&lt;1,1,IF(J16=1,2,IF(J16&gt;=2,3,1)))*1.15)</f>
        <v>1665</v>
      </c>
      <c r="AE16" s="24">
        <f>INT(IF(J16=3,Z16*3,AB16)*1.15)</f>
        <v>1665</v>
      </c>
      <c r="AF16" s="24">
        <f>INT(W16*IF(J16=0,1,IF(J16&gt;=2,1.5,1)*IF(J16&gt;=3,1.5,1.15)))</f>
        <v>832</v>
      </c>
      <c r="AG16" s="21">
        <f>MAX(A16:AF16)</f>
        <v>1665</v>
      </c>
      <c r="AH16" s="9" t="s">
        <v>135</v>
      </c>
      <c r="AI16" s="9" t="s">
        <v>136</v>
      </c>
      <c r="AJ16" s="9" t="s">
        <v>136</v>
      </c>
    </row>
    <row r="17" spans="1:36" ht="15.75" thickBot="1" x14ac:dyDescent="0.3">
      <c r="A17" s="3" t="s">
        <v>29</v>
      </c>
      <c r="B17" s="4">
        <v>150</v>
      </c>
      <c r="C17" s="4">
        <v>150</v>
      </c>
      <c r="D17" s="4">
        <v>135</v>
      </c>
      <c r="E17" s="4">
        <v>150</v>
      </c>
      <c r="F17" s="4">
        <v>150</v>
      </c>
      <c r="G17" s="4">
        <v>135</v>
      </c>
      <c r="H17" s="4">
        <v>135</v>
      </c>
      <c r="I17" s="4">
        <v>660</v>
      </c>
      <c r="J17" s="4">
        <v>1</v>
      </c>
      <c r="K17" s="15"/>
      <c r="L17" s="13" t="s">
        <v>94</v>
      </c>
      <c r="M17" s="6"/>
      <c r="N17" s="4"/>
      <c r="O17" s="14" t="s">
        <v>149</v>
      </c>
      <c r="P17" s="14">
        <v>150</v>
      </c>
      <c r="Q17" s="8">
        <v>59</v>
      </c>
      <c r="R17" s="4"/>
      <c r="S17" s="4" t="s">
        <v>30</v>
      </c>
      <c r="T17" s="33">
        <f>P17+Q17+B17</f>
        <v>359</v>
      </c>
      <c r="U17" s="26">
        <f>(C17+(H17/2))/16</f>
        <v>13.59375</v>
      </c>
      <c r="V17" s="26">
        <f>U17*IF(J17&gt;=1,1.5,1)</f>
        <v>20.390625</v>
      </c>
      <c r="W17" s="19">
        <f>INT(T17*IF(R17="",1.5,VLOOKUP(R17,$AL$2:$AM$10,2,FALSE))*(U17*2+100)/100)</f>
        <v>684</v>
      </c>
      <c r="X17" s="22">
        <f>INT(T17*IF(R17="",1.5,VLOOKUP(R17,$AL$2:$AM$10,2,FALSE))*(U17*3+100)/100)</f>
        <v>758</v>
      </c>
      <c r="Y17" s="29">
        <f>INT((T17+IF(J17&gt;=1,F17/4,0)))</f>
        <v>396</v>
      </c>
      <c r="Z17" s="29">
        <f>INT(Y17*(U17*2+100)/100)</f>
        <v>503</v>
      </c>
      <c r="AA17" s="30">
        <f>Z17/W17</f>
        <v>0.73538011695906436</v>
      </c>
      <c r="AB17" s="24">
        <f>W17*IF(J17&lt;1,1,IF(J17=1,2,IF(J17&gt;=2,3)))</f>
        <v>1368</v>
      </c>
      <c r="AC17" s="24">
        <f>INT(AB17*IF(J17&gt;=3,1.5,1.15))</f>
        <v>1573</v>
      </c>
      <c r="AD17" s="24">
        <f>INT(IF(J17&gt;=3,X17,W17)*IF(J17&lt;1,1,IF(J17=1,2,IF(J17&gt;=2,3,1)))*1.15)</f>
        <v>1573</v>
      </c>
      <c r="AE17" s="24">
        <f>INT(IF(J17=3,Z17*3,AB17)*1.15)</f>
        <v>1573</v>
      </c>
      <c r="AF17" s="24">
        <f>INT(W17*IF(J17=0,1,IF(J17&gt;=2,1.5,1)*IF(J17&gt;=3,1.5,1.15)))</f>
        <v>786</v>
      </c>
      <c r="AG17" s="21">
        <f>MAX(A17:AF17)</f>
        <v>1573</v>
      </c>
      <c r="AH17" s="9" t="s">
        <v>134</v>
      </c>
      <c r="AI17" s="9" t="s">
        <v>137</v>
      </c>
      <c r="AJ17" s="9" t="s">
        <v>136</v>
      </c>
    </row>
    <row r="18" spans="1:36" ht="15.75" thickBot="1" x14ac:dyDescent="0.3">
      <c r="A18" s="3" t="s">
        <v>36</v>
      </c>
      <c r="B18" s="4">
        <v>135</v>
      </c>
      <c r="C18" s="4">
        <v>150</v>
      </c>
      <c r="D18" s="4">
        <v>135</v>
      </c>
      <c r="E18" s="4">
        <v>150</v>
      </c>
      <c r="F18" s="4">
        <v>135</v>
      </c>
      <c r="G18" s="4">
        <v>150</v>
      </c>
      <c r="H18" s="4">
        <v>135</v>
      </c>
      <c r="I18" s="4">
        <v>660</v>
      </c>
      <c r="J18" s="4">
        <v>2</v>
      </c>
      <c r="K18" s="15"/>
      <c r="L18" s="6"/>
      <c r="M18" s="6"/>
      <c r="N18" s="4"/>
      <c r="O18" s="14" t="s">
        <v>155</v>
      </c>
      <c r="P18" s="14">
        <v>140</v>
      </c>
      <c r="Q18" s="8">
        <v>60</v>
      </c>
      <c r="R18" s="4"/>
      <c r="S18" s="4" t="s">
        <v>23</v>
      </c>
      <c r="T18" s="33">
        <f>P18+Q18+B18</f>
        <v>335</v>
      </c>
      <c r="U18" s="26">
        <f>(C18+(H18/2))/16</f>
        <v>13.59375</v>
      </c>
      <c r="V18" s="26">
        <f>U18*IF(J18&gt;=1,1.5,1)</f>
        <v>20.390625</v>
      </c>
      <c r="W18" s="19">
        <f>INT(T18*IF(R18="",1.5,VLOOKUP(R18,$AL$2:$AM$10,2,FALSE))*(U18*2+100)/100)</f>
        <v>639</v>
      </c>
      <c r="X18" s="22">
        <f>INT(T18*IF(R18="",1.5,VLOOKUP(R18,$AL$2:$AM$10,2,FALSE))*(U18*3+100)/100)</f>
        <v>707</v>
      </c>
      <c r="Y18" s="29">
        <f>INT((T18+IF(J18&gt;=1,F18/4,0)))</f>
        <v>368</v>
      </c>
      <c r="Z18" s="29">
        <f>INT(Y18*(U18*2+100)/100)</f>
        <v>468</v>
      </c>
      <c r="AA18" s="30">
        <f>Z18/W18</f>
        <v>0.73239436619718312</v>
      </c>
      <c r="AB18" s="24">
        <f>W18*IF(J18&lt;1,1,IF(J18=1,2,IF(J18&gt;=2,3)))</f>
        <v>1917</v>
      </c>
      <c r="AC18" s="24">
        <f>INT(AB18*IF(J18&gt;=3,1.5,1.15))</f>
        <v>2204</v>
      </c>
      <c r="AD18" s="24">
        <f>INT(IF(J18&gt;=3,X18,W18)*IF(J18&lt;1,1,IF(J18=1,2,IF(J18&gt;=2,3,1)))*1.15)</f>
        <v>2204</v>
      </c>
      <c r="AE18" s="24">
        <f>INT(IF(J18=3,Z18*3,AB18)*1.15)</f>
        <v>2204</v>
      </c>
      <c r="AF18" s="24">
        <f>INT(W18*IF(J18=0,1,IF(J18&gt;=2,1.5,1)*IF(J18&gt;=3,1.5,1.15)))</f>
        <v>1102</v>
      </c>
      <c r="AG18" s="21">
        <f>MAX(A18:AF18)</f>
        <v>2204</v>
      </c>
      <c r="AH18" s="9" t="s">
        <v>137</v>
      </c>
      <c r="AI18" s="9" t="s">
        <v>135</v>
      </c>
      <c r="AJ18" s="9" t="s">
        <v>136</v>
      </c>
    </row>
    <row r="19" spans="1:36" ht="15.75" thickBot="1" x14ac:dyDescent="0.3">
      <c r="A19" s="3" t="s">
        <v>46</v>
      </c>
      <c r="B19" s="4">
        <v>135</v>
      </c>
      <c r="C19" s="4">
        <v>110</v>
      </c>
      <c r="D19" s="4">
        <v>135</v>
      </c>
      <c r="E19" s="4">
        <v>110</v>
      </c>
      <c r="F19" s="4">
        <v>150</v>
      </c>
      <c r="G19" s="4">
        <v>150</v>
      </c>
      <c r="H19" s="4">
        <v>135</v>
      </c>
      <c r="I19" s="4">
        <v>660</v>
      </c>
      <c r="J19" s="4">
        <v>3</v>
      </c>
      <c r="K19" s="6"/>
      <c r="L19" s="6"/>
      <c r="M19" s="6"/>
      <c r="N19" s="4"/>
      <c r="O19" s="14" t="s">
        <v>157</v>
      </c>
      <c r="P19" s="14">
        <v>100</v>
      </c>
      <c r="Q19" s="8">
        <v>60</v>
      </c>
      <c r="R19" s="4"/>
      <c r="S19" s="4" t="s">
        <v>19</v>
      </c>
      <c r="T19" s="33">
        <f>P19+Q19+B19</f>
        <v>295</v>
      </c>
      <c r="U19" s="26">
        <f>(C19+(H19/2))/16</f>
        <v>11.09375</v>
      </c>
      <c r="V19" s="26">
        <f>U19*IF(J19&gt;=1,1.5,1)</f>
        <v>16.640625</v>
      </c>
      <c r="W19" s="19">
        <f>INT(T19*IF(R19="",1.5,VLOOKUP(R19,$AL$2:$AM$10,2,FALSE))*(U19*2+100)/100)</f>
        <v>540</v>
      </c>
      <c r="X19" s="22">
        <f>INT(T19*IF(R19="",1.5,VLOOKUP(R19,$AL$2:$AM$10,2,FALSE))*(U19*3+100)/100)</f>
        <v>589</v>
      </c>
      <c r="Y19" s="29">
        <f>INT((T19+IF(J19&gt;=1,F19/4,0)))</f>
        <v>332</v>
      </c>
      <c r="Z19" s="29">
        <f>INT(Y19*(U19*2+100)/100)</f>
        <v>405</v>
      </c>
      <c r="AA19" s="30">
        <f>Z19/W19</f>
        <v>0.75</v>
      </c>
      <c r="AB19" s="24">
        <f>W19*IF(J19&lt;1,1,IF(J19=1,2,IF(J19&gt;=2,3)))</f>
        <v>1620</v>
      </c>
      <c r="AC19" s="24">
        <f>INT(AB19*IF(J19&gt;=3,1.5,1.15))</f>
        <v>2430</v>
      </c>
      <c r="AD19" s="24">
        <f>INT(IF(J19&gt;=3,X19,W19)*IF(J19&lt;1,1,IF(J19=1,2,IF(J19&gt;=2,3,1)))*1.15)</f>
        <v>2032</v>
      </c>
      <c r="AE19" s="24">
        <f>INT(IF(J19=3,Z19*3,AB19)*1.15)</f>
        <v>1397</v>
      </c>
      <c r="AF19" s="24">
        <f>INT(W19*IF(J19=0,1,IF(J19&gt;=2,1.5,1)*IF(J19&gt;=3,1.5,1.15)))</f>
        <v>1215</v>
      </c>
      <c r="AG19" s="21">
        <f>MAX(A19:AF19)</f>
        <v>2430</v>
      </c>
      <c r="AH19" s="9" t="s">
        <v>137</v>
      </c>
      <c r="AI19" s="9" t="s">
        <v>132</v>
      </c>
      <c r="AJ19" s="9" t="s">
        <v>138</v>
      </c>
    </row>
    <row r="20" spans="1:36" ht="15.75" thickBot="1" x14ac:dyDescent="0.3">
      <c r="A20" s="3" t="s">
        <v>55</v>
      </c>
      <c r="B20" s="4">
        <v>195</v>
      </c>
      <c r="C20" s="4">
        <v>135</v>
      </c>
      <c r="D20" s="4">
        <v>135</v>
      </c>
      <c r="E20" s="4">
        <v>110</v>
      </c>
      <c r="F20" s="4">
        <v>175</v>
      </c>
      <c r="G20" s="4">
        <v>110</v>
      </c>
      <c r="H20" s="4">
        <v>135</v>
      </c>
      <c r="I20" s="4">
        <v>780</v>
      </c>
      <c r="J20" s="4">
        <v>1</v>
      </c>
      <c r="K20" s="15"/>
      <c r="L20" s="15"/>
      <c r="M20" s="6"/>
      <c r="N20" s="4"/>
      <c r="O20" s="14" t="s">
        <v>159</v>
      </c>
      <c r="P20" s="14">
        <v>160</v>
      </c>
      <c r="Q20" s="8">
        <v>79</v>
      </c>
      <c r="R20" s="4"/>
      <c r="S20" s="4" t="s">
        <v>56</v>
      </c>
      <c r="T20" s="33">
        <f>P20+Q20+B20</f>
        <v>434</v>
      </c>
      <c r="U20" s="26">
        <f>(C20+(H20/2))/16</f>
        <v>12.65625</v>
      </c>
      <c r="V20" s="26">
        <f>U20*IF(J20&gt;=1,1.5,1)</f>
        <v>18.984375</v>
      </c>
      <c r="W20" s="19">
        <f>INT(T20*IF(R20="",1.5,VLOOKUP(R20,$AL$2:$AM$10,2,FALSE))*(U20*2+100)/100)</f>
        <v>815</v>
      </c>
      <c r="X20" s="22">
        <f>INT(T20*IF(R20="",1.5,VLOOKUP(R20,$AL$2:$AM$10,2,FALSE))*(U20*3+100)/100)</f>
        <v>898</v>
      </c>
      <c r="Y20" s="29">
        <f>INT((T20+IF(J20&gt;=1,F20/4,0)))</f>
        <v>477</v>
      </c>
      <c r="Z20" s="29">
        <f>INT(Y20*(U20*2+100)/100)</f>
        <v>597</v>
      </c>
      <c r="AA20" s="30">
        <f>Z20/W20</f>
        <v>0.73251533742331287</v>
      </c>
      <c r="AB20" s="24">
        <f>W20*IF(J20&lt;1,1,IF(J20=1,2,IF(J20&gt;=2,3)))</f>
        <v>1630</v>
      </c>
      <c r="AC20" s="24">
        <f>INT(AB20*IF(J20&gt;=3,1.5,1.15))</f>
        <v>1874</v>
      </c>
      <c r="AD20" s="24">
        <f>INT(IF(J20&gt;=3,X20,W20)*IF(J20&lt;1,1,IF(J20=1,2,IF(J20&gt;=2,3,1)))*1.15)</f>
        <v>1874</v>
      </c>
      <c r="AE20" s="24">
        <f>INT(IF(J20=3,Z20*3,AB20)*1.15)</f>
        <v>1874</v>
      </c>
      <c r="AF20" s="24">
        <f>INT(W20*IF(J20=0,1,IF(J20&gt;=2,1.5,1)*IF(J20&gt;=3,1.5,1.15)))</f>
        <v>937</v>
      </c>
      <c r="AG20" s="21">
        <f>MAX(A20:AF20)</f>
        <v>1874</v>
      </c>
      <c r="AH20" s="9" t="s">
        <v>133</v>
      </c>
      <c r="AI20" s="9" t="s">
        <v>134</v>
      </c>
      <c r="AJ20" s="9" t="s">
        <v>137</v>
      </c>
    </row>
    <row r="21" spans="1:36" ht="15.75" thickBot="1" x14ac:dyDescent="0.3">
      <c r="A21" s="3" t="s">
        <v>65</v>
      </c>
      <c r="B21" s="4">
        <v>135</v>
      </c>
      <c r="C21" s="4">
        <v>135</v>
      </c>
      <c r="D21" s="4">
        <v>135</v>
      </c>
      <c r="E21" s="4">
        <v>135</v>
      </c>
      <c r="F21" s="4">
        <v>110</v>
      </c>
      <c r="G21" s="4">
        <v>135</v>
      </c>
      <c r="H21" s="4">
        <v>150</v>
      </c>
      <c r="I21" s="4">
        <v>660</v>
      </c>
      <c r="J21" s="4">
        <v>1</v>
      </c>
      <c r="K21" s="6"/>
      <c r="L21" s="13" t="s">
        <v>162</v>
      </c>
      <c r="M21" s="6"/>
      <c r="N21" s="7" t="s">
        <v>66</v>
      </c>
      <c r="O21" s="14" t="s">
        <v>151</v>
      </c>
      <c r="P21" s="14">
        <v>165</v>
      </c>
      <c r="Q21" s="8">
        <v>60</v>
      </c>
      <c r="R21" s="7" t="s">
        <v>66</v>
      </c>
      <c r="S21" s="4" t="s">
        <v>67</v>
      </c>
      <c r="T21" s="33">
        <f>P21+Q21+B21</f>
        <v>360</v>
      </c>
      <c r="U21" s="26">
        <f>(C21+(H21/2))/16</f>
        <v>13.125</v>
      </c>
      <c r="V21" s="26">
        <f>U21*IF(J21&gt;=1,1.5,1)</f>
        <v>19.6875</v>
      </c>
      <c r="W21" s="19">
        <f>INT(T21*IF(R21="",1.5,VLOOKUP(R21,$AL$2:$AM$10,2,FALSE))*(U21*2+100)/100)</f>
        <v>454</v>
      </c>
      <c r="X21" s="22">
        <f>INT(T21*IF(R21="",1.5,VLOOKUP(R21,$AL$2:$AM$10,2,FALSE))*(U21*3+100)/100)</f>
        <v>501</v>
      </c>
      <c r="Y21" s="29">
        <f>INT((T21+IF(J21&gt;=1,F21/4,0)))</f>
        <v>387</v>
      </c>
      <c r="Z21" s="29">
        <f>INT(Y21*(U21*2+100)/100)</f>
        <v>488</v>
      </c>
      <c r="AA21" s="30">
        <f>Z21/W21</f>
        <v>1.0748898678414096</v>
      </c>
      <c r="AB21" s="24">
        <f>W21*IF(J21&lt;1,1,IF(J21=1,2,IF(J21&gt;=2,3)))</f>
        <v>908</v>
      </c>
      <c r="AC21" s="24">
        <f>INT(AB21*IF(J21&gt;=3,1.5,1.15))</f>
        <v>1044</v>
      </c>
      <c r="AD21" s="24">
        <f>INT(IF(J21&gt;=3,X21,W21)*IF(J21&lt;1,1,IF(J21=1,2,IF(J21&gt;=2,3,1)))*1.15)</f>
        <v>1044</v>
      </c>
      <c r="AE21" s="24">
        <f>INT(IF(J21=3,Z21*3,AB21)*1.15)</f>
        <v>1044</v>
      </c>
      <c r="AF21" s="24">
        <f>INT(W21*IF(J21=0,1,IF(J21&gt;=2,1.5,1)*IF(J21&gt;=3,1.5,1.15)))</f>
        <v>522</v>
      </c>
      <c r="AG21" s="21">
        <f>MAX(A21:AF21)</f>
        <v>1044</v>
      </c>
      <c r="AH21" s="9" t="s">
        <v>138</v>
      </c>
      <c r="AI21" s="9" t="s">
        <v>139</v>
      </c>
      <c r="AJ21" s="9" t="s">
        <v>136</v>
      </c>
    </row>
    <row r="22" spans="1:36" ht="15.75" thickBot="1" x14ac:dyDescent="0.3">
      <c r="A22" s="3" t="s">
        <v>75</v>
      </c>
      <c r="B22" s="4">
        <v>135</v>
      </c>
      <c r="C22" s="4">
        <v>175</v>
      </c>
      <c r="D22" s="4">
        <v>135</v>
      </c>
      <c r="E22" s="4">
        <v>150</v>
      </c>
      <c r="F22" s="4">
        <v>135</v>
      </c>
      <c r="G22" s="4">
        <v>175</v>
      </c>
      <c r="H22" s="4">
        <v>135</v>
      </c>
      <c r="I22" s="4">
        <v>660</v>
      </c>
      <c r="J22" s="4">
        <v>2</v>
      </c>
      <c r="K22" s="6"/>
      <c r="L22" s="6"/>
      <c r="M22" s="15"/>
      <c r="N22" s="4"/>
      <c r="O22" s="14" t="s">
        <v>160</v>
      </c>
      <c r="P22" s="14">
        <v>175</v>
      </c>
      <c r="Q22" s="8">
        <v>59</v>
      </c>
      <c r="R22" s="4"/>
      <c r="S22" s="4" t="s">
        <v>74</v>
      </c>
      <c r="T22" s="33">
        <f>P22+Q22+B22</f>
        <v>369</v>
      </c>
      <c r="U22" s="26">
        <f>(C22+(H22/2))/16</f>
        <v>15.15625</v>
      </c>
      <c r="V22" s="26">
        <f>U22*IF(J22&gt;=1,1.5,1)</f>
        <v>22.734375</v>
      </c>
      <c r="W22" s="19">
        <f>INT(T22*IF(R22="",1.5,VLOOKUP(R22,$AL$2:$AM$10,2,FALSE))*(U22*2+100)/100)</f>
        <v>721</v>
      </c>
      <c r="X22" s="22">
        <f>INT(T22*IF(R22="",1.5,VLOOKUP(R22,$AL$2:$AM$10,2,FALSE))*(U22*3+100)/100)</f>
        <v>805</v>
      </c>
      <c r="Y22" s="29">
        <f>INT((T22+IF(J22&gt;=1,F22/4,0)))</f>
        <v>402</v>
      </c>
      <c r="Z22" s="29">
        <f>INT(Y22*(U22*2+100)/100)</f>
        <v>523</v>
      </c>
      <c r="AA22" s="30">
        <f>Z22/W22</f>
        <v>0.72538141470180306</v>
      </c>
      <c r="AB22" s="24">
        <f>W22*IF(J22&lt;1,1,IF(J22=1,2,IF(J22&gt;=2,3)))</f>
        <v>2163</v>
      </c>
      <c r="AC22" s="24">
        <f>INT(AB22*IF(J22&gt;=3,1.5,1.15))</f>
        <v>2487</v>
      </c>
      <c r="AD22" s="24">
        <f>INT(IF(J22&gt;=3,X22,W22)*IF(J22&lt;1,1,IF(J22=1,2,IF(J22&gt;=2,3,1)))*1.15)</f>
        <v>2487</v>
      </c>
      <c r="AE22" s="24">
        <f>INT(IF(J22=3,Z22*3,AB22)*1.15)</f>
        <v>2487</v>
      </c>
      <c r="AF22" s="24">
        <f>INT(W22*IF(J22=0,1,IF(J22&gt;=2,1.5,1)*IF(J22&gt;=3,1.5,1.15)))</f>
        <v>1243</v>
      </c>
      <c r="AG22" s="21">
        <f>MAX(A22:AF22)</f>
        <v>2487</v>
      </c>
      <c r="AH22" s="9" t="s">
        <v>135</v>
      </c>
      <c r="AI22" s="9" t="s">
        <v>132</v>
      </c>
      <c r="AJ22" s="9" t="s">
        <v>134</v>
      </c>
    </row>
    <row r="23" spans="1:36" ht="15.75" thickBot="1" x14ac:dyDescent="0.3">
      <c r="A23" s="3" t="s">
        <v>78</v>
      </c>
      <c r="B23" s="4">
        <v>165</v>
      </c>
      <c r="C23" s="4">
        <v>110</v>
      </c>
      <c r="D23" s="4">
        <v>135</v>
      </c>
      <c r="E23" s="4">
        <v>150</v>
      </c>
      <c r="F23" s="4">
        <v>209</v>
      </c>
      <c r="G23" s="4">
        <v>135</v>
      </c>
      <c r="H23" s="4">
        <v>110</v>
      </c>
      <c r="I23" s="4">
        <v>490</v>
      </c>
      <c r="J23" s="4">
        <v>2</v>
      </c>
      <c r="K23" s="6"/>
      <c r="L23" s="6"/>
      <c r="M23" s="15"/>
      <c r="N23" s="5" t="s">
        <v>17</v>
      </c>
      <c r="O23" s="14" t="s">
        <v>146</v>
      </c>
      <c r="P23" s="14">
        <v>0</v>
      </c>
      <c r="Q23" s="14">
        <v>0</v>
      </c>
      <c r="R23" s="5" t="s">
        <v>17</v>
      </c>
      <c r="S23" s="4"/>
      <c r="T23" s="33">
        <f>P23+Q23+B23</f>
        <v>165</v>
      </c>
      <c r="U23" s="26">
        <f>(C23+(H23/2))/16</f>
        <v>10.3125</v>
      </c>
      <c r="V23" s="26">
        <f>U23*IF(J23&gt;=1,1.5,1)</f>
        <v>15.46875</v>
      </c>
      <c r="W23" s="19">
        <f>INT(T23*IF(R23="",1.5,VLOOKUP(R23,$AL$2:$AM$10,2,FALSE))*(U23*2+100)/100)</f>
        <v>199</v>
      </c>
      <c r="X23" s="22">
        <f>INT(T23*IF(R23="",1.5,VLOOKUP(R23,$AL$2:$AM$10,2,FALSE))*(U23*3+100)/100)</f>
        <v>216</v>
      </c>
      <c r="Y23" s="29">
        <f>INT((T23+IF(J23&gt;=1,F23/4,0)))</f>
        <v>217</v>
      </c>
      <c r="Z23" s="29">
        <f>INT(Y23*(U23*2+100)/100)</f>
        <v>261</v>
      </c>
      <c r="AA23" s="30">
        <f>Z23/W23</f>
        <v>1.3115577889447236</v>
      </c>
      <c r="AB23" s="24">
        <f>W23*IF(J23&lt;1,1,IF(J23=1,2,IF(J23&gt;=2,3)))</f>
        <v>597</v>
      </c>
      <c r="AC23" s="24">
        <f>INT(AB23*IF(J23&gt;=3,1.5,1.15))</f>
        <v>686</v>
      </c>
      <c r="AD23" s="24">
        <f>INT(IF(J23&gt;=3,X23,W23)*IF(J23&lt;1,1,IF(J23=1,2,IF(J23&gt;=2,3,1)))*1.15)</f>
        <v>686</v>
      </c>
      <c r="AE23" s="24">
        <f>INT(IF(J23=3,Z23*3,AB23)*1.15)</f>
        <v>686</v>
      </c>
      <c r="AF23" s="24">
        <f>INT(W23*IF(J23=0,1,IF(J23&gt;=2,1.5,1)*IF(J23&gt;=3,1.5,1.15)))</f>
        <v>343</v>
      </c>
      <c r="AG23" s="21">
        <f>MAX(A23:AF23)</f>
        <v>686</v>
      </c>
      <c r="AH23" s="9" t="s">
        <v>140</v>
      </c>
      <c r="AI23" s="9" t="s">
        <v>140</v>
      </c>
      <c r="AJ23" s="9" t="s">
        <v>139</v>
      </c>
    </row>
    <row r="24" spans="1:36" ht="15.75" thickBot="1" x14ac:dyDescent="0.3">
      <c r="A24" s="3" t="s">
        <v>86</v>
      </c>
      <c r="B24" s="4">
        <v>95</v>
      </c>
      <c r="C24" s="4">
        <v>110</v>
      </c>
      <c r="D24" s="4">
        <v>135</v>
      </c>
      <c r="E24" s="4">
        <v>135</v>
      </c>
      <c r="F24" s="4">
        <v>110</v>
      </c>
      <c r="G24" s="4">
        <v>175</v>
      </c>
      <c r="H24" s="4">
        <v>195</v>
      </c>
      <c r="I24" s="4">
        <v>600</v>
      </c>
      <c r="J24" s="4">
        <v>2</v>
      </c>
      <c r="K24" s="6"/>
      <c r="L24" s="6"/>
      <c r="M24" s="13" t="s">
        <v>167</v>
      </c>
      <c r="N24" s="4"/>
      <c r="O24" s="14" t="s">
        <v>155</v>
      </c>
      <c r="P24" s="14">
        <v>140</v>
      </c>
      <c r="Q24" s="8">
        <v>60</v>
      </c>
      <c r="R24" s="4"/>
      <c r="S24" s="4" t="s">
        <v>23</v>
      </c>
      <c r="T24" s="33">
        <f>P24+Q24+B24</f>
        <v>295</v>
      </c>
      <c r="U24" s="26">
        <f>(C24+(H24/2))/16</f>
        <v>12.96875</v>
      </c>
      <c r="V24" s="26">
        <f>U24*IF(J24&gt;=1,1.5,1)</f>
        <v>19.453125</v>
      </c>
      <c r="W24" s="19">
        <f>INT(T24*IF(R24="",1.5,VLOOKUP(R24,$AL$2:$AM$10,2,FALSE))*(U24*2+100)/100)</f>
        <v>557</v>
      </c>
      <c r="X24" s="22">
        <f>INT(T24*IF(R24="",1.5,VLOOKUP(R24,$AL$2:$AM$10,2,FALSE))*(U24*3+100)/100)</f>
        <v>614</v>
      </c>
      <c r="Y24" s="29">
        <f>INT((T24+IF(J24&gt;=1,F24/4,0)))</f>
        <v>322</v>
      </c>
      <c r="Z24" s="29">
        <f>INT(Y24*(U24*2+100)/100)</f>
        <v>405</v>
      </c>
      <c r="AA24" s="30">
        <f>Z24/W24</f>
        <v>0.72710951526032319</v>
      </c>
      <c r="AB24" s="24">
        <f>W24*IF(J24&lt;1,1,IF(J24=1,2,IF(J24&gt;=2,3)))</f>
        <v>1671</v>
      </c>
      <c r="AC24" s="24">
        <f>INT(AB24*IF(J24&gt;=3,1.5,1.15))</f>
        <v>1921</v>
      </c>
      <c r="AD24" s="24">
        <f>INT(IF(J24&gt;=3,X24,W24)*IF(J24&lt;1,1,IF(J24=1,2,IF(J24&gt;=2,3,1)))*1.15)</f>
        <v>1921</v>
      </c>
      <c r="AE24" s="24">
        <f>INT(IF(J24=3,Z24*3,AB24)*1.15)</f>
        <v>1921</v>
      </c>
      <c r="AF24" s="24">
        <f>INT(W24*IF(J24=0,1,IF(J24&gt;=2,1.5,1)*IF(J24&gt;=3,1.5,1.15)))</f>
        <v>960</v>
      </c>
      <c r="AG24" s="21">
        <f>MAX(A24:AF24)</f>
        <v>1921</v>
      </c>
      <c r="AH24" s="9" t="s">
        <v>137</v>
      </c>
      <c r="AI24" s="9" t="s">
        <v>134</v>
      </c>
      <c r="AJ24" s="9" t="s">
        <v>134</v>
      </c>
    </row>
    <row r="25" spans="1:36" ht="15.75" thickBot="1" x14ac:dyDescent="0.3">
      <c r="A25" s="3" t="s">
        <v>101</v>
      </c>
      <c r="B25" s="4">
        <v>150</v>
      </c>
      <c r="C25" s="4">
        <v>150</v>
      </c>
      <c r="D25" s="4">
        <v>135</v>
      </c>
      <c r="E25" s="4">
        <v>135</v>
      </c>
      <c r="F25" s="4">
        <v>135</v>
      </c>
      <c r="G25" s="4">
        <v>150</v>
      </c>
      <c r="H25" s="4">
        <v>135</v>
      </c>
      <c r="I25" s="4">
        <v>660</v>
      </c>
      <c r="J25" s="4">
        <v>3</v>
      </c>
      <c r="K25" s="6"/>
      <c r="L25" s="6"/>
      <c r="M25" s="6"/>
      <c r="N25" s="4"/>
      <c r="O25" s="14" t="s">
        <v>149</v>
      </c>
      <c r="P25" s="14">
        <v>150</v>
      </c>
      <c r="Q25" s="8">
        <v>75</v>
      </c>
      <c r="R25" s="4"/>
      <c r="S25" s="4" t="s">
        <v>39</v>
      </c>
      <c r="T25" s="33">
        <f>P25+Q25+B25</f>
        <v>375</v>
      </c>
      <c r="U25" s="26">
        <f>(C25+(H25/2))/16</f>
        <v>13.59375</v>
      </c>
      <c r="V25" s="26">
        <f>U25*IF(J25&gt;=1,1.5,1)</f>
        <v>20.390625</v>
      </c>
      <c r="W25" s="19">
        <f>INT(T25*IF(R25="",1.5,VLOOKUP(R25,$AL$2:$AM$10,2,FALSE))*(U25*2+100)/100)</f>
        <v>715</v>
      </c>
      <c r="X25" s="22">
        <f>INT(T25*IF(R25="",1.5,VLOOKUP(R25,$AL$2:$AM$10,2,FALSE))*(U25*3+100)/100)</f>
        <v>791</v>
      </c>
      <c r="Y25" s="29">
        <f>INT((T25+IF(J25&gt;=1,F25/4,0)))</f>
        <v>408</v>
      </c>
      <c r="Z25" s="29">
        <f>INT(Y25*(U25*2+100)/100)</f>
        <v>518</v>
      </c>
      <c r="AA25" s="30">
        <f>Z25/W25</f>
        <v>0.72447552447552443</v>
      </c>
      <c r="AB25" s="24">
        <f>W25*IF(J25&lt;1,1,IF(J25=1,2,IF(J25&gt;=2,3)))</f>
        <v>2145</v>
      </c>
      <c r="AC25" s="24">
        <f>INT(AB25*IF(J25&gt;=3,1.5,1.15))</f>
        <v>3217</v>
      </c>
      <c r="AD25" s="24">
        <f>INT(IF(J25&gt;=3,X25,W25)*IF(J25&lt;1,1,IF(J25=1,2,IF(J25&gt;=2,3,1)))*1.15)</f>
        <v>2728</v>
      </c>
      <c r="AE25" s="24">
        <f>INT(IF(J25=3,Z25*3,AB25)*1.15)</f>
        <v>1787</v>
      </c>
      <c r="AF25" s="24">
        <f>INT(W25*IF(J25=0,1,IF(J25&gt;=2,1.5,1)*IF(J25&gt;=3,1.5,1.15)))</f>
        <v>1608</v>
      </c>
      <c r="AG25" s="21">
        <f>MAX(A25:AF25)</f>
        <v>3217</v>
      </c>
      <c r="AH25" s="9" t="s">
        <v>135</v>
      </c>
      <c r="AI25" s="9" t="s">
        <v>131</v>
      </c>
      <c r="AJ25" s="9" t="s">
        <v>136</v>
      </c>
    </row>
    <row r="26" spans="1:36" ht="15.75" thickBot="1" x14ac:dyDescent="0.3">
      <c r="A26" s="3" t="s">
        <v>109</v>
      </c>
      <c r="B26" s="4">
        <v>135</v>
      </c>
      <c r="C26" s="4">
        <v>150</v>
      </c>
      <c r="D26" s="4">
        <v>135</v>
      </c>
      <c r="E26" s="4">
        <v>135</v>
      </c>
      <c r="F26" s="4">
        <v>110</v>
      </c>
      <c r="G26" s="4">
        <v>150</v>
      </c>
      <c r="H26" s="4">
        <v>110</v>
      </c>
      <c r="I26" s="4">
        <v>660</v>
      </c>
      <c r="J26" s="4">
        <v>1</v>
      </c>
      <c r="K26" s="15"/>
      <c r="L26" s="6"/>
      <c r="M26" s="15"/>
      <c r="N26" s="4"/>
      <c r="O26" s="14" t="s">
        <v>155</v>
      </c>
      <c r="P26" s="14">
        <v>140</v>
      </c>
      <c r="Q26" s="8">
        <v>35</v>
      </c>
      <c r="R26" s="4"/>
      <c r="S26" s="4" t="s">
        <v>110</v>
      </c>
      <c r="T26" s="33">
        <f>P26+Q26+B26</f>
        <v>310</v>
      </c>
      <c r="U26" s="26">
        <f>(C26+(H26/2))/16</f>
        <v>12.8125</v>
      </c>
      <c r="V26" s="26">
        <f>U26*IF(J26&gt;=1,1.5,1)</f>
        <v>19.21875</v>
      </c>
      <c r="W26" s="19">
        <f>INT(T26*IF(R26="",1.5,VLOOKUP(R26,$AL$2:$AM$10,2,FALSE))*(U26*2+100)/100)</f>
        <v>584</v>
      </c>
      <c r="X26" s="22">
        <f>INT(T26*IF(R26="",1.5,VLOOKUP(R26,$AL$2:$AM$10,2,FALSE))*(U26*3+100)/100)</f>
        <v>643</v>
      </c>
      <c r="Y26" s="29">
        <f>INT((T26+IF(J26&gt;=1,F26/4,0)))</f>
        <v>337</v>
      </c>
      <c r="Z26" s="29">
        <f>INT(Y26*(U26*2+100)/100)</f>
        <v>423</v>
      </c>
      <c r="AA26" s="30">
        <f>Z26/W26</f>
        <v>0.72431506849315064</v>
      </c>
      <c r="AB26" s="24">
        <f>W26*IF(J26&lt;1,1,IF(J26=1,2,IF(J26&gt;=2,3)))</f>
        <v>1168</v>
      </c>
      <c r="AC26" s="24">
        <f>INT(AB26*IF(J26&gt;=3,1.5,1.15))</f>
        <v>1343</v>
      </c>
      <c r="AD26" s="24">
        <f>INT(IF(J26&gt;=3,X26,W26)*IF(J26&lt;1,1,IF(J26=1,2,IF(J26&gt;=2,3,1)))*1.15)</f>
        <v>1343</v>
      </c>
      <c r="AE26" s="24">
        <f>INT(IF(J26=3,Z26*3,AB26)*1.15)</f>
        <v>1343</v>
      </c>
      <c r="AF26" s="24">
        <f>INT(W26*IF(J26=0,1,IF(J26&gt;=2,1.5,1)*IF(J26&gt;=3,1.5,1.15)))</f>
        <v>671</v>
      </c>
      <c r="AG26" s="21">
        <f>MAX(A26:AF26)</f>
        <v>1343</v>
      </c>
      <c r="AH26" s="9" t="s">
        <v>137</v>
      </c>
      <c r="AI26" s="9" t="s">
        <v>138</v>
      </c>
      <c r="AJ26" s="9" t="s">
        <v>137</v>
      </c>
    </row>
    <row r="27" spans="1:36" ht="15.75" thickBot="1" x14ac:dyDescent="0.3">
      <c r="A27" s="3" t="s">
        <v>124</v>
      </c>
      <c r="B27" s="4">
        <v>110</v>
      </c>
      <c r="C27" s="4">
        <v>135</v>
      </c>
      <c r="D27" s="4">
        <v>135</v>
      </c>
      <c r="E27" s="4">
        <v>135</v>
      </c>
      <c r="F27" s="4">
        <v>110</v>
      </c>
      <c r="G27" s="4">
        <v>135</v>
      </c>
      <c r="H27" s="4">
        <v>150</v>
      </c>
      <c r="I27" s="4">
        <v>660</v>
      </c>
      <c r="J27" s="4">
        <v>2</v>
      </c>
      <c r="K27" s="15"/>
      <c r="L27" s="6"/>
      <c r="M27" s="6"/>
      <c r="N27" s="4"/>
      <c r="O27" s="14" t="s">
        <v>147</v>
      </c>
      <c r="P27" s="14">
        <v>140</v>
      </c>
      <c r="Q27" s="8">
        <v>40</v>
      </c>
      <c r="R27" s="4"/>
      <c r="S27" s="4" t="s">
        <v>67</v>
      </c>
      <c r="T27" s="33">
        <f>P27+Q27+B27</f>
        <v>290</v>
      </c>
      <c r="U27" s="26">
        <f>(C27+(H27/2))/16</f>
        <v>13.125</v>
      </c>
      <c r="V27" s="26">
        <f>U27*IF(J27&gt;=1,1.5,1)</f>
        <v>19.6875</v>
      </c>
      <c r="W27" s="19">
        <f>INT(T27*IF(R27="",1.5,VLOOKUP(R27,$AL$2:$AM$10,2,FALSE))*(U27*2+100)/100)</f>
        <v>549</v>
      </c>
      <c r="X27" s="22">
        <f>INT(T27*IF(R27="",1.5,VLOOKUP(R27,$AL$2:$AM$10,2,FALSE))*(U27*3+100)/100)</f>
        <v>606</v>
      </c>
      <c r="Y27" s="29">
        <f>INT((T27+IF(J27&gt;=1,F27/4,0)))</f>
        <v>317</v>
      </c>
      <c r="Z27" s="29">
        <f>INT(Y27*(U27*2+100)/100)</f>
        <v>400</v>
      </c>
      <c r="AA27" s="30">
        <f>Z27/W27</f>
        <v>0.72859744990892528</v>
      </c>
      <c r="AB27" s="24">
        <f>W27*IF(J27&lt;1,1,IF(J27=1,2,IF(J27&gt;=2,3)))</f>
        <v>1647</v>
      </c>
      <c r="AC27" s="24">
        <f>INT(AB27*IF(J27&gt;=3,1.5,1.15))</f>
        <v>1894</v>
      </c>
      <c r="AD27" s="24">
        <f>INT(IF(J27&gt;=3,X27,W27)*IF(J27&lt;1,1,IF(J27=1,2,IF(J27&gt;=2,3,1)))*1.15)</f>
        <v>1894</v>
      </c>
      <c r="AE27" s="24">
        <f>INT(IF(J27=3,Z27*3,AB27)*1.15)</f>
        <v>1894</v>
      </c>
      <c r="AF27" s="24">
        <f>INT(W27*IF(J27=0,1,IF(J27&gt;=2,1.5,1)*IF(J27&gt;=3,1.5,1.15)))</f>
        <v>947</v>
      </c>
      <c r="AG27" s="21">
        <f>MAX(A27:AF27)</f>
        <v>1894</v>
      </c>
      <c r="AH27" s="9" t="s">
        <v>137</v>
      </c>
      <c r="AI27" s="9" t="s">
        <v>134</v>
      </c>
      <c r="AJ27" s="9" t="s">
        <v>136</v>
      </c>
    </row>
    <row r="28" spans="1:36" ht="15.75" thickBot="1" x14ac:dyDescent="0.3">
      <c r="A28" s="3" t="s">
        <v>22</v>
      </c>
      <c r="B28" s="4">
        <v>135</v>
      </c>
      <c r="C28" s="4">
        <v>150</v>
      </c>
      <c r="D28" s="4">
        <v>110</v>
      </c>
      <c r="E28" s="4">
        <v>175</v>
      </c>
      <c r="F28" s="4">
        <v>135</v>
      </c>
      <c r="G28" s="4">
        <v>135</v>
      </c>
      <c r="H28" s="4">
        <v>175</v>
      </c>
      <c r="I28" s="4">
        <v>660</v>
      </c>
      <c r="J28" s="4">
        <v>2</v>
      </c>
      <c r="K28" s="15"/>
      <c r="L28" s="6"/>
      <c r="M28" s="6"/>
      <c r="N28" s="4"/>
      <c r="O28" s="14" t="s">
        <v>126</v>
      </c>
      <c r="P28" s="14">
        <v>147</v>
      </c>
      <c r="Q28" s="8">
        <v>60</v>
      </c>
      <c r="R28" s="4"/>
      <c r="S28" s="4" t="s">
        <v>23</v>
      </c>
      <c r="T28" s="33">
        <f>P28+Q28+B28</f>
        <v>342</v>
      </c>
      <c r="U28" s="26">
        <f>(C28+(H28/2))/16</f>
        <v>14.84375</v>
      </c>
      <c r="V28" s="26">
        <f>U28*IF(J28&gt;=1,1.5,1)</f>
        <v>22.265625</v>
      </c>
      <c r="W28" s="19">
        <f>INT(T28*IF(R28="",1.5,VLOOKUP(R28,$AL$2:$AM$10,2,FALSE))*(U28*2+100)/100)</f>
        <v>665</v>
      </c>
      <c r="X28" s="22">
        <f>INT(T28*IF(R28="",1.5,VLOOKUP(R28,$AL$2:$AM$10,2,FALSE))*(U28*3+100)/100)</f>
        <v>741</v>
      </c>
      <c r="Y28" s="29">
        <f>INT((T28+IF(J28&gt;=1,F28/4,0)))</f>
        <v>375</v>
      </c>
      <c r="Z28" s="29">
        <f>INT(Y28*(U28*2+100)/100)</f>
        <v>486</v>
      </c>
      <c r="AA28" s="30">
        <f>Z28/W28</f>
        <v>0.73082706766917294</v>
      </c>
      <c r="AB28" s="24">
        <f>W28*IF(J28&lt;1,1,IF(J28=1,2,IF(J28&gt;=2,3)))</f>
        <v>1995</v>
      </c>
      <c r="AC28" s="24">
        <f>INT(AB28*IF(J28&gt;=3,1.5,1.15))</f>
        <v>2294</v>
      </c>
      <c r="AD28" s="24">
        <f>INT(IF(J28&gt;=3,X28,W28)*IF(J28&lt;1,1,IF(J28=1,2,IF(J28&gt;=2,3,1)))*1.15)</f>
        <v>2294</v>
      </c>
      <c r="AE28" s="24">
        <f>INT(IF(J28=3,Z28*3,AB28)*1.15)</f>
        <v>2294</v>
      </c>
      <c r="AF28" s="24">
        <f>INT(W28*IF(J28=0,1,IF(J28&gt;=2,1.5,1)*IF(J28&gt;=3,1.5,1.15)))</f>
        <v>1147</v>
      </c>
      <c r="AG28" s="21">
        <f>MAX(A28:AF28)</f>
        <v>2294</v>
      </c>
      <c r="AH28" s="9" t="s">
        <v>136</v>
      </c>
      <c r="AI28" s="9" t="s">
        <v>135</v>
      </c>
      <c r="AJ28" s="9" t="s">
        <v>135</v>
      </c>
    </row>
    <row r="29" spans="1:36" ht="15.75" thickBot="1" x14ac:dyDescent="0.3">
      <c r="A29" s="3" t="s">
        <v>24</v>
      </c>
      <c r="B29" s="4">
        <v>135</v>
      </c>
      <c r="C29" s="4">
        <v>135</v>
      </c>
      <c r="D29" s="4">
        <v>110</v>
      </c>
      <c r="E29" s="4">
        <v>135</v>
      </c>
      <c r="F29" s="4">
        <v>135</v>
      </c>
      <c r="G29" s="4">
        <v>135</v>
      </c>
      <c r="H29" s="4">
        <v>110</v>
      </c>
      <c r="I29" s="4">
        <v>720</v>
      </c>
      <c r="J29" s="4">
        <v>1</v>
      </c>
      <c r="K29" s="15"/>
      <c r="L29" s="6"/>
      <c r="M29" s="13" t="s">
        <v>150</v>
      </c>
      <c r="N29" s="4"/>
      <c r="O29" s="14" t="s">
        <v>151</v>
      </c>
      <c r="P29" s="14">
        <v>165</v>
      </c>
      <c r="Q29" s="8">
        <v>79</v>
      </c>
      <c r="R29" s="4"/>
      <c r="S29" s="4" t="s">
        <v>25</v>
      </c>
      <c r="T29" s="33">
        <f>P29+Q29+B29</f>
        <v>379</v>
      </c>
      <c r="U29" s="26">
        <f>(C29+(H29/2))/16</f>
        <v>11.875</v>
      </c>
      <c r="V29" s="26">
        <f>U29*IF(J29&gt;=1,1.5,1)</f>
        <v>17.8125</v>
      </c>
      <c r="W29" s="19">
        <f>INT(T29*IF(R29="",1.5,VLOOKUP(R29,$AL$2:$AM$10,2,FALSE))*(U29*2+100)/100)</f>
        <v>703</v>
      </c>
      <c r="X29" s="22">
        <f>INT(T29*IF(R29="",1.5,VLOOKUP(R29,$AL$2:$AM$10,2,FALSE))*(U29*3+100)/100)</f>
        <v>771</v>
      </c>
      <c r="Y29" s="29">
        <f>INT((T29+IF(J29&gt;=1,F29/4,0)))</f>
        <v>412</v>
      </c>
      <c r="Z29" s="29">
        <f>INT(Y29*(U29*2+100)/100)</f>
        <v>509</v>
      </c>
      <c r="AA29" s="30">
        <f>Z29/W29</f>
        <v>0.72403982930298716</v>
      </c>
      <c r="AB29" s="24">
        <f>W29*IF(J29&lt;1,1,IF(J29=1,2,IF(J29&gt;=2,3)))</f>
        <v>1406</v>
      </c>
      <c r="AC29" s="24">
        <f>INT(AB29*IF(J29&gt;=3,1.5,1.15))</f>
        <v>1616</v>
      </c>
      <c r="AD29" s="24">
        <f>INT(IF(J29&gt;=3,X29,W29)*IF(J29&lt;1,1,IF(J29=1,2,IF(J29&gt;=2,3,1)))*1.15)</f>
        <v>1616</v>
      </c>
      <c r="AE29" s="24">
        <f>INT(IF(J29=3,Z29*3,AB29)*1.15)</f>
        <v>1616</v>
      </c>
      <c r="AF29" s="24">
        <f>INT(W29*IF(J29=0,1,IF(J29&gt;=2,1.5,1)*IF(J29&gt;=3,1.5,1.15)))</f>
        <v>808</v>
      </c>
      <c r="AG29" s="21">
        <f>MAX(A29:AF29)</f>
        <v>1616</v>
      </c>
      <c r="AH29" s="9" t="s">
        <v>134</v>
      </c>
      <c r="AI29" s="9" t="s">
        <v>136</v>
      </c>
      <c r="AJ29" s="9" t="s">
        <v>138</v>
      </c>
    </row>
    <row r="30" spans="1:36" ht="15.75" thickBot="1" x14ac:dyDescent="0.3">
      <c r="A30" s="3" t="s">
        <v>26</v>
      </c>
      <c r="B30" s="4">
        <v>135</v>
      </c>
      <c r="C30" s="4">
        <v>135</v>
      </c>
      <c r="D30" s="4">
        <v>110</v>
      </c>
      <c r="E30" s="4">
        <v>150</v>
      </c>
      <c r="F30" s="4">
        <v>150</v>
      </c>
      <c r="G30" s="4">
        <v>175</v>
      </c>
      <c r="H30" s="4">
        <v>95</v>
      </c>
      <c r="I30" s="4">
        <v>780</v>
      </c>
      <c r="J30" s="4">
        <v>1</v>
      </c>
      <c r="K30" s="13" t="s">
        <v>152</v>
      </c>
      <c r="L30" s="6"/>
      <c r="M30" s="15"/>
      <c r="N30" s="4"/>
      <c r="O30" s="14" t="s">
        <v>151</v>
      </c>
      <c r="P30" s="14">
        <v>165</v>
      </c>
      <c r="Q30" s="8">
        <v>60</v>
      </c>
      <c r="R30" s="4"/>
      <c r="S30" s="4" t="s">
        <v>19</v>
      </c>
      <c r="T30" s="33">
        <f>P30+Q30+B30</f>
        <v>360</v>
      </c>
      <c r="U30" s="26">
        <f>(C30+(H30/2))/16</f>
        <v>11.40625</v>
      </c>
      <c r="V30" s="26">
        <f>U30*IF(J30&gt;=1,1.5,1)</f>
        <v>17.109375</v>
      </c>
      <c r="W30" s="19">
        <f>INT(T30*IF(R30="",1.5,VLOOKUP(R30,$AL$2:$AM$10,2,FALSE))*(U30*2+100)/100)</f>
        <v>663</v>
      </c>
      <c r="X30" s="22">
        <f>INT(T30*IF(R30="",1.5,VLOOKUP(R30,$AL$2:$AM$10,2,FALSE))*(U30*3+100)/100)</f>
        <v>724</v>
      </c>
      <c r="Y30" s="29">
        <f>INT((T30+IF(J30&gt;=1,F30/4,0)))</f>
        <v>397</v>
      </c>
      <c r="Z30" s="29">
        <f>INT(Y30*(U30*2+100)/100)</f>
        <v>487</v>
      </c>
      <c r="AA30" s="30">
        <f>Z30/W30</f>
        <v>0.73453996983408754</v>
      </c>
      <c r="AB30" s="24">
        <f>W30*IF(J30&lt;1,1,IF(J30=1,2,IF(J30&gt;=2,3)))</f>
        <v>1326</v>
      </c>
      <c r="AC30" s="24">
        <f>INT(AB30*IF(J30&gt;=3,1.5,1.15))</f>
        <v>1524</v>
      </c>
      <c r="AD30" s="24">
        <f>INT(IF(J30&gt;=3,X30,W30)*IF(J30&lt;1,1,IF(J30=1,2,IF(J30&gt;=2,3,1)))*1.15)</f>
        <v>1524</v>
      </c>
      <c r="AE30" s="24">
        <f>INT(IF(J30=3,Z30*3,AB30)*1.15)</f>
        <v>1524</v>
      </c>
      <c r="AF30" s="24">
        <f>INT(W30*IF(J30=0,1,IF(J30&gt;=2,1.5,1)*IF(J30&gt;=3,1.5,1.15)))</f>
        <v>762</v>
      </c>
      <c r="AG30" s="21">
        <f>MAX(A30:AF30)</f>
        <v>1524</v>
      </c>
      <c r="AH30" s="9" t="s">
        <v>136</v>
      </c>
      <c r="AI30" s="9" t="s">
        <v>137</v>
      </c>
      <c r="AJ30" s="9" t="s">
        <v>139</v>
      </c>
    </row>
    <row r="31" spans="1:36" ht="15.75" thickBot="1" x14ac:dyDescent="0.3">
      <c r="A31" s="3" t="s">
        <v>31</v>
      </c>
      <c r="B31" s="4">
        <v>135</v>
      </c>
      <c r="C31" s="4">
        <v>135</v>
      </c>
      <c r="D31" s="4">
        <v>110</v>
      </c>
      <c r="E31" s="4">
        <v>150</v>
      </c>
      <c r="F31" s="4">
        <v>135</v>
      </c>
      <c r="G31" s="4">
        <v>175</v>
      </c>
      <c r="H31" s="4">
        <v>175</v>
      </c>
      <c r="I31" s="4">
        <v>600</v>
      </c>
      <c r="J31" s="4">
        <v>3</v>
      </c>
      <c r="K31" s="6"/>
      <c r="L31" s="6"/>
      <c r="M31" s="6"/>
      <c r="N31" s="4"/>
      <c r="O31" s="14" t="s">
        <v>147</v>
      </c>
      <c r="P31" s="14">
        <v>140</v>
      </c>
      <c r="Q31" s="8">
        <v>60</v>
      </c>
      <c r="R31" s="4"/>
      <c r="S31" s="4" t="s">
        <v>32</v>
      </c>
      <c r="T31" s="33">
        <f>P31+Q31+B31</f>
        <v>335</v>
      </c>
      <c r="U31" s="26">
        <f>(C31+(H31/2))/16</f>
        <v>13.90625</v>
      </c>
      <c r="V31" s="26">
        <f>U31*IF(J31&gt;=1,1.5,1)</f>
        <v>20.859375</v>
      </c>
      <c r="W31" s="19">
        <f>INT(T31*IF(R31="",1.5,VLOOKUP(R31,$AL$2:$AM$10,2,FALSE))*(U31*2+100)/100)</f>
        <v>642</v>
      </c>
      <c r="X31" s="22">
        <f>INT(T31*IF(R31="",1.5,VLOOKUP(R31,$AL$2:$AM$10,2,FALSE))*(U31*3+100)/100)</f>
        <v>712</v>
      </c>
      <c r="Y31" s="29">
        <f>INT((T31+IF(J31&gt;=1,F31/4,0)))</f>
        <v>368</v>
      </c>
      <c r="Z31" s="29">
        <f>INT(Y31*(U31*2+100)/100)</f>
        <v>470</v>
      </c>
      <c r="AA31" s="30">
        <f>Z31/W31</f>
        <v>0.73208722741433019</v>
      </c>
      <c r="AB31" s="24">
        <f>W31*IF(J31&lt;1,1,IF(J31=1,2,IF(J31&gt;=2,3)))</f>
        <v>1926</v>
      </c>
      <c r="AC31" s="24">
        <f>INT(AB31*IF(J31&gt;=3,1.5,1.15))</f>
        <v>2889</v>
      </c>
      <c r="AD31" s="24">
        <f>INT(IF(J31&gt;=3,X31,W31)*IF(J31&lt;1,1,IF(J31=1,2,IF(J31&gt;=2,3,1)))*1.15)</f>
        <v>2456</v>
      </c>
      <c r="AE31" s="24">
        <f>INT(IF(J31=3,Z31*3,AB31)*1.15)</f>
        <v>1621</v>
      </c>
      <c r="AF31" s="24">
        <f>INT(W31*IF(J31=0,1,IF(J31&gt;=2,1.5,1)*IF(J31&gt;=3,1.5,1.15)))</f>
        <v>1444</v>
      </c>
      <c r="AG31" s="21">
        <f>MAX(A31:AF31)</f>
        <v>2889</v>
      </c>
      <c r="AH31" s="9" t="s">
        <v>137</v>
      </c>
      <c r="AI31" s="9" t="s">
        <v>133</v>
      </c>
      <c r="AJ31" s="9" t="s">
        <v>134</v>
      </c>
    </row>
    <row r="32" spans="1:36" ht="15.75" thickBot="1" x14ac:dyDescent="0.3">
      <c r="A32" s="3" t="s">
        <v>37</v>
      </c>
      <c r="B32" s="4">
        <v>465</v>
      </c>
      <c r="C32" s="4">
        <v>150</v>
      </c>
      <c r="D32" s="4">
        <v>110</v>
      </c>
      <c r="E32" s="4">
        <v>150</v>
      </c>
      <c r="F32" s="4">
        <v>202</v>
      </c>
      <c r="G32" s="4">
        <v>110</v>
      </c>
      <c r="H32" s="4">
        <v>135</v>
      </c>
      <c r="I32" s="4">
        <v>860</v>
      </c>
      <c r="J32" s="4">
        <v>1</v>
      </c>
      <c r="K32" s="13" t="s">
        <v>156</v>
      </c>
      <c r="L32" s="13"/>
      <c r="M32" s="15"/>
      <c r="N32" s="5" t="s">
        <v>17</v>
      </c>
      <c r="O32" s="14" t="s">
        <v>146</v>
      </c>
      <c r="P32" s="14">
        <v>0</v>
      </c>
      <c r="Q32" s="14">
        <v>0</v>
      </c>
      <c r="R32" s="5" t="s">
        <v>17</v>
      </c>
      <c r="S32" s="4"/>
      <c r="T32" s="33">
        <f>P32+Q32+B32</f>
        <v>465</v>
      </c>
      <c r="U32" s="26">
        <f>(C32+(H32/2))/16</f>
        <v>13.59375</v>
      </c>
      <c r="V32" s="26">
        <f>U32*IF(J32&gt;=1,1.5,1)</f>
        <v>20.390625</v>
      </c>
      <c r="W32" s="19">
        <f>INT(T32*IF(R32="",1.5,VLOOKUP(R32,$AL$2:$AM$10,2,FALSE))*(U32*2+100)/100)</f>
        <v>591</v>
      </c>
      <c r="X32" s="22">
        <f>INT(T32*IF(R32="",1.5,VLOOKUP(R32,$AL$2:$AM$10,2,FALSE))*(U32*3+100)/100)</f>
        <v>654</v>
      </c>
      <c r="Y32" s="29">
        <f>INT((T32+IF(J32&gt;=1,F32/4,0)))</f>
        <v>515</v>
      </c>
      <c r="Z32" s="29">
        <f>INT(Y32*(U32*2+100)/100)</f>
        <v>655</v>
      </c>
      <c r="AA32" s="30">
        <f>Z32/W32</f>
        <v>1.1082910321489001</v>
      </c>
      <c r="AB32" s="24">
        <f>W32*IF(J32&lt;1,1,IF(J32=1,2,IF(J32&gt;=2,3)))</f>
        <v>1182</v>
      </c>
      <c r="AC32" s="24">
        <f>INT(AB32*IF(J32&gt;=3,1.5,1.15))</f>
        <v>1359</v>
      </c>
      <c r="AD32" s="24">
        <f>INT(IF(J32&gt;=3,X32,W32)*IF(J32&lt;1,1,IF(J32=1,2,IF(J32&gt;=2,3,1)))*1.15)</f>
        <v>1359</v>
      </c>
      <c r="AE32" s="24">
        <f>INT(IF(J32=3,Z32*3,AB32)*1.15)</f>
        <v>1359</v>
      </c>
      <c r="AF32" s="24">
        <f>INT(W32*IF(J32=0,1,IF(J32&gt;=2,1.5,1)*IF(J32&gt;=3,1.5,1.15)))</f>
        <v>679</v>
      </c>
      <c r="AG32" s="21">
        <f>MAX(A32:AF32)</f>
        <v>1359</v>
      </c>
      <c r="AH32" s="9" t="s">
        <v>137</v>
      </c>
      <c r="AI32" s="9" t="s">
        <v>138</v>
      </c>
      <c r="AJ32" s="9" t="s">
        <v>136</v>
      </c>
    </row>
    <row r="33" spans="1:36" ht="15.75" thickBot="1" x14ac:dyDescent="0.3">
      <c r="A33" s="3" t="s">
        <v>40</v>
      </c>
      <c r="B33" s="4">
        <v>135</v>
      </c>
      <c r="C33" s="4">
        <v>135</v>
      </c>
      <c r="D33" s="4">
        <v>110</v>
      </c>
      <c r="E33" s="4">
        <v>135</v>
      </c>
      <c r="F33" s="4">
        <v>135</v>
      </c>
      <c r="G33" s="4">
        <v>135</v>
      </c>
      <c r="H33" s="4">
        <v>195</v>
      </c>
      <c r="I33" s="4">
        <v>660</v>
      </c>
      <c r="J33" s="4">
        <v>2</v>
      </c>
      <c r="K33" s="15"/>
      <c r="L33" s="6"/>
      <c r="M33" s="6"/>
      <c r="N33" s="7" t="s">
        <v>14</v>
      </c>
      <c r="O33" s="14" t="s">
        <v>149</v>
      </c>
      <c r="P33" s="14">
        <v>150</v>
      </c>
      <c r="Q33" s="8">
        <v>59</v>
      </c>
      <c r="R33" s="7" t="s">
        <v>14</v>
      </c>
      <c r="S33" s="4" t="s">
        <v>30</v>
      </c>
      <c r="T33" s="33">
        <f>P33+Q33+B33</f>
        <v>344</v>
      </c>
      <c r="U33" s="26">
        <f>(C33+(H33/2))/16</f>
        <v>14.53125</v>
      </c>
      <c r="V33" s="26">
        <f>U33*IF(J33&gt;=1,1.5,1)</f>
        <v>21.796875</v>
      </c>
      <c r="W33" s="19">
        <f>INT(T33*IF(R33="",1.5,VLOOKUP(R33,$AL$2:$AM$10,2,FALSE))*(U33*2+100)/100)</f>
        <v>554</v>
      </c>
      <c r="X33" s="22">
        <f>INT(T33*IF(R33="",1.5,VLOOKUP(R33,$AL$2:$AM$10,2,FALSE))*(U33*3+100)/100)</f>
        <v>617</v>
      </c>
      <c r="Y33" s="29">
        <f>INT((T33+IF(J33&gt;=1,F33/4,0)))</f>
        <v>377</v>
      </c>
      <c r="Z33" s="29">
        <f>INT(Y33*(U33*2+100)/100)</f>
        <v>486</v>
      </c>
      <c r="AA33" s="30">
        <f>Z33/W33</f>
        <v>0.87725631768953072</v>
      </c>
      <c r="AB33" s="24">
        <f>W33*IF(J33&lt;1,1,IF(J33=1,2,IF(J33&gt;=2,3)))</f>
        <v>1662</v>
      </c>
      <c r="AC33" s="24">
        <f>INT(AB33*IF(J33&gt;=3,1.5,1.15))</f>
        <v>1911</v>
      </c>
      <c r="AD33" s="24">
        <f>INT(IF(J33&gt;=3,X33,W33)*IF(J33&lt;1,1,IF(J33=1,2,IF(J33&gt;=2,3,1)))*1.15)</f>
        <v>1911</v>
      </c>
      <c r="AE33" s="24">
        <f>INT(IF(J33=3,Z33*3,AB33)*1.15)</f>
        <v>1911</v>
      </c>
      <c r="AF33" s="24">
        <f>INT(W33*IF(J33=0,1,IF(J33&gt;=2,1.5,1)*IF(J33&gt;=3,1.5,1.15)))</f>
        <v>955</v>
      </c>
      <c r="AG33" s="21">
        <f>MAX(A33:AF33)</f>
        <v>1911</v>
      </c>
      <c r="AH33" s="9" t="s">
        <v>137</v>
      </c>
      <c r="AI33" s="9" t="s">
        <v>134</v>
      </c>
      <c r="AJ33" s="9" t="s">
        <v>135</v>
      </c>
    </row>
    <row r="34" spans="1:36" ht="15.75" thickBot="1" x14ac:dyDescent="0.3">
      <c r="A34" s="3" t="s">
        <v>41</v>
      </c>
      <c r="B34" s="4">
        <v>135</v>
      </c>
      <c r="C34" s="4">
        <v>150</v>
      </c>
      <c r="D34" s="4">
        <v>110</v>
      </c>
      <c r="E34" s="4">
        <v>175</v>
      </c>
      <c r="F34" s="4">
        <v>110</v>
      </c>
      <c r="G34" s="4">
        <v>110</v>
      </c>
      <c r="H34" s="4">
        <v>175</v>
      </c>
      <c r="I34" s="4">
        <v>660</v>
      </c>
      <c r="J34" s="4">
        <v>1</v>
      </c>
      <c r="K34" s="15"/>
      <c r="L34" s="6"/>
      <c r="M34" s="15"/>
      <c r="N34" s="4"/>
      <c r="O34" s="14" t="s">
        <v>147</v>
      </c>
      <c r="P34" s="14">
        <v>140</v>
      </c>
      <c r="Q34" s="8">
        <v>79</v>
      </c>
      <c r="R34" s="4"/>
      <c r="S34" s="4" t="s">
        <v>42</v>
      </c>
      <c r="T34" s="33">
        <f>P34+Q34+B34</f>
        <v>354</v>
      </c>
      <c r="U34" s="26">
        <f>(C34+(H34/2))/16</f>
        <v>14.84375</v>
      </c>
      <c r="V34" s="26">
        <f>U34*IF(J34&gt;=1,1.5,1)</f>
        <v>22.265625</v>
      </c>
      <c r="W34" s="19">
        <f>INT(T34*IF(R34="",1.5,VLOOKUP(R34,$AL$2:$AM$10,2,FALSE))*(U34*2+100)/100)</f>
        <v>688</v>
      </c>
      <c r="X34" s="22">
        <f>INT(T34*IF(R34="",1.5,VLOOKUP(R34,$AL$2:$AM$10,2,FALSE))*(U34*3+100)/100)</f>
        <v>767</v>
      </c>
      <c r="Y34" s="29">
        <f>INT((T34+IF(J34&gt;=1,F34/4,0)))</f>
        <v>381</v>
      </c>
      <c r="Z34" s="29">
        <f>INT(Y34*(U34*2+100)/100)</f>
        <v>494</v>
      </c>
      <c r="AA34" s="30">
        <f>Z34/W34</f>
        <v>0.71802325581395354</v>
      </c>
      <c r="AB34" s="24">
        <f>W34*IF(J34&lt;1,1,IF(J34=1,2,IF(J34&gt;=2,3)))</f>
        <v>1376</v>
      </c>
      <c r="AC34" s="24">
        <f>INT(AB34*IF(J34&gt;=3,1.5,1.15))</f>
        <v>1582</v>
      </c>
      <c r="AD34" s="24">
        <f>INT(IF(J34&gt;=3,X34,W34)*IF(J34&lt;1,1,IF(J34=1,2,IF(J34&gt;=2,3,1)))*1.15)</f>
        <v>1582</v>
      </c>
      <c r="AE34" s="24">
        <f>INT(IF(J34=3,Z34*3,AB34)*1.15)</f>
        <v>1582</v>
      </c>
      <c r="AF34" s="24">
        <f>INT(W34*IF(J34=0,1,IF(J34&gt;=2,1.5,1)*IF(J34&gt;=3,1.5,1.15)))</f>
        <v>791</v>
      </c>
      <c r="AG34" s="21">
        <f>MAX(A34:AF34)</f>
        <v>1582</v>
      </c>
      <c r="AH34" s="9" t="s">
        <v>134</v>
      </c>
      <c r="AI34" s="9" t="s">
        <v>137</v>
      </c>
      <c r="AJ34" s="9" t="s">
        <v>135</v>
      </c>
    </row>
    <row r="35" spans="1:36" ht="15.75" thickBot="1" x14ac:dyDescent="0.3">
      <c r="A35" s="3" t="s">
        <v>43</v>
      </c>
      <c r="B35" s="4">
        <v>110</v>
      </c>
      <c r="C35" s="4">
        <v>175</v>
      </c>
      <c r="D35" s="4">
        <v>110</v>
      </c>
      <c r="E35" s="4">
        <v>150</v>
      </c>
      <c r="F35" s="4">
        <v>110</v>
      </c>
      <c r="G35" s="4">
        <v>110</v>
      </c>
      <c r="H35" s="4">
        <v>175</v>
      </c>
      <c r="I35" s="4">
        <v>600</v>
      </c>
      <c r="J35" s="4">
        <v>1</v>
      </c>
      <c r="K35" s="15"/>
      <c r="L35" s="6"/>
      <c r="M35" s="6"/>
      <c r="N35" s="4"/>
      <c r="O35" s="14" t="s">
        <v>155</v>
      </c>
      <c r="P35" s="14">
        <v>140</v>
      </c>
      <c r="Q35" s="8"/>
      <c r="R35" s="4"/>
      <c r="S35" s="4" t="s">
        <v>44</v>
      </c>
      <c r="T35" s="33">
        <f>P35+Q35+B35</f>
        <v>250</v>
      </c>
      <c r="U35" s="26">
        <f>(C35+(H35/2))/16</f>
        <v>16.40625</v>
      </c>
      <c r="V35" s="26">
        <f>U35*IF(J35&gt;=1,1.5,1)</f>
        <v>24.609375</v>
      </c>
      <c r="W35" s="19">
        <f>INT(T35*IF(R35="",1.5,VLOOKUP(R35,$AL$2:$AM$10,2,FALSE))*(U35*2+100)/100)</f>
        <v>498</v>
      </c>
      <c r="X35" s="22">
        <f>INT(T35*IF(R35="",1.5,VLOOKUP(R35,$AL$2:$AM$10,2,FALSE))*(U35*3+100)/100)</f>
        <v>559</v>
      </c>
      <c r="Y35" s="29">
        <f>INT((T35+IF(J35&gt;=1,F35/4,0)))</f>
        <v>277</v>
      </c>
      <c r="Z35" s="29">
        <f>INT(Y35*(U35*2+100)/100)</f>
        <v>367</v>
      </c>
      <c r="AA35" s="30">
        <f>Z35/W35</f>
        <v>0.73694779116465858</v>
      </c>
      <c r="AB35" s="24">
        <f>W35*IF(J35&lt;1,1,IF(J35=1,2,IF(J35&gt;=2,3)))</f>
        <v>996</v>
      </c>
      <c r="AC35" s="24">
        <f>INT(AB35*IF(J35&gt;=3,1.5,1.15))</f>
        <v>1145</v>
      </c>
      <c r="AD35" s="24">
        <f>INT(IF(J35&gt;=3,X35,W35)*IF(J35&lt;1,1,IF(J35=1,2,IF(J35&gt;=2,3,1)))*1.15)</f>
        <v>1145</v>
      </c>
      <c r="AE35" s="24">
        <f>INT(IF(J35=3,Z35*3,AB35)*1.15)</f>
        <v>1145</v>
      </c>
      <c r="AF35" s="24">
        <f>INT(W35*IF(J35=0,1,IF(J35&gt;=2,1.5,1)*IF(J35&gt;=3,1.5,1.15)))</f>
        <v>572</v>
      </c>
      <c r="AG35" s="21">
        <f>MAX(A35:AF35)</f>
        <v>1145</v>
      </c>
      <c r="AH35" s="9" t="s">
        <v>138</v>
      </c>
      <c r="AI35" s="9" t="s">
        <v>138</v>
      </c>
      <c r="AJ35" s="9" t="s">
        <v>132</v>
      </c>
    </row>
    <row r="36" spans="1:36" ht="15.75" thickBot="1" x14ac:dyDescent="0.3">
      <c r="A36" s="3" t="s">
        <v>47</v>
      </c>
      <c r="B36" s="4">
        <v>135</v>
      </c>
      <c r="C36" s="4">
        <v>150</v>
      </c>
      <c r="D36" s="4">
        <v>110</v>
      </c>
      <c r="E36" s="4">
        <v>135</v>
      </c>
      <c r="F36" s="4">
        <v>135</v>
      </c>
      <c r="G36" s="4">
        <v>95</v>
      </c>
      <c r="H36" s="4">
        <v>175</v>
      </c>
      <c r="I36" s="4">
        <v>660</v>
      </c>
      <c r="J36" s="4">
        <v>1</v>
      </c>
      <c r="K36" s="15"/>
      <c r="L36" s="6"/>
      <c r="M36" s="15"/>
      <c r="N36" s="4"/>
      <c r="O36" s="14" t="s">
        <v>149</v>
      </c>
      <c r="P36" s="14">
        <v>150</v>
      </c>
      <c r="Q36" s="8">
        <v>79</v>
      </c>
      <c r="R36" s="4"/>
      <c r="S36" s="4" t="s">
        <v>48</v>
      </c>
      <c r="T36" s="33">
        <f>P36+Q36+B36</f>
        <v>364</v>
      </c>
      <c r="U36" s="26">
        <f>(C36+(H36/2))/16</f>
        <v>14.84375</v>
      </c>
      <c r="V36" s="26">
        <f>U36*IF(J36&gt;=1,1.5,1)</f>
        <v>22.265625</v>
      </c>
      <c r="W36" s="19">
        <f>INT(T36*IF(R36="",1.5,VLOOKUP(R36,$AL$2:$AM$10,2,FALSE))*(U36*2+100)/100)</f>
        <v>708</v>
      </c>
      <c r="X36" s="22">
        <f>INT(T36*IF(R36="",1.5,VLOOKUP(R36,$AL$2:$AM$10,2,FALSE))*(U36*3+100)/100)</f>
        <v>789</v>
      </c>
      <c r="Y36" s="29">
        <f>INT((T36+IF(J36&gt;=1,F36/4,0)))</f>
        <v>397</v>
      </c>
      <c r="Z36" s="29">
        <f>INT(Y36*(U36*2+100)/100)</f>
        <v>514</v>
      </c>
      <c r="AA36" s="30">
        <f>Z36/W36</f>
        <v>0.72598870056497178</v>
      </c>
      <c r="AB36" s="24">
        <f>W36*IF(J36&lt;1,1,IF(J36=1,2,IF(J36&gt;=2,3)))</f>
        <v>1416</v>
      </c>
      <c r="AC36" s="24">
        <f>INT(AB36*IF(J36&gt;=3,1.5,1.15))</f>
        <v>1628</v>
      </c>
      <c r="AD36" s="24">
        <f>INT(IF(J36&gt;=3,X36,W36)*IF(J36&lt;1,1,IF(J36=1,2,IF(J36&gt;=2,3,1)))*1.15)</f>
        <v>1628</v>
      </c>
      <c r="AE36" s="24">
        <f>INT(IF(J36=3,Z36*3,AB36)*1.15)</f>
        <v>1628</v>
      </c>
      <c r="AF36" s="24">
        <f>INT(W36*IF(J36=0,1,IF(J36&gt;=2,1.5,1)*IF(J36&gt;=3,1.5,1.15)))</f>
        <v>814</v>
      </c>
      <c r="AG36" s="21">
        <f>MAX(A36:AF36)</f>
        <v>1628</v>
      </c>
      <c r="AH36" s="9" t="s">
        <v>134</v>
      </c>
      <c r="AI36" s="9" t="s">
        <v>136</v>
      </c>
      <c r="AJ36" s="9" t="s">
        <v>135</v>
      </c>
    </row>
    <row r="37" spans="1:36" ht="15.75" thickBot="1" x14ac:dyDescent="0.3">
      <c r="A37" s="3" t="s">
        <v>49</v>
      </c>
      <c r="B37" s="4">
        <v>150</v>
      </c>
      <c r="C37" s="4">
        <v>150</v>
      </c>
      <c r="D37" s="4">
        <v>110</v>
      </c>
      <c r="E37" s="4">
        <v>150</v>
      </c>
      <c r="F37" s="4">
        <v>135</v>
      </c>
      <c r="G37" s="4">
        <v>110</v>
      </c>
      <c r="H37" s="4">
        <v>150</v>
      </c>
      <c r="I37" s="4">
        <v>660</v>
      </c>
      <c r="J37" s="4">
        <v>0</v>
      </c>
      <c r="K37" s="15"/>
      <c r="L37" s="13" t="s">
        <v>158</v>
      </c>
      <c r="M37" s="15"/>
      <c r="N37" s="4"/>
      <c r="O37" s="14" t="s">
        <v>159</v>
      </c>
      <c r="P37" s="14">
        <v>160</v>
      </c>
      <c r="Q37" s="8">
        <v>60</v>
      </c>
      <c r="R37" s="4"/>
      <c r="S37" s="4" t="s">
        <v>19</v>
      </c>
      <c r="T37" s="33">
        <f>P37+Q37+B37</f>
        <v>370</v>
      </c>
      <c r="U37" s="26">
        <f>(C37+(H37/2))/16</f>
        <v>14.0625</v>
      </c>
      <c r="V37" s="26">
        <f>U37*IF(J37&gt;=1,1.5,1)</f>
        <v>14.0625</v>
      </c>
      <c r="W37" s="19">
        <f>INT(T37*IF(R37="",1.5,VLOOKUP(R37,$AL$2:$AM$10,2,FALSE))*(U37*2+100)/100)</f>
        <v>711</v>
      </c>
      <c r="X37" s="22">
        <f>INT(T37*IF(R37="",1.5,VLOOKUP(R37,$AL$2:$AM$10,2,FALSE))*(U37*3+100)/100)</f>
        <v>789</v>
      </c>
      <c r="Y37" s="29">
        <f>INT((T37+IF(J37&gt;=1,F37/4,0)))</f>
        <v>370</v>
      </c>
      <c r="Z37" s="29">
        <f>INT(Y37*(U37*2+100)/100)</f>
        <v>474</v>
      </c>
      <c r="AA37" s="30">
        <f>Z37/W37</f>
        <v>0.66666666666666663</v>
      </c>
      <c r="AB37" s="24">
        <f>W37*IF(J37&lt;1,1,IF(J37=1,2,IF(J37&gt;=2,3)))</f>
        <v>711</v>
      </c>
      <c r="AC37" s="24">
        <f>INT(AB37*IF(J37&gt;=3,1.5,1.15))</f>
        <v>817</v>
      </c>
      <c r="AD37" s="24">
        <f>INT(IF(J37&gt;=3,X37,W37)*IF(J37&lt;1,1,IF(J37=1,2,IF(J37&gt;=2,3,1)))*1.15)</f>
        <v>817</v>
      </c>
      <c r="AE37" s="24">
        <f>INT(IF(J37=3,Z37*3,AB37)*1.15)</f>
        <v>817</v>
      </c>
      <c r="AF37" s="24">
        <f>INT(W37*IF(J37=0,1,IF(J37&gt;=2,1.5,1)*IF(J37&gt;=3,1.5,1.15)))</f>
        <v>711</v>
      </c>
      <c r="AG37" s="21">
        <f>MAX(A37:AF37)</f>
        <v>817</v>
      </c>
      <c r="AH37" s="9" t="s">
        <v>134</v>
      </c>
      <c r="AI37" s="9" t="s">
        <v>139</v>
      </c>
      <c r="AJ37" s="9" t="s">
        <v>134</v>
      </c>
    </row>
    <row r="38" spans="1:36" ht="15.75" thickBot="1" x14ac:dyDescent="0.3">
      <c r="A38" s="3" t="s">
        <v>52</v>
      </c>
      <c r="B38" s="4">
        <v>110</v>
      </c>
      <c r="C38" s="4">
        <v>110</v>
      </c>
      <c r="D38" s="4">
        <v>110</v>
      </c>
      <c r="E38" s="4">
        <v>135</v>
      </c>
      <c r="F38" s="4">
        <v>135</v>
      </c>
      <c r="G38" s="4">
        <v>110</v>
      </c>
      <c r="H38" s="4">
        <v>135</v>
      </c>
      <c r="I38" s="4">
        <v>660</v>
      </c>
      <c r="J38" s="4">
        <v>3</v>
      </c>
      <c r="K38" s="6"/>
      <c r="L38" s="6"/>
      <c r="M38" s="6"/>
      <c r="N38" s="4"/>
      <c r="O38" s="14" t="s">
        <v>151</v>
      </c>
      <c r="P38" s="14">
        <v>165</v>
      </c>
      <c r="Q38" s="8">
        <v>75</v>
      </c>
      <c r="R38" s="4"/>
      <c r="S38" s="4" t="s">
        <v>35</v>
      </c>
      <c r="T38" s="33">
        <f>P38+Q38+B38</f>
        <v>350</v>
      </c>
      <c r="U38" s="26">
        <f>(C38+(H38/2))/16</f>
        <v>11.09375</v>
      </c>
      <c r="V38" s="26">
        <f>U38*IF(J38&gt;=1,1.5,1)</f>
        <v>16.640625</v>
      </c>
      <c r="W38" s="19">
        <f>INT(T38*IF(R38="",1.5,VLOOKUP(R38,$AL$2:$AM$10,2,FALSE))*(U38*2+100)/100)</f>
        <v>641</v>
      </c>
      <c r="X38" s="22">
        <f>INT(T38*IF(R38="",1.5,VLOOKUP(R38,$AL$2:$AM$10,2,FALSE))*(U38*3+100)/100)</f>
        <v>699</v>
      </c>
      <c r="Y38" s="29">
        <f>INT((T38+IF(J38&gt;=1,F38/4,0)))</f>
        <v>383</v>
      </c>
      <c r="Z38" s="29">
        <f>INT(Y38*(U38*2+100)/100)</f>
        <v>467</v>
      </c>
      <c r="AA38" s="30">
        <f>Z38/W38</f>
        <v>0.72854914196567866</v>
      </c>
      <c r="AB38" s="24">
        <f>W38*IF(J38&lt;1,1,IF(J38=1,2,IF(J38&gt;=2,3)))</f>
        <v>1923</v>
      </c>
      <c r="AC38" s="24">
        <f>INT(AB38*IF(J38&gt;=3,1.5,1.15))</f>
        <v>2884</v>
      </c>
      <c r="AD38" s="24">
        <f>INT(IF(J38&gt;=3,X38,W38)*IF(J38&lt;1,1,IF(J38=1,2,IF(J38&gt;=2,3,1)))*1.15)</f>
        <v>2411</v>
      </c>
      <c r="AE38" s="24">
        <f>INT(IF(J38=3,Z38*3,AB38)*1.15)</f>
        <v>1611</v>
      </c>
      <c r="AF38" s="24">
        <f>INT(W38*IF(J38=0,1,IF(J38&gt;=2,1.5,1)*IF(J38&gt;=3,1.5,1.15)))</f>
        <v>1442</v>
      </c>
      <c r="AG38" s="21">
        <f>MAX(A38:AF38)</f>
        <v>2884</v>
      </c>
      <c r="AH38" s="9" t="s">
        <v>136</v>
      </c>
      <c r="AI38" s="9" t="s">
        <v>133</v>
      </c>
      <c r="AJ38" s="9" t="s">
        <v>138</v>
      </c>
    </row>
    <row r="39" spans="1:36" ht="15.75" thickBot="1" x14ac:dyDescent="0.3">
      <c r="A39" s="3" t="s">
        <v>57</v>
      </c>
      <c r="B39" s="4">
        <v>135</v>
      </c>
      <c r="C39" s="4">
        <v>150</v>
      </c>
      <c r="D39" s="4">
        <v>110</v>
      </c>
      <c r="E39" s="4">
        <v>150</v>
      </c>
      <c r="F39" s="4">
        <v>135</v>
      </c>
      <c r="G39" s="4">
        <v>135</v>
      </c>
      <c r="H39" s="4">
        <v>175</v>
      </c>
      <c r="I39" s="4">
        <v>660</v>
      </c>
      <c r="J39" s="4">
        <v>1</v>
      </c>
      <c r="K39" s="15"/>
      <c r="L39" s="6"/>
      <c r="M39" s="15"/>
      <c r="N39" s="7" t="s">
        <v>58</v>
      </c>
      <c r="O39" s="14" t="s">
        <v>149</v>
      </c>
      <c r="P39" s="14">
        <v>150</v>
      </c>
      <c r="Q39" s="8">
        <v>75</v>
      </c>
      <c r="R39" s="7" t="s">
        <v>58</v>
      </c>
      <c r="S39" s="4" t="s">
        <v>39</v>
      </c>
      <c r="T39" s="33">
        <f>P39+Q39+B39</f>
        <v>360</v>
      </c>
      <c r="U39" s="26">
        <f>(C39+(H39/2))/16</f>
        <v>14.84375</v>
      </c>
      <c r="V39" s="26">
        <f>U39*IF(J39&gt;=1,1.5,1)</f>
        <v>22.265625</v>
      </c>
      <c r="W39" s="19">
        <f>INT(T39*IF(R39="",1.5,VLOOKUP(R39,$AL$2:$AM$10,2,FALSE))*(U39*2+100)/100)</f>
        <v>560</v>
      </c>
      <c r="X39" s="22">
        <f>INT(T39*IF(R39="",1.5,VLOOKUP(R39,$AL$2:$AM$10,2,FALSE))*(U39*3+100)/100)</f>
        <v>624</v>
      </c>
      <c r="Y39" s="29">
        <f>INT((T39+IF(J39&gt;=1,F39/4,0)))</f>
        <v>393</v>
      </c>
      <c r="Z39" s="29">
        <f>INT(Y39*(U39*2+100)/100)</f>
        <v>509</v>
      </c>
      <c r="AA39" s="30">
        <f>Z39/W39</f>
        <v>0.90892857142857142</v>
      </c>
      <c r="AB39" s="24">
        <f>W39*IF(J39&lt;1,1,IF(J39=1,2,IF(J39&gt;=2,3)))</f>
        <v>1120</v>
      </c>
      <c r="AC39" s="24">
        <f>INT(AB39*IF(J39&gt;=3,1.5,1.15))</f>
        <v>1288</v>
      </c>
      <c r="AD39" s="24">
        <f>INT(IF(J39&gt;=3,X39,W39)*IF(J39&lt;1,1,IF(J39=1,2,IF(J39&gt;=2,3,1)))*1.15)</f>
        <v>1288</v>
      </c>
      <c r="AE39" s="24">
        <f>INT(IF(J39=3,Z39*3,AB39)*1.15)</f>
        <v>1288</v>
      </c>
      <c r="AF39" s="24">
        <f>INT(W39*IF(J39=0,1,IF(J39&gt;=2,1.5,1)*IF(J39&gt;=3,1.5,1.15)))</f>
        <v>644</v>
      </c>
      <c r="AG39" s="21">
        <f>MAX(A39:AF39)</f>
        <v>1288</v>
      </c>
      <c r="AH39" s="9" t="s">
        <v>137</v>
      </c>
      <c r="AI39" s="9" t="s">
        <v>138</v>
      </c>
      <c r="AJ39" s="9" t="s">
        <v>135</v>
      </c>
    </row>
    <row r="40" spans="1:36" ht="15.75" thickBot="1" x14ac:dyDescent="0.3">
      <c r="A40" s="3" t="s">
        <v>68</v>
      </c>
      <c r="B40" s="4">
        <v>135</v>
      </c>
      <c r="C40" s="4">
        <v>175</v>
      </c>
      <c r="D40" s="4">
        <v>110</v>
      </c>
      <c r="E40" s="4">
        <v>210</v>
      </c>
      <c r="F40" s="4">
        <v>110</v>
      </c>
      <c r="G40" s="4">
        <v>150</v>
      </c>
      <c r="H40" s="4">
        <v>150</v>
      </c>
      <c r="I40" s="4">
        <v>660</v>
      </c>
      <c r="J40" s="4">
        <v>1</v>
      </c>
      <c r="K40" s="13" t="s">
        <v>163</v>
      </c>
      <c r="L40" s="6"/>
      <c r="M40" s="15"/>
      <c r="N40" s="4"/>
      <c r="O40" s="14" t="s">
        <v>154</v>
      </c>
      <c r="P40" s="14">
        <v>135</v>
      </c>
      <c r="Q40" s="8">
        <v>60</v>
      </c>
      <c r="R40" s="4"/>
      <c r="S40" s="4" t="s">
        <v>67</v>
      </c>
      <c r="T40" s="33">
        <f>P40+Q40+B40</f>
        <v>330</v>
      </c>
      <c r="U40" s="26">
        <f>(C40+(H40/2))/16</f>
        <v>15.625</v>
      </c>
      <c r="V40" s="26">
        <f>U40*IF(J40&gt;=1,1.5,1)</f>
        <v>23.4375</v>
      </c>
      <c r="W40" s="19">
        <f>INT(T40*IF(R40="",1.5,VLOOKUP(R40,$AL$2:$AM$10,2,FALSE))*(U40*2+100)/100)</f>
        <v>649</v>
      </c>
      <c r="X40" s="22">
        <f>INT(T40*IF(R40="",1.5,VLOOKUP(R40,$AL$2:$AM$10,2,FALSE))*(U40*3+100)/100)</f>
        <v>727</v>
      </c>
      <c r="Y40" s="29">
        <f>INT((T40+IF(J40&gt;=1,F40/4,0)))</f>
        <v>357</v>
      </c>
      <c r="Z40" s="29">
        <f>INT(Y40*(U40*2+100)/100)</f>
        <v>468</v>
      </c>
      <c r="AA40" s="30">
        <f>Z40/W40</f>
        <v>0.72110939907550076</v>
      </c>
      <c r="AB40" s="24">
        <f>W40*IF(J40&lt;1,1,IF(J40=1,2,IF(J40&gt;=2,3)))</f>
        <v>1298</v>
      </c>
      <c r="AC40" s="24">
        <f>INT(AB40*IF(J40&gt;=3,1.5,1.15))</f>
        <v>1492</v>
      </c>
      <c r="AD40" s="24">
        <f>INT(IF(J40&gt;=3,X40,W40)*IF(J40&lt;1,1,IF(J40=1,2,IF(J40&gt;=2,3,1)))*1.15)</f>
        <v>1492</v>
      </c>
      <c r="AE40" s="24">
        <f>INT(IF(J40=3,Z40*3,AB40)*1.15)</f>
        <v>1492</v>
      </c>
      <c r="AF40" s="24">
        <f>INT(W40*IF(J40=0,1,IF(J40&gt;=2,1.5,1)*IF(J40&gt;=3,1.5,1.15)))</f>
        <v>746</v>
      </c>
      <c r="AG40" s="21">
        <f>MAX(A40:AF40)</f>
        <v>1492</v>
      </c>
      <c r="AH40" s="9" t="s">
        <v>137</v>
      </c>
      <c r="AI40" s="9" t="s">
        <v>138</v>
      </c>
      <c r="AJ40" s="9" t="s">
        <v>135</v>
      </c>
    </row>
    <row r="41" spans="1:36" ht="15.75" thickBot="1" x14ac:dyDescent="0.3">
      <c r="A41" s="3" t="s">
        <v>69</v>
      </c>
      <c r="B41" s="4">
        <v>135</v>
      </c>
      <c r="C41" s="4">
        <v>135</v>
      </c>
      <c r="D41" s="4">
        <v>110</v>
      </c>
      <c r="E41" s="4">
        <v>150</v>
      </c>
      <c r="F41" s="4">
        <v>150</v>
      </c>
      <c r="G41" s="4">
        <v>150</v>
      </c>
      <c r="H41" s="4">
        <v>135</v>
      </c>
      <c r="I41" s="4">
        <v>660</v>
      </c>
      <c r="J41" s="4">
        <v>3</v>
      </c>
      <c r="K41" s="6"/>
      <c r="L41" s="6"/>
      <c r="M41" s="6"/>
      <c r="N41" s="4"/>
      <c r="O41" s="14" t="s">
        <v>151</v>
      </c>
      <c r="P41" s="14">
        <v>165</v>
      </c>
      <c r="Q41" s="8">
        <v>75</v>
      </c>
      <c r="R41" s="4"/>
      <c r="S41" s="4" t="s">
        <v>35</v>
      </c>
      <c r="T41" s="33">
        <f>P41+Q41+B41</f>
        <v>375</v>
      </c>
      <c r="U41" s="26">
        <f>(C41+(H41/2))/16</f>
        <v>12.65625</v>
      </c>
      <c r="V41" s="26">
        <f>U41*IF(J41&gt;=1,1.5,1)</f>
        <v>18.984375</v>
      </c>
      <c r="W41" s="19">
        <f>INT(T41*IF(R41="",1.5,VLOOKUP(R41,$AL$2:$AM$10,2,FALSE))*(U41*2+100)/100)</f>
        <v>704</v>
      </c>
      <c r="X41" s="22">
        <f>INT(T41*IF(R41="",1.5,VLOOKUP(R41,$AL$2:$AM$10,2,FALSE))*(U41*3+100)/100)</f>
        <v>776</v>
      </c>
      <c r="Y41" s="29">
        <f>INT((T41+IF(J41&gt;=1,F41/4,0)))</f>
        <v>412</v>
      </c>
      <c r="Z41" s="29">
        <f>INT(Y41*(U41*2+100)/100)</f>
        <v>516</v>
      </c>
      <c r="AA41" s="30">
        <f>Z41/W41</f>
        <v>0.73295454545454541</v>
      </c>
      <c r="AB41" s="24">
        <f>W41*IF(J41&lt;1,1,IF(J41=1,2,IF(J41&gt;=2,3)))</f>
        <v>2112</v>
      </c>
      <c r="AC41" s="24">
        <f>INT(AB41*IF(J41&gt;=3,1.5,1.15))</f>
        <v>3168</v>
      </c>
      <c r="AD41" s="24">
        <f>INT(IF(J41&gt;=3,X41,W41)*IF(J41&lt;1,1,IF(J41=1,2,IF(J41&gt;=2,3,1)))*1.15)</f>
        <v>2677</v>
      </c>
      <c r="AE41" s="24">
        <f>INT(IF(J41=3,Z41*3,AB41)*1.15)</f>
        <v>1780</v>
      </c>
      <c r="AF41" s="24">
        <f>INT(W41*IF(J41=0,1,IF(J41&gt;=2,1.5,1)*IF(J41&gt;=3,1.5,1.15)))</f>
        <v>1584</v>
      </c>
      <c r="AG41" s="21">
        <f>MAX(A41:AF41)</f>
        <v>3168</v>
      </c>
      <c r="AH41" s="9" t="s">
        <v>134</v>
      </c>
      <c r="AI41" s="9" t="s">
        <v>131</v>
      </c>
      <c r="AJ41" s="9" t="s">
        <v>137</v>
      </c>
    </row>
    <row r="42" spans="1:36" ht="15.75" thickBot="1" x14ac:dyDescent="0.3">
      <c r="A42" s="3" t="s">
        <v>70</v>
      </c>
      <c r="B42" s="4">
        <v>135</v>
      </c>
      <c r="C42" s="4">
        <v>175</v>
      </c>
      <c r="D42" s="4">
        <v>110</v>
      </c>
      <c r="E42" s="4">
        <v>150</v>
      </c>
      <c r="F42" s="4">
        <v>135</v>
      </c>
      <c r="G42" s="4">
        <v>150</v>
      </c>
      <c r="H42" s="4">
        <v>150</v>
      </c>
      <c r="I42" s="4">
        <v>660</v>
      </c>
      <c r="J42" s="4">
        <v>1</v>
      </c>
      <c r="K42" s="15"/>
      <c r="L42" s="15"/>
      <c r="M42" s="6"/>
      <c r="N42" s="4"/>
      <c r="O42" s="14" t="s">
        <v>126</v>
      </c>
      <c r="P42" s="14">
        <v>147</v>
      </c>
      <c r="Q42" s="8">
        <v>75</v>
      </c>
      <c r="R42" s="4"/>
      <c r="S42" s="4" t="s">
        <v>35</v>
      </c>
      <c r="T42" s="33">
        <f>P42+Q42+B42</f>
        <v>357</v>
      </c>
      <c r="U42" s="26">
        <f>(C42+(H42/2))/16</f>
        <v>15.625</v>
      </c>
      <c r="V42" s="26">
        <f>U42*IF(J42&gt;=1,1.5,1)</f>
        <v>23.4375</v>
      </c>
      <c r="W42" s="19">
        <f>INT(T42*IF(R42="",1.5,VLOOKUP(R42,$AL$2:$AM$10,2,FALSE))*(U42*2+100)/100)</f>
        <v>702</v>
      </c>
      <c r="X42" s="22">
        <f>INT(T42*IF(R42="",1.5,VLOOKUP(R42,$AL$2:$AM$10,2,FALSE))*(U42*3+100)/100)</f>
        <v>786</v>
      </c>
      <c r="Y42" s="29">
        <f>INT((T42+IF(J42&gt;=1,F42/4,0)))</f>
        <v>390</v>
      </c>
      <c r="Z42" s="29">
        <f>INT(Y42*(U42*2+100)/100)</f>
        <v>511</v>
      </c>
      <c r="AA42" s="30">
        <f>Z42/W42</f>
        <v>0.72792022792022792</v>
      </c>
      <c r="AB42" s="24">
        <f>W42*IF(J42&lt;1,1,IF(J42=1,2,IF(J42&gt;=2,3)))</f>
        <v>1404</v>
      </c>
      <c r="AC42" s="24">
        <f>INT(AB42*IF(J42&gt;=3,1.5,1.15))</f>
        <v>1614</v>
      </c>
      <c r="AD42" s="24">
        <f>INT(IF(J42&gt;=3,X42,W42)*IF(J42&lt;1,1,IF(J42=1,2,IF(J42&gt;=2,3,1)))*1.15)</f>
        <v>1614</v>
      </c>
      <c r="AE42" s="24">
        <f>INT(IF(J42=3,Z42*3,AB42)*1.15)</f>
        <v>1614</v>
      </c>
      <c r="AF42" s="24">
        <f>INT(W42*IF(J42=0,1,IF(J42&gt;=2,1.5,1)*IF(J42&gt;=3,1.5,1.15)))</f>
        <v>807</v>
      </c>
      <c r="AG42" s="21">
        <f>MAX(A42:AF42)</f>
        <v>1614</v>
      </c>
      <c r="AH42" s="9" t="s">
        <v>134</v>
      </c>
      <c r="AI42" s="9" t="s">
        <v>137</v>
      </c>
      <c r="AJ42" s="9" t="s">
        <v>135</v>
      </c>
    </row>
    <row r="43" spans="1:36" ht="15.75" thickBot="1" x14ac:dyDescent="0.3">
      <c r="A43" s="3" t="s">
        <v>71</v>
      </c>
      <c r="B43" s="4">
        <v>110</v>
      </c>
      <c r="C43" s="4">
        <v>135</v>
      </c>
      <c r="D43" s="4">
        <v>110</v>
      </c>
      <c r="E43" s="4">
        <v>150</v>
      </c>
      <c r="F43" s="4">
        <v>110</v>
      </c>
      <c r="G43" s="4">
        <v>150</v>
      </c>
      <c r="H43" s="4">
        <v>135</v>
      </c>
      <c r="I43" s="4">
        <v>660</v>
      </c>
      <c r="J43" s="4">
        <v>1</v>
      </c>
      <c r="K43" s="15"/>
      <c r="L43" s="6"/>
      <c r="M43" s="15"/>
      <c r="N43" s="4"/>
      <c r="O43" s="14" t="s">
        <v>160</v>
      </c>
      <c r="P43" s="14">
        <v>175</v>
      </c>
      <c r="Q43" s="8">
        <v>75</v>
      </c>
      <c r="R43" s="4"/>
      <c r="S43" s="4" t="s">
        <v>15</v>
      </c>
      <c r="T43" s="33">
        <f>P43+Q43+B43</f>
        <v>360</v>
      </c>
      <c r="U43" s="26">
        <f>(C43+(H43/2))/16</f>
        <v>12.65625</v>
      </c>
      <c r="V43" s="26">
        <f>U43*IF(J43&gt;=1,1.5,1)</f>
        <v>18.984375</v>
      </c>
      <c r="W43" s="19">
        <f>INT(T43*IF(R43="",1.5,VLOOKUP(R43,$AL$2:$AM$10,2,FALSE))*(U43*2+100)/100)</f>
        <v>676</v>
      </c>
      <c r="X43" s="22">
        <f>INT(T43*IF(R43="",1.5,VLOOKUP(R43,$AL$2:$AM$10,2,FALSE))*(U43*3+100)/100)</f>
        <v>745</v>
      </c>
      <c r="Y43" s="29">
        <f>INT((T43+IF(J43&gt;=1,F43/4,0)))</f>
        <v>387</v>
      </c>
      <c r="Z43" s="29">
        <f>INT(Y43*(U43*2+100)/100)</f>
        <v>484</v>
      </c>
      <c r="AA43" s="30">
        <f>Z43/W43</f>
        <v>0.71597633136094674</v>
      </c>
      <c r="AB43" s="24">
        <f>W43*IF(J43&lt;1,1,IF(J43=1,2,IF(J43&gt;=2,3)))</f>
        <v>1352</v>
      </c>
      <c r="AC43" s="24">
        <f>INT(AB43*IF(J43&gt;=3,1.5,1.15))</f>
        <v>1554</v>
      </c>
      <c r="AD43" s="24">
        <f>INT(IF(J43&gt;=3,X43,W43)*IF(J43&lt;1,1,IF(J43=1,2,IF(J43&gt;=2,3,1)))*1.15)</f>
        <v>1554</v>
      </c>
      <c r="AE43" s="24">
        <f>INT(IF(J43=3,Z43*3,AB43)*1.15)</f>
        <v>1554</v>
      </c>
      <c r="AF43" s="24">
        <f>INT(W43*IF(J43=0,1,IF(J43&gt;=2,1.5,1)*IF(J43&gt;=3,1.5,1.15)))</f>
        <v>777</v>
      </c>
      <c r="AG43" s="21">
        <f>MAX(A43:AF43)</f>
        <v>1554</v>
      </c>
      <c r="AH43" s="9" t="s">
        <v>134</v>
      </c>
      <c r="AI43" s="9" t="s">
        <v>137</v>
      </c>
      <c r="AJ43" s="9" t="s">
        <v>137</v>
      </c>
    </row>
    <row r="44" spans="1:36" ht="15.75" thickBot="1" x14ac:dyDescent="0.3">
      <c r="A44" s="3" t="s">
        <v>72</v>
      </c>
      <c r="B44" s="4">
        <v>150</v>
      </c>
      <c r="C44" s="4">
        <v>195</v>
      </c>
      <c r="D44" s="4">
        <v>110</v>
      </c>
      <c r="E44" s="4">
        <v>175</v>
      </c>
      <c r="F44" s="4">
        <v>135</v>
      </c>
      <c r="G44" s="4">
        <v>135</v>
      </c>
      <c r="H44" s="4">
        <v>175</v>
      </c>
      <c r="I44" s="4">
        <v>940</v>
      </c>
      <c r="J44" s="4">
        <v>1</v>
      </c>
      <c r="K44" s="15"/>
      <c r="L44" s="13" t="s">
        <v>164</v>
      </c>
      <c r="M44" s="6"/>
      <c r="N44" s="4"/>
      <c r="O44" s="14" t="s">
        <v>154</v>
      </c>
      <c r="P44" s="14">
        <v>135</v>
      </c>
      <c r="Q44" s="8">
        <v>60</v>
      </c>
      <c r="R44" s="4"/>
      <c r="S44" s="4" t="s">
        <v>19</v>
      </c>
      <c r="T44" s="33">
        <f>P44+Q44+B44</f>
        <v>345</v>
      </c>
      <c r="U44" s="26">
        <f>(C44+(H44/2))/16</f>
        <v>17.65625</v>
      </c>
      <c r="V44" s="26">
        <f>U44*IF(J44&gt;=1,1.5,1)</f>
        <v>26.484375</v>
      </c>
      <c r="W44" s="19">
        <f>INT(T44*IF(R44="",1.5,VLOOKUP(R44,$AL$2:$AM$10,2,FALSE))*(U44*2+100)/100)</f>
        <v>700</v>
      </c>
      <c r="X44" s="22">
        <f>INT(T44*IF(R44="",1.5,VLOOKUP(R44,$AL$2:$AM$10,2,FALSE))*(U44*3+100)/100)</f>
        <v>791</v>
      </c>
      <c r="Y44" s="29">
        <f>INT((T44+IF(J44&gt;=1,F44/4,0)))</f>
        <v>378</v>
      </c>
      <c r="Z44" s="29">
        <f>INT(Y44*(U44*2+100)/100)</f>
        <v>511</v>
      </c>
      <c r="AA44" s="30">
        <f>Z44/W44</f>
        <v>0.73</v>
      </c>
      <c r="AB44" s="24">
        <f>W44*IF(J44&lt;1,1,IF(J44=1,2,IF(J44&gt;=2,3)))</f>
        <v>1400</v>
      </c>
      <c r="AC44" s="24">
        <f>INT(AB44*IF(J44&gt;=3,1.5,1.15))</f>
        <v>1610</v>
      </c>
      <c r="AD44" s="24">
        <f>INT(IF(J44&gt;=3,X44,W44)*IF(J44&lt;1,1,IF(J44=1,2,IF(J44&gt;=2,3,1)))*1.15)</f>
        <v>1610</v>
      </c>
      <c r="AE44" s="24">
        <f>INT(IF(J44=3,Z44*3,AB44)*1.15)</f>
        <v>1610</v>
      </c>
      <c r="AF44" s="24">
        <f>INT(W44*IF(J44=0,1,IF(J44&gt;=2,1.5,1)*IF(J44&gt;=3,1.5,1.15)))</f>
        <v>805</v>
      </c>
      <c r="AG44" s="21">
        <f>MAX(A44:AF44)</f>
        <v>1610</v>
      </c>
      <c r="AH44" s="9" t="s">
        <v>134</v>
      </c>
      <c r="AI44" s="9" t="s">
        <v>137</v>
      </c>
      <c r="AJ44" s="9" t="s">
        <v>133</v>
      </c>
    </row>
    <row r="45" spans="1:36" ht="15.75" thickBot="1" x14ac:dyDescent="0.3">
      <c r="A45" s="3" t="s">
        <v>73</v>
      </c>
      <c r="B45" s="4">
        <v>150</v>
      </c>
      <c r="C45" s="4">
        <v>135</v>
      </c>
      <c r="D45" s="4">
        <v>110</v>
      </c>
      <c r="E45" s="4">
        <v>135</v>
      </c>
      <c r="F45" s="4">
        <v>135</v>
      </c>
      <c r="G45" s="4">
        <v>135</v>
      </c>
      <c r="H45" s="4">
        <v>150</v>
      </c>
      <c r="I45" s="4">
        <v>720</v>
      </c>
      <c r="J45" s="4">
        <v>1</v>
      </c>
      <c r="K45" s="15"/>
      <c r="L45" s="6"/>
      <c r="M45" s="15"/>
      <c r="N45" s="4"/>
      <c r="O45" s="14" t="s">
        <v>155</v>
      </c>
      <c r="P45" s="14">
        <v>140</v>
      </c>
      <c r="Q45" s="8">
        <v>79</v>
      </c>
      <c r="R45" s="4"/>
      <c r="S45" s="4" t="s">
        <v>74</v>
      </c>
      <c r="T45" s="33">
        <f>P45+Q45+B45</f>
        <v>369</v>
      </c>
      <c r="U45" s="26">
        <f>(C45+(H45/2))/16</f>
        <v>13.125</v>
      </c>
      <c r="V45" s="26">
        <f>U45*IF(J45&gt;=1,1.5,1)</f>
        <v>19.6875</v>
      </c>
      <c r="W45" s="19">
        <f>INT(T45*IF(R45="",1.5,VLOOKUP(R45,$AL$2:$AM$10,2,FALSE))*(U45*2+100)/100)</f>
        <v>698</v>
      </c>
      <c r="X45" s="22">
        <f>INT(T45*IF(R45="",1.5,VLOOKUP(R45,$AL$2:$AM$10,2,FALSE))*(U45*3+100)/100)</f>
        <v>771</v>
      </c>
      <c r="Y45" s="29">
        <f>INT((T45+IF(J45&gt;=1,F45/4,0)))</f>
        <v>402</v>
      </c>
      <c r="Z45" s="29">
        <f>INT(Y45*(U45*2+100)/100)</f>
        <v>507</v>
      </c>
      <c r="AA45" s="30">
        <f>Z45/W45</f>
        <v>0.72636103151862463</v>
      </c>
      <c r="AB45" s="24">
        <f>W45*IF(J45&lt;1,1,IF(J45=1,2,IF(J45&gt;=2,3)))</f>
        <v>1396</v>
      </c>
      <c r="AC45" s="24">
        <f>INT(AB45*IF(J45&gt;=3,1.5,1.15))</f>
        <v>1605</v>
      </c>
      <c r="AD45" s="24">
        <f>INT(IF(J45&gt;=3,X45,W45)*IF(J45&lt;1,1,IF(J45=1,2,IF(J45&gt;=2,3,1)))*1.15)</f>
        <v>1605</v>
      </c>
      <c r="AE45" s="24">
        <f>INT(IF(J45=3,Z45*3,AB45)*1.15)</f>
        <v>1605</v>
      </c>
      <c r="AF45" s="24">
        <f>INT(W45*IF(J45=0,1,IF(J45&gt;=2,1.5,1)*IF(J45&gt;=3,1.5,1.15)))</f>
        <v>802</v>
      </c>
      <c r="AG45" s="21">
        <f>MAX(A45:AF45)</f>
        <v>1605</v>
      </c>
      <c r="AH45" s="9" t="s">
        <v>134</v>
      </c>
      <c r="AI45" s="9" t="s">
        <v>137</v>
      </c>
      <c r="AJ45" s="9" t="s">
        <v>136</v>
      </c>
    </row>
    <row r="46" spans="1:36" ht="15.75" thickBot="1" x14ac:dyDescent="0.3">
      <c r="A46" s="3" t="s">
        <v>82</v>
      </c>
      <c r="B46" s="4">
        <v>110</v>
      </c>
      <c r="C46" s="4">
        <v>150</v>
      </c>
      <c r="D46" s="4">
        <v>110</v>
      </c>
      <c r="E46" s="4">
        <v>135</v>
      </c>
      <c r="F46" s="4">
        <v>110</v>
      </c>
      <c r="G46" s="4">
        <v>150</v>
      </c>
      <c r="H46" s="4">
        <v>210</v>
      </c>
      <c r="I46" s="4">
        <v>600</v>
      </c>
      <c r="J46" s="4">
        <v>1</v>
      </c>
      <c r="K46" s="5"/>
      <c r="L46" s="4"/>
      <c r="M46" s="13" t="s">
        <v>128</v>
      </c>
      <c r="N46" s="4"/>
      <c r="O46" s="14" t="s">
        <v>155</v>
      </c>
      <c r="P46" s="14">
        <v>140</v>
      </c>
      <c r="Q46" s="8">
        <v>40</v>
      </c>
      <c r="R46" s="4"/>
      <c r="S46" s="4" t="s">
        <v>23</v>
      </c>
      <c r="T46" s="33">
        <f>P46+Q46+B46</f>
        <v>290</v>
      </c>
      <c r="U46" s="26">
        <f>(C46+(H46/2))/16</f>
        <v>15.9375</v>
      </c>
      <c r="V46" s="26">
        <f>U46*IF(J46&gt;=1,1.5,1)</f>
        <v>23.90625</v>
      </c>
      <c r="W46" s="19">
        <f>INT(T46*IF(R46="",1.5,VLOOKUP(R46,$AL$2:$AM$10,2,FALSE))*(U46*2+100)/100)</f>
        <v>573</v>
      </c>
      <c r="X46" s="22">
        <f>INT(T46*IF(R46="",1.5,VLOOKUP(R46,$AL$2:$AM$10,2,FALSE))*(U46*3+100)/100)</f>
        <v>642</v>
      </c>
      <c r="Y46" s="29">
        <f>INT((T46+IF(J46&gt;=1,F46/4,0)))</f>
        <v>317</v>
      </c>
      <c r="Z46" s="29">
        <f>INT(Y46*(U46*2+100)/100)</f>
        <v>418</v>
      </c>
      <c r="AA46" s="30">
        <f>Z46/W46</f>
        <v>0.72949389179755675</v>
      </c>
      <c r="AB46" s="24">
        <f>W46*IF(J46&lt;1,1,IF(J46=1,2,IF(J46&gt;=2,3)))</f>
        <v>1146</v>
      </c>
      <c r="AC46" s="24">
        <f>INT(AB46*IF(J46&gt;=3,1.5,1.15))</f>
        <v>1317</v>
      </c>
      <c r="AD46" s="24">
        <f>INT(IF(J46&gt;=3,X46,W46)*IF(J46&lt;1,1,IF(J46=1,2,IF(J46&gt;=2,3,1)))*1.15)</f>
        <v>1317</v>
      </c>
      <c r="AE46" s="24">
        <f>INT(IF(J46=3,Z46*3,AB46)*1.15)</f>
        <v>1317</v>
      </c>
      <c r="AF46" s="24">
        <f>INT(W46*IF(J46=0,1,IF(J46&gt;=2,1.5,1)*IF(J46&gt;=3,1.5,1.15)))</f>
        <v>658</v>
      </c>
      <c r="AG46" s="21">
        <f>MAX(A46:AF46)</f>
        <v>1317</v>
      </c>
      <c r="AH46" s="9" t="s">
        <v>137</v>
      </c>
      <c r="AI46" s="9" t="s">
        <v>138</v>
      </c>
      <c r="AJ46" s="9" t="s">
        <v>133</v>
      </c>
    </row>
    <row r="47" spans="1:36" ht="15.75" thickBot="1" x14ac:dyDescent="0.3">
      <c r="A47" s="3" t="s">
        <v>84</v>
      </c>
      <c r="B47" s="4">
        <v>175</v>
      </c>
      <c r="C47" s="4">
        <v>135</v>
      </c>
      <c r="D47" s="4">
        <v>110</v>
      </c>
      <c r="E47" s="4">
        <v>135</v>
      </c>
      <c r="F47" s="4">
        <v>175</v>
      </c>
      <c r="G47" s="4">
        <v>135</v>
      </c>
      <c r="H47" s="4">
        <v>135</v>
      </c>
      <c r="I47" s="4">
        <v>720</v>
      </c>
      <c r="J47" s="4">
        <v>1</v>
      </c>
      <c r="K47" s="15"/>
      <c r="L47" s="13" t="s">
        <v>127</v>
      </c>
      <c r="M47" s="6"/>
      <c r="N47" s="4"/>
      <c r="O47" s="14" t="s">
        <v>149</v>
      </c>
      <c r="P47" s="14">
        <v>150</v>
      </c>
      <c r="Q47" s="8">
        <v>70</v>
      </c>
      <c r="R47" s="4"/>
      <c r="S47" s="4" t="s">
        <v>25</v>
      </c>
      <c r="T47" s="33">
        <f>P47+Q47+B47</f>
        <v>395</v>
      </c>
      <c r="U47" s="26">
        <f>(C47+(H47/2))/16</f>
        <v>12.65625</v>
      </c>
      <c r="V47" s="26">
        <f>U47*IF(J47&gt;=1,1.5,1)</f>
        <v>18.984375</v>
      </c>
      <c r="W47" s="19">
        <f>INT(T47*IF(R47="",1.5,VLOOKUP(R47,$AL$2:$AM$10,2,FALSE))*(U47*2+100)/100)</f>
        <v>742</v>
      </c>
      <c r="X47" s="22">
        <f>INT(T47*IF(R47="",1.5,VLOOKUP(R47,$AL$2:$AM$10,2,FALSE))*(U47*3+100)/100)</f>
        <v>817</v>
      </c>
      <c r="Y47" s="29">
        <f>INT((T47+IF(J47&gt;=1,F47/4,0)))</f>
        <v>438</v>
      </c>
      <c r="Z47" s="29">
        <f>INT(Y47*(U47*2+100)/100)</f>
        <v>548</v>
      </c>
      <c r="AA47" s="30">
        <f>Z47/W47</f>
        <v>0.73854447439353099</v>
      </c>
      <c r="AB47" s="24">
        <f>W47*IF(J47&lt;1,1,IF(J47=1,2,IF(J47&gt;=2,3)))</f>
        <v>1484</v>
      </c>
      <c r="AC47" s="24">
        <f>INT(AB47*IF(J47&gt;=3,1.5,1.15))</f>
        <v>1706</v>
      </c>
      <c r="AD47" s="24">
        <f>INT(IF(J47&gt;=3,X47,W47)*IF(J47&lt;1,1,IF(J47=1,2,IF(J47&gt;=2,3,1)))*1.15)</f>
        <v>1706</v>
      </c>
      <c r="AE47" s="24">
        <f>INT(IF(J47=3,Z47*3,AB47)*1.15)</f>
        <v>1706</v>
      </c>
      <c r="AF47" s="24">
        <f>INT(W47*IF(J47=0,1,IF(J47&gt;=2,1.5,1)*IF(J47&gt;=3,1.5,1.15)))</f>
        <v>853</v>
      </c>
      <c r="AG47" s="21">
        <f>MAX(A47:AF47)</f>
        <v>1706</v>
      </c>
      <c r="AH47" s="9" t="s">
        <v>135</v>
      </c>
      <c r="AI47" s="9" t="s">
        <v>136</v>
      </c>
      <c r="AJ47" s="9" t="s">
        <v>137</v>
      </c>
    </row>
    <row r="48" spans="1:36" ht="15.75" thickBot="1" x14ac:dyDescent="0.3">
      <c r="A48" s="3" t="s">
        <v>88</v>
      </c>
      <c r="B48" s="4">
        <v>150</v>
      </c>
      <c r="C48" s="4">
        <v>150</v>
      </c>
      <c r="D48" s="4">
        <v>110</v>
      </c>
      <c r="E48" s="4">
        <v>150</v>
      </c>
      <c r="F48" s="4">
        <v>150</v>
      </c>
      <c r="G48" s="4">
        <v>135</v>
      </c>
      <c r="H48" s="4">
        <v>135</v>
      </c>
      <c r="I48" s="4">
        <v>720</v>
      </c>
      <c r="J48" s="4">
        <v>1</v>
      </c>
      <c r="K48" s="13" t="s">
        <v>168</v>
      </c>
      <c r="L48" s="6"/>
      <c r="M48" s="17"/>
      <c r="N48" s="8"/>
      <c r="O48" s="14" t="s">
        <v>154</v>
      </c>
      <c r="P48" s="14">
        <v>135</v>
      </c>
      <c r="Q48" s="8">
        <v>60</v>
      </c>
      <c r="R48" s="8"/>
      <c r="S48" s="4" t="s">
        <v>19</v>
      </c>
      <c r="T48" s="33">
        <f>P48+Q48+B48</f>
        <v>345</v>
      </c>
      <c r="U48" s="26">
        <f>(C48+(H48/2))/16</f>
        <v>13.59375</v>
      </c>
      <c r="V48" s="26">
        <f>U48*IF(J48&gt;=1,1.5,1)</f>
        <v>20.390625</v>
      </c>
      <c r="W48" s="19">
        <f>INT(T48*IF(R48="",1.5,VLOOKUP(R48,$AL$2:$AM$10,2,FALSE))*(U48*2+100)/100)</f>
        <v>658</v>
      </c>
      <c r="X48" s="22">
        <f>INT(T48*IF(R48="",1.5,VLOOKUP(R48,$AL$2:$AM$10,2,FALSE))*(U48*3+100)/100)</f>
        <v>728</v>
      </c>
      <c r="Y48" s="29">
        <f>INT((T48+IF(J48&gt;=1,F48/4,0)))</f>
        <v>382</v>
      </c>
      <c r="Z48" s="29">
        <f>INT(Y48*(U48*2+100)/100)</f>
        <v>485</v>
      </c>
      <c r="AA48" s="30">
        <f>Z48/W48</f>
        <v>0.73708206686930089</v>
      </c>
      <c r="AB48" s="24">
        <f>W48*IF(J48&lt;1,1,IF(J48=1,2,IF(J48&gt;=2,3)))</f>
        <v>1316</v>
      </c>
      <c r="AC48" s="24">
        <f>INT(AB48*IF(J48&gt;=3,1.5,1.15))</f>
        <v>1513</v>
      </c>
      <c r="AD48" s="24">
        <f>INT(IF(J48&gt;=3,X48,W48)*IF(J48&lt;1,1,IF(J48=1,2,IF(J48&gt;=2,3,1)))*1.15)</f>
        <v>1513</v>
      </c>
      <c r="AE48" s="24">
        <f>INT(IF(J48=3,Z48*3,AB48)*1.15)</f>
        <v>1513</v>
      </c>
      <c r="AF48" s="24">
        <f>INT(W48*IF(J48=0,1,IF(J48&gt;=2,1.5,1)*IF(J48&gt;=3,1.5,1.15)))</f>
        <v>756</v>
      </c>
      <c r="AG48" s="21">
        <f>MAX(A48:AF48)</f>
        <v>1513</v>
      </c>
      <c r="AH48" s="9" t="s">
        <v>136</v>
      </c>
      <c r="AI48" s="9" t="s">
        <v>137</v>
      </c>
      <c r="AJ48" s="9" t="s">
        <v>136</v>
      </c>
    </row>
    <row r="49" spans="1:36" ht="15.75" thickBot="1" x14ac:dyDescent="0.3">
      <c r="A49" s="3" t="s">
        <v>90</v>
      </c>
      <c r="B49" s="4">
        <v>135</v>
      </c>
      <c r="C49" s="4">
        <v>175</v>
      </c>
      <c r="D49" s="4">
        <v>110</v>
      </c>
      <c r="E49" s="4">
        <v>195</v>
      </c>
      <c r="F49" s="4">
        <v>135</v>
      </c>
      <c r="G49" s="4">
        <v>150</v>
      </c>
      <c r="H49" s="4">
        <v>150</v>
      </c>
      <c r="I49" s="4">
        <v>600</v>
      </c>
      <c r="J49" s="4">
        <v>2</v>
      </c>
      <c r="K49" s="15"/>
      <c r="L49" s="6"/>
      <c r="M49" s="6"/>
      <c r="N49" s="4"/>
      <c r="O49" s="14" t="s">
        <v>151</v>
      </c>
      <c r="P49" s="14">
        <v>165</v>
      </c>
      <c r="Q49" s="8">
        <v>60</v>
      </c>
      <c r="R49" s="4"/>
      <c r="S49" s="4" t="s">
        <v>67</v>
      </c>
      <c r="T49" s="33">
        <f>P49+Q49+B49</f>
        <v>360</v>
      </c>
      <c r="U49" s="26">
        <f>(C49+(H49/2))/16</f>
        <v>15.625</v>
      </c>
      <c r="V49" s="26">
        <f>U49*IF(J49&gt;=1,1.5,1)</f>
        <v>23.4375</v>
      </c>
      <c r="W49" s="19">
        <f>INT(T49*IF(R49="",1.5,VLOOKUP(R49,$AL$2:$AM$10,2,FALSE))*(U49*2+100)/100)</f>
        <v>708</v>
      </c>
      <c r="X49" s="22">
        <f>INT(T49*IF(R49="",1.5,VLOOKUP(R49,$AL$2:$AM$10,2,FALSE))*(U49*3+100)/100)</f>
        <v>793</v>
      </c>
      <c r="Y49" s="29">
        <f>INT((T49+IF(J49&gt;=1,F49/4,0)))</f>
        <v>393</v>
      </c>
      <c r="Z49" s="29">
        <f>INT(Y49*(U49*2+100)/100)</f>
        <v>515</v>
      </c>
      <c r="AA49" s="30">
        <f>Z49/W49</f>
        <v>0.72740112994350281</v>
      </c>
      <c r="AB49" s="24">
        <f>W49*IF(J49&lt;1,1,IF(J49=1,2,IF(J49&gt;=2,3)))</f>
        <v>2124</v>
      </c>
      <c r="AC49" s="24">
        <f>INT(AB49*IF(J49&gt;=3,1.5,1.15))</f>
        <v>2442</v>
      </c>
      <c r="AD49" s="24">
        <f>INT(IF(J49&gt;=3,X49,W49)*IF(J49&lt;1,1,IF(J49=1,2,IF(J49&gt;=2,3,1)))*1.15)</f>
        <v>2442</v>
      </c>
      <c r="AE49" s="24">
        <f>INT(IF(J49=3,Z49*3,AB49)*1.15)</f>
        <v>2442</v>
      </c>
      <c r="AF49" s="24">
        <f>INT(W49*IF(J49=0,1,IF(J49&gt;=2,1.5,1)*IF(J49&gt;=3,1.5,1.15)))</f>
        <v>1221</v>
      </c>
      <c r="AG49" s="21">
        <f>MAX(A49:AF49)</f>
        <v>2442</v>
      </c>
      <c r="AH49" s="9" t="s">
        <v>134</v>
      </c>
      <c r="AI49" s="9" t="s">
        <v>132</v>
      </c>
      <c r="AJ49" s="9" t="s">
        <v>135</v>
      </c>
    </row>
    <row r="50" spans="1:36" ht="15.75" thickBot="1" x14ac:dyDescent="0.3">
      <c r="A50" s="3" t="s">
        <v>93</v>
      </c>
      <c r="B50" s="4">
        <v>210</v>
      </c>
      <c r="C50" s="4">
        <v>150</v>
      </c>
      <c r="D50" s="4">
        <v>110</v>
      </c>
      <c r="E50" s="4">
        <v>110</v>
      </c>
      <c r="F50" s="4">
        <v>150</v>
      </c>
      <c r="G50" s="4">
        <v>175</v>
      </c>
      <c r="H50" s="4">
        <v>75</v>
      </c>
      <c r="I50" s="4">
        <v>780</v>
      </c>
      <c r="J50" s="4">
        <v>1</v>
      </c>
      <c r="K50" s="15"/>
      <c r="L50" s="6"/>
      <c r="M50" s="15"/>
      <c r="N50" s="7" t="s">
        <v>94</v>
      </c>
      <c r="O50" s="14" t="s">
        <v>159</v>
      </c>
      <c r="P50" s="14">
        <v>160</v>
      </c>
      <c r="Q50" s="8">
        <v>20</v>
      </c>
      <c r="R50" s="7" t="s">
        <v>94</v>
      </c>
      <c r="S50" s="4" t="s">
        <v>95</v>
      </c>
      <c r="T50" s="33">
        <f>P50+Q50+B50</f>
        <v>390</v>
      </c>
      <c r="U50" s="26">
        <f>(C50+(H50/2))/16</f>
        <v>11.71875</v>
      </c>
      <c r="V50" s="26">
        <f>U50*IF(J50&gt;=1,1.5,1)</f>
        <v>17.578125</v>
      </c>
      <c r="W50" s="19">
        <f>INT(T50*IF(R50="",1.5,VLOOKUP(R50,$AL$2:$AM$10,2,FALSE))*(U50*2+100)/100)</f>
        <v>722</v>
      </c>
      <c r="X50" s="22">
        <f>INT(T50*IF(R50="",1.5,VLOOKUP(R50,$AL$2:$AM$10,2,FALSE))*(U50*3+100)/100)</f>
        <v>790</v>
      </c>
      <c r="Y50" s="29">
        <f>INT((T50+IF(J50&gt;=1,F50/4,0)))</f>
        <v>427</v>
      </c>
      <c r="Z50" s="29">
        <f>INT(Y50*(U50*2+100)/100)</f>
        <v>527</v>
      </c>
      <c r="AA50" s="30">
        <f>Z50/W50</f>
        <v>0.72991689750692523</v>
      </c>
      <c r="AB50" s="24">
        <f>W50*IF(J50&lt;1,1,IF(J50=1,2,IF(J50&gt;=2,3)))</f>
        <v>1444</v>
      </c>
      <c r="AC50" s="24">
        <f>INT(AB50*IF(J50&gt;=3,1.5,1.15))</f>
        <v>1660</v>
      </c>
      <c r="AD50" s="24">
        <f>INT(IF(J50&gt;=3,X50,W50)*IF(J50&lt;1,1,IF(J50=1,2,IF(J50&gt;=2,3,1)))*1.15)</f>
        <v>1660</v>
      </c>
      <c r="AE50" s="24">
        <f>INT(IF(J50=3,Z50*3,AB50)*1.15)</f>
        <v>1660</v>
      </c>
      <c r="AF50" s="24">
        <f>INT(W50*IF(J50=0,1,IF(J50&gt;=2,1.5,1)*IF(J50&gt;=3,1.5,1.15)))</f>
        <v>830</v>
      </c>
      <c r="AG50" s="21">
        <f>MAX(A50:AF50)</f>
        <v>1660</v>
      </c>
      <c r="AH50" s="9" t="s">
        <v>135</v>
      </c>
      <c r="AI50" s="9" t="s">
        <v>136</v>
      </c>
      <c r="AJ50" s="9" t="s">
        <v>139</v>
      </c>
    </row>
    <row r="51" spans="1:36" ht="15.75" thickBot="1" x14ac:dyDescent="0.3">
      <c r="A51" s="3" t="s">
        <v>98</v>
      </c>
      <c r="B51" s="4">
        <v>465</v>
      </c>
      <c r="C51" s="4">
        <v>110</v>
      </c>
      <c r="D51" s="4">
        <v>110</v>
      </c>
      <c r="E51" s="4">
        <v>95</v>
      </c>
      <c r="F51" s="4">
        <v>225</v>
      </c>
      <c r="G51" s="4">
        <v>110</v>
      </c>
      <c r="H51" s="4">
        <v>135</v>
      </c>
      <c r="I51" s="4">
        <v>980</v>
      </c>
      <c r="J51" s="4">
        <v>0</v>
      </c>
      <c r="K51" s="13" t="s">
        <v>145</v>
      </c>
      <c r="L51" s="13" t="s">
        <v>170</v>
      </c>
      <c r="M51" s="15"/>
      <c r="N51" s="5" t="s">
        <v>17</v>
      </c>
      <c r="O51" s="14" t="s">
        <v>146</v>
      </c>
      <c r="P51" s="14">
        <v>0</v>
      </c>
      <c r="Q51" s="14">
        <v>0</v>
      </c>
      <c r="R51" s="5" t="s">
        <v>17</v>
      </c>
      <c r="S51" s="4"/>
      <c r="T51" s="33">
        <f>P51+Q51+B51</f>
        <v>465</v>
      </c>
      <c r="U51" s="26">
        <f>(C51+(H51/2))/16</f>
        <v>11.09375</v>
      </c>
      <c r="V51" s="26">
        <f>U51*IF(J51&gt;=1,1.5,1)</f>
        <v>11.09375</v>
      </c>
      <c r="W51" s="19">
        <f>INT(T51*IF(R51="",1.5,VLOOKUP(R51,$AL$2:$AM$10,2,FALSE))*(U51*2+100)/100)</f>
        <v>568</v>
      </c>
      <c r="X51" s="22">
        <f>INT(T51*IF(R51="",1.5,VLOOKUP(R51,$AL$2:$AM$10,2,FALSE))*(U51*3+100)/100)</f>
        <v>619</v>
      </c>
      <c r="Y51" s="29">
        <f>INT((T51+IF(J51&gt;=1,F51/4,0)))</f>
        <v>465</v>
      </c>
      <c r="Z51" s="29">
        <f>INT(Y51*(U51*2+100)/100)</f>
        <v>568</v>
      </c>
      <c r="AA51" s="30">
        <f>Z51/W51</f>
        <v>1</v>
      </c>
      <c r="AB51" s="24">
        <f>W51*IF(J51&lt;1,1,IF(J51=1,2,IF(J51&gt;=2,3)))</f>
        <v>568</v>
      </c>
      <c r="AC51" s="24">
        <f>INT(AB51*IF(J51&gt;=3,1.5,1.15))</f>
        <v>653</v>
      </c>
      <c r="AD51" s="24">
        <f>INT(IF(J51&gt;=3,X51,W51)*IF(J51&lt;1,1,IF(J51=1,2,IF(J51&gt;=2,3,1)))*1.15)</f>
        <v>653</v>
      </c>
      <c r="AE51" s="24">
        <f>INT(IF(J51=3,Z51*3,AB51)*1.15)</f>
        <v>653</v>
      </c>
      <c r="AF51" s="24">
        <f>INT(W51*IF(J51=0,1,IF(J51&gt;=2,1.5,1)*IF(J51&gt;=3,1.5,1.15)))</f>
        <v>568</v>
      </c>
      <c r="AG51" s="21">
        <f>MAX(A51:AF51)</f>
        <v>980</v>
      </c>
      <c r="AH51" s="9" t="s">
        <v>137</v>
      </c>
      <c r="AI51" s="9" t="s">
        <v>139</v>
      </c>
      <c r="AJ51" s="9" t="s">
        <v>138</v>
      </c>
    </row>
    <row r="52" spans="1:36" ht="15.75" thickBot="1" x14ac:dyDescent="0.3">
      <c r="A52" s="3" t="s">
        <v>99</v>
      </c>
      <c r="B52" s="4">
        <v>135</v>
      </c>
      <c r="C52" s="4">
        <v>175</v>
      </c>
      <c r="D52" s="4">
        <v>110</v>
      </c>
      <c r="E52" s="4">
        <v>195</v>
      </c>
      <c r="F52" s="4">
        <v>135</v>
      </c>
      <c r="G52" s="4">
        <v>110</v>
      </c>
      <c r="H52" s="4">
        <v>135</v>
      </c>
      <c r="I52" s="4">
        <v>660</v>
      </c>
      <c r="J52" s="4">
        <v>1</v>
      </c>
      <c r="K52" s="15"/>
      <c r="L52" s="6"/>
      <c r="M52" s="15"/>
      <c r="N52" s="4"/>
      <c r="O52" s="14" t="s">
        <v>155</v>
      </c>
      <c r="P52" s="14">
        <v>140</v>
      </c>
      <c r="Q52" s="8">
        <v>60</v>
      </c>
      <c r="R52" s="4"/>
      <c r="S52" s="4" t="s">
        <v>100</v>
      </c>
      <c r="T52" s="33">
        <f>P52+Q52+B52</f>
        <v>335</v>
      </c>
      <c r="U52" s="26">
        <f>(C52+(H52/2))/16</f>
        <v>15.15625</v>
      </c>
      <c r="V52" s="26">
        <f>U52*IF(J52&gt;=1,1.5,1)</f>
        <v>22.734375</v>
      </c>
      <c r="W52" s="19">
        <f>INT(T52*IF(R52="",1.5,VLOOKUP(R52,$AL$2:$AM$10,2,FALSE))*(U52*2+100)/100)</f>
        <v>654</v>
      </c>
      <c r="X52" s="22">
        <f>INT(T52*IF(R52="",1.5,VLOOKUP(R52,$AL$2:$AM$10,2,FALSE))*(U52*3+100)/100)</f>
        <v>730</v>
      </c>
      <c r="Y52" s="29">
        <f>INT((T52+IF(J52&gt;=1,F52/4,0)))</f>
        <v>368</v>
      </c>
      <c r="Z52" s="29">
        <f>INT(Y52*(U52*2+100)/100)</f>
        <v>479</v>
      </c>
      <c r="AA52" s="30">
        <f>Z52/W52</f>
        <v>0.73241590214067276</v>
      </c>
      <c r="AB52" s="24">
        <f>W52*IF(J52&lt;1,1,IF(J52=1,2,IF(J52&gt;=2,3)))</f>
        <v>1308</v>
      </c>
      <c r="AC52" s="24">
        <f>INT(AB52*IF(J52&gt;=3,1.5,1.15))</f>
        <v>1504</v>
      </c>
      <c r="AD52" s="24">
        <f>INT(IF(J52&gt;=3,X52,W52)*IF(J52&lt;1,1,IF(J52=1,2,IF(J52&gt;=2,3,1)))*1.15)</f>
        <v>1504</v>
      </c>
      <c r="AE52" s="24">
        <f>INT(IF(J52=3,Z52*3,AB52)*1.15)</f>
        <v>1504</v>
      </c>
      <c r="AF52" s="24">
        <f>INT(W52*IF(J52=0,1,IF(J52&gt;=2,1.5,1)*IF(J52&gt;=3,1.5,1.15)))</f>
        <v>752</v>
      </c>
      <c r="AG52" s="21">
        <f>MAX(A52:AF52)</f>
        <v>1504</v>
      </c>
      <c r="AH52" s="9" t="s">
        <v>137</v>
      </c>
      <c r="AI52" s="9" t="s">
        <v>138</v>
      </c>
      <c r="AJ52" s="9" t="s">
        <v>134</v>
      </c>
    </row>
    <row r="53" spans="1:36" ht="15.75" thickBot="1" x14ac:dyDescent="0.3">
      <c r="A53" s="3" t="s">
        <v>102</v>
      </c>
      <c r="B53" s="4">
        <v>135</v>
      </c>
      <c r="C53" s="4">
        <v>210</v>
      </c>
      <c r="D53" s="4">
        <v>110</v>
      </c>
      <c r="E53" s="4">
        <v>135</v>
      </c>
      <c r="F53" s="4">
        <v>110</v>
      </c>
      <c r="G53" s="4">
        <v>110</v>
      </c>
      <c r="H53" s="4">
        <v>175</v>
      </c>
      <c r="I53" s="4">
        <v>660</v>
      </c>
      <c r="J53" s="4">
        <v>1</v>
      </c>
      <c r="K53" s="15"/>
      <c r="L53" s="6"/>
      <c r="M53" s="15"/>
      <c r="N53" s="4"/>
      <c r="O53" s="14" t="s">
        <v>155</v>
      </c>
      <c r="P53" s="14">
        <v>140</v>
      </c>
      <c r="Q53" s="8">
        <v>60</v>
      </c>
      <c r="R53" s="4"/>
      <c r="S53" s="4" t="s">
        <v>19</v>
      </c>
      <c r="T53" s="33">
        <f>P53+Q53+B53</f>
        <v>335</v>
      </c>
      <c r="U53" s="26">
        <f>(C53+(H53/2))/16</f>
        <v>18.59375</v>
      </c>
      <c r="V53" s="26">
        <f>U53*IF(J53&gt;=1,1.5,1)</f>
        <v>27.890625</v>
      </c>
      <c r="W53" s="19">
        <f>INT(T53*IF(R53="",1.5,VLOOKUP(R53,$AL$2:$AM$10,2,FALSE))*(U53*2+100)/100)</f>
        <v>689</v>
      </c>
      <c r="X53" s="22">
        <f>INT(T53*IF(R53="",1.5,VLOOKUP(R53,$AL$2:$AM$10,2,FALSE))*(U53*3+100)/100)</f>
        <v>782</v>
      </c>
      <c r="Y53" s="29">
        <f>INT((T53+IF(J53&gt;=1,F53/4,0)))</f>
        <v>362</v>
      </c>
      <c r="Z53" s="29">
        <f>INT(Y53*(U53*2+100)/100)</f>
        <v>496</v>
      </c>
      <c r="AA53" s="30">
        <f>Z53/W53</f>
        <v>0.71988388969521044</v>
      </c>
      <c r="AB53" s="24">
        <f>W53*IF(J53&lt;1,1,IF(J53=1,2,IF(J53&gt;=2,3)))</f>
        <v>1378</v>
      </c>
      <c r="AC53" s="24">
        <f>INT(AB53*IF(J53&gt;=3,1.5,1.15))</f>
        <v>1584</v>
      </c>
      <c r="AD53" s="24">
        <f>INT(IF(J53&gt;=3,X53,W53)*IF(J53&lt;1,1,IF(J53=1,2,IF(J53&gt;=2,3,1)))*1.15)</f>
        <v>1584</v>
      </c>
      <c r="AE53" s="24">
        <f>INT(IF(J53=3,Z53*3,AB53)*1.15)</f>
        <v>1584</v>
      </c>
      <c r="AF53" s="24">
        <f>INT(W53*IF(J53=0,1,IF(J53&gt;=2,1.5,1)*IF(J53&gt;=3,1.5,1.15)))</f>
        <v>792</v>
      </c>
      <c r="AG53" s="21">
        <f>MAX(A53:AF53)</f>
        <v>1584</v>
      </c>
      <c r="AH53" s="9" t="s">
        <v>136</v>
      </c>
      <c r="AI53" s="9" t="s">
        <v>137</v>
      </c>
      <c r="AJ53" s="9" t="s">
        <v>131</v>
      </c>
    </row>
    <row r="54" spans="1:36" ht="15.75" thickBot="1" x14ac:dyDescent="0.3">
      <c r="A54" s="3" t="s">
        <v>103</v>
      </c>
      <c r="B54" s="4">
        <v>150</v>
      </c>
      <c r="C54" s="4">
        <v>195</v>
      </c>
      <c r="D54" s="4">
        <v>110</v>
      </c>
      <c r="E54" s="4">
        <v>135</v>
      </c>
      <c r="F54" s="4">
        <v>110</v>
      </c>
      <c r="G54" s="4">
        <v>95</v>
      </c>
      <c r="H54" s="4">
        <v>195</v>
      </c>
      <c r="I54" s="4">
        <v>660</v>
      </c>
      <c r="J54" s="4">
        <v>0</v>
      </c>
      <c r="K54" s="15"/>
      <c r="L54" s="13" t="s">
        <v>171</v>
      </c>
      <c r="M54" s="15"/>
      <c r="N54" s="4"/>
      <c r="O54" s="14" t="s">
        <v>159</v>
      </c>
      <c r="P54" s="14">
        <v>160</v>
      </c>
      <c r="Q54" s="8">
        <v>75</v>
      </c>
      <c r="R54" s="4"/>
      <c r="S54" s="4" t="s">
        <v>35</v>
      </c>
      <c r="T54" s="33">
        <f>P54+Q54+B54</f>
        <v>385</v>
      </c>
      <c r="U54" s="26">
        <f>(C54+(H54/2))/16</f>
        <v>18.28125</v>
      </c>
      <c r="V54" s="26">
        <f>U54*IF(J54&gt;=1,1.5,1)</f>
        <v>18.28125</v>
      </c>
      <c r="W54" s="19">
        <f>INT(T54*IF(R54="",1.5,VLOOKUP(R54,$AL$2:$AM$10,2,FALSE))*(U54*2+100)/100)</f>
        <v>788</v>
      </c>
      <c r="X54" s="22">
        <f>INT(T54*IF(R54="",1.5,VLOOKUP(R54,$AL$2:$AM$10,2,FALSE))*(U54*3+100)/100)</f>
        <v>894</v>
      </c>
      <c r="Y54" s="29">
        <f>INT((T54+IF(J54&gt;=1,F54/4,0)))</f>
        <v>385</v>
      </c>
      <c r="Z54" s="29">
        <f>INT(Y54*(U54*2+100)/100)</f>
        <v>525</v>
      </c>
      <c r="AA54" s="30">
        <f>Z54/W54</f>
        <v>0.66624365482233505</v>
      </c>
      <c r="AB54" s="24">
        <f>W54*IF(J54&lt;1,1,IF(J54=1,2,IF(J54&gt;=2,3)))</f>
        <v>788</v>
      </c>
      <c r="AC54" s="24">
        <f>INT(AB54*IF(J54&gt;=3,1.5,1.15))</f>
        <v>906</v>
      </c>
      <c r="AD54" s="24">
        <f>INT(IF(J54&gt;=3,X54,W54)*IF(J54&lt;1,1,IF(J54=1,2,IF(J54&gt;=2,3,1)))*1.15)</f>
        <v>906</v>
      </c>
      <c r="AE54" s="24">
        <f>INT(IF(J54=3,Z54*3,AB54)*1.15)</f>
        <v>906</v>
      </c>
      <c r="AF54" s="24">
        <f>INT(W54*IF(J54=0,1,IF(J54&gt;=2,1.5,1)*IF(J54&gt;=3,1.5,1.15)))</f>
        <v>788</v>
      </c>
      <c r="AG54" s="21">
        <f>MAX(A54:AF54)</f>
        <v>906</v>
      </c>
      <c r="AH54" s="9" t="s">
        <v>132</v>
      </c>
      <c r="AI54" s="9" t="s">
        <v>139</v>
      </c>
      <c r="AJ54" s="9" t="s">
        <v>131</v>
      </c>
    </row>
    <row r="55" spans="1:36" ht="15.75" thickBot="1" x14ac:dyDescent="0.3">
      <c r="A55" s="3" t="s">
        <v>104</v>
      </c>
      <c r="B55" s="4">
        <v>297</v>
      </c>
      <c r="C55" s="4">
        <v>150</v>
      </c>
      <c r="D55" s="4">
        <v>110</v>
      </c>
      <c r="E55" s="4">
        <v>195</v>
      </c>
      <c r="F55" s="4">
        <v>242</v>
      </c>
      <c r="G55" s="4">
        <v>150</v>
      </c>
      <c r="H55" s="4">
        <v>150</v>
      </c>
      <c r="I55" s="4">
        <v>660</v>
      </c>
      <c r="J55" s="4">
        <v>1</v>
      </c>
      <c r="K55" s="15"/>
      <c r="L55" s="6"/>
      <c r="M55" s="15"/>
      <c r="N55" s="5" t="s">
        <v>17</v>
      </c>
      <c r="O55" s="14" t="s">
        <v>146</v>
      </c>
      <c r="P55" s="14">
        <v>0</v>
      </c>
      <c r="Q55" s="14">
        <v>0</v>
      </c>
      <c r="R55" s="5" t="s">
        <v>17</v>
      </c>
      <c r="S55" s="4"/>
      <c r="T55" s="33">
        <f>P55+Q55+B55</f>
        <v>297</v>
      </c>
      <c r="U55" s="26">
        <f>(C55+(H55/2))/16</f>
        <v>14.0625</v>
      </c>
      <c r="V55" s="26">
        <f>U55*IF(J55&gt;=1,1.5,1)</f>
        <v>21.09375</v>
      </c>
      <c r="W55" s="19">
        <f>INT(T55*IF(R55="",1.5,VLOOKUP(R55,$AL$2:$AM$10,2,FALSE))*(U55*2+100)/100)</f>
        <v>380</v>
      </c>
      <c r="X55" s="22">
        <f>INT(T55*IF(R55="",1.5,VLOOKUP(R55,$AL$2:$AM$10,2,FALSE))*(U55*3+100)/100)</f>
        <v>422</v>
      </c>
      <c r="Y55" s="29">
        <f>INT((T55+IF(J55&gt;=1,F55/4,0)))</f>
        <v>357</v>
      </c>
      <c r="Z55" s="29">
        <f>INT(Y55*(U55*2+100)/100)</f>
        <v>457</v>
      </c>
      <c r="AA55" s="30">
        <f>Z55/W55</f>
        <v>1.2026315789473685</v>
      </c>
      <c r="AB55" s="24">
        <f>W55*IF(J55&lt;1,1,IF(J55=1,2,IF(J55&gt;=2,3)))</f>
        <v>760</v>
      </c>
      <c r="AC55" s="24">
        <f>INT(AB55*IF(J55&gt;=3,1.5,1.15))</f>
        <v>874</v>
      </c>
      <c r="AD55" s="24">
        <f>INT(IF(J55&gt;=3,X55,W55)*IF(J55&lt;1,1,IF(J55=1,2,IF(J55&gt;=2,3,1)))*1.15)</f>
        <v>874</v>
      </c>
      <c r="AE55" s="24">
        <f>INT(IF(J55=3,Z55*3,AB55)*1.15)</f>
        <v>874</v>
      </c>
      <c r="AF55" s="24">
        <f>INT(W55*IF(J55=0,1,IF(J55&gt;=2,1.5,1)*IF(J55&gt;=3,1.5,1.15)))</f>
        <v>437</v>
      </c>
      <c r="AG55" s="21">
        <f>MAX(A55:AF55)</f>
        <v>874</v>
      </c>
      <c r="AH55" s="9" t="s">
        <v>139</v>
      </c>
      <c r="AI55" s="9" t="s">
        <v>139</v>
      </c>
      <c r="AJ55" s="9" t="s">
        <v>134</v>
      </c>
    </row>
    <row r="56" spans="1:36" ht="15.75" thickBot="1" x14ac:dyDescent="0.3">
      <c r="A56" s="3" t="s">
        <v>105</v>
      </c>
      <c r="B56" s="4">
        <v>135</v>
      </c>
      <c r="C56" s="4">
        <v>135</v>
      </c>
      <c r="D56" s="4">
        <v>110</v>
      </c>
      <c r="E56" s="4">
        <v>150</v>
      </c>
      <c r="F56" s="4">
        <v>150</v>
      </c>
      <c r="G56" s="4">
        <v>150</v>
      </c>
      <c r="H56" s="4">
        <v>150</v>
      </c>
      <c r="I56" s="4">
        <v>660</v>
      </c>
      <c r="J56" s="4">
        <v>3</v>
      </c>
      <c r="K56" s="6"/>
      <c r="L56" s="6"/>
      <c r="M56" s="6"/>
      <c r="N56" s="4"/>
      <c r="O56" s="14" t="s">
        <v>147</v>
      </c>
      <c r="P56" s="14">
        <v>140</v>
      </c>
      <c r="Q56" s="8">
        <v>60</v>
      </c>
      <c r="R56" s="4"/>
      <c r="S56" s="4" t="s">
        <v>32</v>
      </c>
      <c r="T56" s="33">
        <f>P56+Q56+B56</f>
        <v>335</v>
      </c>
      <c r="U56" s="26">
        <f>(C56+(H56/2))/16</f>
        <v>13.125</v>
      </c>
      <c r="V56" s="26">
        <f>U56*IF(J56&gt;=1,1.5,1)</f>
        <v>19.6875</v>
      </c>
      <c r="W56" s="19">
        <f>INT(T56*IF(R56="",1.5,VLOOKUP(R56,$AL$2:$AM$10,2,FALSE))*(U56*2+100)/100)</f>
        <v>634</v>
      </c>
      <c r="X56" s="22">
        <f>INT(T56*IF(R56="",1.5,VLOOKUP(R56,$AL$2:$AM$10,2,FALSE))*(U56*3+100)/100)</f>
        <v>700</v>
      </c>
      <c r="Y56" s="29">
        <f>INT((T56+IF(J56&gt;=1,F56/4,0)))</f>
        <v>372</v>
      </c>
      <c r="Z56" s="29">
        <f>INT(Y56*(U56*2+100)/100)</f>
        <v>469</v>
      </c>
      <c r="AA56" s="30">
        <f>Z56/W56</f>
        <v>0.73974763406940058</v>
      </c>
      <c r="AB56" s="24">
        <f>W56*IF(J56&lt;1,1,IF(J56=1,2,IF(J56&gt;=2,3)))</f>
        <v>1902</v>
      </c>
      <c r="AC56" s="24">
        <f>INT(AB56*IF(J56&gt;=3,1.5,1.15))</f>
        <v>2853</v>
      </c>
      <c r="AD56" s="24">
        <f>INT(IF(J56&gt;=3,X56,W56)*IF(J56&lt;1,1,IF(J56=1,2,IF(J56&gt;=2,3,1)))*1.15)</f>
        <v>2415</v>
      </c>
      <c r="AE56" s="24">
        <f>INT(IF(J56=3,Z56*3,AB56)*1.15)</f>
        <v>1618</v>
      </c>
      <c r="AF56" s="24">
        <f>INT(W56*IF(J56=0,1,IF(J56&gt;=2,1.5,1)*IF(J56&gt;=3,1.5,1.15)))</f>
        <v>1426</v>
      </c>
      <c r="AG56" s="21">
        <f>MAX(A56:AF56)</f>
        <v>2853</v>
      </c>
      <c r="AH56" s="9" t="s">
        <v>137</v>
      </c>
      <c r="AI56" s="9" t="s">
        <v>133</v>
      </c>
      <c r="AJ56" s="9" t="s">
        <v>136</v>
      </c>
    </row>
    <row r="57" spans="1:36" ht="15.75" thickBot="1" x14ac:dyDescent="0.3">
      <c r="A57" s="3" t="s">
        <v>111</v>
      </c>
      <c r="B57" s="4">
        <v>135</v>
      </c>
      <c r="C57" s="4">
        <v>150</v>
      </c>
      <c r="D57" s="4">
        <v>110</v>
      </c>
      <c r="E57" s="4">
        <v>210</v>
      </c>
      <c r="F57" s="4">
        <v>110</v>
      </c>
      <c r="G57" s="4">
        <v>150</v>
      </c>
      <c r="H57" s="4">
        <v>110</v>
      </c>
      <c r="I57" s="4">
        <v>660</v>
      </c>
      <c r="J57" s="4">
        <v>1</v>
      </c>
      <c r="K57" s="13" t="s">
        <v>173</v>
      </c>
      <c r="L57" s="6"/>
      <c r="M57" s="15"/>
      <c r="N57" s="4"/>
      <c r="O57" s="14" t="s">
        <v>126</v>
      </c>
      <c r="P57" s="14">
        <v>147</v>
      </c>
      <c r="Q57" s="8">
        <v>75</v>
      </c>
      <c r="R57" s="4"/>
      <c r="S57" s="4" t="s">
        <v>35</v>
      </c>
      <c r="T57" s="33">
        <f>P57+Q57+B57</f>
        <v>357</v>
      </c>
      <c r="U57" s="26">
        <f>(C57+(H57/2))/16</f>
        <v>12.8125</v>
      </c>
      <c r="V57" s="26">
        <f>U57*IF(J57&gt;=1,1.5,1)</f>
        <v>19.21875</v>
      </c>
      <c r="W57" s="19">
        <f>INT(T57*IF(R57="",1.5,VLOOKUP(R57,$AL$2:$AM$10,2,FALSE))*(U57*2+100)/100)</f>
        <v>672</v>
      </c>
      <c r="X57" s="22">
        <f>INT(T57*IF(R57="",1.5,VLOOKUP(R57,$AL$2:$AM$10,2,FALSE))*(U57*3+100)/100)</f>
        <v>741</v>
      </c>
      <c r="Y57" s="29">
        <f>INT((T57+IF(J57&gt;=1,F57/4,0)))</f>
        <v>384</v>
      </c>
      <c r="Z57" s="29">
        <f>INT(Y57*(U57*2+100)/100)</f>
        <v>482</v>
      </c>
      <c r="AA57" s="30">
        <f>Z57/W57</f>
        <v>0.71726190476190477</v>
      </c>
      <c r="AB57" s="24">
        <f>W57*IF(J57&lt;1,1,IF(J57=1,2,IF(J57&gt;=2,3)))</f>
        <v>1344</v>
      </c>
      <c r="AC57" s="24">
        <f>INT(AB57*IF(J57&gt;=3,1.5,1.15))</f>
        <v>1545</v>
      </c>
      <c r="AD57" s="24">
        <f>INT(IF(J57&gt;=3,X57,W57)*IF(J57&lt;1,1,IF(J57=1,2,IF(J57&gt;=2,3,1)))*1.15)</f>
        <v>1545</v>
      </c>
      <c r="AE57" s="24">
        <f>INT(IF(J57=3,Z57*3,AB57)*1.15)</f>
        <v>1545</v>
      </c>
      <c r="AF57" s="24">
        <f>INT(W57*IF(J57=0,1,IF(J57&gt;=2,1.5,1)*IF(J57&gt;=3,1.5,1.15)))</f>
        <v>772</v>
      </c>
      <c r="AG57" s="21">
        <f>MAX(A57:AF57)</f>
        <v>1545</v>
      </c>
      <c r="AH57" s="9" t="s">
        <v>136</v>
      </c>
      <c r="AI57" s="9" t="s">
        <v>137</v>
      </c>
      <c r="AJ57" s="9" t="s">
        <v>137</v>
      </c>
    </row>
    <row r="58" spans="1:36" ht="15.75" thickBot="1" x14ac:dyDescent="0.3">
      <c r="A58" s="3" t="s">
        <v>112</v>
      </c>
      <c r="B58" s="4">
        <v>150</v>
      </c>
      <c r="C58" s="4">
        <v>175</v>
      </c>
      <c r="D58" s="4">
        <v>110</v>
      </c>
      <c r="E58" s="4">
        <v>135</v>
      </c>
      <c r="F58" s="4">
        <v>135</v>
      </c>
      <c r="G58" s="4">
        <v>150</v>
      </c>
      <c r="H58" s="4">
        <v>135</v>
      </c>
      <c r="I58" s="4">
        <v>660</v>
      </c>
      <c r="J58" s="4">
        <v>1</v>
      </c>
      <c r="K58" s="15"/>
      <c r="L58" s="6"/>
      <c r="M58" s="15"/>
      <c r="N58" s="4"/>
      <c r="O58" s="14" t="s">
        <v>147</v>
      </c>
      <c r="P58" s="14">
        <v>140</v>
      </c>
      <c r="Q58" s="8">
        <v>60</v>
      </c>
      <c r="R58" s="4"/>
      <c r="S58" s="4" t="s">
        <v>19</v>
      </c>
      <c r="T58" s="33">
        <f>P58+Q58+B58</f>
        <v>350</v>
      </c>
      <c r="U58" s="26">
        <f>(C58+(H58/2))/16</f>
        <v>15.15625</v>
      </c>
      <c r="V58" s="26">
        <f>U58*IF(J58&gt;=1,1.5,1)</f>
        <v>22.734375</v>
      </c>
      <c r="W58" s="19">
        <f>INT(T58*IF(R58="",1.5,VLOOKUP(R58,$AL$2:$AM$10,2,FALSE))*(U58*2+100)/100)</f>
        <v>684</v>
      </c>
      <c r="X58" s="22">
        <f>INT(T58*IF(R58="",1.5,VLOOKUP(R58,$AL$2:$AM$10,2,FALSE))*(U58*3+100)/100)</f>
        <v>763</v>
      </c>
      <c r="Y58" s="29">
        <f>INT((T58+IF(J58&gt;=1,F58/4,0)))</f>
        <v>383</v>
      </c>
      <c r="Z58" s="29">
        <f>INT(Y58*(U58*2+100)/100)</f>
        <v>499</v>
      </c>
      <c r="AA58" s="30">
        <f>Z58/W58</f>
        <v>0.72953216374269003</v>
      </c>
      <c r="AB58" s="24">
        <f>W58*IF(J58&lt;1,1,IF(J58=1,2,IF(J58&gt;=2,3)))</f>
        <v>1368</v>
      </c>
      <c r="AC58" s="24">
        <f>INT(AB58*IF(J58&gt;=3,1.5,1.15))</f>
        <v>1573</v>
      </c>
      <c r="AD58" s="24">
        <f>INT(IF(J58&gt;=3,X58,W58)*IF(J58&lt;1,1,IF(J58=1,2,IF(J58&gt;=2,3,1)))*1.15)</f>
        <v>1573</v>
      </c>
      <c r="AE58" s="24">
        <f>INT(IF(J58=3,Z58*3,AB58)*1.15)</f>
        <v>1573</v>
      </c>
      <c r="AF58" s="24">
        <f>INT(W58*IF(J58=0,1,IF(J58&gt;=2,1.5,1)*IF(J58&gt;=3,1.5,1.15)))</f>
        <v>786</v>
      </c>
      <c r="AG58" s="21">
        <f>MAX(A58:AF58)</f>
        <v>1573</v>
      </c>
      <c r="AH58" s="9" t="s">
        <v>136</v>
      </c>
      <c r="AI58" s="9" t="s">
        <v>137</v>
      </c>
      <c r="AJ58" s="9" t="s">
        <v>134</v>
      </c>
    </row>
    <row r="59" spans="1:36" ht="15.75" thickBot="1" x14ac:dyDescent="0.3">
      <c r="A59" s="3" t="s">
        <v>115</v>
      </c>
      <c r="B59" s="4">
        <v>150</v>
      </c>
      <c r="C59" s="4">
        <v>175</v>
      </c>
      <c r="D59" s="4">
        <v>110</v>
      </c>
      <c r="E59" s="4">
        <v>150</v>
      </c>
      <c r="F59" s="4">
        <v>135</v>
      </c>
      <c r="G59" s="4">
        <v>135</v>
      </c>
      <c r="H59" s="4">
        <v>135</v>
      </c>
      <c r="I59" s="4">
        <v>660</v>
      </c>
      <c r="J59" s="4">
        <v>2</v>
      </c>
      <c r="K59" s="15"/>
      <c r="L59" s="6"/>
      <c r="M59" s="6"/>
      <c r="N59" s="4"/>
      <c r="O59" s="14" t="s">
        <v>147</v>
      </c>
      <c r="P59" s="14">
        <v>140</v>
      </c>
      <c r="Q59" s="8">
        <v>60</v>
      </c>
      <c r="R59" s="4"/>
      <c r="S59" s="4" t="s">
        <v>23</v>
      </c>
      <c r="T59" s="33">
        <f>P59+Q59+B59</f>
        <v>350</v>
      </c>
      <c r="U59" s="26">
        <f>(C59+(H59/2))/16</f>
        <v>15.15625</v>
      </c>
      <c r="V59" s="26">
        <f>U59*IF(J59&gt;=1,1.5,1)</f>
        <v>22.734375</v>
      </c>
      <c r="W59" s="19">
        <f>INT(T59*IF(R59="",1.5,VLOOKUP(R59,$AL$2:$AM$10,2,FALSE))*(U59*2+100)/100)</f>
        <v>684</v>
      </c>
      <c r="X59" s="22">
        <f>INT(T59*IF(R59="",1.5,VLOOKUP(R59,$AL$2:$AM$10,2,FALSE))*(U59*3+100)/100)</f>
        <v>763</v>
      </c>
      <c r="Y59" s="29">
        <f>INT((T59+IF(J59&gt;=1,F59/4,0)))</f>
        <v>383</v>
      </c>
      <c r="Z59" s="29">
        <f>INT(Y59*(U59*2+100)/100)</f>
        <v>499</v>
      </c>
      <c r="AA59" s="30">
        <f>Z59/W59</f>
        <v>0.72953216374269003</v>
      </c>
      <c r="AB59" s="24">
        <f>W59*IF(J59&lt;1,1,IF(J59=1,2,IF(J59&gt;=2,3)))</f>
        <v>2052</v>
      </c>
      <c r="AC59" s="24">
        <f>INT(AB59*IF(J59&gt;=3,1.5,1.15))</f>
        <v>2359</v>
      </c>
      <c r="AD59" s="24">
        <f>INT(IF(J59&gt;=3,X59,W59)*IF(J59&lt;1,1,IF(J59=1,2,IF(J59&gt;=2,3,1)))*1.15)</f>
        <v>2359</v>
      </c>
      <c r="AE59" s="24">
        <f>INT(IF(J59=3,Z59*3,AB59)*1.15)</f>
        <v>2359</v>
      </c>
      <c r="AF59" s="24">
        <f>INT(W59*IF(J59=0,1,IF(J59&gt;=2,1.5,1)*IF(J59&gt;=3,1.5,1.15)))</f>
        <v>1179</v>
      </c>
      <c r="AG59" s="21">
        <f>MAX(A59:AF59)</f>
        <v>2359</v>
      </c>
      <c r="AH59" s="9" t="s">
        <v>136</v>
      </c>
      <c r="AI59" s="9" t="s">
        <v>135</v>
      </c>
      <c r="AJ59" s="9" t="s">
        <v>134</v>
      </c>
    </row>
    <row r="60" spans="1:36" ht="15.75" thickBot="1" x14ac:dyDescent="0.3">
      <c r="A60" s="3" t="s">
        <v>116</v>
      </c>
      <c r="B60" s="4">
        <v>135</v>
      </c>
      <c r="C60" s="4">
        <v>195</v>
      </c>
      <c r="D60" s="4">
        <v>110</v>
      </c>
      <c r="E60" s="4">
        <v>135</v>
      </c>
      <c r="F60" s="4">
        <v>150</v>
      </c>
      <c r="G60" s="4">
        <v>135</v>
      </c>
      <c r="H60" s="4">
        <v>175</v>
      </c>
      <c r="I60" s="4">
        <v>660</v>
      </c>
      <c r="J60" s="4">
        <v>2</v>
      </c>
      <c r="K60" s="15"/>
      <c r="L60" s="6"/>
      <c r="M60" s="6"/>
      <c r="N60" s="4"/>
      <c r="O60" s="14" t="s">
        <v>147</v>
      </c>
      <c r="P60" s="14">
        <v>140</v>
      </c>
      <c r="Q60" s="8">
        <v>60</v>
      </c>
      <c r="R60" s="4"/>
      <c r="S60" s="4" t="s">
        <v>19</v>
      </c>
      <c r="T60" s="33">
        <f>P60+Q60+B60</f>
        <v>335</v>
      </c>
      <c r="U60" s="26">
        <f>(C60+(H60/2))/16</f>
        <v>17.65625</v>
      </c>
      <c r="V60" s="26">
        <f>U60*IF(J60&gt;=1,1.5,1)</f>
        <v>26.484375</v>
      </c>
      <c r="W60" s="19">
        <f>INT(T60*IF(R60="",1.5,VLOOKUP(R60,$AL$2:$AM$10,2,FALSE))*(U60*2+100)/100)</f>
        <v>679</v>
      </c>
      <c r="X60" s="22">
        <f>INT(T60*IF(R60="",1.5,VLOOKUP(R60,$AL$2:$AM$10,2,FALSE))*(U60*3+100)/100)</f>
        <v>768</v>
      </c>
      <c r="Y60" s="29">
        <f>INT((T60+IF(J60&gt;=1,F60/4,0)))</f>
        <v>372</v>
      </c>
      <c r="Z60" s="29">
        <f>INT(Y60*(U60*2+100)/100)</f>
        <v>503</v>
      </c>
      <c r="AA60" s="30">
        <f>Z60/W60</f>
        <v>0.7407952871870398</v>
      </c>
      <c r="AB60" s="24">
        <f>W60*IF(J60&lt;1,1,IF(J60=1,2,IF(J60&gt;=2,3)))</f>
        <v>2037</v>
      </c>
      <c r="AC60" s="24">
        <f>INT(AB60*IF(J60&gt;=3,1.5,1.15))</f>
        <v>2342</v>
      </c>
      <c r="AD60" s="24">
        <f>INT(IF(J60&gt;=3,X60,W60)*IF(J60&lt;1,1,IF(J60=1,2,IF(J60&gt;=2,3,1)))*1.15)</f>
        <v>2342</v>
      </c>
      <c r="AE60" s="24">
        <f>INT(IF(J60=3,Z60*3,AB60)*1.15)</f>
        <v>2342</v>
      </c>
      <c r="AF60" s="24">
        <f>INT(W60*IF(J60=0,1,IF(J60&gt;=2,1.5,1)*IF(J60&gt;=3,1.5,1.15)))</f>
        <v>1171</v>
      </c>
      <c r="AG60" s="21">
        <f>MAX(A60:AF60)</f>
        <v>2342</v>
      </c>
      <c r="AH60" s="9" t="s">
        <v>136</v>
      </c>
      <c r="AI60" s="9" t="s">
        <v>135</v>
      </c>
      <c r="AJ60" s="9" t="s">
        <v>133</v>
      </c>
    </row>
    <row r="61" spans="1:36" ht="15.75" thickBot="1" x14ac:dyDescent="0.3">
      <c r="A61" s="3" t="s">
        <v>118</v>
      </c>
      <c r="B61" s="4">
        <v>175</v>
      </c>
      <c r="C61" s="4">
        <v>175</v>
      </c>
      <c r="D61" s="4">
        <v>110</v>
      </c>
      <c r="E61" s="4">
        <v>175</v>
      </c>
      <c r="F61" s="4">
        <v>135</v>
      </c>
      <c r="G61" s="4">
        <v>135</v>
      </c>
      <c r="H61" s="4">
        <v>150</v>
      </c>
      <c r="I61" s="4">
        <v>720</v>
      </c>
      <c r="J61" s="4">
        <v>1</v>
      </c>
      <c r="K61" s="15"/>
      <c r="L61" s="13" t="s">
        <v>148</v>
      </c>
      <c r="M61" s="6"/>
      <c r="N61" s="4"/>
      <c r="O61" s="14" t="s">
        <v>149</v>
      </c>
      <c r="P61" s="14">
        <v>150</v>
      </c>
      <c r="Q61" s="8">
        <v>75</v>
      </c>
      <c r="R61" s="4"/>
      <c r="S61" s="4" t="s">
        <v>21</v>
      </c>
      <c r="T61" s="33">
        <f>P61+Q61+B61</f>
        <v>400</v>
      </c>
      <c r="U61" s="26">
        <f>(C61+(H61/2))/16</f>
        <v>15.625</v>
      </c>
      <c r="V61" s="26">
        <f>U61*IF(J61&gt;=1,1.5,1)</f>
        <v>23.4375</v>
      </c>
      <c r="W61" s="19">
        <f>INT(T61*IF(R61="",1.5,VLOOKUP(R61,$AL$2:$AM$10,2,FALSE))*(U61*2+100)/100)</f>
        <v>787</v>
      </c>
      <c r="X61" s="22">
        <f>INT(T61*IF(R61="",1.5,VLOOKUP(R61,$AL$2:$AM$10,2,FALSE))*(U61*3+100)/100)</f>
        <v>881</v>
      </c>
      <c r="Y61" s="29">
        <f>INT((T61+IF(J61&gt;=1,F61/4,0)))</f>
        <v>433</v>
      </c>
      <c r="Z61" s="29">
        <f>INT(Y61*(U61*2+100)/100)</f>
        <v>568</v>
      </c>
      <c r="AA61" s="30">
        <f>Z61/W61</f>
        <v>0.72172808132147392</v>
      </c>
      <c r="AB61" s="24">
        <f>W61*IF(J61&lt;1,1,IF(J61=1,2,IF(J61&gt;=2,3)))</f>
        <v>1574</v>
      </c>
      <c r="AC61" s="24">
        <f>INT(AB61*IF(J61&gt;=3,1.5,1.15))</f>
        <v>1810</v>
      </c>
      <c r="AD61" s="24">
        <f>INT(IF(J61&gt;=3,X61,W61)*IF(J61&lt;1,1,IF(J61=1,2,IF(J61&gt;=2,3,1)))*1.15)</f>
        <v>1810</v>
      </c>
      <c r="AE61" s="24">
        <f>INT(IF(J61=3,Z61*3,AB61)*1.15)</f>
        <v>1810</v>
      </c>
      <c r="AF61" s="24">
        <f>INT(W61*IF(J61=0,1,IF(J61&gt;=2,1.5,1)*IF(J61&gt;=3,1.5,1.15)))</f>
        <v>905</v>
      </c>
      <c r="AG61" s="21">
        <f>MAX(A61:AF61)</f>
        <v>1810</v>
      </c>
      <c r="AH61" s="9" t="s">
        <v>132</v>
      </c>
      <c r="AI61" s="9" t="s">
        <v>134</v>
      </c>
      <c r="AJ61" s="9" t="s">
        <v>135</v>
      </c>
    </row>
    <row r="62" spans="1:36" ht="15.75" thickBot="1" x14ac:dyDescent="0.3">
      <c r="A62" s="3" t="s">
        <v>121</v>
      </c>
      <c r="B62" s="4">
        <v>135</v>
      </c>
      <c r="C62" s="4">
        <v>175</v>
      </c>
      <c r="D62" s="4">
        <v>110</v>
      </c>
      <c r="E62" s="4">
        <v>135</v>
      </c>
      <c r="F62" s="4">
        <v>110</v>
      </c>
      <c r="G62" s="4">
        <v>175</v>
      </c>
      <c r="H62" s="4">
        <v>110</v>
      </c>
      <c r="I62" s="4">
        <v>660</v>
      </c>
      <c r="J62" s="4">
        <v>1</v>
      </c>
      <c r="K62" s="15"/>
      <c r="L62" s="6"/>
      <c r="M62" s="15"/>
      <c r="N62" s="4"/>
      <c r="O62" s="14" t="s">
        <v>149</v>
      </c>
      <c r="P62" s="14">
        <v>150</v>
      </c>
      <c r="Q62" s="8">
        <v>55</v>
      </c>
      <c r="R62" s="4"/>
      <c r="S62" s="4" t="s">
        <v>122</v>
      </c>
      <c r="T62" s="33">
        <f>P62+Q62+B62</f>
        <v>340</v>
      </c>
      <c r="U62" s="26">
        <f>(C62+(H62/2))/16</f>
        <v>14.375</v>
      </c>
      <c r="V62" s="26">
        <f>U62*IF(J62&gt;=1,1.5,1)</f>
        <v>21.5625</v>
      </c>
      <c r="W62" s="19">
        <f>INT(T62*IF(R62="",1.5,VLOOKUP(R62,$AL$2:$AM$10,2,FALSE))*(U62*2+100)/100)</f>
        <v>656</v>
      </c>
      <c r="X62" s="22">
        <f>INT(T62*IF(R62="",1.5,VLOOKUP(R62,$AL$2:$AM$10,2,FALSE))*(U62*3+100)/100)</f>
        <v>729</v>
      </c>
      <c r="Y62" s="29">
        <f>INT((T62+IF(J62&gt;=1,F62/4,0)))</f>
        <v>367</v>
      </c>
      <c r="Z62" s="29">
        <f>INT(Y62*(U62*2+100)/100)</f>
        <v>472</v>
      </c>
      <c r="AA62" s="30">
        <f>Z62/W62</f>
        <v>0.71951219512195119</v>
      </c>
      <c r="AB62" s="24">
        <f>W62*IF(J62&lt;1,1,IF(J62=1,2,IF(J62&gt;=2,3)))</f>
        <v>1312</v>
      </c>
      <c r="AC62" s="24">
        <f>INT(AB62*IF(J62&gt;=3,1.5,1.15))</f>
        <v>1508</v>
      </c>
      <c r="AD62" s="24">
        <f>INT(IF(J62&gt;=3,X62,W62)*IF(J62&lt;1,1,IF(J62=1,2,IF(J62&gt;=2,3,1)))*1.15)</f>
        <v>1508</v>
      </c>
      <c r="AE62" s="24">
        <f>INT(IF(J62=3,Z62*3,AB62)*1.15)</f>
        <v>1508</v>
      </c>
      <c r="AF62" s="24">
        <f>INT(W62*IF(J62=0,1,IF(J62&gt;=2,1.5,1)*IF(J62&gt;=3,1.5,1.15)))</f>
        <v>754</v>
      </c>
      <c r="AG62" s="21">
        <f>MAX(A62:AF62)</f>
        <v>1508</v>
      </c>
      <c r="AH62" s="9" t="s">
        <v>136</v>
      </c>
      <c r="AI62" s="9" t="s">
        <v>138</v>
      </c>
      <c r="AJ62" s="9" t="s">
        <v>136</v>
      </c>
    </row>
    <row r="63" spans="1:36" ht="15.75" thickBot="1" x14ac:dyDescent="0.3">
      <c r="A63" s="3" t="s">
        <v>123</v>
      </c>
      <c r="B63" s="4">
        <v>150</v>
      </c>
      <c r="C63" s="4">
        <v>175</v>
      </c>
      <c r="D63" s="4">
        <v>110</v>
      </c>
      <c r="E63" s="4">
        <v>175</v>
      </c>
      <c r="F63" s="4">
        <v>135</v>
      </c>
      <c r="G63" s="4">
        <v>135</v>
      </c>
      <c r="H63" s="4">
        <v>175</v>
      </c>
      <c r="I63" s="4">
        <v>840</v>
      </c>
      <c r="J63" s="4">
        <v>1</v>
      </c>
      <c r="K63" s="15"/>
      <c r="L63" s="13" t="s">
        <v>164</v>
      </c>
      <c r="M63" s="6"/>
      <c r="N63" s="4"/>
      <c r="O63" s="14" t="s">
        <v>154</v>
      </c>
      <c r="P63" s="14">
        <v>135</v>
      </c>
      <c r="Q63" s="8">
        <v>60</v>
      </c>
      <c r="R63" s="4"/>
      <c r="S63" s="4" t="s">
        <v>67</v>
      </c>
      <c r="T63" s="33">
        <f>P63+Q63+B63</f>
        <v>345</v>
      </c>
      <c r="U63" s="26">
        <f>(C63+(H63/2))/16</f>
        <v>16.40625</v>
      </c>
      <c r="V63" s="26">
        <f>U63*IF(J63&gt;=1,1.5,1)</f>
        <v>24.609375</v>
      </c>
      <c r="W63" s="19">
        <f>INT(T63*IF(R63="",1.5,VLOOKUP(R63,$AL$2:$AM$10,2,FALSE))*(U63*2+100)/100)</f>
        <v>687</v>
      </c>
      <c r="X63" s="22">
        <f>INT(T63*IF(R63="",1.5,VLOOKUP(R63,$AL$2:$AM$10,2,FALSE))*(U63*3+100)/100)</f>
        <v>772</v>
      </c>
      <c r="Y63" s="29">
        <f>INT((T63+IF(J63&gt;=1,F63/4,0)))</f>
        <v>378</v>
      </c>
      <c r="Z63" s="29">
        <f>INT(Y63*(U63*2+100)/100)</f>
        <v>502</v>
      </c>
      <c r="AA63" s="30">
        <f>Z63/W63</f>
        <v>0.73071324599708876</v>
      </c>
      <c r="AB63" s="24">
        <f>W63*IF(J63&lt;1,1,IF(J63=1,2,IF(J63&gt;=2,3)))</f>
        <v>1374</v>
      </c>
      <c r="AC63" s="24">
        <f>INT(AB63*IF(J63&gt;=3,1.5,1.15))</f>
        <v>1580</v>
      </c>
      <c r="AD63" s="24">
        <f>INT(IF(J63&gt;=3,X63,W63)*IF(J63&lt;1,1,IF(J63=1,2,IF(J63&gt;=2,3,1)))*1.15)</f>
        <v>1580</v>
      </c>
      <c r="AE63" s="24">
        <f>INT(IF(J63=3,Z63*3,AB63)*1.15)</f>
        <v>1580</v>
      </c>
      <c r="AF63" s="24">
        <f>INT(W63*IF(J63=0,1,IF(J63&gt;=2,1.5,1)*IF(J63&gt;=3,1.5,1.15)))</f>
        <v>790</v>
      </c>
      <c r="AG63" s="21">
        <f>MAX(A63:AF63)</f>
        <v>1580</v>
      </c>
      <c r="AH63" s="9" t="s">
        <v>134</v>
      </c>
      <c r="AI63" s="9" t="s">
        <v>137</v>
      </c>
      <c r="AJ63" s="9" t="s">
        <v>132</v>
      </c>
    </row>
    <row r="64" spans="1:36" ht="15.75" thickBot="1" x14ac:dyDescent="0.3">
      <c r="A64" s="3" t="s">
        <v>18</v>
      </c>
      <c r="B64" s="4">
        <v>150</v>
      </c>
      <c r="C64" s="4">
        <v>110</v>
      </c>
      <c r="D64" s="4">
        <v>95</v>
      </c>
      <c r="E64" s="4">
        <v>110</v>
      </c>
      <c r="F64" s="4">
        <v>150</v>
      </c>
      <c r="G64" s="4">
        <v>110</v>
      </c>
      <c r="H64" s="4">
        <v>135</v>
      </c>
      <c r="I64" s="4">
        <v>850</v>
      </c>
      <c r="J64" s="4">
        <v>1</v>
      </c>
      <c r="K64" s="15"/>
      <c r="L64" s="6"/>
      <c r="M64" s="15"/>
      <c r="N64" s="4"/>
      <c r="O64" s="14" t="s">
        <v>147</v>
      </c>
      <c r="P64" s="14">
        <v>140</v>
      </c>
      <c r="Q64" s="8">
        <v>60</v>
      </c>
      <c r="R64" s="4"/>
      <c r="S64" s="6" t="s">
        <v>19</v>
      </c>
      <c r="T64" s="33">
        <f>P64+Q64+B64</f>
        <v>350</v>
      </c>
      <c r="U64" s="26">
        <f>(C64+(H64/2))/16</f>
        <v>11.09375</v>
      </c>
      <c r="V64" s="26">
        <f>U64*IF(J64&gt;=1,1.5,1)</f>
        <v>16.640625</v>
      </c>
      <c r="W64" s="19">
        <f>INT(T64*IF(R64="",1.5,VLOOKUP(R64,$AL$2:$AM$10,2,FALSE))*(U64*2+100)/100)</f>
        <v>641</v>
      </c>
      <c r="X64" s="22">
        <f>INT(T64*IF(R64="",1.5,VLOOKUP(R64,$AL$2:$AM$10,2,FALSE))*(U64*3+100)/100)</f>
        <v>699</v>
      </c>
      <c r="Y64" s="29">
        <f>INT((T64+IF(J64&gt;=1,F64/4,0)))</f>
        <v>387</v>
      </c>
      <c r="Z64" s="29">
        <f>INT(Y64*(U64*2+100)/100)</f>
        <v>472</v>
      </c>
      <c r="AA64" s="30">
        <f>Z64/W64</f>
        <v>0.7363494539781591</v>
      </c>
      <c r="AB64" s="24">
        <f>W64*IF(J64&lt;1,1,IF(J64=1,2,IF(J64&gt;=2,3)))</f>
        <v>1282</v>
      </c>
      <c r="AC64" s="24">
        <f>INT(AB64*IF(J64&gt;=3,1.5,1.15))</f>
        <v>1474</v>
      </c>
      <c r="AD64" s="24">
        <f>INT(IF(J64&gt;=3,X64,W64)*IF(J64&lt;1,1,IF(J64=1,2,IF(J64&gt;=2,3,1)))*1.15)</f>
        <v>1474</v>
      </c>
      <c r="AE64" s="24">
        <f>INT(IF(J64=3,Z64*3,AB64)*1.15)</f>
        <v>1474</v>
      </c>
      <c r="AF64" s="24">
        <f>INT(W64*IF(J64=0,1,IF(J64&gt;=2,1.5,1)*IF(J64&gt;=3,1.5,1.15)))</f>
        <v>737</v>
      </c>
      <c r="AG64" s="21">
        <f>MAX(A64:AF64)</f>
        <v>1474</v>
      </c>
      <c r="AH64" s="9" t="s">
        <v>136</v>
      </c>
      <c r="AI64" s="9" t="s">
        <v>138</v>
      </c>
      <c r="AJ64" s="9" t="s">
        <v>138</v>
      </c>
    </row>
    <row r="65" spans="1:36" ht="15.75" thickBot="1" x14ac:dyDescent="0.3">
      <c r="A65" s="3" t="s">
        <v>33</v>
      </c>
      <c r="B65" s="4">
        <v>132</v>
      </c>
      <c r="C65" s="4">
        <v>150</v>
      </c>
      <c r="D65" s="4">
        <v>95</v>
      </c>
      <c r="E65" s="4">
        <v>110</v>
      </c>
      <c r="F65" s="4">
        <v>330</v>
      </c>
      <c r="G65" s="4">
        <v>95</v>
      </c>
      <c r="H65" s="4">
        <v>175</v>
      </c>
      <c r="I65" s="4">
        <v>390</v>
      </c>
      <c r="J65" s="4">
        <v>1</v>
      </c>
      <c r="K65" s="15"/>
      <c r="L65" s="6"/>
      <c r="M65" s="15"/>
      <c r="N65" s="5" t="s">
        <v>17</v>
      </c>
      <c r="O65" s="14" t="s">
        <v>146</v>
      </c>
      <c r="P65" s="14">
        <v>0</v>
      </c>
      <c r="Q65" s="14">
        <v>0</v>
      </c>
      <c r="R65" s="5" t="s">
        <v>17</v>
      </c>
      <c r="S65" s="4"/>
      <c r="T65" s="33">
        <f>P65+Q65+B65</f>
        <v>132</v>
      </c>
      <c r="U65" s="26">
        <f>(C65+(H65/2))/16</f>
        <v>14.84375</v>
      </c>
      <c r="V65" s="26">
        <f>U65*IF(J65&gt;=1,1.5,1)</f>
        <v>22.265625</v>
      </c>
      <c r="W65" s="19">
        <f>INT(T65*IF(R65="",1.5,VLOOKUP(R65,$AL$2:$AM$10,2,FALSE))*(U65*2+100)/100)</f>
        <v>171</v>
      </c>
      <c r="X65" s="22">
        <f>INT(T65*IF(R65="",1.5,VLOOKUP(R65,$AL$2:$AM$10,2,FALSE))*(U65*3+100)/100)</f>
        <v>190</v>
      </c>
      <c r="Y65" s="29">
        <f>INT((T65+IF(J65&gt;=1,F65/4,0)))</f>
        <v>214</v>
      </c>
      <c r="Z65" s="29">
        <f>INT(Y65*(U65*2+100)/100)</f>
        <v>277</v>
      </c>
      <c r="AA65" s="30">
        <f>Z65/W65</f>
        <v>1.6198830409356726</v>
      </c>
      <c r="AB65" s="24">
        <f>W65*IF(J65&lt;1,1,IF(J65=1,2,IF(J65&gt;=2,3)))</f>
        <v>342</v>
      </c>
      <c r="AC65" s="24">
        <f>INT(AB65*IF(J65&gt;=3,1.5,1.15))</f>
        <v>393</v>
      </c>
      <c r="AD65" s="24">
        <f>INT(IF(J65&gt;=3,X65,W65)*IF(J65&lt;1,1,IF(J65=1,2,IF(J65&gt;=2,3,1)))*1.15)</f>
        <v>393</v>
      </c>
      <c r="AE65" s="24">
        <f>INT(IF(J65=3,Z65*3,AB65)*1.15)</f>
        <v>393</v>
      </c>
      <c r="AF65" s="24">
        <f>INT(W65*IF(J65=0,1,IF(J65&gt;=2,1.5,1)*IF(J65&gt;=3,1.5,1.15)))</f>
        <v>196</v>
      </c>
      <c r="AG65" s="21">
        <f>MAX(A65:AF65)</f>
        <v>393</v>
      </c>
      <c r="AH65" s="9" t="s">
        <v>140</v>
      </c>
      <c r="AI65" s="9" t="s">
        <v>140</v>
      </c>
      <c r="AJ65" s="9" t="s">
        <v>135</v>
      </c>
    </row>
    <row r="66" spans="1:36" ht="15.75" thickBot="1" x14ac:dyDescent="0.3">
      <c r="A66" s="3" t="s">
        <v>34</v>
      </c>
      <c r="B66" s="4">
        <v>135</v>
      </c>
      <c r="C66" s="4">
        <v>210</v>
      </c>
      <c r="D66" s="4">
        <v>95</v>
      </c>
      <c r="E66" s="4">
        <v>175</v>
      </c>
      <c r="F66" s="4">
        <v>110</v>
      </c>
      <c r="G66" s="4">
        <v>135</v>
      </c>
      <c r="H66" s="4">
        <v>95</v>
      </c>
      <c r="I66" s="4">
        <v>660</v>
      </c>
      <c r="J66" s="4">
        <v>1</v>
      </c>
      <c r="K66" s="15"/>
      <c r="L66" s="6"/>
      <c r="M66" s="15"/>
      <c r="N66" s="4"/>
      <c r="O66" s="14" t="s">
        <v>155</v>
      </c>
      <c r="P66" s="14">
        <v>140</v>
      </c>
      <c r="Q66" s="8">
        <v>75</v>
      </c>
      <c r="R66" s="4"/>
      <c r="S66" s="4" t="s">
        <v>35</v>
      </c>
      <c r="T66" s="33">
        <f>P66+Q66+B66</f>
        <v>350</v>
      </c>
      <c r="U66" s="26">
        <f>(C66+(H66/2))/16</f>
        <v>16.09375</v>
      </c>
      <c r="V66" s="26">
        <f>U66*IF(J66&gt;=1,1.5,1)</f>
        <v>24.140625</v>
      </c>
      <c r="W66" s="19">
        <f>INT(T66*IF(R66="",1.5,VLOOKUP(R66,$AL$2:$AM$10,2,FALSE))*(U66*2+100)/100)</f>
        <v>693</v>
      </c>
      <c r="X66" s="22">
        <f>INT(T66*IF(R66="",1.5,VLOOKUP(R66,$AL$2:$AM$10,2,FALSE))*(U66*3+100)/100)</f>
        <v>778</v>
      </c>
      <c r="Y66" s="29">
        <f>INT((T66+IF(J66&gt;=1,F66/4,0)))</f>
        <v>377</v>
      </c>
      <c r="Z66" s="29">
        <f>INT(Y66*(U66*2+100)/100)</f>
        <v>498</v>
      </c>
      <c r="AA66" s="30">
        <f>Z66/W66</f>
        <v>0.7186147186147186</v>
      </c>
      <c r="AB66" s="24">
        <f>W66*IF(J66&lt;1,1,IF(J66=1,2,IF(J66&gt;=2,3)))</f>
        <v>1386</v>
      </c>
      <c r="AC66" s="24">
        <f>INT(AB66*IF(J66&gt;=3,1.5,1.15))</f>
        <v>1593</v>
      </c>
      <c r="AD66" s="24">
        <f>INT(IF(J66&gt;=3,X66,W66)*IF(J66&lt;1,1,IF(J66=1,2,IF(J66&gt;=2,3,1)))*1.15)</f>
        <v>1593</v>
      </c>
      <c r="AE66" s="24">
        <f>INT(IF(J66=3,Z66*3,AB66)*1.15)</f>
        <v>1593</v>
      </c>
      <c r="AF66" s="24">
        <f>INT(W66*IF(J66=0,1,IF(J66&gt;=2,1.5,1)*IF(J66&gt;=3,1.5,1.15)))</f>
        <v>796</v>
      </c>
      <c r="AG66" s="21">
        <f>MAX(A66:AF66)</f>
        <v>1593</v>
      </c>
      <c r="AH66" s="9" t="s">
        <v>136</v>
      </c>
      <c r="AI66" s="9" t="s">
        <v>137</v>
      </c>
      <c r="AJ66" s="9" t="s">
        <v>134</v>
      </c>
    </row>
    <row r="67" spans="1:36" ht="15.75" thickBot="1" x14ac:dyDescent="0.3">
      <c r="A67" s="3" t="s">
        <v>51</v>
      </c>
      <c r="B67" s="4">
        <v>175</v>
      </c>
      <c r="C67" s="4">
        <v>110</v>
      </c>
      <c r="D67" s="4">
        <v>95</v>
      </c>
      <c r="E67" s="4">
        <v>135</v>
      </c>
      <c r="F67" s="4">
        <v>150</v>
      </c>
      <c r="G67" s="4">
        <v>110</v>
      </c>
      <c r="H67" s="4">
        <v>135</v>
      </c>
      <c r="I67" s="4">
        <v>780</v>
      </c>
      <c r="J67" s="4">
        <v>1</v>
      </c>
      <c r="K67" s="15"/>
      <c r="L67" s="6"/>
      <c r="M67" s="15"/>
      <c r="N67" s="4"/>
      <c r="O67" s="14" t="s">
        <v>160</v>
      </c>
      <c r="P67" s="14">
        <v>175</v>
      </c>
      <c r="Q67" s="8">
        <v>79</v>
      </c>
      <c r="R67" s="4"/>
      <c r="S67" s="4" t="s">
        <v>25</v>
      </c>
      <c r="T67" s="33">
        <f>P67+Q67+B67</f>
        <v>429</v>
      </c>
      <c r="U67" s="26">
        <f>(C67+(H67/2))/16</f>
        <v>11.09375</v>
      </c>
      <c r="V67" s="26">
        <f>U67*IF(J67&gt;=1,1.5,1)</f>
        <v>16.640625</v>
      </c>
      <c r="W67" s="19">
        <f>INT(T67*IF(R67="",1.5,VLOOKUP(R67,$AL$2:$AM$10,2,FALSE))*(U67*2+100)/100)</f>
        <v>786</v>
      </c>
      <c r="X67" s="22">
        <f>INT(T67*IF(R67="",1.5,VLOOKUP(R67,$AL$2:$AM$10,2,FALSE))*(U67*3+100)/100)</f>
        <v>857</v>
      </c>
      <c r="Y67" s="29">
        <f>INT((T67+IF(J67&gt;=1,F67/4,0)))</f>
        <v>466</v>
      </c>
      <c r="Z67" s="29">
        <f>INT(Y67*(U67*2+100)/100)</f>
        <v>569</v>
      </c>
      <c r="AA67" s="30">
        <f>Z67/W67</f>
        <v>0.72391857506361323</v>
      </c>
      <c r="AB67" s="24">
        <f>W67*IF(J67&lt;1,1,IF(J67=1,2,IF(J67&gt;=2,3)))</f>
        <v>1572</v>
      </c>
      <c r="AC67" s="24">
        <f>INT(AB67*IF(J67&gt;=3,1.5,1.15))</f>
        <v>1807</v>
      </c>
      <c r="AD67" s="24">
        <f>INT(IF(J67&gt;=3,X67,W67)*IF(J67&lt;1,1,IF(J67=1,2,IF(J67&gt;=2,3,1)))*1.15)</f>
        <v>1807</v>
      </c>
      <c r="AE67" s="24">
        <f>INT(IF(J67=3,Z67*3,AB67)*1.15)</f>
        <v>1807</v>
      </c>
      <c r="AF67" s="24">
        <f>INT(W67*IF(J67=0,1,IF(J67&gt;=2,1.5,1)*IF(J67&gt;=3,1.5,1.15)))</f>
        <v>903</v>
      </c>
      <c r="AG67" s="21">
        <f>MAX(A67:AF67)</f>
        <v>1807</v>
      </c>
      <c r="AH67" s="9" t="s">
        <v>133</v>
      </c>
      <c r="AI67" s="9" t="s">
        <v>134</v>
      </c>
      <c r="AJ67" s="9" t="s">
        <v>138</v>
      </c>
    </row>
    <row r="68" spans="1:36" ht="15.75" thickBot="1" x14ac:dyDescent="0.3">
      <c r="A68" s="3" t="s">
        <v>53</v>
      </c>
      <c r="B68" s="4">
        <v>150</v>
      </c>
      <c r="C68" s="4">
        <v>150</v>
      </c>
      <c r="D68" s="4">
        <v>95</v>
      </c>
      <c r="E68" s="4">
        <v>110</v>
      </c>
      <c r="F68" s="4">
        <v>175</v>
      </c>
      <c r="G68" s="4">
        <v>110</v>
      </c>
      <c r="H68" s="4">
        <v>135</v>
      </c>
      <c r="I68" s="4">
        <v>720</v>
      </c>
      <c r="J68" s="4">
        <v>1</v>
      </c>
      <c r="K68" s="15"/>
      <c r="L68" s="6"/>
      <c r="M68" s="15"/>
      <c r="N68" s="4"/>
      <c r="O68" s="14" t="s">
        <v>149</v>
      </c>
      <c r="P68" s="14">
        <v>150</v>
      </c>
      <c r="Q68" s="8">
        <v>79</v>
      </c>
      <c r="R68" s="4"/>
      <c r="S68" s="4" t="s">
        <v>54</v>
      </c>
      <c r="T68" s="33">
        <f>P68+Q68+B68</f>
        <v>379</v>
      </c>
      <c r="U68" s="26">
        <f>(C68+(H68/2))/16</f>
        <v>13.59375</v>
      </c>
      <c r="V68" s="26">
        <f>U68*IF(J68&gt;=1,1.5,1)</f>
        <v>20.390625</v>
      </c>
      <c r="W68" s="19">
        <f>INT(T68*IF(R68="",1.5,VLOOKUP(R68,$AL$2:$AM$10,2,FALSE))*(U68*2+100)/100)</f>
        <v>723</v>
      </c>
      <c r="X68" s="22">
        <f>INT(T68*IF(R68="",1.5,VLOOKUP(R68,$AL$2:$AM$10,2,FALSE))*(U68*3+100)/100)</f>
        <v>800</v>
      </c>
      <c r="Y68" s="29">
        <f>INT((T68+IF(J68&gt;=1,F68/4,0)))</f>
        <v>422</v>
      </c>
      <c r="Z68" s="29">
        <f>INT(Y68*(U68*2+100)/100)</f>
        <v>536</v>
      </c>
      <c r="AA68" s="30">
        <f>Z68/W68</f>
        <v>0.74135546334716462</v>
      </c>
      <c r="AB68" s="24">
        <f>W68*IF(J68&lt;1,1,IF(J68=1,2,IF(J68&gt;=2,3)))</f>
        <v>1446</v>
      </c>
      <c r="AC68" s="24">
        <f>INT(AB68*IF(J68&gt;=3,1.5,1.15))</f>
        <v>1662</v>
      </c>
      <c r="AD68" s="24">
        <f>INT(IF(J68&gt;=3,X68,W68)*IF(J68&lt;1,1,IF(J68=1,2,IF(J68&gt;=2,3,1)))*1.15)</f>
        <v>1662</v>
      </c>
      <c r="AE68" s="24">
        <f>INT(IF(J68=3,Z68*3,AB68)*1.15)</f>
        <v>1662</v>
      </c>
      <c r="AF68" s="24">
        <f>INT(W68*IF(J68=0,1,IF(J68&gt;=2,1.5,1)*IF(J68&gt;=3,1.5,1.15)))</f>
        <v>831</v>
      </c>
      <c r="AG68" s="21">
        <f>MAX(A68:AF68)</f>
        <v>1662</v>
      </c>
      <c r="AH68" s="9" t="s">
        <v>135</v>
      </c>
      <c r="AI68" s="9" t="s">
        <v>136</v>
      </c>
      <c r="AJ68" s="9" t="s">
        <v>136</v>
      </c>
    </row>
    <row r="69" spans="1:36" ht="15.75" thickBot="1" x14ac:dyDescent="0.3">
      <c r="A69" s="3" t="s">
        <v>59</v>
      </c>
      <c r="B69" s="4">
        <v>110</v>
      </c>
      <c r="C69" s="4">
        <v>150</v>
      </c>
      <c r="D69" s="4">
        <v>95</v>
      </c>
      <c r="E69" s="4">
        <v>175</v>
      </c>
      <c r="F69" s="4">
        <v>110</v>
      </c>
      <c r="G69" s="4">
        <v>95</v>
      </c>
      <c r="H69" s="4">
        <v>195</v>
      </c>
      <c r="I69" s="4">
        <v>600</v>
      </c>
      <c r="J69" s="4">
        <v>2</v>
      </c>
      <c r="K69" s="6"/>
      <c r="L69" s="6"/>
      <c r="M69" s="16"/>
      <c r="N69" s="7" t="s">
        <v>60</v>
      </c>
      <c r="O69" s="14" t="s">
        <v>151</v>
      </c>
      <c r="P69" s="14">
        <v>165</v>
      </c>
      <c r="Q69" s="8">
        <v>75</v>
      </c>
      <c r="R69" s="7" t="s">
        <v>60</v>
      </c>
      <c r="S69" s="4" t="s">
        <v>35</v>
      </c>
      <c r="T69" s="33">
        <f>P69+Q69+B69</f>
        <v>350</v>
      </c>
      <c r="U69" s="26">
        <f>(C69+(H69/2))/16</f>
        <v>15.46875</v>
      </c>
      <c r="V69" s="26">
        <f>U69*IF(J69&gt;=1,1.5,1)</f>
        <v>23.203125</v>
      </c>
      <c r="W69" s="19">
        <f>INT(T69*IF(R69="",1.5,VLOOKUP(R69,$AL$2:$AM$10,2,FALSE))*(U69*2+100)/100)</f>
        <v>458</v>
      </c>
      <c r="X69" s="22">
        <f>INT(T69*IF(R69="",1.5,VLOOKUP(R69,$AL$2:$AM$10,2,FALSE))*(U69*3+100)/100)</f>
        <v>512</v>
      </c>
      <c r="Y69" s="29">
        <f>INT((T69+IF(J69&gt;=1,F69/4,0)))</f>
        <v>377</v>
      </c>
      <c r="Z69" s="29">
        <f>INT(Y69*(U69*2+100)/100)</f>
        <v>493</v>
      </c>
      <c r="AA69" s="30">
        <f>Z69/W69</f>
        <v>1.0764192139737991</v>
      </c>
      <c r="AB69" s="24">
        <f>W69*IF(J69&lt;1,1,IF(J69=1,2,IF(J69&gt;=2,3)))</f>
        <v>1374</v>
      </c>
      <c r="AC69" s="24">
        <f>INT(AB69*IF(J69&gt;=3,1.5,1.15))</f>
        <v>1580</v>
      </c>
      <c r="AD69" s="24">
        <f>INT(IF(J69&gt;=3,X69,W69)*IF(J69&lt;1,1,IF(J69=1,2,IF(J69&gt;=2,3,1)))*1.15)</f>
        <v>1580</v>
      </c>
      <c r="AE69" s="24">
        <f>INT(IF(J69=3,Z69*3,AB69)*1.15)</f>
        <v>1580</v>
      </c>
      <c r="AF69" s="24">
        <f>INT(W69*IF(J69=0,1,IF(J69&gt;=2,1.5,1)*IF(J69&gt;=3,1.5,1.15)))</f>
        <v>790</v>
      </c>
      <c r="AG69" s="21">
        <f>MAX(A69:AF69)</f>
        <v>1580</v>
      </c>
      <c r="AH69" s="9" t="s">
        <v>138</v>
      </c>
      <c r="AI69" s="9" t="s">
        <v>137</v>
      </c>
      <c r="AJ69" s="9" t="s">
        <v>132</v>
      </c>
    </row>
    <row r="70" spans="1:36" ht="15.75" thickBot="1" x14ac:dyDescent="0.3">
      <c r="A70" s="3" t="s">
        <v>83</v>
      </c>
      <c r="B70" s="4">
        <v>209</v>
      </c>
      <c r="C70" s="4">
        <v>110</v>
      </c>
      <c r="D70" s="4">
        <v>95</v>
      </c>
      <c r="E70" s="4">
        <v>135</v>
      </c>
      <c r="F70" s="4">
        <v>209</v>
      </c>
      <c r="G70" s="4">
        <v>95</v>
      </c>
      <c r="H70" s="4">
        <v>150</v>
      </c>
      <c r="I70" s="4">
        <v>550</v>
      </c>
      <c r="J70" s="4">
        <v>1</v>
      </c>
      <c r="K70" s="15"/>
      <c r="L70" s="6"/>
      <c r="M70" s="15"/>
      <c r="N70" s="5" t="s">
        <v>17</v>
      </c>
      <c r="O70" s="14" t="s">
        <v>146</v>
      </c>
      <c r="P70" s="14">
        <v>0</v>
      </c>
      <c r="Q70" s="14">
        <v>0</v>
      </c>
      <c r="R70" s="5" t="s">
        <v>17</v>
      </c>
      <c r="S70" s="4"/>
      <c r="T70" s="33">
        <f>P70+Q70+B70</f>
        <v>209</v>
      </c>
      <c r="U70" s="26">
        <f>(C70+(H70/2))/16</f>
        <v>11.5625</v>
      </c>
      <c r="V70" s="26">
        <f>U70*IF(J70&gt;=1,1.5,1)</f>
        <v>17.34375</v>
      </c>
      <c r="W70" s="19">
        <f>INT(T70*IF(R70="",1.5,VLOOKUP(R70,$AL$2:$AM$10,2,FALSE))*(U70*2+100)/100)</f>
        <v>257</v>
      </c>
      <c r="X70" s="22">
        <f>INT(T70*IF(R70="",1.5,VLOOKUP(R70,$AL$2:$AM$10,2,FALSE))*(U70*3+100)/100)</f>
        <v>281</v>
      </c>
      <c r="Y70" s="29">
        <f>INT((T70+IF(J70&gt;=1,F70/4,0)))</f>
        <v>261</v>
      </c>
      <c r="Z70" s="29">
        <f>INT(Y70*(U70*2+100)/100)</f>
        <v>321</v>
      </c>
      <c r="AA70" s="30">
        <f>Z70/W70</f>
        <v>1.2490272373540856</v>
      </c>
      <c r="AB70" s="24">
        <f>W70*IF(J70&lt;1,1,IF(J70=1,2,IF(J70&gt;=2,3)))</f>
        <v>514</v>
      </c>
      <c r="AC70" s="24">
        <f>INT(AB70*IF(J70&gt;=3,1.5,1.15))</f>
        <v>591</v>
      </c>
      <c r="AD70" s="24">
        <f>INT(IF(J70&gt;=3,X70,W70)*IF(J70&lt;1,1,IF(J70=1,2,IF(J70&gt;=2,3,1)))*1.15)</f>
        <v>591</v>
      </c>
      <c r="AE70" s="24">
        <f>INT(IF(J70=3,Z70*3,AB70)*1.15)</f>
        <v>591</v>
      </c>
      <c r="AF70" s="24">
        <f>INT(W70*IF(J70=0,1,IF(J70&gt;=2,1.5,1)*IF(J70&gt;=3,1.5,1.15)))</f>
        <v>295</v>
      </c>
      <c r="AG70" s="21">
        <f>MAX(A70:AF70)</f>
        <v>591</v>
      </c>
      <c r="AH70" s="9" t="s">
        <v>140</v>
      </c>
      <c r="AI70" s="9" t="s">
        <v>140</v>
      </c>
      <c r="AJ70" s="9" t="s">
        <v>137</v>
      </c>
    </row>
    <row r="71" spans="1:36" ht="15.75" thickBot="1" x14ac:dyDescent="0.3">
      <c r="A71" s="3" t="s">
        <v>85</v>
      </c>
      <c r="B71" s="4">
        <v>209</v>
      </c>
      <c r="C71" s="4">
        <v>110</v>
      </c>
      <c r="D71" s="4">
        <v>95</v>
      </c>
      <c r="E71" s="4">
        <v>195</v>
      </c>
      <c r="F71" s="4">
        <v>209</v>
      </c>
      <c r="G71" s="4">
        <v>95</v>
      </c>
      <c r="H71" s="4">
        <v>110</v>
      </c>
      <c r="I71" s="4">
        <v>550</v>
      </c>
      <c r="J71" s="4">
        <v>1</v>
      </c>
      <c r="K71" s="15"/>
      <c r="L71" s="6"/>
      <c r="M71" s="15"/>
      <c r="N71" s="5" t="s">
        <v>17</v>
      </c>
      <c r="O71" s="14" t="s">
        <v>146</v>
      </c>
      <c r="P71" s="14">
        <v>0</v>
      </c>
      <c r="Q71" s="14">
        <v>0</v>
      </c>
      <c r="R71" s="5" t="s">
        <v>17</v>
      </c>
      <c r="S71" s="4"/>
      <c r="T71" s="33">
        <f>P71+Q71+B71</f>
        <v>209</v>
      </c>
      <c r="U71" s="26">
        <f>(C71+(H71/2))/16</f>
        <v>10.3125</v>
      </c>
      <c r="V71" s="26">
        <f>U71*IF(J71&gt;=1,1.5,1)</f>
        <v>15.46875</v>
      </c>
      <c r="W71" s="19">
        <f>INT(T71*IF(R71="",1.5,VLOOKUP(R71,$AL$2:$AM$10,2,FALSE))*(U71*2+100)/100)</f>
        <v>252</v>
      </c>
      <c r="X71" s="22">
        <f>INT(T71*IF(R71="",1.5,VLOOKUP(R71,$AL$2:$AM$10,2,FALSE))*(U71*3+100)/100)</f>
        <v>273</v>
      </c>
      <c r="Y71" s="29">
        <f>INT((T71+IF(J71&gt;=1,F71/4,0)))</f>
        <v>261</v>
      </c>
      <c r="Z71" s="29">
        <f>INT(Y71*(U71*2+100)/100)</f>
        <v>314</v>
      </c>
      <c r="AA71" s="30">
        <f>Z71/W71</f>
        <v>1.246031746031746</v>
      </c>
      <c r="AB71" s="24">
        <f>W71*IF(J71&lt;1,1,IF(J71=1,2,IF(J71&gt;=2,3)))</f>
        <v>504</v>
      </c>
      <c r="AC71" s="24">
        <f>INT(AB71*IF(J71&gt;=3,1.5,1.15))</f>
        <v>579</v>
      </c>
      <c r="AD71" s="24">
        <f>INT(IF(J71&gt;=3,X71,W71)*IF(J71&lt;1,1,IF(J71=1,2,IF(J71&gt;=2,3,1)))*1.15)</f>
        <v>579</v>
      </c>
      <c r="AE71" s="24">
        <f>INT(IF(J71=3,Z71*3,AB71)*1.15)</f>
        <v>579</v>
      </c>
      <c r="AF71" s="24">
        <f>INT(W71*IF(J71=0,1,IF(J71&gt;=2,1.5,1)*IF(J71&gt;=3,1.5,1.15)))</f>
        <v>289</v>
      </c>
      <c r="AG71" s="21">
        <f>MAX(A71:AF71)</f>
        <v>579</v>
      </c>
      <c r="AH71" s="9" t="s">
        <v>140</v>
      </c>
      <c r="AI71" s="9" t="s">
        <v>140</v>
      </c>
      <c r="AJ71" s="9" t="s">
        <v>139</v>
      </c>
    </row>
    <row r="72" spans="1:36" ht="15.75" thickBot="1" x14ac:dyDescent="0.3">
      <c r="A72" s="3" t="s">
        <v>89</v>
      </c>
      <c r="B72" s="4">
        <v>242</v>
      </c>
      <c r="C72" s="4">
        <v>110</v>
      </c>
      <c r="D72" s="4">
        <v>95</v>
      </c>
      <c r="E72" s="4">
        <v>135</v>
      </c>
      <c r="F72" s="4">
        <v>132</v>
      </c>
      <c r="G72" s="4">
        <v>110</v>
      </c>
      <c r="H72" s="4">
        <v>110</v>
      </c>
      <c r="I72" s="4">
        <v>550</v>
      </c>
      <c r="J72" s="4">
        <v>1</v>
      </c>
      <c r="K72" s="15"/>
      <c r="L72" s="15"/>
      <c r="M72" s="6"/>
      <c r="N72" s="5" t="s">
        <v>17</v>
      </c>
      <c r="O72" s="14" t="s">
        <v>146</v>
      </c>
      <c r="P72" s="14">
        <v>0</v>
      </c>
      <c r="Q72" s="14">
        <v>0</v>
      </c>
      <c r="R72" s="5" t="s">
        <v>17</v>
      </c>
      <c r="S72" s="4"/>
      <c r="T72" s="33">
        <f>P72+Q72+B72</f>
        <v>242</v>
      </c>
      <c r="U72" s="26">
        <f>(C72+(H72/2))/16</f>
        <v>10.3125</v>
      </c>
      <c r="V72" s="26">
        <f>U72*IF(J72&gt;=1,1.5,1)</f>
        <v>15.46875</v>
      </c>
      <c r="W72" s="19">
        <f>INT(T72*IF(R72="",1.5,VLOOKUP(R72,$AL$2:$AM$10,2,FALSE))*(U72*2+100)/100)</f>
        <v>291</v>
      </c>
      <c r="X72" s="22">
        <f>INT(T72*IF(R72="",1.5,VLOOKUP(R72,$AL$2:$AM$10,2,FALSE))*(U72*3+100)/100)</f>
        <v>316</v>
      </c>
      <c r="Y72" s="29">
        <f>INT((T72+IF(J72&gt;=1,F72/4,0)))</f>
        <v>275</v>
      </c>
      <c r="Z72" s="29">
        <f>INT(Y72*(U72*2+100)/100)</f>
        <v>331</v>
      </c>
      <c r="AA72" s="30">
        <f>Z72/W72</f>
        <v>1.1374570446735395</v>
      </c>
      <c r="AB72" s="24">
        <f>W72*IF(J72&lt;1,1,IF(J72=1,2,IF(J72&gt;=2,3)))</f>
        <v>582</v>
      </c>
      <c r="AC72" s="24">
        <f>INT(AB72*IF(J72&gt;=3,1.5,1.15))</f>
        <v>669</v>
      </c>
      <c r="AD72" s="24">
        <f>INT(IF(J72&gt;=3,X72,W72)*IF(J72&lt;1,1,IF(J72=1,2,IF(J72&gt;=2,3,1)))*1.15)</f>
        <v>669</v>
      </c>
      <c r="AE72" s="24">
        <f>INT(IF(J72=3,Z72*3,AB72)*1.15)</f>
        <v>669</v>
      </c>
      <c r="AF72" s="24">
        <f>INT(W72*IF(J72=0,1,IF(J72&gt;=2,1.5,1)*IF(J72&gt;=3,1.5,1.15)))</f>
        <v>334</v>
      </c>
      <c r="AG72" s="21">
        <f>MAX(A72:AF72)</f>
        <v>669</v>
      </c>
      <c r="AH72" s="9" t="s">
        <v>140</v>
      </c>
      <c r="AI72" s="9" t="s">
        <v>140</v>
      </c>
      <c r="AJ72" s="9" t="s">
        <v>139</v>
      </c>
    </row>
    <row r="73" spans="1:36" ht="15.75" thickBot="1" x14ac:dyDescent="0.3">
      <c r="A73" s="3" t="s">
        <v>96</v>
      </c>
      <c r="B73" s="4">
        <v>150</v>
      </c>
      <c r="C73" s="4">
        <v>135</v>
      </c>
      <c r="D73" s="4">
        <v>95</v>
      </c>
      <c r="E73" s="4">
        <v>110</v>
      </c>
      <c r="F73" s="4">
        <v>150</v>
      </c>
      <c r="G73" s="4">
        <v>75</v>
      </c>
      <c r="H73" s="4">
        <v>110</v>
      </c>
      <c r="I73" s="4">
        <v>950</v>
      </c>
      <c r="J73" s="4">
        <v>1</v>
      </c>
      <c r="K73" s="15"/>
      <c r="L73" s="6"/>
      <c r="M73" s="15"/>
      <c r="N73" s="4"/>
      <c r="O73" s="14" t="s">
        <v>159</v>
      </c>
      <c r="P73" s="14">
        <v>160</v>
      </c>
      <c r="Q73" s="8">
        <v>79</v>
      </c>
      <c r="R73" s="4"/>
      <c r="S73" s="4" t="s">
        <v>56</v>
      </c>
      <c r="T73" s="33">
        <f>P73+Q73+B73</f>
        <v>389</v>
      </c>
      <c r="U73" s="26">
        <f>(C73+(H73/2))/16</f>
        <v>11.875</v>
      </c>
      <c r="V73" s="26">
        <f>U73*IF(J73&gt;=1,1.5,1)</f>
        <v>17.8125</v>
      </c>
      <c r="W73" s="19">
        <f>INT(T73*IF(R73="",1.5,VLOOKUP(R73,$AL$2:$AM$10,2,FALSE))*(U73*2+100)/100)</f>
        <v>722</v>
      </c>
      <c r="X73" s="22">
        <f>INT(T73*IF(R73="",1.5,VLOOKUP(R73,$AL$2:$AM$10,2,FALSE))*(U73*3+100)/100)</f>
        <v>791</v>
      </c>
      <c r="Y73" s="29">
        <f>INT((T73+IF(J73&gt;=1,F73/4,0)))</f>
        <v>426</v>
      </c>
      <c r="Z73" s="29">
        <f>INT(Y73*(U73*2+100)/100)</f>
        <v>527</v>
      </c>
      <c r="AA73" s="30">
        <f>Z73/W73</f>
        <v>0.72991689750692523</v>
      </c>
      <c r="AB73" s="24">
        <f>W73*IF(J73&lt;1,1,IF(J73=1,2,IF(J73&gt;=2,3)))</f>
        <v>1444</v>
      </c>
      <c r="AC73" s="24">
        <f>INT(AB73*IF(J73&gt;=3,1.5,1.15))</f>
        <v>1660</v>
      </c>
      <c r="AD73" s="24">
        <f>INT(IF(J73&gt;=3,X73,W73)*IF(J73&lt;1,1,IF(J73=1,2,IF(J73&gt;=2,3,1)))*1.15)</f>
        <v>1660</v>
      </c>
      <c r="AE73" s="24">
        <f>INT(IF(J73=3,Z73*3,AB73)*1.15)</f>
        <v>1660</v>
      </c>
      <c r="AF73" s="24">
        <f>INT(W73*IF(J73=0,1,IF(J73&gt;=2,1.5,1)*IF(J73&gt;=3,1.5,1.15)))</f>
        <v>830</v>
      </c>
      <c r="AG73" s="21">
        <f>MAX(A73:AF73)</f>
        <v>1660</v>
      </c>
      <c r="AH73" s="9" t="s">
        <v>135</v>
      </c>
      <c r="AI73" s="9" t="s">
        <v>136</v>
      </c>
      <c r="AJ73" s="9" t="s">
        <v>138</v>
      </c>
    </row>
    <row r="74" spans="1:36" ht="15.75" thickBot="1" x14ac:dyDescent="0.3">
      <c r="A74" s="3" t="s">
        <v>117</v>
      </c>
      <c r="B74" s="4">
        <v>95</v>
      </c>
      <c r="C74" s="4">
        <v>110</v>
      </c>
      <c r="D74" s="4">
        <v>95</v>
      </c>
      <c r="E74" s="4">
        <v>150</v>
      </c>
      <c r="F74" s="4">
        <v>75</v>
      </c>
      <c r="G74" s="4">
        <v>110</v>
      </c>
      <c r="H74" s="4">
        <v>150</v>
      </c>
      <c r="I74" s="4">
        <v>420</v>
      </c>
      <c r="J74" s="4">
        <v>1</v>
      </c>
      <c r="K74" s="6"/>
      <c r="L74" s="13" t="s">
        <v>174</v>
      </c>
      <c r="M74" s="15"/>
      <c r="N74" s="4"/>
      <c r="O74" s="14" t="s">
        <v>155</v>
      </c>
      <c r="P74" s="14">
        <v>140</v>
      </c>
      <c r="Q74" s="8">
        <v>60</v>
      </c>
      <c r="R74" s="4"/>
      <c r="S74" s="4" t="s">
        <v>77</v>
      </c>
      <c r="T74" s="33">
        <f>P74+Q74+B74</f>
        <v>295</v>
      </c>
      <c r="U74" s="26">
        <f>(C74+(H74/2))/16</f>
        <v>11.5625</v>
      </c>
      <c r="V74" s="26">
        <f>U74*IF(J74&gt;=1,1.5,1)</f>
        <v>17.34375</v>
      </c>
      <c r="W74" s="19">
        <f>INT(T74*IF(R74="",1.5,VLOOKUP(R74,$AL$2:$AM$10,2,FALSE))*(U74*2+100)/100)</f>
        <v>544</v>
      </c>
      <c r="X74" s="22">
        <f>INT(T74*IF(R74="",1.5,VLOOKUP(R74,$AL$2:$AM$10,2,FALSE))*(U74*3+100)/100)</f>
        <v>595</v>
      </c>
      <c r="Y74" s="29">
        <f>INT((T74+IF(J74&gt;=1,F74/4,0)))</f>
        <v>313</v>
      </c>
      <c r="Z74" s="29">
        <f>INT(Y74*(U74*2+100)/100)</f>
        <v>385</v>
      </c>
      <c r="AA74" s="30">
        <f>Z74/W74</f>
        <v>0.70772058823529416</v>
      </c>
      <c r="AB74" s="24">
        <f>W74*IF(J74&lt;1,1,IF(J74=1,2,IF(J74&gt;=2,3)))</f>
        <v>1088</v>
      </c>
      <c r="AC74" s="24">
        <f>INT(AB74*IF(J74&gt;=3,1.5,1.15))</f>
        <v>1251</v>
      </c>
      <c r="AD74" s="24">
        <f>INT(IF(J74&gt;=3,X74,W74)*IF(J74&lt;1,1,IF(J74=1,2,IF(J74&gt;=2,3,1)))*1.15)</f>
        <v>1251</v>
      </c>
      <c r="AE74" s="24">
        <f>INT(IF(J74=3,Z74*3,AB74)*1.15)</f>
        <v>1251</v>
      </c>
      <c r="AF74" s="24">
        <f>INT(W74*IF(J74=0,1,IF(J74&gt;=2,1.5,1)*IF(J74&gt;=3,1.5,1.15)))</f>
        <v>625</v>
      </c>
      <c r="AG74" s="21">
        <f>MAX(A74:AF74)</f>
        <v>1251</v>
      </c>
      <c r="AH74" s="9" t="s">
        <v>137</v>
      </c>
      <c r="AI74" s="9" t="s">
        <v>138</v>
      </c>
      <c r="AJ74" s="9" t="s">
        <v>137</v>
      </c>
    </row>
    <row r="75" spans="1:36" ht="15.75" thickBot="1" x14ac:dyDescent="0.3">
      <c r="A75" s="3" t="s">
        <v>16</v>
      </c>
      <c r="B75" s="4">
        <v>604</v>
      </c>
      <c r="C75" s="4">
        <v>95</v>
      </c>
      <c r="D75" s="4">
        <v>75</v>
      </c>
      <c r="E75" s="4">
        <v>60</v>
      </c>
      <c r="F75" s="4">
        <v>262</v>
      </c>
      <c r="G75" s="4">
        <v>75</v>
      </c>
      <c r="H75" s="4">
        <v>150</v>
      </c>
      <c r="I75" s="4">
        <v>980</v>
      </c>
      <c r="J75" s="4">
        <v>0</v>
      </c>
      <c r="K75" s="13" t="s">
        <v>145</v>
      </c>
      <c r="L75" s="15"/>
      <c r="M75" s="15"/>
      <c r="N75" s="5" t="s">
        <v>17</v>
      </c>
      <c r="O75" s="14" t="s">
        <v>146</v>
      </c>
      <c r="P75" s="14">
        <v>0</v>
      </c>
      <c r="Q75" s="14">
        <v>0</v>
      </c>
      <c r="R75" s="5" t="s">
        <v>17</v>
      </c>
      <c r="S75" s="4"/>
      <c r="T75" s="33">
        <f>P75+Q75+B75</f>
        <v>604</v>
      </c>
      <c r="U75" s="26">
        <f>(C75+(H75/2))/16</f>
        <v>10.625</v>
      </c>
      <c r="V75" s="26">
        <f>U75*IF(J75&gt;=1,1.5,1)</f>
        <v>10.625</v>
      </c>
      <c r="W75" s="19">
        <f>INT(T75*IF(R75="",1.5,VLOOKUP(R75,$AL$2:$AM$10,2,FALSE))*(U75*2+100)/100)</f>
        <v>732</v>
      </c>
      <c r="X75" s="22">
        <f>INT(T75*IF(R75="",1.5,VLOOKUP(R75,$AL$2:$AM$10,2,FALSE))*(U75*3+100)/100)</f>
        <v>796</v>
      </c>
      <c r="Y75" s="29">
        <f>INT((T75+IF(J75&gt;=1,F75/4,0)))</f>
        <v>604</v>
      </c>
      <c r="Z75" s="29">
        <f>INT(Y75*(U75*2+100)/100)</f>
        <v>732</v>
      </c>
      <c r="AA75" s="30">
        <f>Z75/W75</f>
        <v>1</v>
      </c>
      <c r="AB75" s="24">
        <f>W75*IF(J75&lt;1,1,IF(J75=1,2,IF(J75&gt;=2,3)))</f>
        <v>732</v>
      </c>
      <c r="AC75" s="24">
        <f>INT(AB75*IF(J75&gt;=3,1.5,1.15))</f>
        <v>841</v>
      </c>
      <c r="AD75" s="24">
        <f>INT(IF(J75&gt;=3,X75,W75)*IF(J75&lt;1,1,IF(J75=1,2,IF(J75&gt;=2,3,1)))*1.15)</f>
        <v>841</v>
      </c>
      <c r="AE75" s="24">
        <f>INT(IF(J75=3,Z75*3,AB75)*1.15)</f>
        <v>841</v>
      </c>
      <c r="AF75" s="24">
        <f>INT(W75*IF(J75=0,1,IF(J75&gt;=2,1.5,1)*IF(J75&gt;=3,1.5,1.15)))</f>
        <v>732</v>
      </c>
      <c r="AG75" s="21">
        <f>MAX(A75:AF75)</f>
        <v>980</v>
      </c>
      <c r="AH75" s="9" t="s">
        <v>135</v>
      </c>
      <c r="AI75" s="9" t="s">
        <v>139</v>
      </c>
      <c r="AJ75" s="9" t="s">
        <v>138</v>
      </c>
    </row>
    <row r="76" spans="1:36" ht="15.75" thickBot="1" x14ac:dyDescent="0.3">
      <c r="A76" s="3" t="s">
        <v>61</v>
      </c>
      <c r="B76" s="4">
        <v>195</v>
      </c>
      <c r="C76" s="4">
        <v>135</v>
      </c>
      <c r="D76" s="4">
        <v>75</v>
      </c>
      <c r="E76" s="4">
        <v>95</v>
      </c>
      <c r="F76" s="4">
        <v>210</v>
      </c>
      <c r="G76" s="4">
        <v>110</v>
      </c>
      <c r="H76" s="4">
        <v>95</v>
      </c>
      <c r="I76" s="4">
        <v>850</v>
      </c>
      <c r="J76" s="4">
        <v>1</v>
      </c>
      <c r="K76" s="15"/>
      <c r="L76" s="15"/>
      <c r="M76" s="6"/>
      <c r="N76" s="4"/>
      <c r="O76" s="14" t="s">
        <v>159</v>
      </c>
      <c r="P76" s="14">
        <v>160</v>
      </c>
      <c r="Q76" s="8">
        <v>64</v>
      </c>
      <c r="R76" s="4"/>
      <c r="S76" s="4" t="s">
        <v>25</v>
      </c>
      <c r="T76" s="33">
        <f>P76+Q76+B76</f>
        <v>419</v>
      </c>
      <c r="U76" s="26">
        <f>(C76+(H76/2))/16</f>
        <v>11.40625</v>
      </c>
      <c r="V76" s="26">
        <f>U76*IF(J76&gt;=1,1.5,1)</f>
        <v>17.109375</v>
      </c>
      <c r="W76" s="19">
        <f>INT(T76*IF(R76="",1.5,VLOOKUP(R76,$AL$2:$AM$10,2,FALSE))*(U76*2+100)/100)</f>
        <v>771</v>
      </c>
      <c r="X76" s="22">
        <f>INT(T76*IF(R76="",1.5,VLOOKUP(R76,$AL$2:$AM$10,2,FALSE))*(U76*3+100)/100)</f>
        <v>843</v>
      </c>
      <c r="Y76" s="29">
        <f>INT((T76+IF(J76&gt;=1,F76/4,0)))</f>
        <v>471</v>
      </c>
      <c r="Z76" s="29">
        <f>INT(Y76*(U76*2+100)/100)</f>
        <v>578</v>
      </c>
      <c r="AA76" s="30">
        <f>Z76/W76</f>
        <v>0.7496757457846952</v>
      </c>
      <c r="AB76" s="24">
        <f>W76*IF(J76&lt;1,1,IF(J76=1,2,IF(J76&gt;=2,3)))</f>
        <v>1542</v>
      </c>
      <c r="AC76" s="24">
        <f>INT(AB76*IF(J76&gt;=3,1.5,1.15))</f>
        <v>1773</v>
      </c>
      <c r="AD76" s="24">
        <f>INT(IF(J76&gt;=3,X76,W76)*IF(J76&lt;1,1,IF(J76=1,2,IF(J76&gt;=2,3,1)))*1.15)</f>
        <v>1773</v>
      </c>
      <c r="AE76" s="24">
        <f>INT(IF(J76=3,Z76*3,AB76)*1.15)</f>
        <v>1773</v>
      </c>
      <c r="AF76" s="24">
        <f>INT(W76*IF(J76=0,1,IF(J76&gt;=2,1.5,1)*IF(J76&gt;=3,1.5,1.15)))</f>
        <v>886</v>
      </c>
      <c r="AG76" s="21">
        <f>MAX(A76:AF76)</f>
        <v>1773</v>
      </c>
      <c r="AH76" s="9" t="s">
        <v>132</v>
      </c>
      <c r="AI76" s="9" t="s">
        <v>134</v>
      </c>
      <c r="AJ76" s="9" t="s">
        <v>139</v>
      </c>
    </row>
    <row r="77" spans="1:36" ht="15.75" thickBot="1" x14ac:dyDescent="0.3">
      <c r="A77" s="3" t="s">
        <v>87</v>
      </c>
      <c r="B77" s="4">
        <v>297</v>
      </c>
      <c r="C77" s="4">
        <v>75</v>
      </c>
      <c r="D77" s="4">
        <v>75</v>
      </c>
      <c r="E77" s="4">
        <v>110</v>
      </c>
      <c r="F77" s="4">
        <v>297</v>
      </c>
      <c r="G77" s="4">
        <v>110</v>
      </c>
      <c r="H77" s="4">
        <v>110</v>
      </c>
      <c r="I77" s="4">
        <v>660</v>
      </c>
      <c r="J77" s="4">
        <v>1</v>
      </c>
      <c r="K77" s="15"/>
      <c r="L77" s="15"/>
      <c r="M77" s="6"/>
      <c r="N77" s="5" t="s">
        <v>17</v>
      </c>
      <c r="O77" s="14" t="s">
        <v>146</v>
      </c>
      <c r="P77" s="14">
        <v>0</v>
      </c>
      <c r="Q77" s="14">
        <v>0</v>
      </c>
      <c r="R77" s="5" t="s">
        <v>17</v>
      </c>
      <c r="S77" s="4"/>
      <c r="T77" s="33">
        <f>P77+Q77+B77</f>
        <v>297</v>
      </c>
      <c r="U77" s="26">
        <f>(C77+(H77/2))/16</f>
        <v>8.125</v>
      </c>
      <c r="V77" s="26">
        <f>U77*IF(J77&gt;=1,1.5,1)</f>
        <v>12.1875</v>
      </c>
      <c r="W77" s="19">
        <f>INT(T77*IF(R77="",1.5,VLOOKUP(R77,$AL$2:$AM$10,2,FALSE))*(U77*2+100)/100)</f>
        <v>345</v>
      </c>
      <c r="X77" s="22">
        <f>INT(T77*IF(R77="",1.5,VLOOKUP(R77,$AL$2:$AM$10,2,FALSE))*(U77*3+100)/100)</f>
        <v>369</v>
      </c>
      <c r="Y77" s="29">
        <f>INT((T77+IF(J77&gt;=1,F77/4,0)))</f>
        <v>371</v>
      </c>
      <c r="Z77" s="29">
        <f>INT(Y77*(U77*2+100)/100)</f>
        <v>431</v>
      </c>
      <c r="AA77" s="30">
        <f>Z77/W77</f>
        <v>1.2492753623188406</v>
      </c>
      <c r="AB77" s="24">
        <f>W77*IF(J77&lt;1,1,IF(J77=1,2,IF(J77&gt;=2,3)))</f>
        <v>690</v>
      </c>
      <c r="AC77" s="24">
        <f>INT(AB77*IF(J77&gt;=3,1.5,1.15))</f>
        <v>793</v>
      </c>
      <c r="AD77" s="24">
        <f>INT(IF(J77&gt;=3,X77,W77)*IF(J77&lt;1,1,IF(J77=1,2,IF(J77&gt;=2,3,1)))*1.15)</f>
        <v>793</v>
      </c>
      <c r="AE77" s="24">
        <f>INT(IF(J77=3,Z77*3,AB77)*1.15)</f>
        <v>793</v>
      </c>
      <c r="AF77" s="24">
        <f>INT(W77*IF(J77=0,1,IF(J77&gt;=2,1.5,1)*IF(J77&gt;=3,1.5,1.15)))</f>
        <v>396</v>
      </c>
      <c r="AG77" s="21">
        <f>MAX(A77:AF77)</f>
        <v>793</v>
      </c>
      <c r="AH77" s="9" t="s">
        <v>139</v>
      </c>
      <c r="AI77" s="9" t="s">
        <v>139</v>
      </c>
      <c r="AJ77" s="9" t="s">
        <v>140</v>
      </c>
    </row>
    <row r="78" spans="1:36" ht="15.75" thickBot="1" x14ac:dyDescent="0.3">
      <c r="A78" s="3" t="s">
        <v>92</v>
      </c>
      <c r="B78" s="4">
        <v>150</v>
      </c>
      <c r="C78" s="4">
        <v>135</v>
      </c>
      <c r="D78" s="4">
        <v>75</v>
      </c>
      <c r="E78" s="4">
        <v>110</v>
      </c>
      <c r="F78" s="4">
        <v>195</v>
      </c>
      <c r="G78" s="4">
        <v>195</v>
      </c>
      <c r="H78" s="4">
        <v>75</v>
      </c>
      <c r="I78" s="4">
        <v>850</v>
      </c>
      <c r="J78" s="4">
        <v>1</v>
      </c>
      <c r="K78" s="15"/>
      <c r="L78" s="6"/>
      <c r="M78" s="13" t="s">
        <v>169</v>
      </c>
      <c r="N78" s="4"/>
      <c r="O78" s="14" t="s">
        <v>154</v>
      </c>
      <c r="P78" s="14">
        <v>135</v>
      </c>
      <c r="Q78" s="8">
        <v>79</v>
      </c>
      <c r="R78" s="4"/>
      <c r="S78" s="4" t="s">
        <v>74</v>
      </c>
      <c r="T78" s="33">
        <f>P78+Q78+B78</f>
        <v>364</v>
      </c>
      <c r="U78" s="26">
        <f>(C78+(H78/2))/16</f>
        <v>10.78125</v>
      </c>
      <c r="V78" s="26">
        <f>U78*IF(J78&gt;=1,1.5,1)</f>
        <v>16.171875</v>
      </c>
      <c r="W78" s="19">
        <f>INT(T78*IF(R78="",1.5,VLOOKUP(R78,$AL$2:$AM$10,2,FALSE))*(U78*2+100)/100)</f>
        <v>663</v>
      </c>
      <c r="X78" s="22">
        <f>INT(T78*IF(R78="",1.5,VLOOKUP(R78,$AL$2:$AM$10,2,FALSE))*(U78*3+100)/100)</f>
        <v>722</v>
      </c>
      <c r="Y78" s="29">
        <f>INT((T78+IF(J78&gt;=1,F78/4,0)))</f>
        <v>412</v>
      </c>
      <c r="Z78" s="29">
        <f>INT(Y78*(U78*2+100)/100)</f>
        <v>500</v>
      </c>
      <c r="AA78" s="30">
        <f>Z78/W78</f>
        <v>0.75414781297134237</v>
      </c>
      <c r="AB78" s="24">
        <f>W78*IF(J78&lt;1,1,IF(J78=1,2,IF(J78&gt;=2,3)))</f>
        <v>1326</v>
      </c>
      <c r="AC78" s="24">
        <f>INT(AB78*IF(J78&gt;=3,1.5,1.15))</f>
        <v>1524</v>
      </c>
      <c r="AD78" s="24">
        <f>INT(IF(J78&gt;=3,X78,W78)*IF(J78&lt;1,1,IF(J78=1,2,IF(J78&gt;=2,3,1)))*1.15)</f>
        <v>1524</v>
      </c>
      <c r="AE78" s="24">
        <f>INT(IF(J78=3,Z78*3,AB78)*1.15)</f>
        <v>1524</v>
      </c>
      <c r="AF78" s="24">
        <f>INT(W78*IF(J78=0,1,IF(J78&gt;=2,1.5,1)*IF(J78&gt;=3,1.5,1.15)))</f>
        <v>762</v>
      </c>
      <c r="AG78" s="21">
        <f>MAX(A78:AF78)</f>
        <v>1524</v>
      </c>
      <c r="AH78" s="9" t="s">
        <v>136</v>
      </c>
      <c r="AI78" s="9" t="s">
        <v>137</v>
      </c>
      <c r="AJ78" s="9" t="s">
        <v>140</v>
      </c>
    </row>
    <row r="79" spans="1:36" ht="15.75" thickBot="1" x14ac:dyDescent="0.3">
      <c r="A79" s="3" t="s">
        <v>120</v>
      </c>
      <c r="B79" s="4">
        <v>190</v>
      </c>
      <c r="C79" s="4">
        <v>135</v>
      </c>
      <c r="D79" s="4">
        <v>75</v>
      </c>
      <c r="E79" s="4">
        <v>135</v>
      </c>
      <c r="F79" s="4">
        <v>195</v>
      </c>
      <c r="G79" s="4">
        <v>135</v>
      </c>
      <c r="H79" s="4">
        <v>150</v>
      </c>
      <c r="I79" s="4">
        <v>780</v>
      </c>
      <c r="J79" s="4">
        <v>2</v>
      </c>
      <c r="K79" s="15"/>
      <c r="L79" s="6"/>
      <c r="M79" s="6"/>
      <c r="N79" s="4"/>
      <c r="O79" s="14" t="s">
        <v>176</v>
      </c>
      <c r="P79" s="14">
        <v>170</v>
      </c>
      <c r="Q79" s="8">
        <v>75</v>
      </c>
      <c r="R79" s="4"/>
      <c r="S79" s="4" t="s">
        <v>35</v>
      </c>
      <c r="T79" s="33">
        <f>P79+Q79+B79</f>
        <v>435</v>
      </c>
      <c r="U79" s="26">
        <f>(C79+(H79/2))/16</f>
        <v>13.125</v>
      </c>
      <c r="V79" s="26">
        <f>U79*IF(J79&gt;=1,1.5,1)</f>
        <v>19.6875</v>
      </c>
      <c r="W79" s="19">
        <f>INT(T79*IF(R79="",1.5,VLOOKUP(R79,$AL$2:$AM$10,2,FALSE))*(U79*2+100)/100)</f>
        <v>823</v>
      </c>
      <c r="X79" s="22">
        <f>INT(T79*IF(R79="",1.5,VLOOKUP(R79,$AL$2:$AM$10,2,FALSE))*(U79*3+100)/100)</f>
        <v>909</v>
      </c>
      <c r="Y79" s="29">
        <f>INT((T79+IF(J79&gt;=1,F79/4,0)))</f>
        <v>483</v>
      </c>
      <c r="Z79" s="29">
        <f>INT(Y79*(U79*2+100)/100)</f>
        <v>609</v>
      </c>
      <c r="AA79" s="30">
        <f>Z79/W79</f>
        <v>0.7399756986634265</v>
      </c>
      <c r="AB79" s="24">
        <f>W79*IF(J79&lt;1,1,IF(J79=1,2,IF(J79&gt;=2,3)))</f>
        <v>2469</v>
      </c>
      <c r="AC79" s="24">
        <f>INT(AB79*IF(J79&gt;=3,1.5,1.15))</f>
        <v>2839</v>
      </c>
      <c r="AD79" s="24">
        <f>INT(IF(J79&gt;=3,X79,W79)*IF(J79&lt;1,1,IF(J79=1,2,IF(J79&gt;=2,3,1)))*1.15)</f>
        <v>2839</v>
      </c>
      <c r="AE79" s="24">
        <f>INT(IF(J79=3,Z79*3,AB79)*1.15)</f>
        <v>2839</v>
      </c>
      <c r="AF79" s="24">
        <f>INT(W79*IF(J79=0,1,IF(J79&gt;=2,1.5,1)*IF(J79&gt;=3,1.5,1.15)))</f>
        <v>1419</v>
      </c>
      <c r="AG79" s="21">
        <f>MAX(A79:AF79)</f>
        <v>2839</v>
      </c>
      <c r="AH79" s="9" t="s">
        <v>133</v>
      </c>
      <c r="AI79" s="9" t="s">
        <v>133</v>
      </c>
      <c r="AJ79" s="9" t="s">
        <v>136</v>
      </c>
    </row>
    <row r="80" spans="1:36" ht="15.75" thickBot="1" x14ac:dyDescent="0.3">
      <c r="A80" s="3" t="s">
        <v>27</v>
      </c>
      <c r="B80" s="4">
        <v>195</v>
      </c>
      <c r="C80" s="4">
        <v>95</v>
      </c>
      <c r="D80" s="4">
        <v>60</v>
      </c>
      <c r="E80" s="4">
        <v>75</v>
      </c>
      <c r="F80" s="4">
        <v>150</v>
      </c>
      <c r="G80" s="4">
        <v>110</v>
      </c>
      <c r="H80" s="4">
        <v>175</v>
      </c>
      <c r="I80" s="4">
        <v>780</v>
      </c>
      <c r="J80" s="4">
        <v>0</v>
      </c>
      <c r="K80" s="15"/>
      <c r="L80" s="13" t="s">
        <v>153</v>
      </c>
      <c r="M80" s="15"/>
      <c r="N80" s="4"/>
      <c r="O80" s="14" t="s">
        <v>154</v>
      </c>
      <c r="P80" s="14">
        <v>135</v>
      </c>
      <c r="Q80" s="8">
        <v>79</v>
      </c>
      <c r="R80" s="4"/>
      <c r="S80" s="4" t="s">
        <v>28</v>
      </c>
      <c r="T80" s="33">
        <f>P80+Q80+B80</f>
        <v>409</v>
      </c>
      <c r="U80" s="26">
        <f>(C80+(H80/2))/16</f>
        <v>11.40625</v>
      </c>
      <c r="V80" s="26">
        <f>U80*IF(J80&gt;=1,1.5,1)</f>
        <v>11.40625</v>
      </c>
      <c r="W80" s="19">
        <f>INT(T80*IF(R80="",1.5,VLOOKUP(R80,$AL$2:$AM$10,2,FALSE))*(U80*2+100)/100)</f>
        <v>753</v>
      </c>
      <c r="X80" s="22">
        <f>INT(T80*IF(R80="",1.5,VLOOKUP(R80,$AL$2:$AM$10,2,FALSE))*(U80*3+100)/100)</f>
        <v>823</v>
      </c>
      <c r="Y80" s="29">
        <f>INT((T80+IF(J80&gt;=1,F80/4,0)))</f>
        <v>409</v>
      </c>
      <c r="Z80" s="29">
        <f>INT(Y80*(U80*2+100)/100)</f>
        <v>502</v>
      </c>
      <c r="AA80" s="30">
        <f>Z80/W80</f>
        <v>0.66666666666666663</v>
      </c>
      <c r="AB80" s="24">
        <f>W80*IF(J80&lt;1,1,IF(J80=1,2,IF(J80&gt;=2,3)))</f>
        <v>753</v>
      </c>
      <c r="AC80" s="24">
        <f>INT(AB80*IF(J80&gt;=3,1.5,1.15))</f>
        <v>865</v>
      </c>
      <c r="AD80" s="24">
        <f>INT(IF(J80&gt;=3,X80,W80)*IF(J80&lt;1,1,IF(J80=1,2,IF(J80&gt;=2,3,1)))*1.15)</f>
        <v>865</v>
      </c>
      <c r="AE80" s="24">
        <f>INT(IF(J80=3,Z80*3,AB80)*1.15)</f>
        <v>865</v>
      </c>
      <c r="AF80" s="24">
        <f>INT(W80*IF(J80=0,1,IF(J80&gt;=2,1.5,1)*IF(J80&gt;=3,1.5,1.15)))</f>
        <v>753</v>
      </c>
      <c r="AG80" s="21">
        <f>MAX(A80:AF80)</f>
        <v>865</v>
      </c>
      <c r="AH80" s="9" t="s">
        <v>132</v>
      </c>
      <c r="AI80" s="9" t="s">
        <v>139</v>
      </c>
      <c r="AJ80" s="9" t="s">
        <v>137</v>
      </c>
    </row>
    <row r="81" spans="1:36" ht="15.75" thickBot="1" x14ac:dyDescent="0.3">
      <c r="A81" s="3" t="s">
        <v>45</v>
      </c>
      <c r="B81" s="4">
        <v>297</v>
      </c>
      <c r="C81" s="4">
        <v>150</v>
      </c>
      <c r="D81" s="4">
        <v>60</v>
      </c>
      <c r="E81" s="4">
        <v>135</v>
      </c>
      <c r="F81" s="4">
        <v>429</v>
      </c>
      <c r="G81" s="4">
        <v>135</v>
      </c>
      <c r="H81" s="4">
        <v>110</v>
      </c>
      <c r="I81" s="4">
        <v>660</v>
      </c>
      <c r="J81" s="4">
        <v>0</v>
      </c>
      <c r="K81" s="15"/>
      <c r="L81" s="15"/>
      <c r="M81" s="15"/>
      <c r="N81" s="5" t="s">
        <v>17</v>
      </c>
      <c r="O81" s="14" t="s">
        <v>146</v>
      </c>
      <c r="P81" s="14">
        <v>0</v>
      </c>
      <c r="Q81" s="14">
        <v>0</v>
      </c>
      <c r="R81" s="5" t="s">
        <v>17</v>
      </c>
      <c r="S81" s="4"/>
      <c r="T81" s="33">
        <f>P81+Q81+B81</f>
        <v>297</v>
      </c>
      <c r="U81" s="26">
        <f>(C81+(H81/2))/16</f>
        <v>12.8125</v>
      </c>
      <c r="V81" s="26">
        <f>U81*IF(J81&gt;=1,1.5,1)</f>
        <v>12.8125</v>
      </c>
      <c r="W81" s="19">
        <f>INT(T81*IF(R81="",1.5,VLOOKUP(R81,$AL$2:$AM$10,2,FALSE))*(U81*2+100)/100)</f>
        <v>373</v>
      </c>
      <c r="X81" s="22">
        <f>INT(T81*IF(R81="",1.5,VLOOKUP(R81,$AL$2:$AM$10,2,FALSE))*(U81*3+100)/100)</f>
        <v>411</v>
      </c>
      <c r="Y81" s="29">
        <f>INT((T81+IF(J81&gt;=1,F81/4,0)))</f>
        <v>297</v>
      </c>
      <c r="Z81" s="29">
        <f>INT(Y81*(U81*2+100)/100)</f>
        <v>373</v>
      </c>
      <c r="AA81" s="30">
        <f>Z81/W81</f>
        <v>1</v>
      </c>
      <c r="AB81" s="24">
        <f>W81*IF(J81&lt;1,1,IF(J81=1,2,IF(J81&gt;=2,3)))</f>
        <v>373</v>
      </c>
      <c r="AC81" s="24">
        <f>INT(AB81*IF(J81&gt;=3,1.5,1.15))</f>
        <v>428</v>
      </c>
      <c r="AD81" s="24">
        <f>INT(IF(J81&gt;=3,X81,W81)*IF(J81&lt;1,1,IF(J81=1,2,IF(J81&gt;=2,3,1)))*1.15)</f>
        <v>428</v>
      </c>
      <c r="AE81" s="24">
        <f>INT(IF(J81=3,Z81*3,AB81)*1.15)</f>
        <v>428</v>
      </c>
      <c r="AF81" s="24">
        <f>INT(W81*IF(J81=0,1,IF(J81&gt;=2,1.5,1)*IF(J81&gt;=3,1.5,1.15)))</f>
        <v>373</v>
      </c>
      <c r="AG81" s="21">
        <f>MAX(A81:AF81)</f>
        <v>660</v>
      </c>
      <c r="AH81" s="9" t="s">
        <v>139</v>
      </c>
      <c r="AI81" s="9" t="s">
        <v>140</v>
      </c>
      <c r="AJ81" s="9" t="s">
        <v>137</v>
      </c>
    </row>
    <row r="82" spans="1:36" ht="15.75" thickBot="1" x14ac:dyDescent="0.3">
      <c r="A82" s="3" t="s">
        <v>50</v>
      </c>
      <c r="B82" s="4">
        <v>210</v>
      </c>
      <c r="C82" s="4">
        <v>195</v>
      </c>
      <c r="D82" s="4">
        <v>60</v>
      </c>
      <c r="E82" s="4">
        <v>175</v>
      </c>
      <c r="F82" s="4">
        <v>175</v>
      </c>
      <c r="G82" s="4">
        <v>60</v>
      </c>
      <c r="H82" s="4">
        <v>150</v>
      </c>
      <c r="I82" s="4">
        <v>780</v>
      </c>
      <c r="J82" s="4">
        <v>1</v>
      </c>
      <c r="K82" s="15"/>
      <c r="L82" s="6"/>
      <c r="M82" s="15"/>
      <c r="N82" s="4"/>
      <c r="O82" s="14" t="s">
        <v>159</v>
      </c>
      <c r="P82" s="14">
        <v>160</v>
      </c>
      <c r="Q82" s="8">
        <v>60</v>
      </c>
      <c r="R82" s="4"/>
      <c r="S82" s="4" t="s">
        <v>35</v>
      </c>
      <c r="T82" s="33">
        <f>P82+Q82+B82</f>
        <v>430</v>
      </c>
      <c r="U82" s="26">
        <f>(C82+(H82/2))/16</f>
        <v>16.875</v>
      </c>
      <c r="V82" s="26">
        <f>U82*IF(J82&gt;=1,1.5,1)</f>
        <v>25.3125</v>
      </c>
      <c r="W82" s="19">
        <f>INT(T82*IF(R82="",1.5,VLOOKUP(R82,$AL$2:$AM$10,2,FALSE))*(U82*2+100)/100)</f>
        <v>862</v>
      </c>
      <c r="X82" s="22">
        <f>INT(T82*IF(R82="",1.5,VLOOKUP(R82,$AL$2:$AM$10,2,FALSE))*(U82*3+100)/100)</f>
        <v>971</v>
      </c>
      <c r="Y82" s="29">
        <f>INT((T82+IF(J82&gt;=1,F82/4,0)))</f>
        <v>473</v>
      </c>
      <c r="Z82" s="29">
        <f>INT(Y82*(U82*2+100)/100)</f>
        <v>632</v>
      </c>
      <c r="AA82" s="30">
        <f>Z82/W82</f>
        <v>0.73317865429234341</v>
      </c>
      <c r="AB82" s="24">
        <f>W82*IF(J82&lt;1,1,IF(J82=1,2,IF(J82&gt;=2,3)))</f>
        <v>1724</v>
      </c>
      <c r="AC82" s="24">
        <f>INT(AB82*IF(J82&gt;=3,1.5,1.15))</f>
        <v>1982</v>
      </c>
      <c r="AD82" s="24">
        <f>INT(IF(J82&gt;=3,X82,W82)*IF(J82&lt;1,1,IF(J82=1,2,IF(J82&gt;=2,3,1)))*1.15)</f>
        <v>1982</v>
      </c>
      <c r="AE82" s="24">
        <f>INT(IF(J82=3,Z82*3,AB82)*1.15)</f>
        <v>1982</v>
      </c>
      <c r="AF82" s="24">
        <f>INT(W82*IF(J82=0,1,IF(J82&gt;=2,1.5,1)*IF(J82&gt;=3,1.5,1.15)))</f>
        <v>991</v>
      </c>
      <c r="AG82" s="21">
        <f>MAX(A82:AF82)</f>
        <v>1982</v>
      </c>
      <c r="AH82" s="9" t="s">
        <v>131</v>
      </c>
      <c r="AI82" s="9" t="s">
        <v>134</v>
      </c>
      <c r="AJ82" s="9" t="s">
        <v>132</v>
      </c>
    </row>
  </sheetData>
  <autoFilter ref="A1:AJ1">
    <sortState ref="A2:AJ82">
      <sortCondition descending="1" ref="D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V92"/>
  <sheetViews>
    <sheetView tabSelected="1" topLeftCell="B25" workbookViewId="0">
      <selection activeCell="N45" sqref="N45"/>
    </sheetView>
  </sheetViews>
  <sheetFormatPr defaultRowHeight="15" x14ac:dyDescent="0.25"/>
  <sheetData>
    <row r="6" spans="3:18" ht="15.75" thickBot="1" x14ac:dyDescent="0.3"/>
    <row r="7" spans="3:18" ht="15.75" thickBot="1" x14ac:dyDescent="0.3">
      <c r="C7" s="1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M7" s="35" t="s">
        <v>192</v>
      </c>
      <c r="N7" s="35" t="s">
        <v>193</v>
      </c>
      <c r="O7" s="35" t="s">
        <v>205</v>
      </c>
      <c r="P7" s="35" t="s">
        <v>13</v>
      </c>
      <c r="Q7" s="35" t="s">
        <v>194</v>
      </c>
      <c r="R7" s="35" t="s">
        <v>195</v>
      </c>
    </row>
    <row r="8" spans="3:18" ht="15.75" thickBot="1" x14ac:dyDescent="0.3">
      <c r="C8" s="3" t="s">
        <v>36</v>
      </c>
      <c r="D8" s="4">
        <v>135</v>
      </c>
      <c r="E8" s="4">
        <v>150</v>
      </c>
      <c r="F8" s="4">
        <v>135</v>
      </c>
      <c r="G8" s="4">
        <v>150</v>
      </c>
      <c r="H8" s="4">
        <v>135</v>
      </c>
      <c r="I8" s="4">
        <v>150</v>
      </c>
      <c r="J8" s="4">
        <v>135</v>
      </c>
      <c r="K8" s="4">
        <v>660</v>
      </c>
      <c r="M8">
        <f>SUM(D8:J8)+K8/4</f>
        <v>1155</v>
      </c>
      <c r="N8">
        <f>SUM(J8,I8,H8,G8,E8)+K8/4</f>
        <v>885</v>
      </c>
      <c r="O8">
        <f>E8+G8+J8</f>
        <v>435</v>
      </c>
      <c r="P8">
        <f t="shared" ref="P8:P21" si="0">SUM(G8,J8)/32</f>
        <v>8.90625</v>
      </c>
      <c r="Q8">
        <f t="shared" ref="Q8:Q21" si="1">SUM(G8,J8)</f>
        <v>285</v>
      </c>
      <c r="R8">
        <f t="shared" ref="R8:R21" si="2">K8/4+I8+H8</f>
        <v>450</v>
      </c>
    </row>
    <row r="9" spans="3:18" ht="15.75" thickBot="1" x14ac:dyDescent="0.3">
      <c r="C9" s="3" t="s">
        <v>97</v>
      </c>
      <c r="D9" s="4">
        <v>110</v>
      </c>
      <c r="E9" s="4">
        <v>135</v>
      </c>
      <c r="F9" s="4">
        <v>175</v>
      </c>
      <c r="G9" s="4">
        <v>135</v>
      </c>
      <c r="H9" s="4">
        <v>110</v>
      </c>
      <c r="I9" s="4">
        <v>175</v>
      </c>
      <c r="J9" s="4">
        <v>135</v>
      </c>
      <c r="K9" s="4">
        <v>600</v>
      </c>
      <c r="M9">
        <f t="shared" ref="M9:M12" si="3">SUM(D9:J9)+K9/4</f>
        <v>1125</v>
      </c>
      <c r="N9">
        <f t="shared" ref="N9:N12" si="4">SUM(J9,I9,H9,G9,E9)+K9/4</f>
        <v>840</v>
      </c>
      <c r="O9">
        <f t="shared" ref="O9:O21" si="5">E9+G9+J9</f>
        <v>405</v>
      </c>
      <c r="P9">
        <f t="shared" si="0"/>
        <v>8.4375</v>
      </c>
      <c r="Q9">
        <f t="shared" si="1"/>
        <v>270</v>
      </c>
      <c r="R9">
        <f t="shared" si="2"/>
        <v>435</v>
      </c>
    </row>
    <row r="10" spans="3:18" ht="15.75" thickBot="1" x14ac:dyDescent="0.3">
      <c r="C10" s="3" t="s">
        <v>116</v>
      </c>
      <c r="D10" s="4">
        <v>135</v>
      </c>
      <c r="E10" s="4">
        <v>195</v>
      </c>
      <c r="F10" s="4">
        <v>110</v>
      </c>
      <c r="G10" s="4">
        <v>135</v>
      </c>
      <c r="H10" s="4">
        <v>150</v>
      </c>
      <c r="I10" s="4">
        <v>135</v>
      </c>
      <c r="J10" s="4">
        <v>175</v>
      </c>
      <c r="K10" s="4">
        <v>660</v>
      </c>
      <c r="M10">
        <f t="shared" si="3"/>
        <v>1200</v>
      </c>
      <c r="N10">
        <f t="shared" si="4"/>
        <v>955</v>
      </c>
      <c r="O10">
        <f t="shared" si="5"/>
        <v>505</v>
      </c>
      <c r="P10">
        <f t="shared" si="0"/>
        <v>9.6875</v>
      </c>
      <c r="Q10">
        <f t="shared" si="1"/>
        <v>310</v>
      </c>
      <c r="R10">
        <f t="shared" si="2"/>
        <v>450</v>
      </c>
    </row>
    <row r="11" spans="3:18" ht="15.75" thickBot="1" x14ac:dyDescent="0.3">
      <c r="C11" s="3" t="s">
        <v>90</v>
      </c>
      <c r="D11" s="4">
        <v>135</v>
      </c>
      <c r="E11" s="4">
        <v>175</v>
      </c>
      <c r="F11" s="4">
        <v>110</v>
      </c>
      <c r="G11" s="4">
        <v>195</v>
      </c>
      <c r="H11" s="4">
        <v>135</v>
      </c>
      <c r="I11" s="4">
        <v>150</v>
      </c>
      <c r="J11" s="4">
        <v>150</v>
      </c>
      <c r="K11" s="4">
        <v>600</v>
      </c>
      <c r="M11">
        <f t="shared" si="3"/>
        <v>1200</v>
      </c>
      <c r="N11">
        <f t="shared" si="4"/>
        <v>955</v>
      </c>
      <c r="O11">
        <f t="shared" si="5"/>
        <v>520</v>
      </c>
      <c r="P11">
        <f t="shared" si="0"/>
        <v>10.78125</v>
      </c>
      <c r="Q11">
        <f t="shared" si="1"/>
        <v>345</v>
      </c>
      <c r="R11">
        <f t="shared" si="2"/>
        <v>435</v>
      </c>
    </row>
    <row r="12" spans="3:18" ht="15.75" thickBot="1" x14ac:dyDescent="0.3">
      <c r="C12" s="3" t="s">
        <v>31</v>
      </c>
      <c r="D12" s="4">
        <v>135</v>
      </c>
      <c r="E12" s="4">
        <v>135</v>
      </c>
      <c r="F12" s="4">
        <v>110</v>
      </c>
      <c r="G12" s="4">
        <v>150</v>
      </c>
      <c r="H12" s="4">
        <v>135</v>
      </c>
      <c r="I12" s="4">
        <v>175</v>
      </c>
      <c r="J12" s="4">
        <v>175</v>
      </c>
      <c r="K12" s="4">
        <v>600</v>
      </c>
      <c r="M12">
        <f t="shared" si="3"/>
        <v>1165</v>
      </c>
      <c r="N12">
        <f t="shared" si="4"/>
        <v>920</v>
      </c>
      <c r="O12">
        <f t="shared" si="5"/>
        <v>460</v>
      </c>
      <c r="P12">
        <f t="shared" si="0"/>
        <v>10.15625</v>
      </c>
      <c r="Q12">
        <f t="shared" si="1"/>
        <v>325</v>
      </c>
      <c r="R12">
        <f t="shared" si="2"/>
        <v>460</v>
      </c>
    </row>
    <row r="13" spans="3:18" ht="15.75" thickBot="1" x14ac:dyDescent="0.3">
      <c r="C13" s="3" t="s">
        <v>101</v>
      </c>
      <c r="D13" s="4">
        <v>150</v>
      </c>
      <c r="E13" s="4">
        <v>150</v>
      </c>
      <c r="F13" s="4">
        <v>135</v>
      </c>
      <c r="G13" s="4">
        <v>135</v>
      </c>
      <c r="H13" s="4">
        <v>135</v>
      </c>
      <c r="I13" s="4">
        <v>150</v>
      </c>
      <c r="J13" s="4">
        <v>135</v>
      </c>
      <c r="K13" s="4">
        <v>660</v>
      </c>
      <c r="M13">
        <f t="shared" ref="M13" si="6">SUM(D13:J13)+K13/4</f>
        <v>1155</v>
      </c>
      <c r="N13">
        <f t="shared" ref="N13" si="7">SUM(J13,I13,H13,G13,E13)+K13/4</f>
        <v>870</v>
      </c>
      <c r="O13">
        <f t="shared" si="5"/>
        <v>420</v>
      </c>
      <c r="P13">
        <f t="shared" si="0"/>
        <v>8.4375</v>
      </c>
      <c r="Q13">
        <f t="shared" si="1"/>
        <v>270</v>
      </c>
      <c r="R13">
        <f t="shared" si="2"/>
        <v>450</v>
      </c>
    </row>
    <row r="14" spans="3:18" ht="15.75" thickBot="1" x14ac:dyDescent="0.3">
      <c r="C14" s="3" t="s">
        <v>70</v>
      </c>
      <c r="D14" s="4">
        <v>135</v>
      </c>
      <c r="E14" s="4">
        <v>175</v>
      </c>
      <c r="F14" s="4">
        <v>110</v>
      </c>
      <c r="G14" s="4">
        <v>150</v>
      </c>
      <c r="H14" s="4">
        <v>135</v>
      </c>
      <c r="I14" s="4">
        <v>150</v>
      </c>
      <c r="J14" s="4">
        <v>150</v>
      </c>
      <c r="K14" s="4">
        <v>660</v>
      </c>
      <c r="M14">
        <f t="shared" ref="M14" si="8">SUM(D14:J14)+K14/4</f>
        <v>1170</v>
      </c>
      <c r="N14">
        <f t="shared" ref="N14" si="9">SUM(J14,I14,H14,G14,E14)+K14/4</f>
        <v>925</v>
      </c>
      <c r="O14">
        <f t="shared" si="5"/>
        <v>475</v>
      </c>
      <c r="P14">
        <f t="shared" si="0"/>
        <v>9.375</v>
      </c>
      <c r="Q14">
        <f t="shared" si="1"/>
        <v>300</v>
      </c>
      <c r="R14">
        <f t="shared" si="2"/>
        <v>450</v>
      </c>
    </row>
    <row r="15" spans="3:18" ht="15.75" thickBot="1" x14ac:dyDescent="0.3">
      <c r="C15" s="3" t="s">
        <v>111</v>
      </c>
      <c r="D15" s="4">
        <v>135</v>
      </c>
      <c r="E15" s="4">
        <v>150</v>
      </c>
      <c r="F15" s="4">
        <v>110</v>
      </c>
      <c r="G15" s="4">
        <v>210</v>
      </c>
      <c r="H15" s="4">
        <v>110</v>
      </c>
      <c r="I15" s="4">
        <v>150</v>
      </c>
      <c r="J15" s="4">
        <v>110</v>
      </c>
      <c r="K15" s="4">
        <v>660</v>
      </c>
      <c r="M15">
        <f t="shared" ref="M15" si="10">SUM(D15:J15)+K15/4</f>
        <v>1140</v>
      </c>
      <c r="N15">
        <f t="shared" ref="N15" si="11">SUM(J15,I15,H15,G15,E15)+K15/4</f>
        <v>895</v>
      </c>
      <c r="O15">
        <f t="shared" si="5"/>
        <v>470</v>
      </c>
      <c r="P15">
        <f t="shared" si="0"/>
        <v>10</v>
      </c>
      <c r="Q15">
        <f t="shared" si="1"/>
        <v>320</v>
      </c>
      <c r="R15">
        <f t="shared" si="2"/>
        <v>425</v>
      </c>
    </row>
    <row r="16" spans="3:18" ht="15.75" thickBot="1" x14ac:dyDescent="0.3">
      <c r="C16" s="3" t="s">
        <v>38</v>
      </c>
      <c r="D16" s="4">
        <v>175</v>
      </c>
      <c r="E16" s="4">
        <v>175</v>
      </c>
      <c r="F16" s="4">
        <v>175</v>
      </c>
      <c r="G16" s="4">
        <v>150</v>
      </c>
      <c r="H16" s="4">
        <v>150</v>
      </c>
      <c r="I16" s="4">
        <v>135</v>
      </c>
      <c r="J16" s="4">
        <v>95</v>
      </c>
      <c r="K16" s="4">
        <v>720</v>
      </c>
      <c r="M16">
        <f t="shared" ref="M16:M21" si="12">SUM(D16:J16)+K16/4</f>
        <v>1235</v>
      </c>
      <c r="N16">
        <f t="shared" ref="N16:N21" si="13">SUM(J16,I16,H16,G16,E16)+K16/4</f>
        <v>885</v>
      </c>
      <c r="O16">
        <f t="shared" si="5"/>
        <v>420</v>
      </c>
      <c r="P16">
        <f t="shared" si="0"/>
        <v>7.65625</v>
      </c>
      <c r="Q16">
        <f t="shared" si="1"/>
        <v>245</v>
      </c>
      <c r="R16">
        <f t="shared" si="2"/>
        <v>465</v>
      </c>
    </row>
    <row r="17" spans="2:18" ht="15.75" thickBot="1" x14ac:dyDescent="0.3">
      <c r="C17" s="3" t="s">
        <v>75</v>
      </c>
      <c r="D17" s="4">
        <v>135</v>
      </c>
      <c r="E17" s="4">
        <v>175</v>
      </c>
      <c r="F17" s="4">
        <v>135</v>
      </c>
      <c r="G17" s="4">
        <v>150</v>
      </c>
      <c r="H17" s="4">
        <v>135</v>
      </c>
      <c r="I17" s="4">
        <v>175</v>
      </c>
      <c r="J17" s="4">
        <v>135</v>
      </c>
      <c r="K17" s="4">
        <v>660</v>
      </c>
      <c r="M17">
        <f t="shared" si="12"/>
        <v>1205</v>
      </c>
      <c r="N17">
        <f t="shared" si="13"/>
        <v>935</v>
      </c>
      <c r="O17">
        <f t="shared" si="5"/>
        <v>460</v>
      </c>
      <c r="P17">
        <f t="shared" si="0"/>
        <v>8.90625</v>
      </c>
      <c r="Q17">
        <f t="shared" si="1"/>
        <v>285</v>
      </c>
      <c r="R17">
        <f t="shared" si="2"/>
        <v>475</v>
      </c>
    </row>
    <row r="18" spans="2:18" ht="15.75" thickBot="1" x14ac:dyDescent="0.3">
      <c r="C18" s="3" t="s">
        <v>86</v>
      </c>
      <c r="D18" s="4">
        <v>95</v>
      </c>
      <c r="E18" s="4">
        <v>110</v>
      </c>
      <c r="F18" s="4">
        <v>135</v>
      </c>
      <c r="G18" s="4">
        <v>135</v>
      </c>
      <c r="H18" s="4">
        <v>110</v>
      </c>
      <c r="I18" s="4">
        <v>175</v>
      </c>
      <c r="J18" s="4">
        <v>195</v>
      </c>
      <c r="K18" s="4">
        <v>600</v>
      </c>
      <c r="M18">
        <f t="shared" si="12"/>
        <v>1105</v>
      </c>
      <c r="N18">
        <f t="shared" si="13"/>
        <v>875</v>
      </c>
      <c r="O18">
        <f t="shared" si="5"/>
        <v>440</v>
      </c>
      <c r="P18">
        <f t="shared" si="0"/>
        <v>10.3125</v>
      </c>
      <c r="Q18">
        <f t="shared" si="1"/>
        <v>330</v>
      </c>
      <c r="R18">
        <f t="shared" si="2"/>
        <v>435</v>
      </c>
    </row>
    <row r="19" spans="2:18" ht="15.75" thickBot="1" x14ac:dyDescent="0.3">
      <c r="C19" s="3" t="s">
        <v>91</v>
      </c>
      <c r="D19" s="4">
        <v>135</v>
      </c>
      <c r="E19" s="4">
        <v>110</v>
      </c>
      <c r="F19" s="4">
        <v>150</v>
      </c>
      <c r="G19" s="4">
        <v>135</v>
      </c>
      <c r="H19" s="4">
        <v>135</v>
      </c>
      <c r="I19" s="4">
        <v>175</v>
      </c>
      <c r="J19" s="4">
        <v>135</v>
      </c>
      <c r="K19" s="4">
        <v>660</v>
      </c>
      <c r="M19">
        <f t="shared" si="12"/>
        <v>1140</v>
      </c>
      <c r="N19">
        <f t="shared" si="13"/>
        <v>855</v>
      </c>
      <c r="O19">
        <f t="shared" si="5"/>
        <v>380</v>
      </c>
      <c r="P19">
        <f t="shared" si="0"/>
        <v>8.4375</v>
      </c>
      <c r="Q19">
        <f t="shared" si="1"/>
        <v>270</v>
      </c>
      <c r="R19">
        <f t="shared" si="2"/>
        <v>475</v>
      </c>
    </row>
    <row r="20" spans="2:18" ht="15.75" thickBot="1" x14ac:dyDescent="0.3">
      <c r="C20" s="3" t="s">
        <v>120</v>
      </c>
      <c r="D20" s="4">
        <v>190</v>
      </c>
      <c r="E20" s="4">
        <v>135</v>
      </c>
      <c r="F20" s="4">
        <v>75</v>
      </c>
      <c r="G20" s="4">
        <v>135</v>
      </c>
      <c r="H20" s="4">
        <v>195</v>
      </c>
      <c r="I20" s="4">
        <v>135</v>
      </c>
      <c r="J20" s="4">
        <v>150</v>
      </c>
      <c r="K20" s="4">
        <v>780</v>
      </c>
      <c r="M20">
        <f t="shared" si="12"/>
        <v>1210</v>
      </c>
      <c r="N20">
        <f t="shared" si="13"/>
        <v>945</v>
      </c>
      <c r="O20">
        <f t="shared" si="5"/>
        <v>420</v>
      </c>
      <c r="P20">
        <f t="shared" si="0"/>
        <v>8.90625</v>
      </c>
      <c r="Q20">
        <f t="shared" si="1"/>
        <v>285</v>
      </c>
      <c r="R20">
        <f t="shared" si="2"/>
        <v>525</v>
      </c>
    </row>
    <row r="21" spans="2:18" ht="15.75" thickBot="1" x14ac:dyDescent="0.3">
      <c r="C21" s="3" t="s">
        <v>124</v>
      </c>
      <c r="D21" s="4">
        <v>110</v>
      </c>
      <c r="E21" s="4">
        <v>135</v>
      </c>
      <c r="F21" s="4">
        <v>135</v>
      </c>
      <c r="G21" s="4">
        <v>135</v>
      </c>
      <c r="H21" s="4">
        <v>110</v>
      </c>
      <c r="I21" s="4">
        <v>135</v>
      </c>
      <c r="J21" s="4">
        <v>150</v>
      </c>
      <c r="K21" s="4">
        <v>660</v>
      </c>
      <c r="M21">
        <f t="shared" si="12"/>
        <v>1075</v>
      </c>
      <c r="N21">
        <f t="shared" si="13"/>
        <v>830</v>
      </c>
      <c r="O21">
        <f t="shared" si="5"/>
        <v>420</v>
      </c>
      <c r="P21">
        <f t="shared" si="0"/>
        <v>8.90625</v>
      </c>
      <c r="Q21">
        <f t="shared" si="1"/>
        <v>285</v>
      </c>
      <c r="R21">
        <f t="shared" si="2"/>
        <v>410</v>
      </c>
    </row>
    <row r="25" spans="2:18" x14ac:dyDescent="0.25">
      <c r="B25" t="s">
        <v>202</v>
      </c>
      <c r="E25" t="s">
        <v>196</v>
      </c>
      <c r="F25" t="s">
        <v>199</v>
      </c>
    </row>
    <row r="26" spans="2:18" x14ac:dyDescent="0.25">
      <c r="B26">
        <v>14</v>
      </c>
      <c r="D26" t="s">
        <v>197</v>
      </c>
      <c r="E26">
        <v>4</v>
      </c>
      <c r="F26">
        <v>3</v>
      </c>
    </row>
    <row r="27" spans="2:18" x14ac:dyDescent="0.25">
      <c r="D27" t="s">
        <v>198</v>
      </c>
      <c r="E27">
        <v>0.6</v>
      </c>
      <c r="F27">
        <v>0.6</v>
      </c>
    </row>
    <row r="30" spans="2:18" x14ac:dyDescent="0.25">
      <c r="D30" t="s">
        <v>203</v>
      </c>
      <c r="E30" t="s">
        <v>204</v>
      </c>
      <c r="F30" t="s">
        <v>200</v>
      </c>
      <c r="G30" t="s">
        <v>201</v>
      </c>
    </row>
    <row r="31" spans="2:18" x14ac:dyDescent="0.25">
      <c r="D31">
        <v>2</v>
      </c>
      <c r="E31">
        <f>B26+(1-$E$27)*($E$26-1)+$E$27*$E$26</f>
        <v>17.599999999999998</v>
      </c>
      <c r="F31">
        <f>B26+E26-1</f>
        <v>17</v>
      </c>
      <c r="G31">
        <f>B26+E26</f>
        <v>18</v>
      </c>
    </row>
    <row r="32" spans="2:18" x14ac:dyDescent="0.25">
      <c r="D32">
        <v>3</v>
      </c>
      <c r="E32">
        <f>E31+(1-$E$27)*($E$26-1)+$E$27*$E$26</f>
        <v>21.199999999999996</v>
      </c>
      <c r="F32">
        <f>F31+($E$26-1)</f>
        <v>20</v>
      </c>
      <c r="G32">
        <f>G31+$E$26</f>
        <v>22</v>
      </c>
    </row>
    <row r="33" spans="4:14" x14ac:dyDescent="0.25">
      <c r="D33">
        <v>4</v>
      </c>
      <c r="E33">
        <f t="shared" ref="E33:E47" si="14">E32+(1-$E$27)*($E$26-1)+$E$27*$E$26</f>
        <v>24.799999999999994</v>
      </c>
      <c r="F33">
        <f t="shared" ref="F33:F48" si="15">F32+($E$26-1)</f>
        <v>23</v>
      </c>
      <c r="G33">
        <f t="shared" ref="G33:G48" si="16">G32+$E$26</f>
        <v>26</v>
      </c>
    </row>
    <row r="34" spans="4:14" x14ac:dyDescent="0.25">
      <c r="D34">
        <v>5</v>
      </c>
      <c r="E34">
        <f t="shared" si="14"/>
        <v>28.399999999999991</v>
      </c>
      <c r="F34">
        <f t="shared" si="15"/>
        <v>26</v>
      </c>
      <c r="G34">
        <f t="shared" si="16"/>
        <v>30</v>
      </c>
    </row>
    <row r="35" spans="4:14" x14ac:dyDescent="0.25">
      <c r="D35">
        <v>6</v>
      </c>
      <c r="E35">
        <f t="shared" si="14"/>
        <v>31.999999999999989</v>
      </c>
      <c r="F35">
        <f t="shared" si="15"/>
        <v>29</v>
      </c>
      <c r="G35">
        <f t="shared" si="16"/>
        <v>34</v>
      </c>
    </row>
    <row r="36" spans="4:14" x14ac:dyDescent="0.25">
      <c r="D36">
        <v>7</v>
      </c>
      <c r="E36">
        <f t="shared" si="14"/>
        <v>35.599999999999987</v>
      </c>
      <c r="F36">
        <f t="shared" si="15"/>
        <v>32</v>
      </c>
      <c r="G36">
        <f t="shared" si="16"/>
        <v>38</v>
      </c>
    </row>
    <row r="37" spans="4:14" x14ac:dyDescent="0.25">
      <c r="D37">
        <v>8</v>
      </c>
      <c r="E37">
        <f t="shared" si="14"/>
        <v>39.199999999999989</v>
      </c>
      <c r="F37">
        <f t="shared" si="15"/>
        <v>35</v>
      </c>
      <c r="G37">
        <f t="shared" si="16"/>
        <v>42</v>
      </c>
    </row>
    <row r="38" spans="4:14" x14ac:dyDescent="0.25">
      <c r="D38">
        <v>9</v>
      </c>
      <c r="E38">
        <f t="shared" si="14"/>
        <v>42.79999999999999</v>
      </c>
      <c r="F38">
        <f t="shared" si="15"/>
        <v>38</v>
      </c>
      <c r="G38">
        <f t="shared" si="16"/>
        <v>46</v>
      </c>
    </row>
    <row r="39" spans="4:14" x14ac:dyDescent="0.25">
      <c r="D39">
        <f>D38+1</f>
        <v>10</v>
      </c>
      <c r="E39">
        <f t="shared" si="14"/>
        <v>46.399999999999991</v>
      </c>
      <c r="F39">
        <f t="shared" si="15"/>
        <v>41</v>
      </c>
      <c r="G39">
        <f t="shared" si="16"/>
        <v>50</v>
      </c>
      <c r="M39" t="s">
        <v>366</v>
      </c>
    </row>
    <row r="40" spans="4:14" x14ac:dyDescent="0.25">
      <c r="D40">
        <f t="shared" ref="D40:D82" si="17">D39+1</f>
        <v>11</v>
      </c>
      <c r="E40">
        <f t="shared" si="14"/>
        <v>49.999999999999993</v>
      </c>
      <c r="F40">
        <f t="shared" si="15"/>
        <v>44</v>
      </c>
      <c r="G40">
        <f t="shared" si="16"/>
        <v>54</v>
      </c>
      <c r="M40" t="s">
        <v>4</v>
      </c>
      <c r="N40">
        <v>71.599999999999994</v>
      </c>
    </row>
    <row r="41" spans="4:14" x14ac:dyDescent="0.25">
      <c r="D41">
        <f t="shared" si="17"/>
        <v>12</v>
      </c>
      <c r="E41">
        <f t="shared" si="14"/>
        <v>53.599999999999994</v>
      </c>
      <c r="F41">
        <f t="shared" si="15"/>
        <v>47</v>
      </c>
      <c r="G41">
        <f t="shared" si="16"/>
        <v>58</v>
      </c>
      <c r="M41" t="s">
        <v>367</v>
      </c>
    </row>
    <row r="42" spans="4:14" x14ac:dyDescent="0.25">
      <c r="D42">
        <f t="shared" si="17"/>
        <v>13</v>
      </c>
      <c r="E42">
        <f t="shared" si="14"/>
        <v>57.199999999999996</v>
      </c>
      <c r="F42">
        <f t="shared" si="15"/>
        <v>50</v>
      </c>
      <c r="G42">
        <f t="shared" si="16"/>
        <v>62</v>
      </c>
      <c r="M42" t="s">
        <v>368</v>
      </c>
      <c r="N42">
        <v>72</v>
      </c>
    </row>
    <row r="43" spans="4:14" x14ac:dyDescent="0.25">
      <c r="D43">
        <f t="shared" si="17"/>
        <v>14</v>
      </c>
      <c r="E43">
        <f t="shared" si="14"/>
        <v>60.8</v>
      </c>
      <c r="F43">
        <f t="shared" si="15"/>
        <v>53</v>
      </c>
      <c r="G43">
        <f t="shared" si="16"/>
        <v>66</v>
      </c>
      <c r="M43" t="s">
        <v>369</v>
      </c>
      <c r="N43">
        <v>75</v>
      </c>
    </row>
    <row r="44" spans="4:14" x14ac:dyDescent="0.25">
      <c r="D44">
        <f t="shared" si="17"/>
        <v>15</v>
      </c>
      <c r="E44">
        <f t="shared" si="14"/>
        <v>64.400000000000006</v>
      </c>
      <c r="F44">
        <f t="shared" si="15"/>
        <v>56</v>
      </c>
      <c r="G44">
        <f t="shared" si="16"/>
        <v>70</v>
      </c>
      <c r="M44" t="s">
        <v>370</v>
      </c>
      <c r="N44">
        <v>85</v>
      </c>
    </row>
    <row r="45" spans="4:14" x14ac:dyDescent="0.25">
      <c r="D45">
        <f t="shared" si="17"/>
        <v>16</v>
      </c>
      <c r="E45">
        <f t="shared" si="14"/>
        <v>68.000000000000014</v>
      </c>
      <c r="F45">
        <f t="shared" si="15"/>
        <v>59</v>
      </c>
      <c r="G45">
        <f t="shared" si="16"/>
        <v>74</v>
      </c>
    </row>
    <row r="46" spans="4:14" x14ac:dyDescent="0.25">
      <c r="D46">
        <f t="shared" si="17"/>
        <v>17</v>
      </c>
      <c r="E46">
        <f t="shared" si="14"/>
        <v>71.600000000000023</v>
      </c>
      <c r="F46">
        <f t="shared" si="15"/>
        <v>62</v>
      </c>
      <c r="G46">
        <f t="shared" si="16"/>
        <v>78</v>
      </c>
    </row>
    <row r="47" spans="4:14" x14ac:dyDescent="0.25">
      <c r="D47">
        <f t="shared" si="17"/>
        <v>18</v>
      </c>
      <c r="E47">
        <f t="shared" si="14"/>
        <v>75.200000000000031</v>
      </c>
      <c r="F47">
        <f t="shared" si="15"/>
        <v>65</v>
      </c>
      <c r="G47">
        <f t="shared" si="16"/>
        <v>82</v>
      </c>
    </row>
    <row r="48" spans="4:14" x14ac:dyDescent="0.25">
      <c r="D48">
        <f t="shared" si="17"/>
        <v>19</v>
      </c>
      <c r="E48">
        <f>E47+(1-$E$27)*($E$26-1)+$E$27*$E$26</f>
        <v>78.80000000000004</v>
      </c>
      <c r="F48">
        <f t="shared" si="15"/>
        <v>68</v>
      </c>
      <c r="G48">
        <f t="shared" si="16"/>
        <v>86</v>
      </c>
    </row>
    <row r="49" spans="4:16" x14ac:dyDescent="0.25">
      <c r="D49">
        <f t="shared" si="17"/>
        <v>20</v>
      </c>
      <c r="E49">
        <f>(1-$F$27)*($F$26-1)+$F$27*$F$26+E48</f>
        <v>81.400000000000034</v>
      </c>
      <c r="F49">
        <f>F48+($F$26-1)</f>
        <v>70</v>
      </c>
      <c r="G49">
        <f>G48+$F$26</f>
        <v>89</v>
      </c>
    </row>
    <row r="50" spans="4:16" x14ac:dyDescent="0.25">
      <c r="D50">
        <f t="shared" si="17"/>
        <v>21</v>
      </c>
      <c r="E50">
        <f>(1-$F$27)*($F$26-1)+$F$27*$F$26+E49</f>
        <v>84.000000000000028</v>
      </c>
      <c r="F50">
        <f t="shared" ref="F50:F88" si="18">F49+($F$26-1)</f>
        <v>72</v>
      </c>
      <c r="G50">
        <f t="shared" ref="G50:G88" si="19">G49+$F$26</f>
        <v>92</v>
      </c>
    </row>
    <row r="51" spans="4:16" x14ac:dyDescent="0.25">
      <c r="D51">
        <f t="shared" si="17"/>
        <v>22</v>
      </c>
      <c r="E51">
        <f t="shared" ref="E51:E88" si="20">(1-$F$27)*($F$26-1)+$F$27*$F$26+E50</f>
        <v>86.600000000000023</v>
      </c>
      <c r="F51">
        <f t="shared" si="18"/>
        <v>74</v>
      </c>
      <c r="G51">
        <f t="shared" si="19"/>
        <v>95</v>
      </c>
    </row>
    <row r="52" spans="4:16" x14ac:dyDescent="0.25">
      <c r="D52">
        <f t="shared" si="17"/>
        <v>23</v>
      </c>
      <c r="E52">
        <f t="shared" si="20"/>
        <v>89.200000000000017</v>
      </c>
      <c r="F52">
        <f t="shared" si="18"/>
        <v>76</v>
      </c>
      <c r="G52">
        <f t="shared" si="19"/>
        <v>98</v>
      </c>
    </row>
    <row r="53" spans="4:16" x14ac:dyDescent="0.25">
      <c r="D53">
        <f t="shared" si="17"/>
        <v>24</v>
      </c>
      <c r="E53">
        <f t="shared" si="20"/>
        <v>91.800000000000011</v>
      </c>
      <c r="F53">
        <f t="shared" si="18"/>
        <v>78</v>
      </c>
      <c r="G53">
        <f t="shared" si="19"/>
        <v>101</v>
      </c>
    </row>
    <row r="54" spans="4:16" x14ac:dyDescent="0.25">
      <c r="D54">
        <f t="shared" si="17"/>
        <v>25</v>
      </c>
      <c r="E54">
        <f t="shared" si="20"/>
        <v>94.4</v>
      </c>
      <c r="F54">
        <f t="shared" si="18"/>
        <v>80</v>
      </c>
      <c r="G54">
        <f t="shared" si="19"/>
        <v>104</v>
      </c>
    </row>
    <row r="55" spans="4:16" x14ac:dyDescent="0.25">
      <c r="D55">
        <f t="shared" si="17"/>
        <v>26</v>
      </c>
      <c r="E55">
        <f t="shared" si="20"/>
        <v>97</v>
      </c>
      <c r="F55">
        <f t="shared" si="18"/>
        <v>82</v>
      </c>
      <c r="G55">
        <f t="shared" si="19"/>
        <v>107</v>
      </c>
    </row>
    <row r="56" spans="4:16" x14ac:dyDescent="0.25">
      <c r="D56">
        <f t="shared" si="17"/>
        <v>27</v>
      </c>
      <c r="E56">
        <f t="shared" si="20"/>
        <v>99.6</v>
      </c>
      <c r="F56">
        <f t="shared" si="18"/>
        <v>84</v>
      </c>
      <c r="G56">
        <f t="shared" si="19"/>
        <v>110</v>
      </c>
    </row>
    <row r="57" spans="4:16" x14ac:dyDescent="0.25">
      <c r="D57">
        <f t="shared" si="17"/>
        <v>28</v>
      </c>
      <c r="E57">
        <f t="shared" si="20"/>
        <v>102.19999999999999</v>
      </c>
      <c r="F57">
        <f t="shared" si="18"/>
        <v>86</v>
      </c>
      <c r="G57">
        <f t="shared" si="19"/>
        <v>113</v>
      </c>
    </row>
    <row r="58" spans="4:16" x14ac:dyDescent="0.25">
      <c r="D58">
        <f t="shared" si="17"/>
        <v>29</v>
      </c>
      <c r="E58">
        <f t="shared" si="20"/>
        <v>104.79999999999998</v>
      </c>
      <c r="F58">
        <f t="shared" si="18"/>
        <v>88</v>
      </c>
      <c r="G58">
        <f t="shared" si="19"/>
        <v>116</v>
      </c>
      <c r="L58" t="s">
        <v>352</v>
      </c>
    </row>
    <row r="59" spans="4:16" x14ac:dyDescent="0.25">
      <c r="D59">
        <f t="shared" si="17"/>
        <v>30</v>
      </c>
      <c r="E59">
        <f t="shared" si="20"/>
        <v>107.39999999999998</v>
      </c>
      <c r="F59">
        <f t="shared" si="18"/>
        <v>90</v>
      </c>
      <c r="G59">
        <f t="shared" si="19"/>
        <v>119</v>
      </c>
      <c r="L59">
        <v>344.5</v>
      </c>
      <c r="M59">
        <v>101.3</v>
      </c>
      <c r="N59">
        <f>SUM(L59:M59)</f>
        <v>445.8</v>
      </c>
    </row>
    <row r="60" spans="4:16" x14ac:dyDescent="0.25">
      <c r="D60">
        <f t="shared" si="17"/>
        <v>31</v>
      </c>
      <c r="E60">
        <f t="shared" si="20"/>
        <v>109.99999999999997</v>
      </c>
      <c r="F60">
        <f t="shared" si="18"/>
        <v>92</v>
      </c>
      <c r="G60">
        <f t="shared" si="19"/>
        <v>122</v>
      </c>
    </row>
    <row r="61" spans="4:16" x14ac:dyDescent="0.25">
      <c r="D61">
        <f t="shared" si="17"/>
        <v>32</v>
      </c>
      <c r="E61">
        <f t="shared" si="20"/>
        <v>112.59999999999997</v>
      </c>
      <c r="F61">
        <f t="shared" si="18"/>
        <v>94</v>
      </c>
      <c r="G61">
        <f t="shared" si="19"/>
        <v>125</v>
      </c>
      <c r="L61" t="s">
        <v>353</v>
      </c>
      <c r="P61">
        <f>N59-N62</f>
        <v>117.80000000000001</v>
      </c>
    </row>
    <row r="62" spans="4:16" x14ac:dyDescent="0.25">
      <c r="D62">
        <f t="shared" si="17"/>
        <v>33</v>
      </c>
      <c r="E62">
        <f t="shared" si="20"/>
        <v>115.19999999999996</v>
      </c>
      <c r="F62">
        <f t="shared" si="18"/>
        <v>96</v>
      </c>
      <c r="G62">
        <f t="shared" si="19"/>
        <v>128</v>
      </c>
      <c r="L62">
        <v>202</v>
      </c>
      <c r="M62">
        <f>90*1.4</f>
        <v>125.99999999999999</v>
      </c>
      <c r="N62">
        <f>SUM(L62:M62)</f>
        <v>328</v>
      </c>
    </row>
    <row r="63" spans="4:16" x14ac:dyDescent="0.25">
      <c r="D63">
        <f t="shared" si="17"/>
        <v>34</v>
      </c>
      <c r="E63">
        <f t="shared" si="20"/>
        <v>117.79999999999995</v>
      </c>
      <c r="F63">
        <f t="shared" si="18"/>
        <v>98</v>
      </c>
      <c r="G63">
        <f t="shared" si="19"/>
        <v>131</v>
      </c>
    </row>
    <row r="64" spans="4:16" x14ac:dyDescent="0.25">
      <c r="D64">
        <f t="shared" si="17"/>
        <v>35</v>
      </c>
      <c r="E64">
        <f t="shared" si="20"/>
        <v>120.39999999999995</v>
      </c>
      <c r="F64">
        <f t="shared" si="18"/>
        <v>100</v>
      </c>
      <c r="G64">
        <f t="shared" si="19"/>
        <v>134</v>
      </c>
    </row>
    <row r="65" spans="4:22" x14ac:dyDescent="0.25">
      <c r="D65">
        <f t="shared" si="17"/>
        <v>36</v>
      </c>
      <c r="E65">
        <f t="shared" si="20"/>
        <v>122.99999999999994</v>
      </c>
      <c r="F65">
        <f t="shared" si="18"/>
        <v>102</v>
      </c>
      <c r="G65">
        <f t="shared" si="19"/>
        <v>137</v>
      </c>
    </row>
    <row r="66" spans="4:22" x14ac:dyDescent="0.25">
      <c r="D66">
        <f t="shared" si="17"/>
        <v>37</v>
      </c>
      <c r="E66">
        <f t="shared" si="20"/>
        <v>125.59999999999994</v>
      </c>
      <c r="F66">
        <f t="shared" si="18"/>
        <v>104</v>
      </c>
      <c r="G66">
        <f t="shared" si="19"/>
        <v>140</v>
      </c>
    </row>
    <row r="67" spans="4:22" x14ac:dyDescent="0.25">
      <c r="D67">
        <f t="shared" si="17"/>
        <v>38</v>
      </c>
      <c r="E67">
        <f t="shared" si="20"/>
        <v>128.19999999999993</v>
      </c>
      <c r="F67">
        <f t="shared" si="18"/>
        <v>106</v>
      </c>
      <c r="G67">
        <f t="shared" si="19"/>
        <v>143</v>
      </c>
      <c r="M67">
        <v>372</v>
      </c>
    </row>
    <row r="68" spans="4:22" x14ac:dyDescent="0.25">
      <c r="D68">
        <f t="shared" si="17"/>
        <v>39</v>
      </c>
      <c r="E68">
        <f t="shared" si="20"/>
        <v>130.79999999999993</v>
      </c>
      <c r="F68">
        <f t="shared" si="18"/>
        <v>108</v>
      </c>
      <c r="G68">
        <f t="shared" si="19"/>
        <v>146</v>
      </c>
      <c r="K68">
        <f>148+15+126+15</f>
        <v>304</v>
      </c>
      <c r="L68">
        <v>115</v>
      </c>
      <c r="M68">
        <f>K68-L68</f>
        <v>189</v>
      </c>
    </row>
    <row r="69" spans="4:22" x14ac:dyDescent="0.25">
      <c r="D69">
        <f t="shared" si="17"/>
        <v>40</v>
      </c>
      <c r="E69">
        <f t="shared" si="20"/>
        <v>133.39999999999992</v>
      </c>
      <c r="F69">
        <f t="shared" si="18"/>
        <v>110</v>
      </c>
      <c r="G69">
        <f t="shared" si="19"/>
        <v>149</v>
      </c>
      <c r="M69">
        <f>M68/M67</f>
        <v>0.50806451612903225</v>
      </c>
    </row>
    <row r="70" spans="4:22" x14ac:dyDescent="0.25">
      <c r="D70">
        <f t="shared" si="17"/>
        <v>41</v>
      </c>
      <c r="E70">
        <f t="shared" si="20"/>
        <v>135.99999999999991</v>
      </c>
      <c r="F70">
        <f t="shared" si="18"/>
        <v>112</v>
      </c>
      <c r="G70">
        <f t="shared" si="19"/>
        <v>152</v>
      </c>
    </row>
    <row r="71" spans="4:22" x14ac:dyDescent="0.25">
      <c r="D71">
        <f t="shared" si="17"/>
        <v>42</v>
      </c>
      <c r="E71">
        <f t="shared" si="20"/>
        <v>138.59999999999991</v>
      </c>
      <c r="F71">
        <f t="shared" si="18"/>
        <v>114</v>
      </c>
      <c r="G71">
        <f t="shared" si="19"/>
        <v>155</v>
      </c>
    </row>
    <row r="72" spans="4:22" x14ac:dyDescent="0.25">
      <c r="D72">
        <f t="shared" si="17"/>
        <v>43</v>
      </c>
      <c r="E72">
        <f t="shared" si="20"/>
        <v>141.1999999999999</v>
      </c>
      <c r="F72">
        <f t="shared" si="18"/>
        <v>116</v>
      </c>
      <c r="G72">
        <f t="shared" si="19"/>
        <v>158</v>
      </c>
    </row>
    <row r="73" spans="4:22" x14ac:dyDescent="0.25">
      <c r="D73">
        <f t="shared" si="17"/>
        <v>44</v>
      </c>
      <c r="E73">
        <f t="shared" si="20"/>
        <v>143.7999999999999</v>
      </c>
      <c r="F73">
        <f t="shared" si="18"/>
        <v>118</v>
      </c>
      <c r="G73">
        <f t="shared" si="19"/>
        <v>161</v>
      </c>
    </row>
    <row r="74" spans="4:22" x14ac:dyDescent="0.25">
      <c r="D74">
        <f t="shared" si="17"/>
        <v>45</v>
      </c>
      <c r="E74">
        <f t="shared" si="20"/>
        <v>146.39999999999989</v>
      </c>
      <c r="F74">
        <f t="shared" si="18"/>
        <v>120</v>
      </c>
      <c r="G74">
        <f t="shared" si="19"/>
        <v>164</v>
      </c>
      <c r="K74" t="s">
        <v>354</v>
      </c>
      <c r="P74" t="s">
        <v>357</v>
      </c>
      <c r="R74" t="s">
        <v>358</v>
      </c>
      <c r="U74" t="s">
        <v>360</v>
      </c>
    </row>
    <row r="75" spans="4:22" x14ac:dyDescent="0.25">
      <c r="D75">
        <f t="shared" si="17"/>
        <v>46</v>
      </c>
      <c r="E75">
        <f t="shared" si="20"/>
        <v>148.99999999999989</v>
      </c>
      <c r="F75">
        <f t="shared" si="18"/>
        <v>122</v>
      </c>
      <c r="G75">
        <f t="shared" si="19"/>
        <v>167</v>
      </c>
      <c r="K75" t="s">
        <v>355</v>
      </c>
      <c r="P75" t="s">
        <v>90</v>
      </c>
      <c r="R75" t="s">
        <v>359</v>
      </c>
      <c r="S75">
        <v>2400</v>
      </c>
      <c r="U75" t="s">
        <v>361</v>
      </c>
      <c r="V75">
        <v>2000</v>
      </c>
    </row>
    <row r="76" spans="4:22" x14ac:dyDescent="0.25">
      <c r="D76">
        <f t="shared" si="17"/>
        <v>47</v>
      </c>
      <c r="E76">
        <f t="shared" si="20"/>
        <v>151.59999999999988</v>
      </c>
      <c r="F76">
        <f t="shared" si="18"/>
        <v>124</v>
      </c>
      <c r="G76">
        <f t="shared" si="19"/>
        <v>170</v>
      </c>
      <c r="K76" t="s">
        <v>356</v>
      </c>
      <c r="P76" t="s">
        <v>165</v>
      </c>
      <c r="R76" t="s">
        <v>90</v>
      </c>
      <c r="S76">
        <v>900</v>
      </c>
      <c r="U76" t="s">
        <v>90</v>
      </c>
      <c r="V76">
        <v>1000</v>
      </c>
    </row>
    <row r="77" spans="4:22" x14ac:dyDescent="0.25">
      <c r="D77">
        <f t="shared" si="17"/>
        <v>48</v>
      </c>
      <c r="E77">
        <f t="shared" si="20"/>
        <v>154.19999999999987</v>
      </c>
      <c r="F77">
        <f t="shared" si="18"/>
        <v>126</v>
      </c>
      <c r="G77">
        <f t="shared" si="19"/>
        <v>173</v>
      </c>
      <c r="R77" t="s">
        <v>90</v>
      </c>
      <c r="S77">
        <v>4500</v>
      </c>
    </row>
    <row r="78" spans="4:22" x14ac:dyDescent="0.25">
      <c r="D78">
        <f t="shared" si="17"/>
        <v>49</v>
      </c>
      <c r="E78">
        <f t="shared" si="20"/>
        <v>156.79999999999987</v>
      </c>
      <c r="F78">
        <f t="shared" si="18"/>
        <v>128</v>
      </c>
      <c r="G78">
        <f t="shared" si="19"/>
        <v>176</v>
      </c>
      <c r="S78">
        <f>SUM(S75:S77)</f>
        <v>7800</v>
      </c>
    </row>
    <row r="79" spans="4:22" x14ac:dyDescent="0.25">
      <c r="D79">
        <f t="shared" si="17"/>
        <v>50</v>
      </c>
      <c r="E79">
        <f t="shared" si="20"/>
        <v>159.39999999999986</v>
      </c>
      <c r="F79">
        <f t="shared" si="18"/>
        <v>130</v>
      </c>
      <c r="G79">
        <f t="shared" si="19"/>
        <v>179</v>
      </c>
    </row>
    <row r="80" spans="4:22" x14ac:dyDescent="0.25">
      <c r="D80">
        <f t="shared" si="17"/>
        <v>51</v>
      </c>
      <c r="E80">
        <f t="shared" si="20"/>
        <v>161.99999999999986</v>
      </c>
      <c r="F80">
        <f t="shared" si="18"/>
        <v>132</v>
      </c>
      <c r="G80">
        <f t="shared" si="19"/>
        <v>182</v>
      </c>
    </row>
    <row r="81" spans="4:18" x14ac:dyDescent="0.25">
      <c r="D81">
        <f t="shared" si="17"/>
        <v>52</v>
      </c>
      <c r="E81">
        <f t="shared" si="20"/>
        <v>164.59999999999985</v>
      </c>
      <c r="F81">
        <f t="shared" si="18"/>
        <v>134</v>
      </c>
      <c r="G81">
        <f t="shared" si="19"/>
        <v>185</v>
      </c>
      <c r="M81" t="s">
        <v>363</v>
      </c>
    </row>
    <row r="82" spans="4:18" x14ac:dyDescent="0.25">
      <c r="D82">
        <f t="shared" si="17"/>
        <v>53</v>
      </c>
      <c r="E82">
        <f t="shared" si="20"/>
        <v>167.19999999999985</v>
      </c>
      <c r="F82">
        <f t="shared" si="18"/>
        <v>136</v>
      </c>
      <c r="G82">
        <f t="shared" si="19"/>
        <v>188</v>
      </c>
      <c r="M82">
        <f>227+143</f>
        <v>370</v>
      </c>
    </row>
    <row r="83" spans="4:18" x14ac:dyDescent="0.25">
      <c r="D83">
        <f t="shared" ref="D83:D88" si="21">D82+1</f>
        <v>54</v>
      </c>
      <c r="E83">
        <f t="shared" si="20"/>
        <v>169.79999999999984</v>
      </c>
      <c r="F83">
        <f t="shared" si="18"/>
        <v>138</v>
      </c>
      <c r="G83">
        <f t="shared" si="19"/>
        <v>191</v>
      </c>
      <c r="M83" t="s">
        <v>362</v>
      </c>
    </row>
    <row r="84" spans="4:18" x14ac:dyDescent="0.25">
      <c r="D84">
        <f t="shared" si="21"/>
        <v>55</v>
      </c>
      <c r="E84">
        <f t="shared" si="20"/>
        <v>172.39999999999984</v>
      </c>
      <c r="F84">
        <f t="shared" si="18"/>
        <v>140</v>
      </c>
      <c r="G84">
        <f t="shared" si="19"/>
        <v>194</v>
      </c>
    </row>
    <row r="85" spans="4:18" x14ac:dyDescent="0.25">
      <c r="D85">
        <f t="shared" si="21"/>
        <v>56</v>
      </c>
      <c r="E85">
        <f t="shared" si="20"/>
        <v>174.99999999999983</v>
      </c>
      <c r="F85">
        <f t="shared" si="18"/>
        <v>142</v>
      </c>
      <c r="G85">
        <f t="shared" si="19"/>
        <v>197</v>
      </c>
    </row>
    <row r="86" spans="4:18" x14ac:dyDescent="0.25">
      <c r="D86">
        <f t="shared" si="21"/>
        <v>57</v>
      </c>
      <c r="E86">
        <f t="shared" si="20"/>
        <v>177.59999999999982</v>
      </c>
      <c r="F86">
        <f t="shared" si="18"/>
        <v>144</v>
      </c>
      <c r="G86">
        <f t="shared" si="19"/>
        <v>200</v>
      </c>
      <c r="R86">
        <v>1300</v>
      </c>
    </row>
    <row r="87" spans="4:18" x14ac:dyDescent="0.25">
      <c r="D87">
        <f t="shared" si="21"/>
        <v>58</v>
      </c>
      <c r="E87">
        <f t="shared" si="20"/>
        <v>180.19999999999982</v>
      </c>
      <c r="F87">
        <f t="shared" si="18"/>
        <v>146</v>
      </c>
      <c r="G87">
        <f t="shared" si="19"/>
        <v>203</v>
      </c>
      <c r="R87">
        <v>4300</v>
      </c>
    </row>
    <row r="88" spans="4:18" x14ac:dyDescent="0.25">
      <c r="D88">
        <f t="shared" si="21"/>
        <v>59</v>
      </c>
      <c r="E88">
        <f t="shared" si="20"/>
        <v>182.79999999999981</v>
      </c>
      <c r="F88">
        <f t="shared" si="18"/>
        <v>148</v>
      </c>
      <c r="G88">
        <f t="shared" si="19"/>
        <v>206</v>
      </c>
      <c r="R88">
        <v>1400</v>
      </c>
    </row>
    <row r="89" spans="4:18" x14ac:dyDescent="0.25">
      <c r="D89">
        <v>60</v>
      </c>
      <c r="E89">
        <f>E88+0.5</f>
        <v>183.29999999999981</v>
      </c>
      <c r="R89">
        <v>1400</v>
      </c>
    </row>
    <row r="90" spans="4:18" x14ac:dyDescent="0.25">
      <c r="D90">
        <v>61</v>
      </c>
      <c r="E90">
        <f t="shared" ref="E90:E92" si="22">E89+0.5</f>
        <v>183.79999999999981</v>
      </c>
      <c r="R90">
        <f>SUM(R86:R89)</f>
        <v>8400</v>
      </c>
    </row>
    <row r="91" spans="4:18" x14ac:dyDescent="0.25">
      <c r="D91">
        <v>62</v>
      </c>
      <c r="E91">
        <f t="shared" si="22"/>
        <v>184.29999999999981</v>
      </c>
    </row>
    <row r="92" spans="4:18" x14ac:dyDescent="0.25">
      <c r="D92">
        <v>63</v>
      </c>
      <c r="E92">
        <f t="shared" si="22"/>
        <v>184.79999999999981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4"/>
  <sheetViews>
    <sheetView topLeftCell="A36" workbookViewId="0">
      <selection activeCell="E48" sqref="E48"/>
    </sheetView>
  </sheetViews>
  <sheetFormatPr defaultRowHeight="15" x14ac:dyDescent="0.25"/>
  <cols>
    <col min="2" max="2" width="11.42578125" customWidth="1"/>
    <col min="3" max="3" width="16.28515625" customWidth="1"/>
  </cols>
  <sheetData>
    <row r="2" spans="2:14" x14ac:dyDescent="0.25">
      <c r="C2" t="s">
        <v>213</v>
      </c>
      <c r="D2" t="s">
        <v>211</v>
      </c>
      <c r="E2" t="s">
        <v>212</v>
      </c>
    </row>
    <row r="3" spans="2:14" x14ac:dyDescent="0.25">
      <c r="B3" t="s">
        <v>210</v>
      </c>
      <c r="C3" t="s">
        <v>214</v>
      </c>
      <c r="D3" t="s">
        <v>215</v>
      </c>
      <c r="E3" t="s">
        <v>216</v>
      </c>
    </row>
    <row r="9" spans="2:14" x14ac:dyDescent="0.25">
      <c r="C9" t="s">
        <v>206</v>
      </c>
      <c r="J9" t="s">
        <v>241</v>
      </c>
      <c r="M9" t="s">
        <v>240</v>
      </c>
    </row>
    <row r="10" spans="2:14" x14ac:dyDescent="0.25">
      <c r="B10" t="s">
        <v>208</v>
      </c>
      <c r="C10" t="s">
        <v>209</v>
      </c>
      <c r="G10" t="s">
        <v>200</v>
      </c>
      <c r="H10" t="s">
        <v>201</v>
      </c>
      <c r="I10" t="s">
        <v>239</v>
      </c>
      <c r="J10" t="s">
        <v>219</v>
      </c>
      <c r="K10" t="s">
        <v>217</v>
      </c>
      <c r="L10" t="s">
        <v>239</v>
      </c>
      <c r="M10" t="s">
        <v>219</v>
      </c>
      <c r="N10" t="s">
        <v>217</v>
      </c>
    </row>
    <row r="11" spans="2:14" x14ac:dyDescent="0.25">
      <c r="B11" t="s">
        <v>216</v>
      </c>
      <c r="C11" t="s">
        <v>217</v>
      </c>
      <c r="G11">
        <v>4000</v>
      </c>
      <c r="H11">
        <v>4209</v>
      </c>
      <c r="I11">
        <v>1000</v>
      </c>
      <c r="J11">
        <v>2400</v>
      </c>
      <c r="K11">
        <v>4000</v>
      </c>
      <c r="L11">
        <f>I11*2/3</f>
        <v>666.66666666666663</v>
      </c>
      <c r="M11">
        <f t="shared" ref="M11:M14" si="0">J11*2/3</f>
        <v>1600</v>
      </c>
      <c r="N11">
        <f t="shared" ref="N11:N14" si="1">K11*2/3</f>
        <v>2666.6666666666665</v>
      </c>
    </row>
    <row r="12" spans="2:14" x14ac:dyDescent="0.25">
      <c r="B12" t="s">
        <v>238</v>
      </c>
      <c r="C12" t="s">
        <v>224</v>
      </c>
      <c r="G12">
        <v>4210</v>
      </c>
      <c r="H12">
        <v>4432</v>
      </c>
      <c r="I12">
        <v>1000</v>
      </c>
      <c r="J12">
        <v>2400</v>
      </c>
      <c r="K12">
        <v>4000</v>
      </c>
      <c r="L12">
        <f t="shared" ref="L12:L14" si="2">I12*2/3</f>
        <v>666.66666666666663</v>
      </c>
      <c r="M12">
        <f t="shared" si="0"/>
        <v>1600</v>
      </c>
      <c r="N12">
        <f t="shared" si="1"/>
        <v>2666.6666666666665</v>
      </c>
    </row>
    <row r="13" spans="2:14" x14ac:dyDescent="0.25">
      <c r="B13" t="s">
        <v>236</v>
      </c>
      <c r="C13" t="s">
        <v>237</v>
      </c>
      <c r="G13">
        <v>4433</v>
      </c>
      <c r="H13">
        <v>4742</v>
      </c>
      <c r="I13">
        <v>1000</v>
      </c>
      <c r="J13">
        <v>2400</v>
      </c>
      <c r="K13">
        <v>4000</v>
      </c>
      <c r="L13">
        <f t="shared" si="2"/>
        <v>666.66666666666663</v>
      </c>
      <c r="M13">
        <f t="shared" si="0"/>
        <v>1600</v>
      </c>
      <c r="N13">
        <f t="shared" si="1"/>
        <v>2666.6666666666665</v>
      </c>
    </row>
    <row r="14" spans="2:14" x14ac:dyDescent="0.25">
      <c r="B14" t="s">
        <v>218</v>
      </c>
      <c r="C14" t="s">
        <v>219</v>
      </c>
      <c r="G14">
        <v>4700</v>
      </c>
      <c r="H14">
        <v>4999</v>
      </c>
      <c r="I14">
        <v>1000</v>
      </c>
      <c r="J14">
        <v>2400</v>
      </c>
      <c r="K14">
        <v>4000</v>
      </c>
      <c r="L14">
        <f t="shared" si="2"/>
        <v>666.66666666666663</v>
      </c>
      <c r="M14">
        <f t="shared" si="0"/>
        <v>1600</v>
      </c>
      <c r="N14">
        <f t="shared" si="1"/>
        <v>2666.6666666666665</v>
      </c>
    </row>
    <row r="15" spans="2:14" x14ac:dyDescent="0.25">
      <c r="G15">
        <v>5000</v>
      </c>
      <c r="H15">
        <v>5159</v>
      </c>
      <c r="I15">
        <v>500</v>
      </c>
      <c r="J15">
        <v>1350</v>
      </c>
      <c r="K15">
        <v>2250</v>
      </c>
      <c r="L15">
        <f t="shared" ref="L15:L19" si="3">I15*2/3</f>
        <v>333.33333333333331</v>
      </c>
      <c r="M15">
        <f t="shared" ref="M15:M19" si="4">J15*2/3</f>
        <v>900</v>
      </c>
      <c r="N15">
        <f t="shared" ref="N15:N19" si="5">K15*2/3</f>
        <v>1500</v>
      </c>
    </row>
    <row r="16" spans="2:14" x14ac:dyDescent="0.25">
      <c r="C16" t="s">
        <v>207</v>
      </c>
      <c r="G16">
        <v>5160</v>
      </c>
      <c r="H16">
        <v>5499</v>
      </c>
      <c r="I16">
        <v>500</v>
      </c>
      <c r="J16">
        <v>1350</v>
      </c>
      <c r="K16">
        <v>2250</v>
      </c>
      <c r="L16">
        <f t="shared" si="3"/>
        <v>333.33333333333331</v>
      </c>
      <c r="M16">
        <f t="shared" si="4"/>
        <v>900</v>
      </c>
      <c r="N16">
        <f t="shared" si="5"/>
        <v>1500</v>
      </c>
    </row>
    <row r="17" spans="2:14" x14ac:dyDescent="0.25">
      <c r="B17" t="s">
        <v>208</v>
      </c>
      <c r="C17" t="s">
        <v>209</v>
      </c>
      <c r="G17">
        <v>5500</v>
      </c>
      <c r="H17">
        <v>5599</v>
      </c>
      <c r="I17">
        <v>500</v>
      </c>
      <c r="J17">
        <v>1350</v>
      </c>
      <c r="K17">
        <v>2250</v>
      </c>
      <c r="L17">
        <f t="shared" si="3"/>
        <v>333.33333333333331</v>
      </c>
      <c r="M17">
        <f t="shared" si="4"/>
        <v>900</v>
      </c>
      <c r="N17">
        <f t="shared" si="5"/>
        <v>1500</v>
      </c>
    </row>
    <row r="18" spans="2:14" x14ac:dyDescent="0.25">
      <c r="B18" t="s">
        <v>220</v>
      </c>
      <c r="C18" t="s">
        <v>217</v>
      </c>
      <c r="G18">
        <v>5600</v>
      </c>
      <c r="H18">
        <v>5909</v>
      </c>
      <c r="I18">
        <v>500</v>
      </c>
      <c r="J18">
        <v>1350</v>
      </c>
      <c r="K18">
        <v>2250</v>
      </c>
      <c r="L18">
        <f t="shared" si="3"/>
        <v>333.33333333333331</v>
      </c>
      <c r="M18">
        <f t="shared" si="4"/>
        <v>900</v>
      </c>
      <c r="N18">
        <f t="shared" si="5"/>
        <v>1500</v>
      </c>
    </row>
    <row r="19" spans="2:14" x14ac:dyDescent="0.25">
      <c r="B19" t="s">
        <v>225</v>
      </c>
      <c r="C19" t="s">
        <v>224</v>
      </c>
      <c r="G19">
        <v>5910</v>
      </c>
      <c r="H19">
        <v>5999</v>
      </c>
      <c r="I19">
        <v>500</v>
      </c>
      <c r="J19">
        <v>1350</v>
      </c>
      <c r="K19">
        <v>2250</v>
      </c>
      <c r="L19">
        <f t="shared" si="3"/>
        <v>333.33333333333331</v>
      </c>
      <c r="M19">
        <f t="shared" si="4"/>
        <v>900</v>
      </c>
      <c r="N19">
        <f t="shared" si="5"/>
        <v>1500</v>
      </c>
    </row>
    <row r="20" spans="2:14" x14ac:dyDescent="0.25">
      <c r="B20" t="s">
        <v>226</v>
      </c>
      <c r="C20" t="s">
        <v>239</v>
      </c>
      <c r="G20">
        <v>6000</v>
      </c>
      <c r="H20">
        <v>6009</v>
      </c>
      <c r="I20">
        <v>400</v>
      </c>
      <c r="J20">
        <v>600</v>
      </c>
      <c r="K20">
        <v>1000</v>
      </c>
      <c r="L20">
        <f t="shared" ref="L20:L25" si="6">I20*2/3</f>
        <v>266.66666666666669</v>
      </c>
      <c r="M20">
        <f t="shared" ref="M20:M25" si="7">J20*2/3</f>
        <v>400</v>
      </c>
      <c r="N20">
        <f t="shared" ref="N20:N25" si="8">K20*2/3</f>
        <v>666.66666666666663</v>
      </c>
    </row>
    <row r="21" spans="2:14" x14ac:dyDescent="0.25">
      <c r="B21" t="s">
        <v>221</v>
      </c>
      <c r="C21" t="s">
        <v>222</v>
      </c>
      <c r="G21">
        <v>6010</v>
      </c>
      <c r="H21">
        <v>6099</v>
      </c>
      <c r="I21">
        <v>400</v>
      </c>
      <c r="J21">
        <v>600</v>
      </c>
      <c r="K21">
        <v>1000</v>
      </c>
      <c r="L21">
        <f t="shared" si="6"/>
        <v>266.66666666666669</v>
      </c>
      <c r="M21">
        <f t="shared" si="7"/>
        <v>400</v>
      </c>
      <c r="N21">
        <f t="shared" si="8"/>
        <v>666.66666666666663</v>
      </c>
    </row>
    <row r="22" spans="2:14" x14ac:dyDescent="0.25">
      <c r="B22" t="s">
        <v>223</v>
      </c>
      <c r="C22" t="s">
        <v>219</v>
      </c>
      <c r="G22">
        <v>6100</v>
      </c>
      <c r="H22">
        <v>6409</v>
      </c>
      <c r="I22">
        <v>400</v>
      </c>
      <c r="J22">
        <v>600</v>
      </c>
      <c r="K22">
        <v>1000</v>
      </c>
      <c r="L22">
        <f t="shared" si="6"/>
        <v>266.66666666666669</v>
      </c>
      <c r="M22">
        <f t="shared" si="7"/>
        <v>400</v>
      </c>
      <c r="N22">
        <f t="shared" si="8"/>
        <v>666.66666666666663</v>
      </c>
    </row>
    <row r="23" spans="2:14" x14ac:dyDescent="0.25">
      <c r="G23">
        <v>6410</v>
      </c>
      <c r="H23">
        <v>6499</v>
      </c>
      <c r="I23">
        <v>400</v>
      </c>
      <c r="J23">
        <v>600</v>
      </c>
      <c r="K23">
        <v>1000</v>
      </c>
      <c r="L23">
        <f t="shared" si="6"/>
        <v>266.66666666666669</v>
      </c>
      <c r="M23">
        <f t="shared" si="7"/>
        <v>400</v>
      </c>
      <c r="N23">
        <f t="shared" si="8"/>
        <v>666.66666666666663</v>
      </c>
    </row>
    <row r="24" spans="2:14" x14ac:dyDescent="0.25">
      <c r="C24" t="s">
        <v>213</v>
      </c>
      <c r="G24">
        <v>6500</v>
      </c>
      <c r="H24">
        <v>6809</v>
      </c>
      <c r="I24">
        <v>400</v>
      </c>
      <c r="J24">
        <v>600</v>
      </c>
      <c r="K24">
        <v>1000</v>
      </c>
      <c r="L24">
        <f t="shared" si="6"/>
        <v>266.66666666666669</v>
      </c>
      <c r="M24">
        <f t="shared" si="7"/>
        <v>400</v>
      </c>
      <c r="N24">
        <f t="shared" si="8"/>
        <v>666.66666666666663</v>
      </c>
    </row>
    <row r="25" spans="2:14" x14ac:dyDescent="0.25">
      <c r="B25" t="s">
        <v>208</v>
      </c>
      <c r="C25" t="s">
        <v>209</v>
      </c>
      <c r="G25">
        <v>6810</v>
      </c>
      <c r="H25">
        <v>6999</v>
      </c>
      <c r="I25">
        <v>400</v>
      </c>
      <c r="J25">
        <v>600</v>
      </c>
      <c r="K25">
        <v>1000</v>
      </c>
      <c r="L25">
        <f t="shared" si="6"/>
        <v>266.66666666666669</v>
      </c>
      <c r="M25">
        <f t="shared" si="7"/>
        <v>400</v>
      </c>
      <c r="N25">
        <f t="shared" si="8"/>
        <v>666.66666666666663</v>
      </c>
    </row>
    <row r="26" spans="2:14" x14ac:dyDescent="0.25">
      <c r="B26" t="s">
        <v>214</v>
      </c>
      <c r="C26" t="s">
        <v>17</v>
      </c>
      <c r="G26">
        <v>7000</v>
      </c>
      <c r="H26">
        <v>7099</v>
      </c>
      <c r="I26">
        <v>300</v>
      </c>
      <c r="J26">
        <v>300</v>
      </c>
      <c r="K26">
        <v>500</v>
      </c>
      <c r="L26">
        <f t="shared" ref="L26:L29" si="9">I26*2/3</f>
        <v>200</v>
      </c>
      <c r="M26">
        <f t="shared" ref="M26:M29" si="10">J26*2/3</f>
        <v>200</v>
      </c>
      <c r="N26">
        <f t="shared" ref="N26:N29" si="11">K26*2/3</f>
        <v>333.33333333333331</v>
      </c>
    </row>
    <row r="27" spans="2:14" x14ac:dyDescent="0.25">
      <c r="B27" s="36" t="s">
        <v>228</v>
      </c>
      <c r="C27" t="s">
        <v>229</v>
      </c>
      <c r="G27">
        <v>7100</v>
      </c>
      <c r="H27">
        <v>7409</v>
      </c>
      <c r="I27">
        <v>300</v>
      </c>
      <c r="J27">
        <v>300</v>
      </c>
      <c r="K27">
        <v>500</v>
      </c>
      <c r="L27">
        <f t="shared" si="9"/>
        <v>200</v>
      </c>
      <c r="M27">
        <f t="shared" si="10"/>
        <v>200</v>
      </c>
      <c r="N27">
        <f t="shared" si="11"/>
        <v>333.33333333333331</v>
      </c>
    </row>
    <row r="28" spans="2:14" x14ac:dyDescent="0.25">
      <c r="B28" t="s">
        <v>215</v>
      </c>
      <c r="C28" t="s">
        <v>217</v>
      </c>
      <c r="G28">
        <v>7410</v>
      </c>
      <c r="H28">
        <v>7709</v>
      </c>
      <c r="I28">
        <v>300</v>
      </c>
      <c r="J28">
        <v>300</v>
      </c>
      <c r="K28">
        <v>500</v>
      </c>
      <c r="L28">
        <f t="shared" si="9"/>
        <v>200</v>
      </c>
      <c r="M28">
        <f t="shared" si="10"/>
        <v>200</v>
      </c>
      <c r="N28">
        <f t="shared" si="11"/>
        <v>333.33333333333331</v>
      </c>
    </row>
    <row r="29" spans="2:14" x14ac:dyDescent="0.25">
      <c r="B29" t="s">
        <v>230</v>
      </c>
      <c r="C29" t="s">
        <v>219</v>
      </c>
      <c r="G29">
        <v>7710</v>
      </c>
      <c r="H29">
        <v>7999</v>
      </c>
      <c r="I29">
        <v>300</v>
      </c>
      <c r="J29">
        <v>300</v>
      </c>
      <c r="K29">
        <v>500</v>
      </c>
      <c r="L29">
        <f t="shared" si="9"/>
        <v>200</v>
      </c>
      <c r="M29">
        <f t="shared" si="10"/>
        <v>200</v>
      </c>
      <c r="N29">
        <f t="shared" si="11"/>
        <v>333.33333333333331</v>
      </c>
    </row>
    <row r="30" spans="2:14" x14ac:dyDescent="0.25">
      <c r="B30" t="s">
        <v>231</v>
      </c>
      <c r="C30" t="s">
        <v>224</v>
      </c>
    </row>
    <row r="32" spans="2:14" x14ac:dyDescent="0.25">
      <c r="C32" t="s">
        <v>211</v>
      </c>
    </row>
    <row r="33" spans="2:32" x14ac:dyDescent="0.25">
      <c r="B33" t="s">
        <v>208</v>
      </c>
      <c r="C33" t="s">
        <v>209</v>
      </c>
    </row>
    <row r="34" spans="2:32" x14ac:dyDescent="0.25">
      <c r="B34" t="s">
        <v>227</v>
      </c>
      <c r="C34" t="s">
        <v>232</v>
      </c>
    </row>
    <row r="35" spans="2:32" x14ac:dyDescent="0.25">
      <c r="B35" t="s">
        <v>215</v>
      </c>
      <c r="C35" t="s">
        <v>17</v>
      </c>
      <c r="J35" s="38" t="s">
        <v>241</v>
      </c>
      <c r="W35" t="s">
        <v>241</v>
      </c>
      <c r="AB35" t="s">
        <v>240</v>
      </c>
    </row>
    <row r="36" spans="2:32" x14ac:dyDescent="0.25">
      <c r="B36" t="s">
        <v>234</v>
      </c>
      <c r="C36" t="s">
        <v>233</v>
      </c>
      <c r="G36" s="38" t="s">
        <v>242</v>
      </c>
      <c r="H36" s="38" t="s">
        <v>203</v>
      </c>
      <c r="I36" s="38" t="s">
        <v>239</v>
      </c>
      <c r="J36" s="38" t="s">
        <v>219</v>
      </c>
      <c r="K36" s="38" t="s">
        <v>217</v>
      </c>
      <c r="L36" s="38" t="s">
        <v>244</v>
      </c>
      <c r="M36" s="38" t="s">
        <v>245</v>
      </c>
      <c r="N36" s="38" t="s">
        <v>246</v>
      </c>
      <c r="U36" t="s">
        <v>203</v>
      </c>
      <c r="V36" t="s">
        <v>239</v>
      </c>
      <c r="W36" t="s">
        <v>219</v>
      </c>
      <c r="X36" t="s">
        <v>217</v>
      </c>
      <c r="Y36" t="s">
        <v>245</v>
      </c>
      <c r="Z36" t="s">
        <v>246</v>
      </c>
      <c r="AA36" t="s">
        <v>239</v>
      </c>
      <c r="AB36" t="s">
        <v>219</v>
      </c>
      <c r="AC36" t="s">
        <v>217</v>
      </c>
      <c r="AD36" t="s">
        <v>243</v>
      </c>
      <c r="AE36" t="s">
        <v>245</v>
      </c>
      <c r="AF36" t="s">
        <v>246</v>
      </c>
    </row>
    <row r="37" spans="2:32" x14ac:dyDescent="0.25">
      <c r="B37" t="s">
        <v>235</v>
      </c>
      <c r="C37" t="s">
        <v>232</v>
      </c>
      <c r="G37" s="38">
        <v>200</v>
      </c>
      <c r="H37" s="38">
        <v>4</v>
      </c>
      <c r="I37" s="37">
        <f t="shared" ref="I37:K40" si="12">1000*$H37+$G$37+V37</f>
        <v>5200</v>
      </c>
      <c r="J37" s="37">
        <f t="shared" si="12"/>
        <v>6600</v>
      </c>
      <c r="K37" s="37">
        <f t="shared" si="12"/>
        <v>8200</v>
      </c>
      <c r="L37" s="37">
        <f>H37*1000+$G$37+(AD37*3/2)</f>
        <v>6750</v>
      </c>
      <c r="M37" s="37">
        <f t="shared" ref="M37:N40" si="13">1000*$H37+$G$37+Y37</f>
        <v>6800</v>
      </c>
      <c r="N37" s="37">
        <f t="shared" si="13"/>
        <v>8100</v>
      </c>
      <c r="U37">
        <v>4</v>
      </c>
      <c r="V37">
        <v>1000</v>
      </c>
      <c r="W37">
        <v>2400</v>
      </c>
      <c r="X37">
        <v>4000</v>
      </c>
      <c r="Y37">
        <v>2600</v>
      </c>
      <c r="Z37">
        <v>3900</v>
      </c>
      <c r="AA37">
        <f t="shared" ref="AA37:AC40" si="14">V37*2/3</f>
        <v>666.66666666666663</v>
      </c>
      <c r="AB37">
        <f t="shared" si="14"/>
        <v>1600</v>
      </c>
      <c r="AC37">
        <f t="shared" si="14"/>
        <v>2666.6666666666665</v>
      </c>
      <c r="AD37">
        <v>1700</v>
      </c>
      <c r="AE37">
        <f>Y37*2/3</f>
        <v>1733.3333333333333</v>
      </c>
      <c r="AF37">
        <f t="shared" ref="AF37:AF40" si="15">Z37*2/3</f>
        <v>2600</v>
      </c>
    </row>
    <row r="38" spans="2:32" x14ac:dyDescent="0.25">
      <c r="H38" s="38">
        <v>5</v>
      </c>
      <c r="I38" s="37">
        <f t="shared" si="12"/>
        <v>5700</v>
      </c>
      <c r="J38" s="37">
        <f t="shared" si="12"/>
        <v>6550</v>
      </c>
      <c r="K38" s="37">
        <f t="shared" si="12"/>
        <v>7450</v>
      </c>
      <c r="L38" s="37">
        <f t="shared" ref="L38:L40" si="16">H38*1000+$G$37+(AD38*3/2)</f>
        <v>7150</v>
      </c>
      <c r="M38" s="37">
        <f t="shared" si="13"/>
        <v>6800</v>
      </c>
      <c r="N38" s="37">
        <f t="shared" si="13"/>
        <v>7600</v>
      </c>
      <c r="U38">
        <v>5</v>
      </c>
      <c r="V38">
        <v>500</v>
      </c>
      <c r="W38">
        <v>1350</v>
      </c>
      <c r="X38">
        <v>2250</v>
      </c>
      <c r="Y38">
        <v>1600</v>
      </c>
      <c r="Z38">
        <v>2400</v>
      </c>
      <c r="AA38">
        <f t="shared" si="14"/>
        <v>333.33333333333331</v>
      </c>
      <c r="AB38">
        <f t="shared" si="14"/>
        <v>900</v>
      </c>
      <c r="AC38">
        <f t="shared" si="14"/>
        <v>1500</v>
      </c>
      <c r="AD38">
        <v>1300</v>
      </c>
      <c r="AE38">
        <f t="shared" ref="AE38:AE40" si="17">Y38*2/3</f>
        <v>1066.6666666666667</v>
      </c>
      <c r="AF38">
        <f t="shared" si="15"/>
        <v>1600</v>
      </c>
    </row>
    <row r="39" spans="2:32" x14ac:dyDescent="0.25">
      <c r="H39" s="38">
        <v>6</v>
      </c>
      <c r="I39" s="37">
        <f t="shared" si="12"/>
        <v>6600</v>
      </c>
      <c r="J39" s="37">
        <f t="shared" si="12"/>
        <v>6800</v>
      </c>
      <c r="K39" s="37">
        <f t="shared" si="12"/>
        <v>7200</v>
      </c>
      <c r="L39" s="37">
        <f t="shared" si="16"/>
        <v>7500.5</v>
      </c>
      <c r="M39" s="37">
        <f t="shared" si="13"/>
        <v>7100</v>
      </c>
      <c r="N39" s="37">
        <f t="shared" si="13"/>
        <v>7550</v>
      </c>
      <c r="U39">
        <v>6</v>
      </c>
      <c r="V39">
        <v>400</v>
      </c>
      <c r="W39">
        <v>600</v>
      </c>
      <c r="X39">
        <v>1000</v>
      </c>
      <c r="Y39">
        <v>900</v>
      </c>
      <c r="Z39">
        <v>1350</v>
      </c>
      <c r="AA39">
        <f t="shared" si="14"/>
        <v>266.66666666666669</v>
      </c>
      <c r="AB39">
        <f t="shared" si="14"/>
        <v>400</v>
      </c>
      <c r="AC39">
        <f t="shared" si="14"/>
        <v>666.66666666666663</v>
      </c>
      <c r="AD39">
        <v>867</v>
      </c>
      <c r="AE39">
        <f t="shared" si="17"/>
        <v>600</v>
      </c>
      <c r="AF39">
        <f t="shared" si="15"/>
        <v>900</v>
      </c>
    </row>
    <row r="40" spans="2:32" x14ac:dyDescent="0.25">
      <c r="H40" s="38">
        <v>7</v>
      </c>
      <c r="I40" s="37">
        <f t="shared" si="12"/>
        <v>7500</v>
      </c>
      <c r="J40" s="37">
        <f t="shared" si="12"/>
        <v>7500</v>
      </c>
      <c r="K40" s="37">
        <f t="shared" si="12"/>
        <v>7700</v>
      </c>
      <c r="L40" s="37">
        <f t="shared" si="16"/>
        <v>7999.5</v>
      </c>
      <c r="M40" s="37">
        <f t="shared" si="13"/>
        <v>7600</v>
      </c>
      <c r="N40" s="37">
        <f t="shared" si="13"/>
        <v>7800</v>
      </c>
      <c r="U40">
        <v>7</v>
      </c>
      <c r="V40">
        <v>300</v>
      </c>
      <c r="W40">
        <v>300</v>
      </c>
      <c r="X40">
        <v>500</v>
      </c>
      <c r="Y40">
        <v>400</v>
      </c>
      <c r="Z40">
        <v>600</v>
      </c>
      <c r="AA40">
        <f t="shared" si="14"/>
        <v>200</v>
      </c>
      <c r="AB40">
        <f t="shared" si="14"/>
        <v>200</v>
      </c>
      <c r="AC40">
        <f t="shared" si="14"/>
        <v>333.33333333333331</v>
      </c>
      <c r="AD40">
        <v>533</v>
      </c>
      <c r="AE40">
        <f t="shared" si="17"/>
        <v>266.66666666666669</v>
      </c>
      <c r="AF40">
        <f t="shared" si="15"/>
        <v>400</v>
      </c>
    </row>
    <row r="42" spans="2:32" x14ac:dyDescent="0.25">
      <c r="J42" s="38" t="s">
        <v>240</v>
      </c>
    </row>
    <row r="43" spans="2:32" x14ac:dyDescent="0.25">
      <c r="I43" s="38" t="s">
        <v>239</v>
      </c>
      <c r="J43" s="38" t="s">
        <v>219</v>
      </c>
      <c r="K43" s="38" t="s">
        <v>217</v>
      </c>
      <c r="L43" s="38" t="s">
        <v>244</v>
      </c>
      <c r="M43" s="38" t="s">
        <v>245</v>
      </c>
      <c r="N43" s="38" t="s">
        <v>246</v>
      </c>
    </row>
    <row r="44" spans="2:32" x14ac:dyDescent="0.25">
      <c r="H44" s="38">
        <v>4</v>
      </c>
      <c r="I44" s="37">
        <f t="shared" ref="I44:N47" si="18">1000*$H37+$G$37+AA37</f>
        <v>4866.666666666667</v>
      </c>
      <c r="J44" s="37">
        <f t="shared" si="18"/>
        <v>5800</v>
      </c>
      <c r="K44" s="37">
        <f t="shared" si="18"/>
        <v>6866.6666666666661</v>
      </c>
      <c r="L44" s="37">
        <f t="shared" si="18"/>
        <v>5900</v>
      </c>
      <c r="M44" s="37">
        <f t="shared" si="18"/>
        <v>5933.333333333333</v>
      </c>
      <c r="N44" s="37">
        <f t="shared" si="18"/>
        <v>6800</v>
      </c>
    </row>
    <row r="45" spans="2:32" x14ac:dyDescent="0.25">
      <c r="H45" s="38">
        <v>5</v>
      </c>
      <c r="I45" s="37">
        <f t="shared" si="18"/>
        <v>5533.333333333333</v>
      </c>
      <c r="J45" s="37">
        <f t="shared" si="18"/>
        <v>6100</v>
      </c>
      <c r="K45" s="37">
        <f t="shared" si="18"/>
        <v>6700</v>
      </c>
      <c r="L45" s="37">
        <f t="shared" si="18"/>
        <v>6500</v>
      </c>
      <c r="M45" s="37">
        <f t="shared" si="18"/>
        <v>6266.666666666667</v>
      </c>
      <c r="N45" s="37">
        <f t="shared" si="18"/>
        <v>6800</v>
      </c>
    </row>
    <row r="46" spans="2:32" x14ac:dyDescent="0.25">
      <c r="B46" t="s">
        <v>364</v>
      </c>
      <c r="C46" t="s">
        <v>365</v>
      </c>
      <c r="H46" s="38">
        <v>6</v>
      </c>
      <c r="I46" s="37">
        <f t="shared" si="18"/>
        <v>6466.666666666667</v>
      </c>
      <c r="J46" s="37">
        <f t="shared" si="18"/>
        <v>6600</v>
      </c>
      <c r="K46" s="37">
        <f t="shared" si="18"/>
        <v>6866.666666666667</v>
      </c>
      <c r="L46" s="37">
        <f t="shared" si="18"/>
        <v>7067</v>
      </c>
      <c r="M46" s="37">
        <f t="shared" si="18"/>
        <v>6800</v>
      </c>
      <c r="N46" s="37">
        <f t="shared" si="18"/>
        <v>7100</v>
      </c>
    </row>
    <row r="47" spans="2:32" x14ac:dyDescent="0.25">
      <c r="B47">
        <v>3</v>
      </c>
      <c r="C47">
        <f>(3900*3+6900)/2+B47*1000</f>
        <v>12300</v>
      </c>
      <c r="H47" s="38">
        <v>7</v>
      </c>
      <c r="I47" s="37">
        <f t="shared" si="18"/>
        <v>7400</v>
      </c>
      <c r="J47" s="37">
        <f t="shared" si="18"/>
        <v>7400</v>
      </c>
      <c r="K47" s="37">
        <f t="shared" si="18"/>
        <v>7533.333333333333</v>
      </c>
      <c r="L47" s="37">
        <f t="shared" si="18"/>
        <v>7733</v>
      </c>
      <c r="M47" s="37">
        <f t="shared" si="18"/>
        <v>7466.666666666667</v>
      </c>
      <c r="N47" s="37">
        <f t="shared" si="18"/>
        <v>7600</v>
      </c>
    </row>
    <row r="48" spans="2:32" x14ac:dyDescent="0.25">
      <c r="B48">
        <v>4</v>
      </c>
      <c r="C48">
        <f>(2600*3+6000)/2+4000</f>
        <v>10900</v>
      </c>
    </row>
    <row r="49" spans="2:3" x14ac:dyDescent="0.25">
      <c r="B49">
        <v>5</v>
      </c>
      <c r="C49">
        <f>(1600*3+5100)/2+5000</f>
        <v>9950</v>
      </c>
    </row>
    <row r="50" spans="2:3" x14ac:dyDescent="0.25">
      <c r="B50">
        <v>6</v>
      </c>
      <c r="C50">
        <f>(900*3+3900)/2+6000</f>
        <v>9300</v>
      </c>
    </row>
    <row r="51" spans="2:3" x14ac:dyDescent="0.25">
      <c r="B51">
        <v>7</v>
      </c>
      <c r="C51">
        <f>(400*3+2600)/2+7000</f>
        <v>8900</v>
      </c>
    </row>
    <row r="52" spans="2:3" x14ac:dyDescent="0.25">
      <c r="B52">
        <v>8</v>
      </c>
      <c r="C52">
        <f>(200*3+1600)/2+8000</f>
        <v>9100</v>
      </c>
    </row>
    <row r="53" spans="2:3" x14ac:dyDescent="0.25">
      <c r="B53">
        <v>9</v>
      </c>
      <c r="C53">
        <f>(160*3+900)/2+9000</f>
        <v>9690</v>
      </c>
    </row>
    <row r="54" spans="2:3" x14ac:dyDescent="0.25">
      <c r="B54">
        <v>10</v>
      </c>
      <c r="C54">
        <f>(120*3+400)/2+10000</f>
        <v>10380</v>
      </c>
    </row>
  </sheetData>
  <conditionalFormatting sqref="I44:N47 I37:K40 M37:N40">
    <cfRule type="cellIs" dxfId="7" priority="6" operator="between">
      <formula>7999</formula>
      <formula>8209</formula>
    </cfRule>
    <cfRule type="cellIs" dxfId="6" priority="7" operator="between">
      <formula>7099</formula>
      <formula>7409</formula>
    </cfRule>
    <cfRule type="cellIs" dxfId="5" priority="8" operator="between">
      <formula>5999</formula>
      <formula>6009</formula>
    </cfRule>
    <cfRule type="cellIs" dxfId="4" priority="9" operator="greaterThan">
      <formula>8209</formula>
    </cfRule>
  </conditionalFormatting>
  <conditionalFormatting sqref="L37:L40">
    <cfRule type="cellIs" dxfId="3" priority="1" operator="greaterThan">
      <formula>8209</formula>
    </cfRule>
    <cfRule type="cellIs" dxfId="2" priority="2" operator="between">
      <formula>8000</formula>
      <formula>8209</formula>
    </cfRule>
    <cfRule type="cellIs" dxfId="1" priority="3" operator="between">
      <formula>7100</formula>
      <formula>7409</formula>
    </cfRule>
    <cfRule type="cellIs" dxfId="0" priority="4" operator="between">
      <formula>6000</formula>
      <formula>6009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5"/>
  <sheetViews>
    <sheetView workbookViewId="0">
      <pane xSplit="1" topLeftCell="B1" activePane="topRight" state="frozen"/>
      <selection pane="topRight" activeCell="D8" sqref="D8"/>
    </sheetView>
  </sheetViews>
  <sheetFormatPr defaultRowHeight="15" x14ac:dyDescent="0.25"/>
  <cols>
    <col min="1" max="1" width="19.85546875" customWidth="1"/>
    <col min="2" max="2" width="7.42578125" customWidth="1"/>
    <col min="6" max="6" width="13.85546875" customWidth="1"/>
    <col min="7" max="7" width="11.42578125" customWidth="1"/>
    <col min="8" max="8" width="9.42578125" customWidth="1"/>
    <col min="14" max="14" width="9.7109375" customWidth="1"/>
    <col min="19" max="19" width="10.85546875" customWidth="1"/>
  </cols>
  <sheetData>
    <row r="2" spans="1:25" x14ac:dyDescent="0.25">
      <c r="D2" t="s">
        <v>317</v>
      </c>
      <c r="S2" t="s">
        <v>316</v>
      </c>
    </row>
    <row r="3" spans="1:25" x14ac:dyDescent="0.25">
      <c r="A3" s="40" t="s">
        <v>255</v>
      </c>
      <c r="B3" s="45" t="s">
        <v>249</v>
      </c>
      <c r="C3" s="45" t="s">
        <v>247</v>
      </c>
      <c r="D3" s="45" t="s">
        <v>248</v>
      </c>
      <c r="E3" s="45" t="s">
        <v>251</v>
      </c>
      <c r="F3" s="45" t="s">
        <v>252</v>
      </c>
      <c r="G3" s="45" t="s">
        <v>253</v>
      </c>
      <c r="H3" s="45" t="s">
        <v>254</v>
      </c>
      <c r="I3" s="45" t="s">
        <v>250</v>
      </c>
      <c r="J3" s="43" t="s">
        <v>287</v>
      </c>
      <c r="K3" s="43" t="s">
        <v>200</v>
      </c>
      <c r="L3" s="43" t="s">
        <v>201</v>
      </c>
      <c r="M3" s="43" t="s">
        <v>289</v>
      </c>
      <c r="N3" s="43" t="s">
        <v>288</v>
      </c>
      <c r="Q3" s="45"/>
      <c r="R3" s="45"/>
      <c r="S3" s="45"/>
      <c r="T3" s="45"/>
      <c r="U3" s="45"/>
      <c r="V3" s="45"/>
      <c r="W3" s="45"/>
      <c r="X3" s="45"/>
      <c r="Y3" s="46"/>
    </row>
    <row r="4" spans="1:25" x14ac:dyDescent="0.25">
      <c r="A4" s="41" t="s">
        <v>256</v>
      </c>
      <c r="B4" s="44"/>
      <c r="C4" s="44">
        <v>310</v>
      </c>
      <c r="D4" s="44">
        <v>167</v>
      </c>
      <c r="E4" s="44">
        <v>478</v>
      </c>
      <c r="F4" s="44"/>
      <c r="G4" s="44"/>
      <c r="H4" s="44"/>
      <c r="I4" s="44"/>
      <c r="J4" s="42">
        <f>AVERAGE(B4:I4)</f>
        <v>318.33333333333331</v>
      </c>
      <c r="K4" s="42">
        <f>MIN(B4:I4)</f>
        <v>167</v>
      </c>
      <c r="L4" s="42">
        <f>MAX(B4:I4)</f>
        <v>478</v>
      </c>
      <c r="M4" s="42">
        <f t="shared" ref="M4:M29" si="0">L4-J4</f>
        <v>159.66666666666669</v>
      </c>
      <c r="N4" s="42">
        <f t="shared" ref="N4:N29" si="1">L4-K4</f>
        <v>311</v>
      </c>
      <c r="R4" s="47"/>
      <c r="S4" s="47"/>
      <c r="T4" s="47"/>
      <c r="U4" s="47"/>
      <c r="V4" s="47"/>
      <c r="W4" s="47"/>
      <c r="X4" s="47"/>
      <c r="Y4" s="47"/>
    </row>
    <row r="5" spans="1:25" x14ac:dyDescent="0.25">
      <c r="A5" s="40" t="s">
        <v>257</v>
      </c>
      <c r="B5" s="44">
        <v>502</v>
      </c>
      <c r="C5" s="44">
        <v>1498</v>
      </c>
      <c r="D5" s="44"/>
      <c r="E5" s="44">
        <v>2754</v>
      </c>
      <c r="F5" s="44"/>
      <c r="G5" s="44"/>
      <c r="H5" s="44"/>
      <c r="I5" s="44"/>
      <c r="J5" s="42">
        <f t="shared" ref="J5:J29" si="2">AVERAGE(B5:I5)</f>
        <v>1584.6666666666667</v>
      </c>
      <c r="K5" s="42">
        <f t="shared" ref="K5:K29" si="3">MIN(B5:I5)</f>
        <v>502</v>
      </c>
      <c r="L5" s="42">
        <f t="shared" ref="L5:L29" si="4">MAX(B5:I5)</f>
        <v>2754</v>
      </c>
      <c r="M5" s="42">
        <f t="shared" si="0"/>
        <v>1169.3333333333333</v>
      </c>
      <c r="N5" s="42">
        <f t="shared" si="1"/>
        <v>2252</v>
      </c>
      <c r="S5" s="47"/>
      <c r="T5" s="47"/>
      <c r="U5" s="47"/>
      <c r="V5" s="47"/>
      <c r="W5" s="47"/>
      <c r="X5" s="47"/>
      <c r="Y5" s="47"/>
    </row>
    <row r="6" spans="1:25" x14ac:dyDescent="0.25">
      <c r="A6" s="41" t="s">
        <v>258</v>
      </c>
      <c r="B6" s="44">
        <v>233</v>
      </c>
      <c r="C6" s="44">
        <v>422</v>
      </c>
      <c r="D6" s="44"/>
      <c r="E6" s="44"/>
      <c r="F6" s="44">
        <v>200</v>
      </c>
      <c r="G6" s="44"/>
      <c r="H6" s="44">
        <v>570</v>
      </c>
      <c r="I6" s="44"/>
      <c r="J6" s="42">
        <f t="shared" si="2"/>
        <v>356.25</v>
      </c>
      <c r="K6" s="42">
        <f t="shared" si="3"/>
        <v>200</v>
      </c>
      <c r="L6" s="42">
        <f t="shared" si="4"/>
        <v>570</v>
      </c>
      <c r="M6" s="42">
        <f t="shared" si="0"/>
        <v>213.75</v>
      </c>
      <c r="N6" s="42">
        <f t="shared" si="1"/>
        <v>370</v>
      </c>
      <c r="S6" s="47"/>
      <c r="T6" s="47"/>
      <c r="U6" s="47"/>
      <c r="V6" s="47"/>
      <c r="W6" s="47"/>
      <c r="X6" s="47"/>
      <c r="Y6" s="47"/>
    </row>
    <row r="7" spans="1:25" x14ac:dyDescent="0.25">
      <c r="A7" s="41" t="s">
        <v>259</v>
      </c>
      <c r="B7" s="44"/>
      <c r="C7" s="44">
        <v>202</v>
      </c>
      <c r="D7" s="44">
        <v>550</v>
      </c>
      <c r="E7" s="44"/>
      <c r="F7" s="44"/>
      <c r="G7" s="44">
        <v>227</v>
      </c>
      <c r="H7" s="44"/>
      <c r="I7" s="44">
        <v>696</v>
      </c>
      <c r="J7" s="42">
        <f t="shared" si="2"/>
        <v>418.75</v>
      </c>
      <c r="K7" s="42">
        <f t="shared" si="3"/>
        <v>202</v>
      </c>
      <c r="L7" s="42">
        <f t="shared" si="4"/>
        <v>696</v>
      </c>
      <c r="M7" s="42">
        <f t="shared" si="0"/>
        <v>277.25</v>
      </c>
      <c r="N7" s="42">
        <f t="shared" si="1"/>
        <v>494</v>
      </c>
      <c r="S7" s="47"/>
      <c r="T7" s="47"/>
      <c r="U7" s="47"/>
      <c r="V7" s="47"/>
      <c r="W7" s="47"/>
      <c r="X7" s="47"/>
      <c r="Y7" s="47"/>
    </row>
    <row r="8" spans="1:25" x14ac:dyDescent="0.25">
      <c r="A8" s="41" t="s">
        <v>260</v>
      </c>
      <c r="B8" s="44">
        <v>642</v>
      </c>
      <c r="C8" s="44">
        <v>805</v>
      </c>
      <c r="D8" s="44"/>
      <c r="E8" s="44">
        <v>437</v>
      </c>
      <c r="F8" s="44"/>
      <c r="G8" s="44">
        <v>159</v>
      </c>
      <c r="H8" s="44">
        <v>746</v>
      </c>
      <c r="I8" s="44"/>
      <c r="J8" s="42">
        <f t="shared" si="2"/>
        <v>557.79999999999995</v>
      </c>
      <c r="K8" s="42">
        <f t="shared" si="3"/>
        <v>159</v>
      </c>
      <c r="L8" s="42">
        <f t="shared" si="4"/>
        <v>805</v>
      </c>
      <c r="M8" s="42">
        <f t="shared" si="0"/>
        <v>247.20000000000005</v>
      </c>
      <c r="N8" s="42">
        <f t="shared" si="1"/>
        <v>646</v>
      </c>
      <c r="S8" s="47"/>
      <c r="T8" s="47"/>
      <c r="U8" s="47"/>
      <c r="V8" s="47"/>
      <c r="W8" s="47"/>
      <c r="X8" s="47"/>
      <c r="Y8" s="47"/>
    </row>
    <row r="9" spans="1:25" x14ac:dyDescent="0.25">
      <c r="A9" s="40" t="s">
        <v>261</v>
      </c>
      <c r="B9" s="44"/>
      <c r="C9" s="44">
        <v>1162</v>
      </c>
      <c r="D9" s="44">
        <v>34997</v>
      </c>
      <c r="E9" s="44"/>
      <c r="F9" s="44">
        <v>29337</v>
      </c>
      <c r="G9" s="44"/>
      <c r="H9" s="44"/>
      <c r="I9" s="44"/>
      <c r="J9" s="42">
        <f t="shared" si="2"/>
        <v>21832</v>
      </c>
      <c r="K9" s="42">
        <f t="shared" si="3"/>
        <v>1162</v>
      </c>
      <c r="L9" s="42">
        <f t="shared" si="4"/>
        <v>34997</v>
      </c>
      <c r="M9" s="42">
        <f t="shared" si="0"/>
        <v>13165</v>
      </c>
      <c r="N9" s="42">
        <f t="shared" si="1"/>
        <v>33835</v>
      </c>
      <c r="S9" s="47"/>
      <c r="T9" s="47"/>
      <c r="U9" s="47"/>
      <c r="V9" s="47"/>
      <c r="W9" s="47"/>
      <c r="X9" s="47"/>
      <c r="Y9" s="47"/>
    </row>
    <row r="10" spans="1:25" x14ac:dyDescent="0.25">
      <c r="A10" s="40" t="s">
        <v>262</v>
      </c>
      <c r="B10" s="44">
        <v>264</v>
      </c>
      <c r="C10" s="44">
        <v>4670</v>
      </c>
      <c r="D10" s="44">
        <v>333</v>
      </c>
      <c r="E10" s="44"/>
      <c r="F10" s="44"/>
      <c r="G10" s="44">
        <v>671</v>
      </c>
      <c r="H10" s="44">
        <v>203</v>
      </c>
      <c r="I10" s="44"/>
      <c r="J10" s="42">
        <f t="shared" si="2"/>
        <v>1228.2</v>
      </c>
      <c r="K10" s="42">
        <f t="shared" si="3"/>
        <v>203</v>
      </c>
      <c r="L10" s="42">
        <f t="shared" si="4"/>
        <v>4670</v>
      </c>
      <c r="M10" s="42">
        <f t="shared" si="0"/>
        <v>3441.8</v>
      </c>
      <c r="N10" s="42">
        <f t="shared" si="1"/>
        <v>4467</v>
      </c>
      <c r="S10" s="47"/>
      <c r="T10" s="47"/>
      <c r="U10" s="47"/>
      <c r="V10" s="47"/>
      <c r="W10" s="47"/>
      <c r="X10" s="47"/>
      <c r="Y10" s="47"/>
    </row>
    <row r="11" spans="1:25" x14ac:dyDescent="0.25">
      <c r="A11" s="41" t="s">
        <v>265</v>
      </c>
      <c r="B11" s="44">
        <v>1014</v>
      </c>
      <c r="C11" s="44"/>
      <c r="D11" s="44">
        <v>479</v>
      </c>
      <c r="E11" s="44"/>
      <c r="F11" s="44"/>
      <c r="G11" s="44">
        <v>582</v>
      </c>
      <c r="H11" s="44"/>
      <c r="I11" s="44"/>
      <c r="J11" s="42">
        <f t="shared" si="2"/>
        <v>691.66666666666663</v>
      </c>
      <c r="K11" s="42">
        <f t="shared" si="3"/>
        <v>479</v>
      </c>
      <c r="L11" s="42">
        <f t="shared" si="4"/>
        <v>1014</v>
      </c>
      <c r="M11" s="42">
        <f t="shared" si="0"/>
        <v>322.33333333333337</v>
      </c>
      <c r="N11" s="42">
        <f t="shared" si="1"/>
        <v>535</v>
      </c>
      <c r="S11" s="47"/>
      <c r="T11" s="47"/>
      <c r="U11" s="47"/>
      <c r="V11" s="47"/>
      <c r="W11" s="47"/>
      <c r="X11" s="47"/>
      <c r="Y11" s="47"/>
    </row>
    <row r="12" spans="1:25" x14ac:dyDescent="0.25">
      <c r="A12" s="41" t="s">
        <v>266</v>
      </c>
      <c r="B12" s="44">
        <v>798</v>
      </c>
      <c r="C12" s="44"/>
      <c r="D12" s="44">
        <v>502</v>
      </c>
      <c r="E12" s="44"/>
      <c r="F12" s="44"/>
      <c r="G12" s="44"/>
      <c r="H12" s="44"/>
      <c r="I12" s="44"/>
      <c r="J12" s="42">
        <f t="shared" si="2"/>
        <v>650</v>
      </c>
      <c r="K12" s="42">
        <f t="shared" si="3"/>
        <v>502</v>
      </c>
      <c r="L12" s="42">
        <f t="shared" si="4"/>
        <v>798</v>
      </c>
      <c r="M12" s="42">
        <f t="shared" si="0"/>
        <v>148</v>
      </c>
      <c r="N12" s="42">
        <f t="shared" si="1"/>
        <v>296</v>
      </c>
      <c r="S12" s="47"/>
      <c r="T12" s="47"/>
      <c r="U12" s="47"/>
      <c r="V12" s="47"/>
      <c r="W12" s="47"/>
      <c r="X12" s="47"/>
      <c r="Y12" s="47"/>
    </row>
    <row r="13" spans="1:25" x14ac:dyDescent="0.25">
      <c r="A13" s="41" t="s">
        <v>267</v>
      </c>
      <c r="B13" s="44"/>
      <c r="C13" s="44"/>
      <c r="D13" s="44">
        <v>962</v>
      </c>
      <c r="E13" s="44"/>
      <c r="F13" s="44"/>
      <c r="G13" s="44"/>
      <c r="H13" s="44">
        <v>300</v>
      </c>
      <c r="I13" s="44">
        <v>1651</v>
      </c>
      <c r="J13" s="42">
        <f t="shared" si="2"/>
        <v>971</v>
      </c>
      <c r="K13" s="42">
        <f t="shared" si="3"/>
        <v>300</v>
      </c>
      <c r="L13" s="42">
        <f t="shared" si="4"/>
        <v>1651</v>
      </c>
      <c r="M13" s="42">
        <f t="shared" si="0"/>
        <v>680</v>
      </c>
      <c r="N13" s="42">
        <f t="shared" si="1"/>
        <v>1351</v>
      </c>
      <c r="S13" s="47"/>
      <c r="T13" s="47"/>
      <c r="U13" s="47"/>
      <c r="V13" s="47"/>
      <c r="W13" s="47"/>
      <c r="X13" s="47"/>
      <c r="Y13" s="47"/>
    </row>
    <row r="14" spans="1:25" x14ac:dyDescent="0.25">
      <c r="A14" s="41" t="s">
        <v>268</v>
      </c>
      <c r="B14" s="44"/>
      <c r="C14" s="44"/>
      <c r="D14" s="44">
        <v>666</v>
      </c>
      <c r="E14" s="44"/>
      <c r="F14" s="44">
        <v>648</v>
      </c>
      <c r="G14" s="44"/>
      <c r="H14" s="44">
        <v>1127</v>
      </c>
      <c r="I14" s="44">
        <v>1265</v>
      </c>
      <c r="J14" s="42">
        <f t="shared" si="2"/>
        <v>926.5</v>
      </c>
      <c r="K14" s="42">
        <f t="shared" si="3"/>
        <v>648</v>
      </c>
      <c r="L14" s="42">
        <f t="shared" si="4"/>
        <v>1265</v>
      </c>
      <c r="M14" s="42">
        <f t="shared" si="0"/>
        <v>338.5</v>
      </c>
      <c r="N14" s="42">
        <f t="shared" si="1"/>
        <v>617</v>
      </c>
      <c r="S14" s="47"/>
      <c r="T14" s="47"/>
      <c r="U14" s="47"/>
      <c r="V14" s="47"/>
      <c r="W14" s="47"/>
      <c r="X14" s="47"/>
      <c r="Y14" s="47"/>
    </row>
    <row r="15" spans="1:25" x14ac:dyDescent="0.25">
      <c r="A15" s="41" t="s">
        <v>269</v>
      </c>
      <c r="B15" s="44"/>
      <c r="C15" s="44"/>
      <c r="D15" s="44">
        <v>1829</v>
      </c>
      <c r="E15" s="44">
        <v>3998</v>
      </c>
      <c r="F15" s="44"/>
      <c r="G15" s="44">
        <v>2329</v>
      </c>
      <c r="H15" s="44"/>
      <c r="I15" s="44"/>
      <c r="J15" s="42">
        <f t="shared" si="2"/>
        <v>2718.6666666666665</v>
      </c>
      <c r="K15" s="42">
        <f t="shared" si="3"/>
        <v>1829</v>
      </c>
      <c r="L15" s="42">
        <f t="shared" si="4"/>
        <v>3998</v>
      </c>
      <c r="M15" s="42">
        <f t="shared" si="0"/>
        <v>1279.3333333333335</v>
      </c>
      <c r="N15" s="42">
        <f t="shared" si="1"/>
        <v>2169</v>
      </c>
      <c r="S15" s="47"/>
      <c r="T15" s="47"/>
      <c r="U15" s="47"/>
      <c r="V15" s="47"/>
      <c r="W15" s="47"/>
      <c r="X15" s="47"/>
      <c r="Y15" s="47"/>
    </row>
    <row r="16" spans="1:25" x14ac:dyDescent="0.25">
      <c r="A16" s="41" t="s">
        <v>270</v>
      </c>
      <c r="B16" s="44">
        <v>1269</v>
      </c>
      <c r="C16" s="44"/>
      <c r="D16" s="44">
        <v>1204</v>
      </c>
      <c r="E16" s="44">
        <v>1662</v>
      </c>
      <c r="F16" s="44">
        <v>1005</v>
      </c>
      <c r="G16" s="44"/>
      <c r="H16" s="44"/>
      <c r="I16" s="44"/>
      <c r="J16" s="42">
        <f t="shared" si="2"/>
        <v>1285</v>
      </c>
      <c r="K16" s="42">
        <f t="shared" si="3"/>
        <v>1005</v>
      </c>
      <c r="L16" s="42">
        <f t="shared" si="4"/>
        <v>1662</v>
      </c>
      <c r="M16" s="42">
        <f t="shared" si="0"/>
        <v>377</v>
      </c>
      <c r="N16" s="42">
        <f t="shared" si="1"/>
        <v>657</v>
      </c>
      <c r="S16" s="47"/>
      <c r="T16" s="47"/>
      <c r="U16" s="47"/>
      <c r="V16" s="47"/>
      <c r="W16" s="47"/>
      <c r="X16" s="47"/>
      <c r="Y16" s="47"/>
    </row>
    <row r="17" spans="1:25" x14ac:dyDescent="0.25">
      <c r="A17" s="41" t="s">
        <v>271</v>
      </c>
      <c r="B17" s="44"/>
      <c r="C17" s="44"/>
      <c r="D17" s="44">
        <v>3499</v>
      </c>
      <c r="E17" s="44">
        <v>1333</v>
      </c>
      <c r="F17" s="44"/>
      <c r="G17" s="44"/>
      <c r="H17" s="44">
        <v>4004</v>
      </c>
      <c r="I17" s="44">
        <v>9737</v>
      </c>
      <c r="J17" s="42">
        <f t="shared" si="2"/>
        <v>4643.25</v>
      </c>
      <c r="K17" s="42">
        <f t="shared" si="3"/>
        <v>1333</v>
      </c>
      <c r="L17" s="42">
        <f t="shared" si="4"/>
        <v>9737</v>
      </c>
      <c r="M17" s="42">
        <f t="shared" si="0"/>
        <v>5093.75</v>
      </c>
      <c r="N17" s="42">
        <f t="shared" si="1"/>
        <v>8404</v>
      </c>
      <c r="S17" s="47"/>
      <c r="T17" s="47"/>
      <c r="U17" s="47"/>
      <c r="V17" s="47"/>
      <c r="W17" s="47"/>
      <c r="X17" s="47"/>
      <c r="Y17" s="47"/>
    </row>
    <row r="18" spans="1:25" x14ac:dyDescent="0.25">
      <c r="A18" s="41" t="s">
        <v>273</v>
      </c>
      <c r="B18" s="44"/>
      <c r="C18" s="44"/>
      <c r="D18" s="44">
        <v>12671</v>
      </c>
      <c r="E18" s="44"/>
      <c r="F18" s="44"/>
      <c r="G18" s="44"/>
      <c r="H18" s="44">
        <v>8665</v>
      </c>
      <c r="I18" s="44"/>
      <c r="J18" s="42">
        <f t="shared" si="2"/>
        <v>10668</v>
      </c>
      <c r="K18" s="42">
        <f t="shared" si="3"/>
        <v>8665</v>
      </c>
      <c r="L18" s="42">
        <f t="shared" si="4"/>
        <v>12671</v>
      </c>
      <c r="M18" s="42">
        <f t="shared" si="0"/>
        <v>2003</v>
      </c>
      <c r="N18" s="42">
        <f t="shared" si="1"/>
        <v>4006</v>
      </c>
      <c r="S18" s="47"/>
      <c r="T18" s="47"/>
      <c r="U18" s="47"/>
      <c r="V18" s="47"/>
      <c r="W18" s="47"/>
      <c r="X18" s="47"/>
      <c r="Y18" s="47"/>
    </row>
    <row r="19" spans="1:25" x14ac:dyDescent="0.25">
      <c r="A19" s="41" t="s">
        <v>274</v>
      </c>
      <c r="B19" s="44"/>
      <c r="C19" s="44"/>
      <c r="D19" s="44"/>
      <c r="E19" s="44"/>
      <c r="F19" s="44">
        <v>683</v>
      </c>
      <c r="G19" s="44">
        <v>271</v>
      </c>
      <c r="H19" s="44"/>
      <c r="I19" s="44"/>
      <c r="J19" s="42">
        <f t="shared" si="2"/>
        <v>477</v>
      </c>
      <c r="K19" s="42">
        <f t="shared" si="3"/>
        <v>271</v>
      </c>
      <c r="L19" s="42">
        <f t="shared" si="4"/>
        <v>683</v>
      </c>
      <c r="M19" s="42">
        <f t="shared" si="0"/>
        <v>206</v>
      </c>
      <c r="N19" s="42">
        <f t="shared" si="1"/>
        <v>412</v>
      </c>
      <c r="S19" s="47"/>
      <c r="T19" s="47"/>
      <c r="U19" s="47"/>
      <c r="V19" s="47"/>
      <c r="W19" s="47"/>
      <c r="X19" s="47"/>
      <c r="Y19" s="47"/>
    </row>
    <row r="20" spans="1:25" x14ac:dyDescent="0.25">
      <c r="A20" s="41" t="s">
        <v>275</v>
      </c>
      <c r="B20" s="44"/>
      <c r="C20" s="44"/>
      <c r="D20" s="44"/>
      <c r="E20" s="44">
        <v>7505</v>
      </c>
      <c r="F20" s="44"/>
      <c r="G20" s="44">
        <v>11667</v>
      </c>
      <c r="H20" s="44">
        <v>11332</v>
      </c>
      <c r="I20" s="44"/>
      <c r="J20" s="42">
        <f t="shared" si="2"/>
        <v>10168</v>
      </c>
      <c r="K20" s="42">
        <f t="shared" si="3"/>
        <v>7505</v>
      </c>
      <c r="L20" s="42">
        <f t="shared" si="4"/>
        <v>11667</v>
      </c>
      <c r="M20" s="42">
        <f t="shared" si="0"/>
        <v>1499</v>
      </c>
      <c r="N20" s="42">
        <f t="shared" si="1"/>
        <v>4162</v>
      </c>
      <c r="S20" s="47"/>
      <c r="T20" s="47"/>
      <c r="U20" s="47"/>
      <c r="V20" s="47"/>
      <c r="W20" s="47"/>
      <c r="X20" s="47"/>
      <c r="Y20" s="47"/>
    </row>
    <row r="21" spans="1:25" x14ac:dyDescent="0.25">
      <c r="A21" s="40" t="s">
        <v>276</v>
      </c>
      <c r="B21" s="44"/>
      <c r="C21" s="44"/>
      <c r="D21" s="44"/>
      <c r="E21" s="44">
        <v>40001</v>
      </c>
      <c r="F21" s="44"/>
      <c r="G21" s="44">
        <v>28331</v>
      </c>
      <c r="H21" s="44">
        <v>29995</v>
      </c>
      <c r="I21" s="44"/>
      <c r="J21" s="42">
        <f t="shared" si="2"/>
        <v>32775.666666666664</v>
      </c>
      <c r="K21" s="42">
        <f t="shared" si="3"/>
        <v>28331</v>
      </c>
      <c r="L21" s="42">
        <f t="shared" si="4"/>
        <v>40001</v>
      </c>
      <c r="M21" s="42">
        <f t="shared" si="0"/>
        <v>7225.3333333333358</v>
      </c>
      <c r="N21" s="42">
        <f t="shared" si="1"/>
        <v>11670</v>
      </c>
      <c r="S21" s="47"/>
      <c r="T21" s="47"/>
      <c r="U21" s="47"/>
      <c r="V21" s="47"/>
      <c r="W21" s="47"/>
      <c r="X21" s="47"/>
      <c r="Y21" s="47"/>
    </row>
    <row r="22" spans="1:25" x14ac:dyDescent="0.25">
      <c r="A22" s="41" t="s">
        <v>278</v>
      </c>
      <c r="B22" s="44"/>
      <c r="C22" s="44"/>
      <c r="D22" s="44"/>
      <c r="E22" s="44"/>
      <c r="F22" s="44">
        <v>2933</v>
      </c>
      <c r="G22" s="44"/>
      <c r="H22" s="44">
        <v>1198</v>
      </c>
      <c r="I22" s="44">
        <v>4266</v>
      </c>
      <c r="J22" s="42">
        <f t="shared" si="2"/>
        <v>2799</v>
      </c>
      <c r="K22" s="42">
        <f t="shared" si="3"/>
        <v>1198</v>
      </c>
      <c r="L22" s="42">
        <f t="shared" si="4"/>
        <v>4266</v>
      </c>
      <c r="M22" s="42">
        <f t="shared" si="0"/>
        <v>1467</v>
      </c>
      <c r="N22" s="42">
        <f t="shared" si="1"/>
        <v>3068</v>
      </c>
      <c r="S22" s="47"/>
      <c r="T22" s="47"/>
      <c r="U22" s="47"/>
      <c r="V22" s="47"/>
      <c r="W22" s="47"/>
      <c r="X22" s="47"/>
      <c r="Y22" s="47"/>
    </row>
    <row r="23" spans="1:25" x14ac:dyDescent="0.25">
      <c r="A23" s="41" t="s">
        <v>279</v>
      </c>
      <c r="B23" s="44"/>
      <c r="C23" s="44"/>
      <c r="D23" s="44"/>
      <c r="E23" s="44"/>
      <c r="F23" s="44">
        <v>24004</v>
      </c>
      <c r="G23" s="44"/>
      <c r="H23" s="44"/>
      <c r="I23" s="44">
        <v>35002</v>
      </c>
      <c r="J23" s="42">
        <f t="shared" si="2"/>
        <v>29503</v>
      </c>
      <c r="K23" s="42">
        <f t="shared" si="3"/>
        <v>24004</v>
      </c>
      <c r="L23" s="42">
        <f t="shared" si="4"/>
        <v>35002</v>
      </c>
      <c r="M23" s="42">
        <f t="shared" si="0"/>
        <v>5499</v>
      </c>
      <c r="N23" s="42">
        <f t="shared" si="1"/>
        <v>10998</v>
      </c>
      <c r="S23" s="47"/>
      <c r="T23" s="47"/>
      <c r="U23" s="47"/>
      <c r="V23" s="47"/>
      <c r="W23" s="47"/>
      <c r="X23" s="47"/>
      <c r="Y23" s="47"/>
    </row>
    <row r="24" spans="1:25" x14ac:dyDescent="0.25">
      <c r="A24" s="40" t="s">
        <v>280</v>
      </c>
      <c r="B24" s="44">
        <v>10002</v>
      </c>
      <c r="C24" s="44"/>
      <c r="D24" s="44"/>
      <c r="E24" s="44"/>
      <c r="F24" s="44">
        <v>10667</v>
      </c>
      <c r="G24" s="44"/>
      <c r="H24" s="44"/>
      <c r="I24" s="44">
        <v>29328</v>
      </c>
      <c r="J24" s="42">
        <f t="shared" si="2"/>
        <v>16665.666666666668</v>
      </c>
      <c r="K24" s="42">
        <f t="shared" si="3"/>
        <v>10002</v>
      </c>
      <c r="L24" s="42">
        <f t="shared" si="4"/>
        <v>29328</v>
      </c>
      <c r="M24" s="42">
        <f t="shared" si="0"/>
        <v>12662.333333333332</v>
      </c>
      <c r="N24" s="42">
        <f t="shared" si="1"/>
        <v>19326</v>
      </c>
      <c r="S24" s="47"/>
      <c r="T24" s="47"/>
      <c r="U24" s="47"/>
      <c r="V24" s="47"/>
      <c r="W24" s="47"/>
      <c r="X24" s="47"/>
      <c r="Y24" s="47"/>
    </row>
    <row r="25" spans="1:25" x14ac:dyDescent="0.25">
      <c r="A25" s="41" t="s">
        <v>281</v>
      </c>
      <c r="B25" s="44">
        <v>14002</v>
      </c>
      <c r="C25" s="44"/>
      <c r="D25" s="44"/>
      <c r="E25" s="44"/>
      <c r="F25" s="44">
        <v>10670</v>
      </c>
      <c r="G25" s="44"/>
      <c r="H25" s="44"/>
      <c r="I25" s="44"/>
      <c r="J25" s="42">
        <f t="shared" si="2"/>
        <v>12336</v>
      </c>
      <c r="K25" s="42">
        <f t="shared" si="3"/>
        <v>10670</v>
      </c>
      <c r="L25" s="42">
        <f t="shared" si="4"/>
        <v>14002</v>
      </c>
      <c r="M25" s="42">
        <f t="shared" si="0"/>
        <v>1666</v>
      </c>
      <c r="N25" s="42">
        <f t="shared" si="1"/>
        <v>3332</v>
      </c>
      <c r="S25" s="47"/>
      <c r="T25" s="47"/>
      <c r="U25" s="47"/>
      <c r="V25" s="47"/>
      <c r="W25" s="47"/>
      <c r="X25" s="47"/>
      <c r="Y25" s="47"/>
    </row>
    <row r="26" spans="1:25" x14ac:dyDescent="0.25">
      <c r="A26" s="41" t="s">
        <v>283</v>
      </c>
      <c r="B26" s="44">
        <v>7999</v>
      </c>
      <c r="C26" s="44"/>
      <c r="D26" s="44"/>
      <c r="E26" s="44"/>
      <c r="F26" s="44"/>
      <c r="G26" s="44"/>
      <c r="H26" s="44"/>
      <c r="I26" s="44">
        <v>8005</v>
      </c>
      <c r="J26" s="42">
        <f t="shared" si="2"/>
        <v>8002</v>
      </c>
      <c r="K26" s="42">
        <f t="shared" si="3"/>
        <v>7999</v>
      </c>
      <c r="L26" s="42">
        <f t="shared" si="4"/>
        <v>8005</v>
      </c>
      <c r="M26" s="42">
        <f t="shared" si="0"/>
        <v>3</v>
      </c>
      <c r="N26" s="42">
        <f t="shared" si="1"/>
        <v>6</v>
      </c>
      <c r="S26" s="47"/>
      <c r="T26" s="47"/>
      <c r="U26" s="47"/>
      <c r="V26" s="47"/>
      <c r="W26" s="47"/>
      <c r="X26" s="47"/>
      <c r="Y26" s="47"/>
    </row>
    <row r="27" spans="1:25" x14ac:dyDescent="0.25">
      <c r="A27" s="41" t="s">
        <v>284</v>
      </c>
      <c r="B27" s="44">
        <v>16002</v>
      </c>
      <c r="C27" s="44"/>
      <c r="D27" s="44"/>
      <c r="E27" s="44"/>
      <c r="F27" s="44"/>
      <c r="G27" s="44"/>
      <c r="H27" s="44">
        <v>29334</v>
      </c>
      <c r="I27" s="44"/>
      <c r="J27" s="42">
        <f t="shared" si="2"/>
        <v>22668</v>
      </c>
      <c r="K27" s="42">
        <f t="shared" si="3"/>
        <v>16002</v>
      </c>
      <c r="L27" s="42">
        <f t="shared" si="4"/>
        <v>29334</v>
      </c>
      <c r="M27" s="42">
        <f t="shared" si="0"/>
        <v>6666</v>
      </c>
      <c r="N27" s="42">
        <f t="shared" si="1"/>
        <v>13332</v>
      </c>
      <c r="S27" s="47"/>
      <c r="T27" s="47"/>
      <c r="U27" s="47"/>
      <c r="V27" s="47"/>
      <c r="W27" s="47"/>
      <c r="X27" s="47"/>
      <c r="Y27" s="47"/>
    </row>
    <row r="28" spans="1:25" x14ac:dyDescent="0.25">
      <c r="A28" s="41" t="s">
        <v>285</v>
      </c>
      <c r="B28" s="44">
        <v>31998</v>
      </c>
      <c r="C28" s="44"/>
      <c r="D28" s="44"/>
      <c r="E28" s="44"/>
      <c r="F28" s="44"/>
      <c r="G28" s="44"/>
      <c r="H28" s="44"/>
      <c r="I28" s="44">
        <v>42999</v>
      </c>
      <c r="J28" s="42">
        <f t="shared" si="2"/>
        <v>37498.5</v>
      </c>
      <c r="K28" s="42">
        <f t="shared" si="3"/>
        <v>31998</v>
      </c>
      <c r="L28" s="42">
        <f t="shared" si="4"/>
        <v>42999</v>
      </c>
      <c r="M28" s="42">
        <f t="shared" si="0"/>
        <v>5500.5</v>
      </c>
      <c r="N28" s="42">
        <f t="shared" si="1"/>
        <v>11001</v>
      </c>
      <c r="S28" s="47"/>
      <c r="T28" s="47"/>
      <c r="U28" s="47"/>
      <c r="V28" s="47"/>
      <c r="W28" s="47"/>
      <c r="X28" s="47"/>
      <c r="Y28" s="47"/>
    </row>
    <row r="29" spans="1:25" x14ac:dyDescent="0.25">
      <c r="A29" s="41" t="s">
        <v>286</v>
      </c>
      <c r="B29" s="44">
        <v>26671</v>
      </c>
      <c r="C29" s="44"/>
      <c r="D29" s="44"/>
      <c r="E29" s="44"/>
      <c r="F29" s="44"/>
      <c r="G29" s="44"/>
      <c r="H29" s="44"/>
      <c r="I29" s="44">
        <v>64999</v>
      </c>
      <c r="J29" s="42">
        <f t="shared" si="2"/>
        <v>45835</v>
      </c>
      <c r="K29" s="42">
        <f t="shared" si="3"/>
        <v>26671</v>
      </c>
      <c r="L29" s="42">
        <f t="shared" si="4"/>
        <v>64999</v>
      </c>
      <c r="M29" s="42">
        <f t="shared" si="0"/>
        <v>19164</v>
      </c>
      <c r="N29" s="42">
        <f t="shared" si="1"/>
        <v>38328</v>
      </c>
      <c r="S29" s="47"/>
      <c r="T29" s="47"/>
      <c r="U29" s="47"/>
      <c r="V29" s="47"/>
      <c r="W29" s="47"/>
      <c r="X29" s="47"/>
      <c r="Y29" s="47"/>
    </row>
    <row r="30" spans="1:25" x14ac:dyDescent="0.25">
      <c r="A30" s="41"/>
      <c r="B30" s="41"/>
      <c r="C30" s="41"/>
      <c r="D30" s="41"/>
      <c r="E30" s="41"/>
      <c r="F30" s="41"/>
      <c r="G30" s="41"/>
      <c r="H30" s="41"/>
      <c r="I30" s="41"/>
    </row>
    <row r="31" spans="1:25" x14ac:dyDescent="0.25">
      <c r="A31" t="s">
        <v>263</v>
      </c>
      <c r="C31">
        <v>160</v>
      </c>
    </row>
    <row r="32" spans="1:25" x14ac:dyDescent="0.25">
      <c r="A32" t="s">
        <v>264</v>
      </c>
      <c r="C32">
        <v>854</v>
      </c>
    </row>
    <row r="33" spans="1:8" x14ac:dyDescent="0.25">
      <c r="A33" t="s">
        <v>272</v>
      </c>
      <c r="D33">
        <v>8929</v>
      </c>
    </row>
    <row r="34" spans="1:8" x14ac:dyDescent="0.25">
      <c r="A34" t="s">
        <v>277</v>
      </c>
      <c r="H34">
        <v>11331</v>
      </c>
    </row>
    <row r="35" spans="1:8" x14ac:dyDescent="0.25">
      <c r="A35" t="s">
        <v>282</v>
      </c>
      <c r="G35">
        <v>7666</v>
      </c>
    </row>
  </sheetData>
  <conditionalFormatting sqref="M4:M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119"/>
  <sheetViews>
    <sheetView topLeftCell="B4" workbookViewId="0">
      <pane ySplit="1" topLeftCell="A34" activePane="bottomLeft" state="frozen"/>
      <selection activeCell="A4" sqref="A4"/>
      <selection pane="bottomLeft" activeCell="C56" sqref="C56"/>
    </sheetView>
  </sheetViews>
  <sheetFormatPr defaultRowHeight="15" x14ac:dyDescent="0.25"/>
  <cols>
    <col min="3" max="3" width="15.42578125" customWidth="1"/>
    <col min="4" max="15" width="2.7109375" customWidth="1"/>
    <col min="16" max="17" width="9.140625" style="39"/>
    <col min="18" max="20" width="2.7109375" customWidth="1"/>
    <col min="21" max="22" width="9.140625" style="39"/>
  </cols>
  <sheetData>
    <row r="4" spans="3:24" x14ac:dyDescent="0.25">
      <c r="D4" s="39">
        <v>1</v>
      </c>
      <c r="E4" s="39">
        <v>2</v>
      </c>
      <c r="F4" s="39">
        <v>3</v>
      </c>
      <c r="G4" s="39">
        <v>4</v>
      </c>
      <c r="H4" s="39">
        <v>5</v>
      </c>
      <c r="I4" s="39">
        <v>6</v>
      </c>
      <c r="J4" s="39">
        <v>7</v>
      </c>
      <c r="K4" s="39">
        <v>8</v>
      </c>
      <c r="L4" s="39">
        <v>9</v>
      </c>
      <c r="M4" s="39">
        <v>10</v>
      </c>
      <c r="N4" s="39">
        <v>11</v>
      </c>
      <c r="O4" s="39" t="s">
        <v>296</v>
      </c>
      <c r="P4" s="39" t="s">
        <v>297</v>
      </c>
      <c r="Q4" s="39" t="s">
        <v>130</v>
      </c>
      <c r="R4" s="39" t="s">
        <v>298</v>
      </c>
      <c r="S4" s="39" t="s">
        <v>302</v>
      </c>
      <c r="T4" s="39" t="s">
        <v>303</v>
      </c>
      <c r="U4" s="39" t="s">
        <v>309</v>
      </c>
      <c r="V4" s="39" t="s">
        <v>310</v>
      </c>
      <c r="W4" s="39" t="s">
        <v>318</v>
      </c>
      <c r="X4" s="39" t="s">
        <v>319</v>
      </c>
    </row>
    <row r="7" spans="3:24" x14ac:dyDescent="0.25">
      <c r="C7" t="s">
        <v>247</v>
      </c>
    </row>
    <row r="8" spans="3:24" x14ac:dyDescent="0.25">
      <c r="D8" t="s">
        <v>295</v>
      </c>
    </row>
    <row r="10" spans="3:24" x14ac:dyDescent="0.25">
      <c r="C10" t="s">
        <v>256</v>
      </c>
      <c r="D10">
        <v>320</v>
      </c>
      <c r="E10">
        <v>320</v>
      </c>
      <c r="F10">
        <v>314</v>
      </c>
      <c r="G10">
        <v>316</v>
      </c>
      <c r="H10">
        <v>384</v>
      </c>
      <c r="I10">
        <v>382</v>
      </c>
      <c r="J10">
        <v>388</v>
      </c>
      <c r="K10">
        <v>381</v>
      </c>
      <c r="L10">
        <v>311</v>
      </c>
      <c r="M10">
        <v>319</v>
      </c>
      <c r="N10">
        <v>388</v>
      </c>
      <c r="O10">
        <f t="shared" ref="O10:O16" si="0">AVERAGE(D10:N10)</f>
        <v>347.54545454545456</v>
      </c>
      <c r="P10" s="39">
        <f t="shared" ref="P10:P16" si="1">MIN(D10:N10)</f>
        <v>311</v>
      </c>
      <c r="Q10" s="39">
        <f t="shared" ref="Q10:Q16" si="2">MAX(D10:N10)</f>
        <v>388</v>
      </c>
      <c r="R10">
        <f t="shared" ref="R10:R16" si="3">Q10-P10</f>
        <v>77</v>
      </c>
      <c r="S10">
        <f t="shared" ref="S10:S16" si="4">CEILING(R10-20,10)</f>
        <v>60</v>
      </c>
      <c r="T10">
        <f t="shared" ref="T10:T16" si="5">S10/2</f>
        <v>30</v>
      </c>
      <c r="U10" s="39">
        <v>9</v>
      </c>
      <c r="V10" s="39">
        <v>11</v>
      </c>
      <c r="W10">
        <f>U10*Q10</f>
        <v>3492</v>
      </c>
      <c r="X10">
        <f>V10*P10</f>
        <v>3421</v>
      </c>
    </row>
    <row r="11" spans="3:24" x14ac:dyDescent="0.25">
      <c r="C11" t="s">
        <v>291</v>
      </c>
      <c r="D11">
        <v>1497</v>
      </c>
      <c r="E11">
        <v>1496</v>
      </c>
      <c r="F11">
        <v>1496</v>
      </c>
      <c r="G11">
        <v>1500</v>
      </c>
      <c r="H11">
        <v>1499</v>
      </c>
      <c r="I11">
        <v>1501</v>
      </c>
      <c r="J11">
        <v>1495</v>
      </c>
      <c r="K11">
        <v>1497</v>
      </c>
      <c r="L11">
        <v>1496</v>
      </c>
      <c r="M11">
        <v>1502</v>
      </c>
      <c r="N11">
        <v>1504</v>
      </c>
      <c r="O11">
        <f t="shared" si="0"/>
        <v>1498.4545454545455</v>
      </c>
      <c r="P11" s="39">
        <f t="shared" si="1"/>
        <v>1495</v>
      </c>
      <c r="Q11" s="39">
        <f t="shared" si="2"/>
        <v>1504</v>
      </c>
      <c r="R11">
        <f t="shared" si="3"/>
        <v>9</v>
      </c>
      <c r="S11">
        <f t="shared" si="4"/>
        <v>-10</v>
      </c>
      <c r="T11">
        <f t="shared" si="5"/>
        <v>-5</v>
      </c>
      <c r="U11" s="39">
        <v>3</v>
      </c>
      <c r="V11" s="39">
        <v>3</v>
      </c>
      <c r="W11">
        <f t="shared" ref="W11:W16" si="6">U11*Q11</f>
        <v>4512</v>
      </c>
      <c r="X11">
        <f t="shared" ref="X11:X16" si="7">V11*P11</f>
        <v>4485</v>
      </c>
    </row>
    <row r="12" spans="3:24" x14ac:dyDescent="0.25">
      <c r="C12" t="s">
        <v>292</v>
      </c>
      <c r="D12">
        <v>416</v>
      </c>
      <c r="E12">
        <v>425</v>
      </c>
      <c r="F12">
        <v>281</v>
      </c>
      <c r="G12">
        <v>419</v>
      </c>
      <c r="H12">
        <v>419</v>
      </c>
      <c r="I12">
        <v>415</v>
      </c>
      <c r="J12">
        <v>423</v>
      </c>
      <c r="K12">
        <v>422</v>
      </c>
      <c r="L12">
        <v>424</v>
      </c>
      <c r="M12">
        <v>276</v>
      </c>
      <c r="N12">
        <v>280</v>
      </c>
      <c r="O12">
        <f t="shared" si="0"/>
        <v>381.81818181818181</v>
      </c>
      <c r="P12" s="39">
        <f t="shared" si="1"/>
        <v>276</v>
      </c>
      <c r="Q12" s="39">
        <f t="shared" si="2"/>
        <v>425</v>
      </c>
      <c r="R12">
        <f t="shared" si="3"/>
        <v>149</v>
      </c>
      <c r="S12">
        <f t="shared" si="4"/>
        <v>130</v>
      </c>
      <c r="T12">
        <f t="shared" si="5"/>
        <v>65</v>
      </c>
      <c r="U12" s="39">
        <v>4</v>
      </c>
      <c r="V12" s="39">
        <v>6</v>
      </c>
      <c r="W12">
        <f t="shared" si="6"/>
        <v>1700</v>
      </c>
      <c r="X12">
        <f t="shared" si="7"/>
        <v>1656</v>
      </c>
    </row>
    <row r="13" spans="3:24" x14ac:dyDescent="0.25">
      <c r="C13" t="s">
        <v>259</v>
      </c>
      <c r="D13">
        <v>200</v>
      </c>
      <c r="E13">
        <v>205</v>
      </c>
      <c r="F13">
        <v>498</v>
      </c>
      <c r="G13">
        <v>504</v>
      </c>
      <c r="H13">
        <v>501</v>
      </c>
      <c r="I13">
        <v>496</v>
      </c>
      <c r="J13">
        <v>497</v>
      </c>
      <c r="K13">
        <v>202</v>
      </c>
      <c r="L13">
        <v>498</v>
      </c>
      <c r="M13">
        <v>195</v>
      </c>
      <c r="N13">
        <v>195</v>
      </c>
      <c r="O13">
        <f t="shared" si="0"/>
        <v>362.81818181818181</v>
      </c>
      <c r="P13" s="39">
        <f t="shared" si="1"/>
        <v>195</v>
      </c>
      <c r="Q13" s="39">
        <f t="shared" si="2"/>
        <v>504</v>
      </c>
      <c r="R13">
        <f t="shared" si="3"/>
        <v>309</v>
      </c>
      <c r="S13">
        <f t="shared" si="4"/>
        <v>290</v>
      </c>
      <c r="T13">
        <f t="shared" si="5"/>
        <v>145</v>
      </c>
      <c r="U13" s="39">
        <v>3</v>
      </c>
      <c r="V13" s="39">
        <v>6</v>
      </c>
      <c r="W13">
        <f t="shared" si="6"/>
        <v>1512</v>
      </c>
      <c r="X13">
        <f t="shared" si="7"/>
        <v>1170</v>
      </c>
    </row>
    <row r="14" spans="3:24" x14ac:dyDescent="0.25">
      <c r="C14" t="s">
        <v>260</v>
      </c>
      <c r="D14">
        <v>397</v>
      </c>
      <c r="E14">
        <v>401</v>
      </c>
      <c r="F14">
        <v>805</v>
      </c>
      <c r="G14">
        <v>799</v>
      </c>
      <c r="H14">
        <v>405</v>
      </c>
      <c r="I14">
        <v>796</v>
      </c>
      <c r="J14">
        <v>801</v>
      </c>
      <c r="K14">
        <v>802</v>
      </c>
      <c r="L14">
        <v>396</v>
      </c>
      <c r="M14">
        <v>802</v>
      </c>
      <c r="N14">
        <v>804</v>
      </c>
      <c r="O14">
        <f t="shared" si="0"/>
        <v>655.27272727272725</v>
      </c>
      <c r="P14" s="39">
        <f t="shared" si="1"/>
        <v>396</v>
      </c>
      <c r="Q14" s="39">
        <f t="shared" si="2"/>
        <v>805</v>
      </c>
      <c r="R14">
        <f t="shared" si="3"/>
        <v>409</v>
      </c>
      <c r="S14">
        <f t="shared" si="4"/>
        <v>390</v>
      </c>
      <c r="T14">
        <f t="shared" si="5"/>
        <v>195</v>
      </c>
      <c r="U14" s="39">
        <v>2</v>
      </c>
      <c r="V14" s="39">
        <v>4</v>
      </c>
      <c r="W14">
        <f t="shared" si="6"/>
        <v>1610</v>
      </c>
      <c r="X14">
        <f t="shared" si="7"/>
        <v>1584</v>
      </c>
    </row>
    <row r="15" spans="3:24" x14ac:dyDescent="0.25">
      <c r="C15" t="s">
        <v>293</v>
      </c>
      <c r="D15">
        <v>1168</v>
      </c>
      <c r="E15">
        <v>1171</v>
      </c>
      <c r="F15">
        <v>469</v>
      </c>
      <c r="G15">
        <v>464</v>
      </c>
      <c r="H15">
        <v>468</v>
      </c>
      <c r="I15">
        <v>1170</v>
      </c>
      <c r="J15">
        <v>1161</v>
      </c>
      <c r="K15">
        <v>1166</v>
      </c>
      <c r="L15">
        <v>1161</v>
      </c>
      <c r="M15">
        <v>1168</v>
      </c>
      <c r="N15">
        <v>472</v>
      </c>
      <c r="O15">
        <f t="shared" si="0"/>
        <v>912.5454545454545</v>
      </c>
      <c r="P15" s="39">
        <f t="shared" si="1"/>
        <v>464</v>
      </c>
      <c r="Q15" s="39">
        <f t="shared" si="2"/>
        <v>1171</v>
      </c>
      <c r="R15">
        <f t="shared" si="3"/>
        <v>707</v>
      </c>
      <c r="S15">
        <f t="shared" si="4"/>
        <v>690</v>
      </c>
      <c r="T15">
        <f t="shared" si="5"/>
        <v>345</v>
      </c>
      <c r="U15" s="39">
        <v>0</v>
      </c>
      <c r="V15" s="39">
        <v>1</v>
      </c>
      <c r="W15">
        <f t="shared" si="6"/>
        <v>0</v>
      </c>
      <c r="X15">
        <f t="shared" si="7"/>
        <v>464</v>
      </c>
    </row>
    <row r="16" spans="3:24" x14ac:dyDescent="0.25">
      <c r="C16" t="s">
        <v>294</v>
      </c>
      <c r="D16">
        <v>7005</v>
      </c>
      <c r="E16">
        <v>7004</v>
      </c>
      <c r="F16">
        <v>6996</v>
      </c>
      <c r="G16">
        <v>4667</v>
      </c>
      <c r="H16">
        <v>6999</v>
      </c>
      <c r="I16">
        <v>7003</v>
      </c>
      <c r="J16">
        <v>6996</v>
      </c>
      <c r="K16">
        <v>4672</v>
      </c>
      <c r="L16">
        <v>4669</v>
      </c>
      <c r="M16">
        <v>7000</v>
      </c>
      <c r="N16">
        <v>4668</v>
      </c>
      <c r="O16">
        <f t="shared" si="0"/>
        <v>6152.636363636364</v>
      </c>
      <c r="P16" s="39">
        <f t="shared" si="1"/>
        <v>4667</v>
      </c>
      <c r="Q16" s="39">
        <f t="shared" si="2"/>
        <v>7005</v>
      </c>
      <c r="R16">
        <f t="shared" si="3"/>
        <v>2338</v>
      </c>
      <c r="S16">
        <f t="shared" si="4"/>
        <v>2320</v>
      </c>
      <c r="T16">
        <f t="shared" si="5"/>
        <v>1160</v>
      </c>
      <c r="U16" s="39">
        <v>0</v>
      </c>
      <c r="V16" s="39">
        <v>1</v>
      </c>
      <c r="W16">
        <f t="shared" si="6"/>
        <v>0</v>
      </c>
      <c r="X16">
        <f t="shared" si="7"/>
        <v>4667</v>
      </c>
    </row>
    <row r="19" spans="3:24" x14ac:dyDescent="0.25">
      <c r="C19" t="s">
        <v>248</v>
      </c>
    </row>
    <row r="20" spans="3:24" x14ac:dyDescent="0.25">
      <c r="D20" t="s">
        <v>295</v>
      </c>
    </row>
    <row r="21" spans="3:24" x14ac:dyDescent="0.25">
      <c r="C21" t="s">
        <v>256</v>
      </c>
      <c r="D21">
        <v>130</v>
      </c>
      <c r="E21">
        <v>136</v>
      </c>
      <c r="F21">
        <v>135</v>
      </c>
      <c r="G21">
        <v>160</v>
      </c>
      <c r="H21">
        <v>167</v>
      </c>
      <c r="I21">
        <v>132</v>
      </c>
      <c r="J21">
        <v>161</v>
      </c>
      <c r="K21">
        <v>157</v>
      </c>
      <c r="L21">
        <v>167</v>
      </c>
      <c r="M21">
        <v>163</v>
      </c>
      <c r="N21">
        <v>159</v>
      </c>
      <c r="O21">
        <f t="shared" ref="O21:O33" si="8">AVERAGE(D21:N21)</f>
        <v>151.54545454545453</v>
      </c>
      <c r="P21" s="39">
        <f t="shared" ref="P21:P33" si="9">MIN(D21:N21)</f>
        <v>130</v>
      </c>
      <c r="Q21" s="39">
        <f t="shared" ref="Q21:Q33" si="10">MAX(D21:N21)</f>
        <v>167</v>
      </c>
      <c r="R21">
        <f t="shared" ref="R21:R33" si="11">Q21-P21</f>
        <v>37</v>
      </c>
      <c r="S21">
        <f t="shared" ref="S21:S33" si="12">CEILING(R21-20,10)</f>
        <v>20</v>
      </c>
      <c r="T21">
        <f t="shared" ref="T21:T33" si="13">S21/2</f>
        <v>10</v>
      </c>
      <c r="U21" s="39">
        <v>23</v>
      </c>
      <c r="V21" s="39">
        <v>28</v>
      </c>
      <c r="W21">
        <f t="shared" ref="W21:W33" si="14">U21*Q21</f>
        <v>3841</v>
      </c>
      <c r="X21">
        <f t="shared" ref="X21:X33" si="15">V21*P21</f>
        <v>3640</v>
      </c>
    </row>
    <row r="22" spans="3:24" x14ac:dyDescent="0.25">
      <c r="C22" t="s">
        <v>265</v>
      </c>
      <c r="D22">
        <v>477</v>
      </c>
      <c r="E22">
        <v>622</v>
      </c>
      <c r="F22">
        <v>478</v>
      </c>
      <c r="G22">
        <v>482</v>
      </c>
      <c r="H22">
        <v>623</v>
      </c>
      <c r="I22">
        <v>622</v>
      </c>
      <c r="J22">
        <v>616</v>
      </c>
      <c r="K22">
        <v>479</v>
      </c>
      <c r="L22">
        <v>485</v>
      </c>
      <c r="M22">
        <v>622</v>
      </c>
      <c r="N22">
        <v>617</v>
      </c>
      <c r="O22">
        <f t="shared" si="8"/>
        <v>556.63636363636363</v>
      </c>
      <c r="P22" s="39">
        <f t="shared" si="9"/>
        <v>477</v>
      </c>
      <c r="Q22" s="39">
        <f t="shared" si="10"/>
        <v>623</v>
      </c>
      <c r="R22">
        <f t="shared" si="11"/>
        <v>146</v>
      </c>
      <c r="S22">
        <f t="shared" si="12"/>
        <v>130</v>
      </c>
      <c r="T22">
        <f t="shared" si="13"/>
        <v>65</v>
      </c>
      <c r="U22" s="39">
        <v>7</v>
      </c>
      <c r="V22" s="39">
        <v>9</v>
      </c>
      <c r="W22">
        <f t="shared" si="14"/>
        <v>4361</v>
      </c>
      <c r="X22">
        <f t="shared" si="15"/>
        <v>4293</v>
      </c>
    </row>
    <row r="23" spans="3:24" x14ac:dyDescent="0.25">
      <c r="C23" t="s">
        <v>266</v>
      </c>
      <c r="D23">
        <v>505</v>
      </c>
      <c r="E23">
        <v>299</v>
      </c>
      <c r="F23">
        <v>298</v>
      </c>
      <c r="G23">
        <v>502</v>
      </c>
      <c r="H23">
        <v>302</v>
      </c>
      <c r="I23">
        <v>302</v>
      </c>
      <c r="J23">
        <v>301</v>
      </c>
      <c r="K23">
        <v>495</v>
      </c>
      <c r="L23">
        <v>298</v>
      </c>
      <c r="M23">
        <v>496</v>
      </c>
      <c r="N23">
        <v>501</v>
      </c>
      <c r="O23">
        <f t="shared" si="8"/>
        <v>390.81818181818181</v>
      </c>
      <c r="P23" s="39">
        <f t="shared" si="9"/>
        <v>298</v>
      </c>
      <c r="Q23" s="39">
        <f t="shared" si="10"/>
        <v>505</v>
      </c>
      <c r="R23">
        <f t="shared" si="11"/>
        <v>207</v>
      </c>
      <c r="S23">
        <f t="shared" si="12"/>
        <v>190</v>
      </c>
      <c r="T23">
        <f t="shared" si="13"/>
        <v>95</v>
      </c>
      <c r="U23" s="39">
        <v>3</v>
      </c>
      <c r="V23" s="39">
        <v>5</v>
      </c>
      <c r="W23">
        <f t="shared" si="14"/>
        <v>1515</v>
      </c>
      <c r="X23">
        <f t="shared" si="15"/>
        <v>1490</v>
      </c>
    </row>
    <row r="24" spans="3:24" x14ac:dyDescent="0.25">
      <c r="C24" t="s">
        <v>294</v>
      </c>
      <c r="D24">
        <v>832</v>
      </c>
      <c r="E24">
        <v>833</v>
      </c>
      <c r="F24">
        <v>834</v>
      </c>
      <c r="G24">
        <v>334</v>
      </c>
      <c r="H24">
        <v>334</v>
      </c>
      <c r="I24">
        <v>837</v>
      </c>
      <c r="J24">
        <v>331</v>
      </c>
      <c r="K24">
        <v>833</v>
      </c>
      <c r="L24">
        <v>333</v>
      </c>
      <c r="M24">
        <v>338</v>
      </c>
      <c r="N24">
        <v>338</v>
      </c>
      <c r="O24">
        <f t="shared" si="8"/>
        <v>561.5454545454545</v>
      </c>
      <c r="P24" s="39">
        <f t="shared" si="9"/>
        <v>331</v>
      </c>
      <c r="Q24" s="39">
        <f t="shared" si="10"/>
        <v>837</v>
      </c>
      <c r="R24">
        <f t="shared" si="11"/>
        <v>506</v>
      </c>
      <c r="S24">
        <f t="shared" si="12"/>
        <v>490</v>
      </c>
      <c r="T24">
        <f t="shared" si="13"/>
        <v>245</v>
      </c>
      <c r="U24" s="39">
        <v>0</v>
      </c>
      <c r="V24" s="39">
        <v>1</v>
      </c>
      <c r="W24">
        <f t="shared" si="14"/>
        <v>0</v>
      </c>
      <c r="X24">
        <f t="shared" si="15"/>
        <v>331</v>
      </c>
    </row>
    <row r="25" spans="3:24" x14ac:dyDescent="0.25">
      <c r="C25" t="s">
        <v>259</v>
      </c>
      <c r="D25">
        <v>551</v>
      </c>
      <c r="E25">
        <v>362</v>
      </c>
      <c r="F25">
        <v>545</v>
      </c>
      <c r="G25">
        <v>550</v>
      </c>
      <c r="H25">
        <v>362</v>
      </c>
      <c r="I25">
        <v>550</v>
      </c>
      <c r="J25">
        <v>546</v>
      </c>
      <c r="K25">
        <v>549</v>
      </c>
      <c r="L25">
        <v>548</v>
      </c>
      <c r="M25">
        <v>545</v>
      </c>
      <c r="N25">
        <v>545</v>
      </c>
      <c r="O25">
        <f t="shared" si="8"/>
        <v>513.90909090909088</v>
      </c>
      <c r="P25" s="39">
        <f t="shared" si="9"/>
        <v>362</v>
      </c>
      <c r="Q25" s="39">
        <f t="shared" si="10"/>
        <v>551</v>
      </c>
      <c r="R25">
        <f t="shared" si="11"/>
        <v>189</v>
      </c>
      <c r="S25">
        <f t="shared" si="12"/>
        <v>170</v>
      </c>
      <c r="T25">
        <f t="shared" si="13"/>
        <v>85</v>
      </c>
      <c r="U25" s="39">
        <v>3</v>
      </c>
      <c r="V25" s="39">
        <v>4</v>
      </c>
      <c r="W25">
        <f t="shared" si="14"/>
        <v>1653</v>
      </c>
      <c r="X25">
        <f t="shared" si="15"/>
        <v>1448</v>
      </c>
    </row>
    <row r="26" spans="3:24" x14ac:dyDescent="0.25">
      <c r="C26" t="s">
        <v>299</v>
      </c>
      <c r="D26">
        <v>183</v>
      </c>
      <c r="E26">
        <v>966</v>
      </c>
      <c r="F26">
        <v>183</v>
      </c>
      <c r="G26">
        <v>183</v>
      </c>
      <c r="H26">
        <v>964</v>
      </c>
      <c r="I26">
        <v>183</v>
      </c>
      <c r="J26">
        <v>966</v>
      </c>
      <c r="K26">
        <v>183</v>
      </c>
      <c r="L26">
        <v>958</v>
      </c>
      <c r="M26">
        <v>957</v>
      </c>
      <c r="N26">
        <v>961</v>
      </c>
      <c r="O26">
        <f t="shared" si="8"/>
        <v>607.90909090909088</v>
      </c>
      <c r="P26" s="39">
        <f t="shared" si="9"/>
        <v>183</v>
      </c>
      <c r="Q26" s="39">
        <f t="shared" si="10"/>
        <v>966</v>
      </c>
      <c r="R26">
        <f t="shared" si="11"/>
        <v>783</v>
      </c>
      <c r="S26">
        <f t="shared" si="12"/>
        <v>770</v>
      </c>
      <c r="T26">
        <f t="shared" si="13"/>
        <v>385</v>
      </c>
      <c r="U26" s="39">
        <v>1</v>
      </c>
      <c r="V26" s="39">
        <v>7</v>
      </c>
      <c r="W26">
        <f t="shared" si="14"/>
        <v>966</v>
      </c>
      <c r="X26">
        <f t="shared" si="15"/>
        <v>1281</v>
      </c>
    </row>
    <row r="27" spans="3:24" x14ac:dyDescent="0.25">
      <c r="C27" t="s">
        <v>268</v>
      </c>
      <c r="D27">
        <v>666</v>
      </c>
      <c r="E27">
        <v>1001</v>
      </c>
      <c r="F27">
        <v>671</v>
      </c>
      <c r="G27">
        <v>1003</v>
      </c>
      <c r="H27">
        <v>669</v>
      </c>
      <c r="I27">
        <v>665</v>
      </c>
      <c r="J27">
        <v>1001</v>
      </c>
      <c r="K27">
        <v>671</v>
      </c>
      <c r="L27">
        <v>1000</v>
      </c>
      <c r="M27">
        <v>1005</v>
      </c>
      <c r="N27">
        <v>663</v>
      </c>
      <c r="O27">
        <f t="shared" si="8"/>
        <v>819.5454545454545</v>
      </c>
      <c r="P27" s="39">
        <f t="shared" si="9"/>
        <v>663</v>
      </c>
      <c r="Q27" s="39">
        <f t="shared" si="10"/>
        <v>1005</v>
      </c>
      <c r="R27">
        <f t="shared" si="11"/>
        <v>342</v>
      </c>
      <c r="S27">
        <f t="shared" si="12"/>
        <v>330</v>
      </c>
      <c r="T27">
        <f t="shared" si="13"/>
        <v>165</v>
      </c>
      <c r="U27" s="39">
        <v>2</v>
      </c>
      <c r="V27" s="39">
        <v>3</v>
      </c>
      <c r="W27">
        <f t="shared" si="14"/>
        <v>2010</v>
      </c>
      <c r="X27">
        <f t="shared" si="15"/>
        <v>1989</v>
      </c>
    </row>
    <row r="28" spans="3:24" x14ac:dyDescent="0.25">
      <c r="C28" t="s">
        <v>300</v>
      </c>
      <c r="D28">
        <v>1832</v>
      </c>
      <c r="E28">
        <v>732</v>
      </c>
      <c r="F28">
        <v>732</v>
      </c>
      <c r="G28">
        <v>1832</v>
      </c>
      <c r="H28">
        <v>739</v>
      </c>
      <c r="I28">
        <v>729</v>
      </c>
      <c r="J28">
        <v>1830</v>
      </c>
      <c r="K28">
        <v>731</v>
      </c>
      <c r="L28">
        <v>1828</v>
      </c>
      <c r="M28">
        <v>1832</v>
      </c>
      <c r="N28">
        <v>730</v>
      </c>
      <c r="O28">
        <f t="shared" si="8"/>
        <v>1231.5454545454545</v>
      </c>
      <c r="P28" s="39">
        <f t="shared" si="9"/>
        <v>729</v>
      </c>
      <c r="Q28" s="39">
        <f t="shared" si="10"/>
        <v>1832</v>
      </c>
      <c r="R28">
        <f t="shared" si="11"/>
        <v>1103</v>
      </c>
      <c r="S28">
        <f t="shared" si="12"/>
        <v>1090</v>
      </c>
      <c r="T28">
        <f t="shared" si="13"/>
        <v>545</v>
      </c>
      <c r="U28" s="39">
        <v>0</v>
      </c>
      <c r="V28" s="39">
        <v>1</v>
      </c>
      <c r="W28">
        <f t="shared" si="14"/>
        <v>0</v>
      </c>
      <c r="X28">
        <f t="shared" si="15"/>
        <v>729</v>
      </c>
    </row>
    <row r="29" spans="3:24" x14ac:dyDescent="0.25">
      <c r="C29" t="s">
        <v>301</v>
      </c>
      <c r="D29">
        <v>1197</v>
      </c>
      <c r="E29">
        <v>1198</v>
      </c>
      <c r="F29">
        <v>1199</v>
      </c>
      <c r="G29">
        <v>1195</v>
      </c>
      <c r="H29">
        <v>1200</v>
      </c>
      <c r="I29">
        <v>1203</v>
      </c>
      <c r="J29">
        <v>1198</v>
      </c>
      <c r="K29">
        <v>1205</v>
      </c>
      <c r="L29">
        <v>1199</v>
      </c>
      <c r="M29">
        <v>1195</v>
      </c>
      <c r="N29">
        <v>1201</v>
      </c>
      <c r="O29">
        <f t="shared" si="8"/>
        <v>1199.090909090909</v>
      </c>
      <c r="P29" s="39">
        <f t="shared" si="9"/>
        <v>1195</v>
      </c>
      <c r="Q29" s="39">
        <f t="shared" si="10"/>
        <v>1205</v>
      </c>
      <c r="R29">
        <f t="shared" si="11"/>
        <v>10</v>
      </c>
      <c r="S29">
        <f t="shared" si="12"/>
        <v>-10</v>
      </c>
      <c r="T29">
        <f t="shared" si="13"/>
        <v>-5</v>
      </c>
      <c r="U29" s="39">
        <v>3</v>
      </c>
      <c r="V29" s="39">
        <v>3</v>
      </c>
      <c r="W29">
        <f t="shared" si="14"/>
        <v>3615</v>
      </c>
      <c r="X29">
        <f t="shared" si="15"/>
        <v>3585</v>
      </c>
    </row>
    <row r="30" spans="3:24" x14ac:dyDescent="0.25">
      <c r="C30" t="s">
        <v>271</v>
      </c>
      <c r="D30">
        <v>3504</v>
      </c>
      <c r="E30">
        <v>3499</v>
      </c>
      <c r="F30">
        <v>3498</v>
      </c>
      <c r="G30">
        <v>3498</v>
      </c>
      <c r="H30">
        <v>3501</v>
      </c>
      <c r="I30">
        <v>3498</v>
      </c>
      <c r="J30">
        <v>3497</v>
      </c>
      <c r="K30">
        <v>3503</v>
      </c>
      <c r="L30">
        <v>3496</v>
      </c>
      <c r="M30">
        <v>3501</v>
      </c>
      <c r="N30">
        <v>3504</v>
      </c>
      <c r="O30">
        <f t="shared" si="8"/>
        <v>3499.909090909091</v>
      </c>
      <c r="P30" s="39">
        <f t="shared" si="9"/>
        <v>3496</v>
      </c>
      <c r="Q30" s="39">
        <f t="shared" si="10"/>
        <v>3504</v>
      </c>
      <c r="R30">
        <f t="shared" si="11"/>
        <v>8</v>
      </c>
      <c r="S30">
        <f t="shared" si="12"/>
        <v>-10</v>
      </c>
      <c r="T30">
        <f t="shared" si="13"/>
        <v>-5</v>
      </c>
      <c r="U30" s="39">
        <v>2</v>
      </c>
      <c r="V30" s="39">
        <v>2</v>
      </c>
      <c r="W30">
        <f t="shared" si="14"/>
        <v>7008</v>
      </c>
      <c r="X30">
        <f t="shared" si="15"/>
        <v>6992</v>
      </c>
    </row>
    <row r="31" spans="3:24" x14ac:dyDescent="0.25">
      <c r="C31" t="s">
        <v>293</v>
      </c>
      <c r="D31">
        <v>23337</v>
      </c>
      <c r="E31">
        <v>35003</v>
      </c>
      <c r="F31">
        <v>23336</v>
      </c>
      <c r="G31">
        <v>35003</v>
      </c>
      <c r="H31">
        <v>34999</v>
      </c>
      <c r="I31">
        <v>35000</v>
      </c>
      <c r="J31">
        <v>23331</v>
      </c>
      <c r="K31">
        <v>23332</v>
      </c>
      <c r="L31">
        <v>23330</v>
      </c>
      <c r="M31">
        <v>23338</v>
      </c>
      <c r="N31">
        <v>35002</v>
      </c>
      <c r="O31">
        <f t="shared" si="8"/>
        <v>28637.363636363636</v>
      </c>
      <c r="P31" s="39">
        <f t="shared" si="9"/>
        <v>23330</v>
      </c>
      <c r="Q31" s="39">
        <f t="shared" si="10"/>
        <v>35003</v>
      </c>
      <c r="R31">
        <f t="shared" si="11"/>
        <v>11673</v>
      </c>
      <c r="S31">
        <f t="shared" si="12"/>
        <v>11660</v>
      </c>
      <c r="T31">
        <f t="shared" si="13"/>
        <v>5830</v>
      </c>
      <c r="U31" s="39">
        <v>0</v>
      </c>
      <c r="V31" s="39">
        <v>1</v>
      </c>
      <c r="W31">
        <f t="shared" si="14"/>
        <v>0</v>
      </c>
      <c r="X31">
        <f t="shared" si="15"/>
        <v>23330</v>
      </c>
    </row>
    <row r="32" spans="3:24" x14ac:dyDescent="0.25">
      <c r="C32" t="s">
        <v>272</v>
      </c>
      <c r="D32">
        <v>4467</v>
      </c>
      <c r="E32">
        <v>4466</v>
      </c>
      <c r="F32">
        <v>4470</v>
      </c>
      <c r="G32">
        <v>4462</v>
      </c>
      <c r="H32">
        <v>8935</v>
      </c>
      <c r="I32">
        <v>4472</v>
      </c>
      <c r="J32">
        <v>4467</v>
      </c>
      <c r="K32">
        <v>8928</v>
      </c>
      <c r="L32">
        <v>8934</v>
      </c>
      <c r="M32">
        <v>4471</v>
      </c>
      <c r="N32">
        <v>8933</v>
      </c>
      <c r="O32">
        <f t="shared" si="8"/>
        <v>6091.363636363636</v>
      </c>
      <c r="P32" s="39">
        <f t="shared" si="9"/>
        <v>4462</v>
      </c>
      <c r="Q32" s="39">
        <f t="shared" si="10"/>
        <v>8935</v>
      </c>
      <c r="R32">
        <f t="shared" si="11"/>
        <v>4473</v>
      </c>
      <c r="S32">
        <f t="shared" si="12"/>
        <v>4460</v>
      </c>
      <c r="T32">
        <f t="shared" si="13"/>
        <v>2230</v>
      </c>
      <c r="U32" s="39">
        <v>2</v>
      </c>
      <c r="V32" s="39">
        <v>4</v>
      </c>
      <c r="W32">
        <f t="shared" si="14"/>
        <v>17870</v>
      </c>
      <c r="X32">
        <f t="shared" si="15"/>
        <v>17848</v>
      </c>
    </row>
    <row r="33" spans="3:27" x14ac:dyDescent="0.25">
      <c r="C33" t="s">
        <v>273</v>
      </c>
      <c r="D33">
        <v>12662</v>
      </c>
      <c r="E33">
        <v>12668</v>
      </c>
      <c r="F33">
        <v>12669</v>
      </c>
      <c r="G33">
        <v>3172</v>
      </c>
      <c r="H33">
        <v>12661</v>
      </c>
      <c r="I33">
        <v>12663</v>
      </c>
      <c r="J33">
        <v>3171</v>
      </c>
      <c r="K33">
        <v>3171</v>
      </c>
      <c r="L33">
        <v>3166</v>
      </c>
      <c r="M33">
        <v>3166</v>
      </c>
      <c r="N33">
        <v>3167</v>
      </c>
      <c r="O33">
        <f t="shared" si="8"/>
        <v>7485.090909090909</v>
      </c>
      <c r="P33" s="39">
        <f t="shared" si="9"/>
        <v>3166</v>
      </c>
      <c r="Q33" s="39">
        <f t="shared" si="10"/>
        <v>12669</v>
      </c>
      <c r="R33">
        <f t="shared" si="11"/>
        <v>9503</v>
      </c>
      <c r="S33">
        <f t="shared" si="12"/>
        <v>9490</v>
      </c>
      <c r="T33">
        <f t="shared" si="13"/>
        <v>4745</v>
      </c>
      <c r="U33" s="39">
        <v>2</v>
      </c>
      <c r="V33" s="39">
        <v>5</v>
      </c>
      <c r="W33">
        <f t="shared" si="14"/>
        <v>25338</v>
      </c>
      <c r="X33">
        <f t="shared" si="15"/>
        <v>15830</v>
      </c>
    </row>
    <row r="36" spans="3:27" x14ac:dyDescent="0.25">
      <c r="C36" t="s">
        <v>290</v>
      </c>
    </row>
    <row r="37" spans="3:27" x14ac:dyDescent="0.25">
      <c r="D37" t="s">
        <v>295</v>
      </c>
    </row>
    <row r="38" spans="3:27" x14ac:dyDescent="0.25">
      <c r="C38" t="s">
        <v>265</v>
      </c>
      <c r="D38">
        <v>310</v>
      </c>
      <c r="E38">
        <v>310</v>
      </c>
      <c r="F38">
        <v>309</v>
      </c>
      <c r="G38">
        <v>229</v>
      </c>
      <c r="H38">
        <v>238</v>
      </c>
      <c r="I38">
        <v>229</v>
      </c>
      <c r="J38">
        <v>238</v>
      </c>
      <c r="K38">
        <v>308</v>
      </c>
      <c r="L38">
        <v>311</v>
      </c>
      <c r="M38">
        <v>301</v>
      </c>
      <c r="N38">
        <v>236</v>
      </c>
      <c r="O38">
        <f t="shared" ref="O38:O50" si="16">AVERAGE(D38:N38)</f>
        <v>274.45454545454544</v>
      </c>
      <c r="P38" s="39">
        <f t="shared" ref="P38:P50" si="17">MIN(D38:N38)</f>
        <v>229</v>
      </c>
      <c r="Q38" s="39">
        <f t="shared" ref="Q38:Q50" si="18">MAX(D38:N38)</f>
        <v>311</v>
      </c>
      <c r="R38">
        <f t="shared" ref="R38:R50" si="19">Q38-P38</f>
        <v>82</v>
      </c>
      <c r="S38">
        <f t="shared" ref="S38:S50" si="20">CEILING(R38-20,10)</f>
        <v>70</v>
      </c>
      <c r="T38">
        <f t="shared" ref="T38:T50" si="21">S38/2</f>
        <v>35</v>
      </c>
      <c r="U38" s="39">
        <v>13</v>
      </c>
      <c r="V38" s="39">
        <v>17</v>
      </c>
      <c r="W38">
        <f t="shared" ref="W38:W50" si="22">U38*Q38</f>
        <v>4043</v>
      </c>
      <c r="X38">
        <f t="shared" ref="X38:X50" si="23">V38*P38</f>
        <v>3893</v>
      </c>
    </row>
    <row r="39" spans="3:27" x14ac:dyDescent="0.25">
      <c r="C39" t="s">
        <v>291</v>
      </c>
      <c r="D39">
        <v>500</v>
      </c>
      <c r="E39">
        <v>305</v>
      </c>
      <c r="F39">
        <v>298</v>
      </c>
      <c r="G39">
        <v>304</v>
      </c>
      <c r="H39">
        <v>502</v>
      </c>
      <c r="I39">
        <v>302</v>
      </c>
      <c r="J39">
        <v>299</v>
      </c>
      <c r="K39">
        <v>499</v>
      </c>
      <c r="L39">
        <v>305</v>
      </c>
      <c r="M39">
        <v>502</v>
      </c>
      <c r="N39">
        <v>501</v>
      </c>
      <c r="O39">
        <f t="shared" si="16"/>
        <v>392.45454545454544</v>
      </c>
      <c r="P39" s="39">
        <f t="shared" si="17"/>
        <v>298</v>
      </c>
      <c r="Q39" s="39">
        <f t="shared" si="18"/>
        <v>502</v>
      </c>
      <c r="R39">
        <f t="shared" si="19"/>
        <v>204</v>
      </c>
      <c r="S39">
        <f t="shared" si="20"/>
        <v>190</v>
      </c>
      <c r="T39">
        <f t="shared" si="21"/>
        <v>95</v>
      </c>
      <c r="U39" s="39">
        <v>3</v>
      </c>
      <c r="V39" s="39">
        <v>5</v>
      </c>
      <c r="W39">
        <f t="shared" si="22"/>
        <v>1506</v>
      </c>
      <c r="X39">
        <f t="shared" si="23"/>
        <v>1490</v>
      </c>
      <c r="Z39">
        <f>5*298</f>
        <v>1490</v>
      </c>
      <c r="AA39">
        <f>3*502</f>
        <v>1506</v>
      </c>
    </row>
    <row r="40" spans="3:27" x14ac:dyDescent="0.25">
      <c r="C40" t="s">
        <v>294</v>
      </c>
      <c r="D40">
        <v>670</v>
      </c>
      <c r="E40">
        <v>669</v>
      </c>
      <c r="F40">
        <v>671</v>
      </c>
      <c r="G40">
        <v>268</v>
      </c>
      <c r="H40">
        <v>670</v>
      </c>
      <c r="I40">
        <v>271</v>
      </c>
      <c r="J40">
        <v>669</v>
      </c>
      <c r="K40">
        <v>262</v>
      </c>
      <c r="L40">
        <v>266</v>
      </c>
      <c r="M40">
        <v>664</v>
      </c>
      <c r="N40">
        <v>668</v>
      </c>
      <c r="O40">
        <f t="shared" si="16"/>
        <v>522.5454545454545</v>
      </c>
      <c r="P40" s="39">
        <f t="shared" si="17"/>
        <v>262</v>
      </c>
      <c r="Q40" s="39">
        <f t="shared" si="18"/>
        <v>671</v>
      </c>
      <c r="R40">
        <f t="shared" si="19"/>
        <v>409</v>
      </c>
      <c r="S40">
        <f t="shared" si="20"/>
        <v>390</v>
      </c>
      <c r="T40">
        <f t="shared" si="21"/>
        <v>195</v>
      </c>
      <c r="U40" s="39">
        <v>0</v>
      </c>
      <c r="V40" s="39">
        <v>1</v>
      </c>
      <c r="W40">
        <f t="shared" si="22"/>
        <v>0</v>
      </c>
      <c r="X40">
        <f t="shared" si="23"/>
        <v>262</v>
      </c>
      <c r="Z40">
        <f>5*2754</f>
        <v>13770</v>
      </c>
      <c r="AA40">
        <f>3*1096</f>
        <v>3288</v>
      </c>
    </row>
    <row r="41" spans="3:27" x14ac:dyDescent="0.25">
      <c r="C41" t="s">
        <v>260</v>
      </c>
      <c r="D41">
        <v>644</v>
      </c>
      <c r="E41">
        <v>642</v>
      </c>
      <c r="F41">
        <v>639</v>
      </c>
      <c r="G41">
        <v>644</v>
      </c>
      <c r="H41">
        <v>363</v>
      </c>
      <c r="I41">
        <v>357</v>
      </c>
      <c r="J41">
        <v>639</v>
      </c>
      <c r="K41">
        <v>362</v>
      </c>
      <c r="L41">
        <v>642</v>
      </c>
      <c r="M41">
        <v>358</v>
      </c>
      <c r="N41">
        <v>641</v>
      </c>
      <c r="O41">
        <f t="shared" si="16"/>
        <v>539.18181818181813</v>
      </c>
      <c r="P41" s="39">
        <f t="shared" si="17"/>
        <v>357</v>
      </c>
      <c r="Q41" s="39">
        <f t="shared" si="18"/>
        <v>644</v>
      </c>
      <c r="R41">
        <f t="shared" si="19"/>
        <v>287</v>
      </c>
      <c r="S41">
        <f t="shared" si="20"/>
        <v>270</v>
      </c>
      <c r="T41">
        <f t="shared" si="21"/>
        <v>135</v>
      </c>
      <c r="U41" s="39">
        <v>5</v>
      </c>
      <c r="V41" s="39">
        <v>9</v>
      </c>
      <c r="W41">
        <f t="shared" si="22"/>
        <v>3220</v>
      </c>
      <c r="X41">
        <f t="shared" si="23"/>
        <v>3213</v>
      </c>
      <c r="Z41">
        <f>Z40-Z39</f>
        <v>12280</v>
      </c>
      <c r="AA41">
        <f>AA40-AA39</f>
        <v>1782</v>
      </c>
    </row>
    <row r="42" spans="3:27" x14ac:dyDescent="0.25">
      <c r="C42" t="s">
        <v>292</v>
      </c>
      <c r="D42">
        <v>1171</v>
      </c>
      <c r="E42">
        <v>1170</v>
      </c>
      <c r="F42">
        <v>1164</v>
      </c>
      <c r="G42">
        <v>237</v>
      </c>
      <c r="H42">
        <v>1170</v>
      </c>
      <c r="I42">
        <v>1167</v>
      </c>
      <c r="J42">
        <v>238</v>
      </c>
      <c r="K42">
        <v>239</v>
      </c>
      <c r="L42">
        <v>237</v>
      </c>
      <c r="M42">
        <v>1164</v>
      </c>
      <c r="N42">
        <v>238</v>
      </c>
      <c r="O42">
        <f t="shared" si="16"/>
        <v>745</v>
      </c>
      <c r="P42" s="39">
        <f t="shared" si="17"/>
        <v>237</v>
      </c>
      <c r="Q42" s="39">
        <f t="shared" si="18"/>
        <v>1171</v>
      </c>
      <c r="R42">
        <f t="shared" si="19"/>
        <v>934</v>
      </c>
      <c r="S42">
        <f t="shared" si="20"/>
        <v>920</v>
      </c>
      <c r="T42">
        <f t="shared" si="21"/>
        <v>460</v>
      </c>
      <c r="U42" s="39">
        <v>0</v>
      </c>
      <c r="V42" s="39">
        <v>4</v>
      </c>
      <c r="W42">
        <f t="shared" si="22"/>
        <v>0</v>
      </c>
      <c r="X42">
        <f t="shared" si="23"/>
        <v>948</v>
      </c>
    </row>
    <row r="43" spans="3:27" x14ac:dyDescent="0.25">
      <c r="C43" t="s">
        <v>266</v>
      </c>
      <c r="D43">
        <v>802</v>
      </c>
      <c r="E43">
        <v>799</v>
      </c>
      <c r="F43">
        <v>804</v>
      </c>
      <c r="G43">
        <v>805</v>
      </c>
      <c r="H43">
        <v>798</v>
      </c>
      <c r="I43">
        <v>795</v>
      </c>
      <c r="J43">
        <v>804</v>
      </c>
      <c r="K43">
        <v>796</v>
      </c>
      <c r="L43">
        <v>804</v>
      </c>
      <c r="M43">
        <v>798</v>
      </c>
      <c r="N43">
        <v>797</v>
      </c>
      <c r="O43">
        <f t="shared" si="16"/>
        <v>800.18181818181813</v>
      </c>
      <c r="P43" s="39">
        <f t="shared" si="17"/>
        <v>795</v>
      </c>
      <c r="Q43" s="39">
        <f t="shared" si="18"/>
        <v>805</v>
      </c>
      <c r="R43">
        <f t="shared" si="19"/>
        <v>10</v>
      </c>
      <c r="S43">
        <f t="shared" si="20"/>
        <v>-10</v>
      </c>
      <c r="T43">
        <f t="shared" si="21"/>
        <v>-5</v>
      </c>
      <c r="U43" s="39">
        <v>3</v>
      </c>
      <c r="V43" s="39">
        <v>3</v>
      </c>
      <c r="W43">
        <f t="shared" si="22"/>
        <v>2415</v>
      </c>
      <c r="X43">
        <f t="shared" si="23"/>
        <v>2385</v>
      </c>
    </row>
    <row r="44" spans="3:27" x14ac:dyDescent="0.25">
      <c r="C44" t="s">
        <v>301</v>
      </c>
      <c r="D44">
        <v>1265</v>
      </c>
      <c r="E44">
        <v>1265</v>
      </c>
      <c r="F44">
        <v>1271</v>
      </c>
      <c r="G44">
        <v>1270</v>
      </c>
      <c r="H44">
        <v>1265</v>
      </c>
      <c r="I44">
        <v>1263</v>
      </c>
      <c r="J44">
        <v>1267</v>
      </c>
      <c r="K44">
        <v>1904</v>
      </c>
      <c r="L44">
        <v>1902</v>
      </c>
      <c r="M44">
        <v>1262</v>
      </c>
      <c r="N44">
        <v>1262</v>
      </c>
      <c r="O44">
        <f t="shared" si="16"/>
        <v>1381.4545454545455</v>
      </c>
      <c r="P44" s="39">
        <f t="shared" si="17"/>
        <v>1262</v>
      </c>
      <c r="Q44" s="39">
        <f t="shared" si="18"/>
        <v>1904</v>
      </c>
      <c r="R44">
        <f t="shared" si="19"/>
        <v>642</v>
      </c>
      <c r="S44">
        <f t="shared" si="20"/>
        <v>630</v>
      </c>
      <c r="T44">
        <f t="shared" si="21"/>
        <v>315</v>
      </c>
      <c r="U44" s="39">
        <v>2</v>
      </c>
      <c r="V44" s="39">
        <v>3</v>
      </c>
      <c r="W44">
        <f t="shared" si="22"/>
        <v>3808</v>
      </c>
      <c r="X44">
        <f t="shared" si="23"/>
        <v>3786</v>
      </c>
    </row>
    <row r="45" spans="3:27" x14ac:dyDescent="0.25">
      <c r="C45" t="s">
        <v>304</v>
      </c>
      <c r="D45">
        <v>16005</v>
      </c>
      <c r="E45">
        <v>8002</v>
      </c>
      <c r="F45">
        <v>7996</v>
      </c>
      <c r="G45">
        <v>15997</v>
      </c>
      <c r="H45">
        <v>7998</v>
      </c>
      <c r="I45">
        <v>8001</v>
      </c>
      <c r="J45">
        <v>16001</v>
      </c>
      <c r="K45">
        <v>15997</v>
      </c>
      <c r="L45">
        <v>15995</v>
      </c>
      <c r="M45">
        <v>8003</v>
      </c>
      <c r="N45">
        <v>16005</v>
      </c>
      <c r="O45">
        <f t="shared" si="16"/>
        <v>12363.636363636364</v>
      </c>
      <c r="P45" s="39">
        <f t="shared" si="17"/>
        <v>7996</v>
      </c>
      <c r="Q45" s="39">
        <f t="shared" si="18"/>
        <v>16005</v>
      </c>
      <c r="R45">
        <f t="shared" si="19"/>
        <v>8009</v>
      </c>
      <c r="S45">
        <f t="shared" si="20"/>
        <v>7990</v>
      </c>
      <c r="T45">
        <f t="shared" si="21"/>
        <v>3995</v>
      </c>
      <c r="U45" s="39">
        <v>0</v>
      </c>
      <c r="V45" s="39">
        <v>2</v>
      </c>
      <c r="W45">
        <f t="shared" si="22"/>
        <v>0</v>
      </c>
      <c r="X45">
        <f t="shared" si="23"/>
        <v>15992</v>
      </c>
    </row>
    <row r="46" spans="3:27" x14ac:dyDescent="0.25">
      <c r="C46" t="s">
        <v>305</v>
      </c>
      <c r="D46">
        <v>14000</v>
      </c>
      <c r="E46">
        <v>13998</v>
      </c>
      <c r="F46">
        <v>13997</v>
      </c>
      <c r="G46">
        <v>13997</v>
      </c>
      <c r="H46">
        <v>13995</v>
      </c>
      <c r="I46">
        <v>14002</v>
      </c>
      <c r="J46">
        <v>14001</v>
      </c>
      <c r="K46">
        <v>14000</v>
      </c>
      <c r="L46">
        <v>14000</v>
      </c>
      <c r="M46">
        <v>14005</v>
      </c>
      <c r="N46">
        <v>14005</v>
      </c>
      <c r="O46">
        <f t="shared" si="16"/>
        <v>14000</v>
      </c>
      <c r="P46" s="39">
        <f t="shared" si="17"/>
        <v>13995</v>
      </c>
      <c r="Q46" s="39">
        <f t="shared" si="18"/>
        <v>14005</v>
      </c>
      <c r="R46">
        <f t="shared" si="19"/>
        <v>10</v>
      </c>
      <c r="S46">
        <f t="shared" si="20"/>
        <v>-10</v>
      </c>
      <c r="T46">
        <f t="shared" si="21"/>
        <v>-5</v>
      </c>
      <c r="U46" s="39">
        <v>1</v>
      </c>
      <c r="V46" s="39">
        <v>1</v>
      </c>
      <c r="W46">
        <f t="shared" si="22"/>
        <v>14005</v>
      </c>
      <c r="X46">
        <f t="shared" si="23"/>
        <v>13995</v>
      </c>
    </row>
    <row r="47" spans="3:27" x14ac:dyDescent="0.25">
      <c r="C47" t="s">
        <v>306</v>
      </c>
      <c r="D47">
        <v>9996</v>
      </c>
      <c r="E47">
        <v>9998</v>
      </c>
      <c r="F47">
        <v>19996</v>
      </c>
      <c r="G47">
        <v>19998</v>
      </c>
      <c r="H47">
        <v>10004</v>
      </c>
      <c r="I47">
        <v>9997</v>
      </c>
      <c r="J47">
        <v>10005</v>
      </c>
      <c r="K47">
        <v>10000</v>
      </c>
      <c r="L47">
        <v>9996</v>
      </c>
      <c r="M47">
        <v>20003</v>
      </c>
      <c r="N47">
        <v>10000</v>
      </c>
      <c r="O47">
        <f t="shared" si="16"/>
        <v>12726.636363636364</v>
      </c>
      <c r="P47" s="39">
        <f t="shared" si="17"/>
        <v>9996</v>
      </c>
      <c r="Q47" s="39">
        <f t="shared" si="18"/>
        <v>20003</v>
      </c>
      <c r="R47">
        <f t="shared" si="19"/>
        <v>10007</v>
      </c>
      <c r="S47">
        <f t="shared" si="20"/>
        <v>9990</v>
      </c>
      <c r="T47">
        <f t="shared" si="21"/>
        <v>4995</v>
      </c>
      <c r="U47" s="39">
        <v>0</v>
      </c>
      <c r="V47" s="39">
        <v>1</v>
      </c>
      <c r="W47">
        <f t="shared" si="22"/>
        <v>0</v>
      </c>
      <c r="X47">
        <f t="shared" si="23"/>
        <v>9996</v>
      </c>
    </row>
    <row r="48" spans="3:27" x14ac:dyDescent="0.25">
      <c r="C48" t="s">
        <v>307</v>
      </c>
      <c r="D48">
        <v>15999</v>
      </c>
      <c r="E48">
        <v>15997</v>
      </c>
      <c r="F48">
        <v>16005</v>
      </c>
      <c r="G48">
        <v>16004</v>
      </c>
      <c r="H48">
        <v>16004</v>
      </c>
      <c r="I48">
        <v>16005</v>
      </c>
      <c r="J48">
        <v>15995</v>
      </c>
      <c r="K48">
        <v>15996</v>
      </c>
      <c r="L48">
        <v>16001</v>
      </c>
      <c r="M48">
        <v>16005</v>
      </c>
      <c r="N48">
        <v>16004</v>
      </c>
      <c r="O48">
        <f t="shared" si="16"/>
        <v>16001.363636363636</v>
      </c>
      <c r="P48" s="39">
        <f t="shared" si="17"/>
        <v>15995</v>
      </c>
      <c r="Q48" s="39">
        <f t="shared" si="18"/>
        <v>16005</v>
      </c>
      <c r="R48">
        <f t="shared" si="19"/>
        <v>10</v>
      </c>
      <c r="S48">
        <f t="shared" si="20"/>
        <v>-10</v>
      </c>
      <c r="T48">
        <f t="shared" si="21"/>
        <v>-5</v>
      </c>
      <c r="U48" s="39">
        <v>1</v>
      </c>
      <c r="V48" s="39">
        <v>1</v>
      </c>
      <c r="W48">
        <f t="shared" si="22"/>
        <v>16005</v>
      </c>
      <c r="X48">
        <f t="shared" si="23"/>
        <v>15995</v>
      </c>
      <c r="AA48">
        <v>10000</v>
      </c>
    </row>
    <row r="49" spans="3:27" x14ac:dyDescent="0.25">
      <c r="C49" t="s">
        <v>308</v>
      </c>
      <c r="D49">
        <v>32001</v>
      </c>
      <c r="E49">
        <v>32003</v>
      </c>
      <c r="F49">
        <v>31996</v>
      </c>
      <c r="G49">
        <v>31998</v>
      </c>
      <c r="H49">
        <v>31996</v>
      </c>
      <c r="I49">
        <v>31995</v>
      </c>
      <c r="J49">
        <v>32004</v>
      </c>
      <c r="K49">
        <v>31995</v>
      </c>
      <c r="L49">
        <v>31997</v>
      </c>
      <c r="M49">
        <v>31997</v>
      </c>
      <c r="N49">
        <v>31996</v>
      </c>
      <c r="O49">
        <f t="shared" si="16"/>
        <v>31998</v>
      </c>
      <c r="P49" s="39">
        <f t="shared" si="17"/>
        <v>31995</v>
      </c>
      <c r="Q49" s="39">
        <f t="shared" si="18"/>
        <v>32004</v>
      </c>
      <c r="R49">
        <f t="shared" si="19"/>
        <v>9</v>
      </c>
      <c r="S49">
        <f t="shared" si="20"/>
        <v>-10</v>
      </c>
      <c r="T49">
        <f t="shared" si="21"/>
        <v>-5</v>
      </c>
      <c r="U49" s="39">
        <v>1</v>
      </c>
      <c r="V49" s="39">
        <v>1</v>
      </c>
      <c r="W49">
        <f t="shared" si="22"/>
        <v>32004</v>
      </c>
      <c r="X49">
        <f t="shared" si="23"/>
        <v>31995</v>
      </c>
      <c r="AA49">
        <v>21338</v>
      </c>
    </row>
    <row r="50" spans="3:27" x14ac:dyDescent="0.25">
      <c r="C50" t="s">
        <v>286</v>
      </c>
      <c r="D50">
        <v>53330</v>
      </c>
      <c r="E50">
        <v>53338</v>
      </c>
      <c r="F50">
        <v>13333</v>
      </c>
      <c r="G50">
        <v>13333</v>
      </c>
      <c r="H50">
        <v>13337</v>
      </c>
      <c r="I50">
        <v>53331</v>
      </c>
      <c r="J50">
        <v>53328</v>
      </c>
      <c r="K50">
        <v>13333</v>
      </c>
      <c r="L50">
        <v>13333</v>
      </c>
      <c r="M50">
        <v>13338</v>
      </c>
      <c r="N50">
        <v>53336</v>
      </c>
      <c r="O50">
        <f t="shared" si="16"/>
        <v>31515.454545454544</v>
      </c>
      <c r="P50" s="39">
        <f t="shared" si="17"/>
        <v>13333</v>
      </c>
      <c r="Q50" s="39">
        <f t="shared" si="18"/>
        <v>53338</v>
      </c>
      <c r="R50">
        <f t="shared" si="19"/>
        <v>40005</v>
      </c>
      <c r="S50">
        <f t="shared" si="20"/>
        <v>39990</v>
      </c>
      <c r="T50">
        <f t="shared" si="21"/>
        <v>19995</v>
      </c>
      <c r="U50" s="39">
        <v>0</v>
      </c>
      <c r="V50" s="39">
        <v>2</v>
      </c>
      <c r="W50">
        <f t="shared" si="22"/>
        <v>0</v>
      </c>
      <c r="X50">
        <f t="shared" si="23"/>
        <v>26666</v>
      </c>
      <c r="AA50">
        <f>AA49-AA48</f>
        <v>11338</v>
      </c>
    </row>
    <row r="53" spans="3:27" x14ac:dyDescent="0.25">
      <c r="C53" t="s">
        <v>251</v>
      </c>
    </row>
    <row r="54" spans="3:27" x14ac:dyDescent="0.25">
      <c r="D54" t="s">
        <v>295</v>
      </c>
    </row>
    <row r="55" spans="3:27" x14ac:dyDescent="0.25">
      <c r="C55" t="s">
        <v>256</v>
      </c>
      <c r="D55">
        <v>622</v>
      </c>
      <c r="E55">
        <v>478</v>
      </c>
      <c r="F55">
        <v>484</v>
      </c>
      <c r="G55">
        <v>480</v>
      </c>
      <c r="H55">
        <v>622</v>
      </c>
      <c r="I55">
        <v>613</v>
      </c>
      <c r="J55">
        <v>479</v>
      </c>
      <c r="K55">
        <v>623</v>
      </c>
      <c r="L55">
        <v>479</v>
      </c>
      <c r="M55">
        <v>481</v>
      </c>
      <c r="N55">
        <v>617</v>
      </c>
      <c r="O55">
        <f t="shared" ref="O55:O62" si="24">AVERAGE(D55:N55)</f>
        <v>543.4545454545455</v>
      </c>
      <c r="P55" s="39">
        <f t="shared" ref="P55:P62" si="25">MIN(D55:N55)</f>
        <v>478</v>
      </c>
      <c r="Q55" s="39">
        <f t="shared" ref="Q55:Q62" si="26">MAX(D55:N55)</f>
        <v>623</v>
      </c>
      <c r="R55">
        <f t="shared" ref="R55:R62" si="27">Q55-P55</f>
        <v>145</v>
      </c>
      <c r="S55">
        <f t="shared" ref="S55:S62" si="28">CEILING(R55-20,10)</f>
        <v>130</v>
      </c>
      <c r="T55">
        <f t="shared" ref="T55:T62" si="29">S55/2</f>
        <v>65</v>
      </c>
      <c r="U55" s="39">
        <v>7</v>
      </c>
      <c r="V55" s="39">
        <v>9</v>
      </c>
      <c r="W55">
        <f t="shared" ref="W55:W62" si="30">U55*Q55</f>
        <v>4361</v>
      </c>
      <c r="X55">
        <f t="shared" ref="X55:X62" si="31">V55*P55</f>
        <v>4302</v>
      </c>
    </row>
    <row r="56" spans="3:27" x14ac:dyDescent="0.25">
      <c r="C56" t="s">
        <v>291</v>
      </c>
      <c r="D56">
        <v>1102</v>
      </c>
      <c r="E56">
        <v>1098</v>
      </c>
      <c r="F56">
        <v>2752</v>
      </c>
      <c r="G56">
        <v>1096</v>
      </c>
      <c r="H56">
        <v>2746</v>
      </c>
      <c r="I56">
        <v>2746</v>
      </c>
      <c r="J56">
        <v>2754</v>
      </c>
      <c r="K56">
        <v>1096</v>
      </c>
      <c r="L56">
        <v>1099</v>
      </c>
      <c r="M56">
        <v>1096</v>
      </c>
      <c r="N56">
        <v>2749</v>
      </c>
      <c r="O56">
        <f t="shared" si="24"/>
        <v>1848.5454545454545</v>
      </c>
      <c r="P56" s="39">
        <f t="shared" si="25"/>
        <v>1096</v>
      </c>
      <c r="Q56" s="39">
        <f t="shared" si="26"/>
        <v>2754</v>
      </c>
      <c r="R56">
        <f t="shared" si="27"/>
        <v>1658</v>
      </c>
      <c r="S56">
        <f t="shared" si="28"/>
        <v>1640</v>
      </c>
      <c r="T56">
        <f t="shared" si="29"/>
        <v>820</v>
      </c>
      <c r="U56" s="39">
        <v>3</v>
      </c>
      <c r="V56" s="39">
        <v>6</v>
      </c>
      <c r="W56">
        <f t="shared" si="30"/>
        <v>8262</v>
      </c>
      <c r="X56">
        <f t="shared" si="31"/>
        <v>6576</v>
      </c>
    </row>
    <row r="57" spans="3:27" x14ac:dyDescent="0.25">
      <c r="C57" t="s">
        <v>260</v>
      </c>
      <c r="D57">
        <v>441</v>
      </c>
      <c r="E57">
        <v>175</v>
      </c>
      <c r="F57">
        <v>180</v>
      </c>
      <c r="G57">
        <v>178</v>
      </c>
      <c r="H57">
        <v>179</v>
      </c>
      <c r="I57">
        <v>174</v>
      </c>
      <c r="J57">
        <v>176</v>
      </c>
      <c r="K57">
        <v>177</v>
      </c>
      <c r="L57">
        <v>436</v>
      </c>
      <c r="M57">
        <v>180</v>
      </c>
      <c r="N57">
        <v>176</v>
      </c>
      <c r="O57">
        <f t="shared" si="24"/>
        <v>224.72727272727272</v>
      </c>
      <c r="P57" s="39">
        <f t="shared" si="25"/>
        <v>174</v>
      </c>
      <c r="Q57" s="39">
        <f t="shared" si="26"/>
        <v>441</v>
      </c>
      <c r="R57">
        <f t="shared" si="27"/>
        <v>267</v>
      </c>
      <c r="S57">
        <f t="shared" si="28"/>
        <v>250</v>
      </c>
      <c r="T57">
        <f t="shared" si="29"/>
        <v>125</v>
      </c>
      <c r="U57" s="39">
        <v>3</v>
      </c>
      <c r="V57" s="39">
        <v>6</v>
      </c>
      <c r="W57">
        <f t="shared" si="30"/>
        <v>1323</v>
      </c>
      <c r="X57">
        <f t="shared" si="31"/>
        <v>1044</v>
      </c>
    </row>
    <row r="58" spans="3:27" x14ac:dyDescent="0.25">
      <c r="C58" t="s">
        <v>301</v>
      </c>
      <c r="D58">
        <v>2499</v>
      </c>
      <c r="E58">
        <v>1665</v>
      </c>
      <c r="F58">
        <v>2499</v>
      </c>
      <c r="G58">
        <v>2501</v>
      </c>
      <c r="H58">
        <v>2497</v>
      </c>
      <c r="I58">
        <v>1669</v>
      </c>
      <c r="J58">
        <v>1670</v>
      </c>
      <c r="K58">
        <v>2504</v>
      </c>
      <c r="L58">
        <v>2499</v>
      </c>
      <c r="M58">
        <v>2499</v>
      </c>
      <c r="N58">
        <v>1671</v>
      </c>
      <c r="O58">
        <f t="shared" si="24"/>
        <v>2197.5454545454545</v>
      </c>
      <c r="P58" s="39">
        <f t="shared" si="25"/>
        <v>1665</v>
      </c>
      <c r="Q58" s="39">
        <f t="shared" si="26"/>
        <v>2504</v>
      </c>
      <c r="R58">
        <f t="shared" si="27"/>
        <v>839</v>
      </c>
      <c r="S58">
        <f t="shared" si="28"/>
        <v>820</v>
      </c>
      <c r="T58">
        <f t="shared" si="29"/>
        <v>410</v>
      </c>
      <c r="U58" s="39">
        <v>3</v>
      </c>
      <c r="V58" s="39">
        <v>4</v>
      </c>
      <c r="W58">
        <f t="shared" si="30"/>
        <v>7512</v>
      </c>
      <c r="X58">
        <f t="shared" si="31"/>
        <v>6660</v>
      </c>
    </row>
    <row r="59" spans="3:27" x14ac:dyDescent="0.25">
      <c r="C59" t="s">
        <v>300</v>
      </c>
      <c r="D59">
        <v>3999</v>
      </c>
      <c r="E59">
        <v>3995</v>
      </c>
      <c r="F59">
        <v>3997</v>
      </c>
      <c r="G59">
        <v>4005</v>
      </c>
      <c r="H59">
        <v>4003</v>
      </c>
      <c r="I59">
        <v>3995</v>
      </c>
      <c r="J59">
        <v>4002</v>
      </c>
      <c r="K59">
        <v>4004</v>
      </c>
      <c r="L59">
        <v>4002</v>
      </c>
      <c r="M59">
        <v>4001</v>
      </c>
      <c r="N59">
        <v>3998</v>
      </c>
      <c r="O59">
        <f t="shared" si="24"/>
        <v>4000.090909090909</v>
      </c>
      <c r="P59" s="39">
        <f t="shared" si="25"/>
        <v>3995</v>
      </c>
      <c r="Q59" s="39">
        <f t="shared" si="26"/>
        <v>4005</v>
      </c>
      <c r="R59">
        <f t="shared" si="27"/>
        <v>10</v>
      </c>
      <c r="S59">
        <f t="shared" si="28"/>
        <v>-10</v>
      </c>
      <c r="T59">
        <f t="shared" si="29"/>
        <v>-5</v>
      </c>
      <c r="U59" s="39">
        <v>2</v>
      </c>
      <c r="V59" s="39">
        <v>2</v>
      </c>
      <c r="W59">
        <f t="shared" si="30"/>
        <v>8010</v>
      </c>
      <c r="X59">
        <f t="shared" si="31"/>
        <v>7990</v>
      </c>
    </row>
    <row r="60" spans="3:27" x14ac:dyDescent="0.25">
      <c r="C60" t="s">
        <v>271</v>
      </c>
      <c r="D60">
        <v>1333</v>
      </c>
      <c r="E60">
        <v>5334</v>
      </c>
      <c r="F60">
        <v>1337</v>
      </c>
      <c r="G60">
        <v>5333</v>
      </c>
      <c r="H60">
        <v>5329</v>
      </c>
      <c r="I60">
        <v>1333</v>
      </c>
      <c r="J60">
        <v>5334</v>
      </c>
      <c r="K60">
        <v>5328</v>
      </c>
      <c r="L60">
        <v>1333</v>
      </c>
      <c r="M60">
        <v>5332</v>
      </c>
      <c r="N60">
        <v>1334</v>
      </c>
      <c r="O60">
        <f t="shared" si="24"/>
        <v>3514.5454545454545</v>
      </c>
      <c r="P60" s="39">
        <f t="shared" si="25"/>
        <v>1333</v>
      </c>
      <c r="Q60" s="39">
        <f t="shared" si="26"/>
        <v>5334</v>
      </c>
      <c r="R60">
        <f t="shared" si="27"/>
        <v>4001</v>
      </c>
      <c r="S60">
        <f t="shared" si="28"/>
        <v>3990</v>
      </c>
      <c r="T60">
        <f t="shared" si="29"/>
        <v>1995</v>
      </c>
      <c r="U60" s="39">
        <v>1</v>
      </c>
      <c r="V60" s="39">
        <v>4</v>
      </c>
      <c r="W60">
        <f t="shared" si="30"/>
        <v>5334</v>
      </c>
      <c r="X60">
        <f t="shared" si="31"/>
        <v>5332</v>
      </c>
    </row>
    <row r="61" spans="3:27" x14ac:dyDescent="0.25">
      <c r="C61" t="s">
        <v>275</v>
      </c>
      <c r="D61">
        <v>1504</v>
      </c>
      <c r="E61">
        <v>7504</v>
      </c>
      <c r="F61">
        <v>1500</v>
      </c>
      <c r="G61">
        <v>1500</v>
      </c>
      <c r="H61">
        <v>1500</v>
      </c>
      <c r="I61">
        <v>7505</v>
      </c>
      <c r="J61">
        <v>7503</v>
      </c>
      <c r="K61">
        <v>7496</v>
      </c>
      <c r="L61">
        <v>1500</v>
      </c>
      <c r="M61">
        <v>1501</v>
      </c>
      <c r="N61">
        <v>1501</v>
      </c>
      <c r="O61">
        <f t="shared" si="24"/>
        <v>3683.090909090909</v>
      </c>
      <c r="P61" s="39">
        <f t="shared" si="25"/>
        <v>1500</v>
      </c>
      <c r="Q61" s="39">
        <f t="shared" si="26"/>
        <v>7505</v>
      </c>
      <c r="R61">
        <f t="shared" si="27"/>
        <v>6005</v>
      </c>
      <c r="S61">
        <f t="shared" si="28"/>
        <v>5990</v>
      </c>
      <c r="T61">
        <f t="shared" si="29"/>
        <v>2995</v>
      </c>
      <c r="U61" s="39">
        <v>1</v>
      </c>
      <c r="V61" s="39">
        <v>5</v>
      </c>
      <c r="W61">
        <f t="shared" si="30"/>
        <v>7505</v>
      </c>
      <c r="X61">
        <f t="shared" si="31"/>
        <v>7500</v>
      </c>
    </row>
    <row r="62" spans="3:27" x14ac:dyDescent="0.25">
      <c r="C62" t="s">
        <v>311</v>
      </c>
      <c r="D62">
        <v>40001</v>
      </c>
      <c r="E62">
        <v>39998</v>
      </c>
      <c r="F62">
        <v>39995</v>
      </c>
      <c r="G62">
        <v>40003</v>
      </c>
      <c r="H62">
        <v>40001</v>
      </c>
      <c r="I62">
        <v>40005</v>
      </c>
      <c r="J62">
        <v>39996</v>
      </c>
      <c r="K62">
        <v>40004</v>
      </c>
      <c r="L62">
        <v>40005</v>
      </c>
      <c r="M62">
        <v>39997</v>
      </c>
      <c r="N62">
        <v>40002</v>
      </c>
      <c r="O62">
        <f t="shared" si="24"/>
        <v>40000.63636363636</v>
      </c>
      <c r="P62" s="39">
        <f t="shared" si="25"/>
        <v>39995</v>
      </c>
      <c r="Q62" s="39">
        <f t="shared" si="26"/>
        <v>40005</v>
      </c>
      <c r="R62">
        <f t="shared" si="27"/>
        <v>10</v>
      </c>
      <c r="S62">
        <f t="shared" si="28"/>
        <v>-10</v>
      </c>
      <c r="T62">
        <f t="shared" si="29"/>
        <v>-5</v>
      </c>
      <c r="U62" s="39">
        <v>1</v>
      </c>
      <c r="V62" s="39">
        <v>1</v>
      </c>
      <c r="W62">
        <f t="shared" si="30"/>
        <v>40005</v>
      </c>
      <c r="X62">
        <f t="shared" si="31"/>
        <v>39995</v>
      </c>
    </row>
    <row r="65" spans="3:24" x14ac:dyDescent="0.25">
      <c r="C65" t="s">
        <v>252</v>
      </c>
    </row>
    <row r="66" spans="3:24" x14ac:dyDescent="0.25">
      <c r="D66" t="s">
        <v>295</v>
      </c>
    </row>
    <row r="67" spans="3:24" x14ac:dyDescent="0.25">
      <c r="C67" t="s">
        <v>312</v>
      </c>
      <c r="D67">
        <v>683</v>
      </c>
      <c r="E67">
        <v>851</v>
      </c>
      <c r="F67">
        <v>682</v>
      </c>
      <c r="G67">
        <v>684</v>
      </c>
      <c r="H67">
        <v>855</v>
      </c>
      <c r="I67">
        <v>849</v>
      </c>
      <c r="J67">
        <v>855</v>
      </c>
      <c r="K67">
        <v>848</v>
      </c>
      <c r="L67">
        <v>849</v>
      </c>
      <c r="M67">
        <v>679</v>
      </c>
      <c r="N67">
        <v>850</v>
      </c>
      <c r="O67">
        <f t="shared" ref="O67:O76" si="32">AVERAGE(D67:N67)</f>
        <v>789.5454545454545</v>
      </c>
      <c r="P67" s="39">
        <f t="shared" ref="P67:P76" si="33">MIN(D67:N67)</f>
        <v>679</v>
      </c>
      <c r="Q67" s="39">
        <f t="shared" ref="Q67:Q76" si="34">MAX(D67:N67)</f>
        <v>855</v>
      </c>
      <c r="R67">
        <f t="shared" ref="R67:R76" si="35">Q67-P67</f>
        <v>176</v>
      </c>
      <c r="S67">
        <f t="shared" ref="S67:S76" si="36">CEILING(R67-20,10)</f>
        <v>160</v>
      </c>
      <c r="T67">
        <f t="shared" ref="T67:T76" si="37">S67/2</f>
        <v>80</v>
      </c>
      <c r="U67" s="39">
        <v>5</v>
      </c>
      <c r="V67" s="39">
        <v>6</v>
      </c>
      <c r="W67">
        <f t="shared" ref="W67:W76" si="38">U67*Q67</f>
        <v>4275</v>
      </c>
      <c r="X67">
        <f t="shared" ref="X67:X76" si="39">V67*P67</f>
        <v>4074</v>
      </c>
    </row>
    <row r="68" spans="3:24" x14ac:dyDescent="0.25">
      <c r="C68" t="s">
        <v>292</v>
      </c>
      <c r="D68">
        <v>200</v>
      </c>
      <c r="E68">
        <v>203</v>
      </c>
      <c r="F68">
        <v>200</v>
      </c>
      <c r="G68">
        <v>796</v>
      </c>
      <c r="H68">
        <v>798</v>
      </c>
      <c r="I68">
        <v>200</v>
      </c>
      <c r="J68">
        <v>203</v>
      </c>
      <c r="K68">
        <v>200</v>
      </c>
      <c r="L68">
        <v>801</v>
      </c>
      <c r="M68">
        <v>800</v>
      </c>
      <c r="N68">
        <v>200</v>
      </c>
      <c r="O68">
        <f t="shared" si="32"/>
        <v>418.27272727272725</v>
      </c>
      <c r="P68" s="39">
        <f t="shared" si="33"/>
        <v>200</v>
      </c>
      <c r="Q68" s="39">
        <f t="shared" si="34"/>
        <v>801</v>
      </c>
      <c r="R68">
        <f t="shared" si="35"/>
        <v>601</v>
      </c>
      <c r="S68">
        <f t="shared" si="36"/>
        <v>590</v>
      </c>
      <c r="T68">
        <f t="shared" si="37"/>
        <v>295</v>
      </c>
      <c r="U68" s="39">
        <v>2</v>
      </c>
      <c r="V68" s="39">
        <v>5</v>
      </c>
      <c r="W68">
        <f t="shared" si="38"/>
        <v>1602</v>
      </c>
      <c r="X68">
        <f t="shared" si="39"/>
        <v>1000</v>
      </c>
    </row>
    <row r="69" spans="3:24" x14ac:dyDescent="0.25">
      <c r="C69" t="s">
        <v>268</v>
      </c>
      <c r="D69">
        <v>650</v>
      </c>
      <c r="E69">
        <v>430</v>
      </c>
      <c r="F69">
        <v>655</v>
      </c>
      <c r="G69">
        <v>655</v>
      </c>
      <c r="H69">
        <v>646</v>
      </c>
      <c r="I69">
        <v>647</v>
      </c>
      <c r="J69">
        <v>436</v>
      </c>
      <c r="K69">
        <v>435</v>
      </c>
      <c r="L69">
        <v>645</v>
      </c>
      <c r="M69">
        <v>645</v>
      </c>
      <c r="N69">
        <v>645</v>
      </c>
      <c r="O69">
        <f t="shared" si="32"/>
        <v>589.90909090909088</v>
      </c>
      <c r="P69" s="39">
        <f t="shared" si="33"/>
        <v>430</v>
      </c>
      <c r="Q69" s="39">
        <f t="shared" si="34"/>
        <v>655</v>
      </c>
      <c r="R69">
        <f t="shared" si="35"/>
        <v>225</v>
      </c>
      <c r="S69">
        <f t="shared" si="36"/>
        <v>210</v>
      </c>
      <c r="T69">
        <f t="shared" si="37"/>
        <v>105</v>
      </c>
      <c r="U69" s="39">
        <v>3</v>
      </c>
      <c r="V69" s="39">
        <v>4</v>
      </c>
      <c r="W69">
        <f t="shared" si="38"/>
        <v>1965</v>
      </c>
      <c r="X69">
        <f t="shared" si="39"/>
        <v>1720</v>
      </c>
    </row>
    <row r="70" spans="3:24" x14ac:dyDescent="0.25">
      <c r="C70" t="s">
        <v>301</v>
      </c>
      <c r="D70">
        <v>998</v>
      </c>
      <c r="E70">
        <v>1003</v>
      </c>
      <c r="F70">
        <v>1005</v>
      </c>
      <c r="G70">
        <v>1000</v>
      </c>
      <c r="H70">
        <v>1004</v>
      </c>
      <c r="I70">
        <v>596</v>
      </c>
      <c r="J70">
        <v>604</v>
      </c>
      <c r="K70">
        <v>1004</v>
      </c>
      <c r="L70">
        <v>595</v>
      </c>
      <c r="M70">
        <v>995</v>
      </c>
      <c r="N70">
        <v>605</v>
      </c>
      <c r="O70">
        <f t="shared" si="32"/>
        <v>855.36363636363637</v>
      </c>
      <c r="P70" s="39">
        <f t="shared" si="33"/>
        <v>595</v>
      </c>
      <c r="Q70" s="39">
        <f t="shared" si="34"/>
        <v>1005</v>
      </c>
      <c r="R70">
        <f t="shared" si="35"/>
        <v>410</v>
      </c>
      <c r="S70">
        <f t="shared" si="36"/>
        <v>390</v>
      </c>
      <c r="T70">
        <f t="shared" si="37"/>
        <v>195</v>
      </c>
      <c r="U70" s="39">
        <v>3</v>
      </c>
      <c r="V70" s="39">
        <v>5</v>
      </c>
      <c r="W70">
        <f t="shared" si="38"/>
        <v>3015</v>
      </c>
      <c r="X70">
        <f t="shared" si="39"/>
        <v>2975</v>
      </c>
    </row>
    <row r="71" spans="3:24" x14ac:dyDescent="0.25">
      <c r="C71" t="s">
        <v>313</v>
      </c>
      <c r="D71">
        <v>2934</v>
      </c>
      <c r="E71">
        <v>1176</v>
      </c>
      <c r="F71">
        <v>1171</v>
      </c>
      <c r="G71">
        <v>2937</v>
      </c>
      <c r="H71">
        <v>1173</v>
      </c>
      <c r="I71">
        <v>2940</v>
      </c>
      <c r="J71">
        <v>2937</v>
      </c>
      <c r="K71">
        <v>1178</v>
      </c>
      <c r="L71">
        <v>1172</v>
      </c>
      <c r="M71">
        <v>1177</v>
      </c>
      <c r="N71">
        <v>1174</v>
      </c>
      <c r="O71">
        <f t="shared" si="32"/>
        <v>1815.3636363636363</v>
      </c>
      <c r="P71" s="39">
        <f t="shared" si="33"/>
        <v>1171</v>
      </c>
      <c r="Q71" s="39">
        <f t="shared" si="34"/>
        <v>2940</v>
      </c>
      <c r="R71">
        <f t="shared" si="35"/>
        <v>1769</v>
      </c>
      <c r="S71">
        <f t="shared" si="36"/>
        <v>1750</v>
      </c>
      <c r="T71">
        <f t="shared" si="37"/>
        <v>875</v>
      </c>
      <c r="U71" s="39">
        <v>3</v>
      </c>
      <c r="V71" s="39">
        <v>6</v>
      </c>
      <c r="W71">
        <f t="shared" si="38"/>
        <v>8820</v>
      </c>
      <c r="X71">
        <f t="shared" si="39"/>
        <v>7026</v>
      </c>
    </row>
    <row r="72" spans="3:24" x14ac:dyDescent="0.25">
      <c r="C72" t="s">
        <v>293</v>
      </c>
      <c r="D72">
        <v>29336</v>
      </c>
      <c r="E72">
        <v>14662</v>
      </c>
      <c r="F72">
        <v>14667</v>
      </c>
      <c r="G72">
        <v>29330</v>
      </c>
      <c r="H72">
        <v>14664</v>
      </c>
      <c r="I72">
        <v>14669</v>
      </c>
      <c r="J72">
        <v>14665</v>
      </c>
      <c r="K72">
        <v>14663</v>
      </c>
      <c r="L72">
        <v>14662</v>
      </c>
      <c r="M72">
        <v>29330</v>
      </c>
      <c r="N72">
        <v>29336</v>
      </c>
      <c r="O72">
        <f t="shared" si="32"/>
        <v>19998.545454545456</v>
      </c>
      <c r="P72" s="39">
        <f t="shared" si="33"/>
        <v>14662</v>
      </c>
      <c r="Q72" s="39">
        <f t="shared" si="34"/>
        <v>29336</v>
      </c>
      <c r="R72">
        <f t="shared" si="35"/>
        <v>14674</v>
      </c>
      <c r="S72">
        <f t="shared" si="36"/>
        <v>14660</v>
      </c>
      <c r="T72">
        <f t="shared" si="37"/>
        <v>7330</v>
      </c>
      <c r="U72" s="39">
        <v>0</v>
      </c>
      <c r="V72" s="39">
        <v>2</v>
      </c>
      <c r="W72">
        <f t="shared" si="38"/>
        <v>0</v>
      </c>
      <c r="X72">
        <f t="shared" si="39"/>
        <v>29324</v>
      </c>
    </row>
    <row r="73" spans="3:24" x14ac:dyDescent="0.25">
      <c r="C73" t="s">
        <v>279</v>
      </c>
      <c r="D73">
        <v>24000</v>
      </c>
      <c r="E73">
        <v>24000</v>
      </c>
      <c r="F73">
        <v>16004</v>
      </c>
      <c r="G73">
        <v>16001</v>
      </c>
      <c r="H73">
        <v>24003</v>
      </c>
      <c r="I73">
        <v>23996</v>
      </c>
      <c r="J73">
        <v>16000</v>
      </c>
      <c r="K73">
        <v>24005</v>
      </c>
      <c r="L73">
        <v>16005</v>
      </c>
      <c r="M73">
        <v>16005</v>
      </c>
      <c r="N73">
        <v>15998</v>
      </c>
      <c r="O73">
        <f t="shared" si="32"/>
        <v>19637.909090909092</v>
      </c>
      <c r="P73" s="39">
        <f t="shared" si="33"/>
        <v>15998</v>
      </c>
      <c r="Q73" s="39">
        <f t="shared" si="34"/>
        <v>24005</v>
      </c>
      <c r="R73">
        <f t="shared" si="35"/>
        <v>8007</v>
      </c>
      <c r="S73">
        <f t="shared" si="36"/>
        <v>7990</v>
      </c>
      <c r="T73">
        <f t="shared" si="37"/>
        <v>3995</v>
      </c>
      <c r="U73" s="39">
        <v>0</v>
      </c>
      <c r="V73" s="39">
        <v>1</v>
      </c>
      <c r="W73">
        <f t="shared" si="38"/>
        <v>0</v>
      </c>
      <c r="X73">
        <f t="shared" si="39"/>
        <v>15998</v>
      </c>
    </row>
    <row r="74" spans="3:24" x14ac:dyDescent="0.25">
      <c r="C74" t="s">
        <v>306</v>
      </c>
      <c r="D74">
        <v>10668</v>
      </c>
      <c r="E74">
        <v>10671</v>
      </c>
      <c r="F74">
        <v>21337</v>
      </c>
      <c r="G74">
        <v>21332</v>
      </c>
      <c r="H74">
        <v>21337</v>
      </c>
      <c r="I74">
        <v>21334</v>
      </c>
      <c r="J74">
        <v>21336</v>
      </c>
      <c r="K74">
        <v>21331</v>
      </c>
      <c r="L74">
        <v>21338</v>
      </c>
      <c r="M74">
        <v>10667</v>
      </c>
      <c r="N74">
        <v>10663</v>
      </c>
      <c r="O74">
        <f t="shared" si="32"/>
        <v>17455.81818181818</v>
      </c>
      <c r="P74" s="39">
        <f t="shared" si="33"/>
        <v>10663</v>
      </c>
      <c r="Q74" s="39">
        <f t="shared" si="34"/>
        <v>21338</v>
      </c>
      <c r="R74">
        <f t="shared" si="35"/>
        <v>10675</v>
      </c>
      <c r="S74">
        <f t="shared" si="36"/>
        <v>10660</v>
      </c>
      <c r="T74">
        <f t="shared" si="37"/>
        <v>5330</v>
      </c>
      <c r="U74" s="39">
        <v>0</v>
      </c>
      <c r="V74" s="39">
        <v>1</v>
      </c>
      <c r="W74">
        <f t="shared" si="38"/>
        <v>0</v>
      </c>
      <c r="X74">
        <f t="shared" si="39"/>
        <v>10663</v>
      </c>
    </row>
    <row r="75" spans="3:24" x14ac:dyDescent="0.25">
      <c r="C75" t="s">
        <v>305</v>
      </c>
      <c r="D75">
        <v>21332</v>
      </c>
      <c r="E75">
        <v>10663</v>
      </c>
      <c r="F75">
        <v>10666</v>
      </c>
      <c r="G75">
        <v>21330</v>
      </c>
      <c r="H75">
        <v>10672</v>
      </c>
      <c r="I75">
        <v>21332</v>
      </c>
      <c r="J75">
        <v>21336</v>
      </c>
      <c r="K75">
        <v>21329</v>
      </c>
      <c r="L75">
        <v>10670</v>
      </c>
      <c r="M75">
        <v>10666</v>
      </c>
      <c r="N75">
        <v>21335</v>
      </c>
      <c r="O75">
        <f t="shared" si="32"/>
        <v>16484.636363636364</v>
      </c>
      <c r="P75" s="39">
        <f t="shared" si="33"/>
        <v>10663</v>
      </c>
      <c r="Q75" s="39">
        <f t="shared" si="34"/>
        <v>21336</v>
      </c>
      <c r="R75">
        <f t="shared" si="35"/>
        <v>10673</v>
      </c>
      <c r="S75">
        <f t="shared" si="36"/>
        <v>10660</v>
      </c>
      <c r="T75">
        <f t="shared" si="37"/>
        <v>5330</v>
      </c>
      <c r="U75" s="39">
        <v>2</v>
      </c>
      <c r="V75" s="39">
        <v>4</v>
      </c>
      <c r="W75">
        <f t="shared" si="38"/>
        <v>42672</v>
      </c>
      <c r="X75">
        <f t="shared" si="39"/>
        <v>42652</v>
      </c>
    </row>
    <row r="76" spans="3:24" x14ac:dyDescent="0.25">
      <c r="C76" t="s">
        <v>314</v>
      </c>
      <c r="D76">
        <v>7666</v>
      </c>
      <c r="E76">
        <v>30668</v>
      </c>
      <c r="F76">
        <v>30667</v>
      </c>
      <c r="G76">
        <v>30663</v>
      </c>
      <c r="H76">
        <v>30662</v>
      </c>
      <c r="I76">
        <v>7666</v>
      </c>
      <c r="J76">
        <v>30671</v>
      </c>
      <c r="K76">
        <v>7666</v>
      </c>
      <c r="L76">
        <v>30665</v>
      </c>
      <c r="M76">
        <v>7671</v>
      </c>
      <c r="N76">
        <v>30667</v>
      </c>
      <c r="O76">
        <f t="shared" si="32"/>
        <v>22302.909090909092</v>
      </c>
      <c r="P76" s="39">
        <f t="shared" si="33"/>
        <v>7666</v>
      </c>
      <c r="Q76" s="39">
        <f t="shared" si="34"/>
        <v>30671</v>
      </c>
      <c r="R76">
        <f t="shared" si="35"/>
        <v>23005</v>
      </c>
      <c r="S76">
        <f t="shared" si="36"/>
        <v>22990</v>
      </c>
      <c r="T76">
        <f t="shared" si="37"/>
        <v>11495</v>
      </c>
      <c r="U76" s="39">
        <v>1</v>
      </c>
      <c r="V76" s="39">
        <v>4</v>
      </c>
      <c r="W76">
        <f t="shared" si="38"/>
        <v>30671</v>
      </c>
      <c r="X76">
        <f t="shared" si="39"/>
        <v>30664</v>
      </c>
    </row>
    <row r="79" spans="3:24" x14ac:dyDescent="0.25">
      <c r="C79" t="s">
        <v>253</v>
      </c>
    </row>
    <row r="81" spans="3:24" x14ac:dyDescent="0.25">
      <c r="C81" t="s">
        <v>312</v>
      </c>
      <c r="D81">
        <v>330</v>
      </c>
      <c r="E81">
        <v>272</v>
      </c>
      <c r="F81">
        <v>276</v>
      </c>
      <c r="G81">
        <v>321</v>
      </c>
      <c r="H81">
        <v>325</v>
      </c>
      <c r="O81">
        <f t="shared" ref="O81:O89" si="40">AVERAGE(D81:N81)</f>
        <v>304.8</v>
      </c>
      <c r="P81" s="39">
        <f t="shared" ref="P81:P89" si="41">MIN(D81:N81)</f>
        <v>272</v>
      </c>
      <c r="Q81" s="39">
        <f t="shared" ref="Q81:Q89" si="42">MAX(D81:N81)</f>
        <v>330</v>
      </c>
      <c r="R81">
        <f t="shared" ref="R81:R89" si="43">Q81-P81</f>
        <v>58</v>
      </c>
      <c r="S81">
        <f t="shared" ref="S81:S89" si="44">CEILING(R81-20,10)</f>
        <v>40</v>
      </c>
      <c r="T81">
        <f t="shared" ref="T81:T89" si="45">S81/2</f>
        <v>20</v>
      </c>
      <c r="U81" s="39">
        <v>11</v>
      </c>
      <c r="V81" s="39">
        <v>13</v>
      </c>
      <c r="W81">
        <f t="shared" ref="W81:W89" si="46">U81*Q81</f>
        <v>3630</v>
      </c>
      <c r="X81">
        <f t="shared" ref="X81:X89" si="47">V81*P81</f>
        <v>3536</v>
      </c>
    </row>
    <row r="82" spans="3:24" x14ac:dyDescent="0.25">
      <c r="C82" t="s">
        <v>265</v>
      </c>
      <c r="D82">
        <v>588</v>
      </c>
      <c r="E82">
        <v>817</v>
      </c>
      <c r="F82">
        <v>587</v>
      </c>
      <c r="G82">
        <v>588</v>
      </c>
      <c r="H82">
        <v>812</v>
      </c>
      <c r="O82">
        <f t="shared" si="40"/>
        <v>678.4</v>
      </c>
      <c r="P82" s="39">
        <f t="shared" si="41"/>
        <v>587</v>
      </c>
      <c r="Q82" s="39">
        <f t="shared" si="42"/>
        <v>817</v>
      </c>
      <c r="R82">
        <f t="shared" si="43"/>
        <v>230</v>
      </c>
      <c r="S82">
        <f t="shared" si="44"/>
        <v>210</v>
      </c>
      <c r="T82">
        <f t="shared" si="45"/>
        <v>105</v>
      </c>
      <c r="U82" s="39">
        <v>5</v>
      </c>
      <c r="V82" s="39">
        <v>7</v>
      </c>
      <c r="W82">
        <f t="shared" si="46"/>
        <v>4085</v>
      </c>
      <c r="X82">
        <f t="shared" si="47"/>
        <v>4109</v>
      </c>
    </row>
    <row r="83" spans="3:24" x14ac:dyDescent="0.25">
      <c r="C83" t="s">
        <v>260</v>
      </c>
      <c r="D83">
        <v>235</v>
      </c>
      <c r="E83">
        <v>165</v>
      </c>
      <c r="F83">
        <v>245</v>
      </c>
      <c r="G83">
        <v>158</v>
      </c>
      <c r="H83">
        <v>244</v>
      </c>
      <c r="O83">
        <f t="shared" si="40"/>
        <v>209.4</v>
      </c>
      <c r="P83" s="39">
        <f t="shared" si="41"/>
        <v>158</v>
      </c>
      <c r="Q83" s="39">
        <f t="shared" si="42"/>
        <v>245</v>
      </c>
      <c r="R83">
        <f t="shared" si="43"/>
        <v>87</v>
      </c>
      <c r="S83">
        <f t="shared" si="44"/>
        <v>70</v>
      </c>
      <c r="T83">
        <f t="shared" si="45"/>
        <v>35</v>
      </c>
      <c r="U83" s="39">
        <v>4</v>
      </c>
      <c r="V83" s="39">
        <v>6</v>
      </c>
      <c r="W83">
        <f t="shared" si="46"/>
        <v>980</v>
      </c>
      <c r="X83">
        <f t="shared" si="47"/>
        <v>948</v>
      </c>
    </row>
    <row r="84" spans="3:24" x14ac:dyDescent="0.25">
      <c r="C84" t="s">
        <v>259</v>
      </c>
      <c r="D84">
        <v>230</v>
      </c>
      <c r="E84">
        <v>379</v>
      </c>
      <c r="F84">
        <v>370</v>
      </c>
      <c r="G84">
        <v>221</v>
      </c>
      <c r="H84">
        <v>379</v>
      </c>
      <c r="O84">
        <f t="shared" si="40"/>
        <v>315.8</v>
      </c>
      <c r="P84" s="39">
        <f t="shared" si="41"/>
        <v>221</v>
      </c>
      <c r="Q84" s="39">
        <f t="shared" si="42"/>
        <v>379</v>
      </c>
      <c r="R84">
        <f t="shared" si="43"/>
        <v>158</v>
      </c>
      <c r="S84">
        <f t="shared" si="44"/>
        <v>140</v>
      </c>
      <c r="T84">
        <f t="shared" si="45"/>
        <v>70</v>
      </c>
      <c r="U84" s="39">
        <v>3</v>
      </c>
      <c r="V84" s="39">
        <v>5</v>
      </c>
      <c r="W84">
        <f t="shared" si="46"/>
        <v>1137</v>
      </c>
      <c r="X84">
        <f t="shared" si="47"/>
        <v>1105</v>
      </c>
    </row>
    <row r="85" spans="3:24" x14ac:dyDescent="0.25">
      <c r="C85" t="s">
        <v>294</v>
      </c>
      <c r="D85">
        <v>668</v>
      </c>
      <c r="E85">
        <v>663</v>
      </c>
      <c r="F85">
        <v>666</v>
      </c>
      <c r="G85">
        <v>667</v>
      </c>
      <c r="H85">
        <v>269</v>
      </c>
      <c r="O85">
        <f t="shared" si="40"/>
        <v>586.6</v>
      </c>
      <c r="P85" s="39">
        <f t="shared" si="41"/>
        <v>269</v>
      </c>
      <c r="Q85" s="39">
        <f t="shared" si="42"/>
        <v>668</v>
      </c>
      <c r="R85">
        <f t="shared" si="43"/>
        <v>399</v>
      </c>
      <c r="S85">
        <f t="shared" si="44"/>
        <v>380</v>
      </c>
      <c r="T85">
        <f t="shared" si="45"/>
        <v>190</v>
      </c>
      <c r="U85" s="39">
        <v>0</v>
      </c>
      <c r="V85" s="39">
        <v>1</v>
      </c>
      <c r="W85">
        <f t="shared" si="46"/>
        <v>0</v>
      </c>
      <c r="X85">
        <f t="shared" si="47"/>
        <v>269</v>
      </c>
    </row>
    <row r="86" spans="3:24" x14ac:dyDescent="0.25">
      <c r="C86" t="s">
        <v>275</v>
      </c>
      <c r="D86">
        <v>2334</v>
      </c>
      <c r="E86">
        <v>2337</v>
      </c>
      <c r="F86">
        <v>2336</v>
      </c>
      <c r="G86">
        <v>11661</v>
      </c>
      <c r="H86">
        <v>11662</v>
      </c>
      <c r="O86">
        <f t="shared" si="40"/>
        <v>6066</v>
      </c>
      <c r="P86" s="39">
        <f t="shared" si="41"/>
        <v>2334</v>
      </c>
      <c r="Q86" s="39">
        <f t="shared" si="42"/>
        <v>11662</v>
      </c>
      <c r="R86">
        <f t="shared" si="43"/>
        <v>9328</v>
      </c>
      <c r="S86">
        <f t="shared" si="44"/>
        <v>9310</v>
      </c>
      <c r="T86">
        <f t="shared" si="45"/>
        <v>4655</v>
      </c>
      <c r="U86" s="39">
        <v>1</v>
      </c>
      <c r="V86" s="39">
        <v>5</v>
      </c>
      <c r="W86">
        <f t="shared" si="46"/>
        <v>11662</v>
      </c>
      <c r="X86">
        <f t="shared" si="47"/>
        <v>11670</v>
      </c>
    </row>
    <row r="87" spans="3:24" x14ac:dyDescent="0.25">
      <c r="C87" t="s">
        <v>311</v>
      </c>
      <c r="D87">
        <v>11336</v>
      </c>
      <c r="E87">
        <v>28330</v>
      </c>
      <c r="F87">
        <v>28334</v>
      </c>
      <c r="G87">
        <v>11333</v>
      </c>
      <c r="H87">
        <v>11336</v>
      </c>
      <c r="O87">
        <f t="shared" si="40"/>
        <v>18133.8</v>
      </c>
      <c r="P87" s="39">
        <f t="shared" si="41"/>
        <v>11333</v>
      </c>
      <c r="Q87" s="39">
        <f t="shared" si="42"/>
        <v>28334</v>
      </c>
      <c r="R87">
        <f t="shared" si="43"/>
        <v>17001</v>
      </c>
      <c r="S87">
        <f t="shared" si="44"/>
        <v>16990</v>
      </c>
      <c r="T87">
        <f t="shared" si="45"/>
        <v>8495</v>
      </c>
      <c r="U87" s="39">
        <v>0</v>
      </c>
      <c r="V87" s="39">
        <v>1</v>
      </c>
      <c r="W87">
        <f t="shared" si="46"/>
        <v>0</v>
      </c>
      <c r="X87">
        <f t="shared" si="47"/>
        <v>11333</v>
      </c>
    </row>
    <row r="88" spans="3:24" x14ac:dyDescent="0.25">
      <c r="C88" t="s">
        <v>300</v>
      </c>
      <c r="D88">
        <v>2331</v>
      </c>
      <c r="E88">
        <v>4671</v>
      </c>
      <c r="F88">
        <v>2339</v>
      </c>
      <c r="G88">
        <v>4671</v>
      </c>
      <c r="H88">
        <v>2339</v>
      </c>
      <c r="O88">
        <f t="shared" si="40"/>
        <v>3270.2</v>
      </c>
      <c r="P88" s="39">
        <f t="shared" si="41"/>
        <v>2331</v>
      </c>
      <c r="Q88" s="39">
        <f t="shared" si="42"/>
        <v>4671</v>
      </c>
      <c r="R88">
        <f t="shared" si="43"/>
        <v>2340</v>
      </c>
      <c r="S88">
        <f t="shared" si="44"/>
        <v>2320</v>
      </c>
      <c r="T88">
        <f t="shared" si="45"/>
        <v>1160</v>
      </c>
      <c r="U88" s="39">
        <v>1</v>
      </c>
      <c r="V88" s="39">
        <v>3</v>
      </c>
      <c r="W88">
        <f t="shared" si="46"/>
        <v>4671</v>
      </c>
      <c r="X88">
        <f t="shared" si="47"/>
        <v>6993</v>
      </c>
    </row>
    <row r="89" spans="3:24" x14ac:dyDescent="0.25">
      <c r="C89" t="s">
        <v>315</v>
      </c>
      <c r="D89">
        <v>11335</v>
      </c>
      <c r="E89">
        <v>2833</v>
      </c>
      <c r="F89">
        <v>2836</v>
      </c>
      <c r="G89">
        <v>2837</v>
      </c>
      <c r="H89">
        <v>11333</v>
      </c>
      <c r="O89">
        <f t="shared" si="40"/>
        <v>6234.8</v>
      </c>
      <c r="P89" s="39">
        <f t="shared" si="41"/>
        <v>2833</v>
      </c>
      <c r="Q89" s="39">
        <f t="shared" si="42"/>
        <v>11335</v>
      </c>
      <c r="R89">
        <f t="shared" si="43"/>
        <v>8502</v>
      </c>
      <c r="S89">
        <f t="shared" si="44"/>
        <v>8490</v>
      </c>
      <c r="T89">
        <f t="shared" si="45"/>
        <v>4245</v>
      </c>
      <c r="U89" s="39">
        <v>2</v>
      </c>
      <c r="V89" s="39">
        <v>5</v>
      </c>
      <c r="W89">
        <f t="shared" si="46"/>
        <v>22670</v>
      </c>
      <c r="X89">
        <f t="shared" si="47"/>
        <v>14165</v>
      </c>
    </row>
    <row r="92" spans="3:24" x14ac:dyDescent="0.25">
      <c r="C92" t="s">
        <v>250</v>
      </c>
    </row>
    <row r="94" spans="3:24" x14ac:dyDescent="0.25">
      <c r="C94" t="s">
        <v>313</v>
      </c>
      <c r="D94">
        <v>4263</v>
      </c>
      <c r="E94">
        <v>4269</v>
      </c>
      <c r="F94">
        <v>4265</v>
      </c>
      <c r="G94">
        <v>4271</v>
      </c>
      <c r="H94">
        <v>4269</v>
      </c>
      <c r="I94">
        <v>1071</v>
      </c>
      <c r="J94">
        <v>4271</v>
      </c>
      <c r="K94">
        <v>4270</v>
      </c>
      <c r="L94">
        <v>4267</v>
      </c>
      <c r="M94">
        <v>4265</v>
      </c>
      <c r="N94">
        <v>1070</v>
      </c>
      <c r="O94">
        <f t="shared" ref="O94:O103" si="48">AVERAGE(D94:N94)</f>
        <v>3686.4545454545455</v>
      </c>
      <c r="P94" s="39">
        <f t="shared" ref="P94:P103" si="49">MIN(D94:N94)</f>
        <v>1070</v>
      </c>
      <c r="Q94" s="39">
        <f t="shared" ref="Q94:Q103" si="50">MAX(D94:N94)</f>
        <v>4271</v>
      </c>
      <c r="R94">
        <f t="shared" ref="R94:R103" si="51">Q94-P94</f>
        <v>3201</v>
      </c>
      <c r="S94">
        <f t="shared" ref="S94:S103" si="52">CEILING(R94-20,10)</f>
        <v>3190</v>
      </c>
      <c r="T94">
        <f t="shared" ref="T94:T103" si="53">S94/2</f>
        <v>1595</v>
      </c>
      <c r="U94" s="39">
        <v>2</v>
      </c>
      <c r="V94" s="39">
        <v>5</v>
      </c>
      <c r="W94">
        <f t="shared" ref="W94:W103" si="54">U94*Q94</f>
        <v>8542</v>
      </c>
      <c r="X94">
        <f t="shared" ref="X94:X103" si="55">V94*P94</f>
        <v>5350</v>
      </c>
    </row>
    <row r="95" spans="3:24" x14ac:dyDescent="0.25">
      <c r="C95" t="s">
        <v>259</v>
      </c>
      <c r="D95">
        <v>701</v>
      </c>
      <c r="E95">
        <v>704</v>
      </c>
      <c r="F95">
        <v>466</v>
      </c>
      <c r="G95">
        <v>463</v>
      </c>
      <c r="H95">
        <v>701</v>
      </c>
      <c r="I95">
        <v>700</v>
      </c>
      <c r="J95">
        <v>705</v>
      </c>
      <c r="K95">
        <v>469</v>
      </c>
      <c r="L95">
        <v>696</v>
      </c>
      <c r="M95">
        <v>465</v>
      </c>
      <c r="N95">
        <v>705</v>
      </c>
      <c r="O95">
        <f t="shared" si="48"/>
        <v>615.90909090909088</v>
      </c>
      <c r="P95" s="39">
        <f t="shared" si="49"/>
        <v>463</v>
      </c>
      <c r="Q95" s="39">
        <f t="shared" si="50"/>
        <v>705</v>
      </c>
      <c r="R95">
        <f t="shared" si="51"/>
        <v>242</v>
      </c>
      <c r="S95">
        <f t="shared" si="52"/>
        <v>230</v>
      </c>
      <c r="T95">
        <f t="shared" si="53"/>
        <v>115</v>
      </c>
      <c r="U95" s="39">
        <v>3</v>
      </c>
      <c r="V95" s="39">
        <v>4</v>
      </c>
      <c r="W95">
        <f t="shared" si="54"/>
        <v>2115</v>
      </c>
      <c r="X95">
        <f t="shared" si="55"/>
        <v>1852</v>
      </c>
    </row>
    <row r="96" spans="3:24" x14ac:dyDescent="0.25">
      <c r="C96" t="s">
        <v>299</v>
      </c>
      <c r="D96">
        <v>1650</v>
      </c>
      <c r="E96">
        <v>1651</v>
      </c>
      <c r="F96">
        <v>366</v>
      </c>
      <c r="G96">
        <v>1648</v>
      </c>
      <c r="H96">
        <v>1645</v>
      </c>
      <c r="I96">
        <v>1649</v>
      </c>
      <c r="J96">
        <v>1650</v>
      </c>
      <c r="K96">
        <v>1654</v>
      </c>
      <c r="L96">
        <v>366</v>
      </c>
      <c r="M96">
        <v>1652</v>
      </c>
      <c r="N96">
        <v>1651</v>
      </c>
      <c r="O96">
        <f t="shared" si="48"/>
        <v>1416.5454545454545</v>
      </c>
      <c r="P96" s="39">
        <f t="shared" si="49"/>
        <v>366</v>
      </c>
      <c r="Q96" s="39">
        <f t="shared" si="50"/>
        <v>1654</v>
      </c>
      <c r="R96">
        <f t="shared" si="51"/>
        <v>1288</v>
      </c>
      <c r="S96">
        <f t="shared" si="52"/>
        <v>1270</v>
      </c>
      <c r="T96">
        <f t="shared" si="53"/>
        <v>635</v>
      </c>
      <c r="U96" s="39">
        <v>2</v>
      </c>
      <c r="V96" s="39">
        <v>7</v>
      </c>
      <c r="W96">
        <f t="shared" si="54"/>
        <v>3308</v>
      </c>
      <c r="X96">
        <f t="shared" si="55"/>
        <v>2562</v>
      </c>
    </row>
    <row r="97" spans="3:25" x14ac:dyDescent="0.25">
      <c r="C97" t="s">
        <v>268</v>
      </c>
      <c r="D97">
        <v>2528</v>
      </c>
      <c r="E97">
        <v>2535</v>
      </c>
      <c r="F97">
        <v>2530</v>
      </c>
      <c r="G97">
        <v>2532</v>
      </c>
      <c r="H97">
        <v>2535</v>
      </c>
      <c r="I97">
        <v>2532</v>
      </c>
      <c r="J97">
        <v>1266</v>
      </c>
      <c r="K97">
        <v>2538</v>
      </c>
      <c r="L97">
        <v>1269</v>
      </c>
      <c r="M97">
        <v>2533</v>
      </c>
      <c r="N97">
        <v>2529</v>
      </c>
      <c r="O97">
        <f t="shared" si="48"/>
        <v>2302.4545454545455</v>
      </c>
      <c r="P97" s="39">
        <f t="shared" si="49"/>
        <v>1266</v>
      </c>
      <c r="Q97" s="39">
        <f t="shared" si="50"/>
        <v>2538</v>
      </c>
      <c r="R97">
        <f t="shared" si="51"/>
        <v>1272</v>
      </c>
      <c r="S97">
        <f t="shared" si="52"/>
        <v>1260</v>
      </c>
      <c r="T97">
        <f t="shared" si="53"/>
        <v>630</v>
      </c>
      <c r="U97" s="39">
        <v>2</v>
      </c>
      <c r="V97" s="39">
        <v>4</v>
      </c>
      <c r="W97">
        <f t="shared" si="54"/>
        <v>5076</v>
      </c>
      <c r="X97">
        <f t="shared" si="55"/>
        <v>5064</v>
      </c>
    </row>
    <row r="98" spans="3:25" x14ac:dyDescent="0.25">
      <c r="C98" t="s">
        <v>271</v>
      </c>
      <c r="D98">
        <v>9735</v>
      </c>
      <c r="E98">
        <v>4872</v>
      </c>
      <c r="F98">
        <v>4871</v>
      </c>
      <c r="G98">
        <v>4869</v>
      </c>
      <c r="H98">
        <v>9738</v>
      </c>
      <c r="I98">
        <v>4862</v>
      </c>
      <c r="J98">
        <v>9731</v>
      </c>
      <c r="K98">
        <v>4866</v>
      </c>
      <c r="L98">
        <v>4872</v>
      </c>
      <c r="M98">
        <v>4871</v>
      </c>
      <c r="N98">
        <v>4869</v>
      </c>
      <c r="O98">
        <f t="shared" si="48"/>
        <v>6196</v>
      </c>
      <c r="P98" s="39">
        <f t="shared" si="49"/>
        <v>4862</v>
      </c>
      <c r="Q98" s="39">
        <f t="shared" si="50"/>
        <v>9738</v>
      </c>
      <c r="R98">
        <f t="shared" si="51"/>
        <v>4876</v>
      </c>
      <c r="S98">
        <f t="shared" si="52"/>
        <v>4860</v>
      </c>
      <c r="T98">
        <f t="shared" si="53"/>
        <v>2430</v>
      </c>
      <c r="U98" s="39">
        <v>0</v>
      </c>
      <c r="V98" s="39">
        <v>2</v>
      </c>
      <c r="W98">
        <f t="shared" si="54"/>
        <v>0</v>
      </c>
      <c r="X98">
        <f t="shared" si="55"/>
        <v>9724</v>
      </c>
    </row>
    <row r="99" spans="3:25" x14ac:dyDescent="0.25">
      <c r="C99" t="s">
        <v>279</v>
      </c>
      <c r="D99">
        <v>23330</v>
      </c>
      <c r="E99">
        <v>23334</v>
      </c>
      <c r="F99">
        <v>35000</v>
      </c>
      <c r="G99">
        <v>34996</v>
      </c>
      <c r="H99">
        <v>34996</v>
      </c>
      <c r="I99">
        <v>34995</v>
      </c>
      <c r="J99">
        <v>34998</v>
      </c>
      <c r="K99">
        <v>35004</v>
      </c>
      <c r="L99">
        <v>35005</v>
      </c>
      <c r="M99">
        <v>34997</v>
      </c>
      <c r="N99">
        <v>23336</v>
      </c>
      <c r="O99">
        <f t="shared" si="48"/>
        <v>31817.363636363636</v>
      </c>
      <c r="P99" s="39">
        <f t="shared" si="49"/>
        <v>23330</v>
      </c>
      <c r="Q99" s="39">
        <f t="shared" si="50"/>
        <v>35005</v>
      </c>
      <c r="R99">
        <f t="shared" si="51"/>
        <v>11675</v>
      </c>
      <c r="S99">
        <f t="shared" si="52"/>
        <v>11660</v>
      </c>
      <c r="T99">
        <f t="shared" si="53"/>
        <v>5830</v>
      </c>
      <c r="U99" s="39">
        <v>0</v>
      </c>
      <c r="V99" s="39">
        <v>1</v>
      </c>
      <c r="W99">
        <f t="shared" si="54"/>
        <v>0</v>
      </c>
      <c r="X99">
        <f t="shared" si="55"/>
        <v>23330</v>
      </c>
    </row>
    <row r="100" spans="3:25" x14ac:dyDescent="0.25">
      <c r="C100" t="s">
        <v>304</v>
      </c>
      <c r="D100">
        <v>15998</v>
      </c>
      <c r="E100">
        <v>8003</v>
      </c>
      <c r="F100">
        <v>8001</v>
      </c>
      <c r="G100">
        <v>15996</v>
      </c>
      <c r="H100">
        <v>16004</v>
      </c>
      <c r="I100">
        <v>7996</v>
      </c>
      <c r="J100">
        <v>16000</v>
      </c>
      <c r="K100">
        <v>16004</v>
      </c>
      <c r="L100">
        <v>7995</v>
      </c>
      <c r="M100">
        <v>8000</v>
      </c>
      <c r="N100">
        <v>7999</v>
      </c>
      <c r="O100">
        <f t="shared" si="48"/>
        <v>11636</v>
      </c>
      <c r="P100" s="39">
        <f t="shared" si="49"/>
        <v>7995</v>
      </c>
      <c r="Q100" s="39">
        <f t="shared" si="50"/>
        <v>16004</v>
      </c>
      <c r="R100">
        <f t="shared" si="51"/>
        <v>8009</v>
      </c>
      <c r="S100">
        <f t="shared" si="52"/>
        <v>7990</v>
      </c>
      <c r="T100">
        <f t="shared" si="53"/>
        <v>3995</v>
      </c>
      <c r="U100" s="39">
        <v>2</v>
      </c>
      <c r="V100" s="39">
        <v>4</v>
      </c>
      <c r="W100">
        <f t="shared" si="54"/>
        <v>32008</v>
      </c>
      <c r="X100">
        <f t="shared" si="55"/>
        <v>31980</v>
      </c>
    </row>
    <row r="101" spans="3:25" x14ac:dyDescent="0.25">
      <c r="C101" t="s">
        <v>306</v>
      </c>
      <c r="D101">
        <v>29335</v>
      </c>
      <c r="E101">
        <v>29330</v>
      </c>
      <c r="F101">
        <v>29337</v>
      </c>
      <c r="G101">
        <v>29336</v>
      </c>
      <c r="H101">
        <v>14671</v>
      </c>
      <c r="I101">
        <v>29337</v>
      </c>
      <c r="J101">
        <v>14667</v>
      </c>
      <c r="K101">
        <v>14665</v>
      </c>
      <c r="L101">
        <v>29335</v>
      </c>
      <c r="M101">
        <v>29328</v>
      </c>
      <c r="N101">
        <v>29329</v>
      </c>
      <c r="O101">
        <f t="shared" si="48"/>
        <v>25333.636363636364</v>
      </c>
      <c r="P101" s="39">
        <f t="shared" si="49"/>
        <v>14665</v>
      </c>
      <c r="Q101" s="39">
        <f t="shared" si="50"/>
        <v>29337</v>
      </c>
      <c r="R101">
        <f t="shared" si="51"/>
        <v>14672</v>
      </c>
      <c r="S101">
        <f t="shared" si="52"/>
        <v>14660</v>
      </c>
      <c r="T101">
        <f t="shared" si="53"/>
        <v>7330</v>
      </c>
      <c r="U101" s="39">
        <v>0</v>
      </c>
      <c r="V101" s="39">
        <v>2</v>
      </c>
      <c r="W101">
        <f t="shared" si="54"/>
        <v>0</v>
      </c>
      <c r="X101">
        <f t="shared" si="55"/>
        <v>29330</v>
      </c>
    </row>
    <row r="102" spans="3:25" x14ac:dyDescent="0.25">
      <c r="C102" t="s">
        <v>308</v>
      </c>
      <c r="D102">
        <v>43005</v>
      </c>
      <c r="E102">
        <v>43002</v>
      </c>
      <c r="F102">
        <v>42999</v>
      </c>
      <c r="G102">
        <v>43005</v>
      </c>
      <c r="H102">
        <v>42995</v>
      </c>
      <c r="I102">
        <v>43004</v>
      </c>
      <c r="J102">
        <v>42995</v>
      </c>
      <c r="K102">
        <v>43005</v>
      </c>
      <c r="L102">
        <v>43004</v>
      </c>
      <c r="M102">
        <v>43004</v>
      </c>
      <c r="N102">
        <v>43003</v>
      </c>
      <c r="O102">
        <f t="shared" si="48"/>
        <v>43001.909090909088</v>
      </c>
      <c r="P102" s="39">
        <f t="shared" si="49"/>
        <v>42995</v>
      </c>
      <c r="Q102" s="39">
        <f t="shared" si="50"/>
        <v>43005</v>
      </c>
      <c r="R102">
        <f t="shared" si="51"/>
        <v>10</v>
      </c>
      <c r="S102">
        <f t="shared" si="52"/>
        <v>-10</v>
      </c>
      <c r="T102">
        <f t="shared" si="53"/>
        <v>-5</v>
      </c>
      <c r="U102" s="39">
        <v>2</v>
      </c>
      <c r="V102" s="39">
        <v>2</v>
      </c>
      <c r="W102">
        <f t="shared" si="54"/>
        <v>86010</v>
      </c>
      <c r="X102">
        <f t="shared" si="55"/>
        <v>85990</v>
      </c>
    </row>
    <row r="103" spans="3:25" x14ac:dyDescent="0.25">
      <c r="C103" t="s">
        <v>286</v>
      </c>
      <c r="D103">
        <v>36667</v>
      </c>
      <c r="E103">
        <v>65000</v>
      </c>
      <c r="F103">
        <v>36669</v>
      </c>
      <c r="G103">
        <v>65000</v>
      </c>
      <c r="H103">
        <v>36668</v>
      </c>
      <c r="I103">
        <v>36666</v>
      </c>
      <c r="J103">
        <v>64997</v>
      </c>
      <c r="K103">
        <v>64996</v>
      </c>
      <c r="L103">
        <v>65000</v>
      </c>
      <c r="M103">
        <v>36662</v>
      </c>
      <c r="N103">
        <v>65000</v>
      </c>
      <c r="O103">
        <f t="shared" si="48"/>
        <v>52120.454545454544</v>
      </c>
      <c r="P103" s="39">
        <f t="shared" si="49"/>
        <v>36662</v>
      </c>
      <c r="Q103" s="39">
        <f t="shared" si="50"/>
        <v>65000</v>
      </c>
      <c r="R103">
        <f t="shared" si="51"/>
        <v>28338</v>
      </c>
      <c r="S103">
        <f t="shared" si="52"/>
        <v>28320</v>
      </c>
      <c r="T103">
        <f t="shared" si="53"/>
        <v>14160</v>
      </c>
      <c r="U103" s="39">
        <v>0</v>
      </c>
      <c r="V103" s="39">
        <v>1</v>
      </c>
      <c r="W103">
        <f t="shared" si="54"/>
        <v>0</v>
      </c>
      <c r="X103">
        <f t="shared" si="55"/>
        <v>36662</v>
      </c>
    </row>
    <row r="107" spans="3:25" x14ac:dyDescent="0.25">
      <c r="C107" t="s">
        <v>254</v>
      </c>
    </row>
    <row r="109" spans="3:25" x14ac:dyDescent="0.25">
      <c r="C109" t="s">
        <v>313</v>
      </c>
      <c r="D109">
        <v>1195</v>
      </c>
      <c r="E109">
        <v>1202</v>
      </c>
      <c r="F109">
        <v>1196</v>
      </c>
      <c r="G109">
        <v>1195</v>
      </c>
      <c r="H109">
        <v>1200</v>
      </c>
      <c r="I109">
        <v>1202</v>
      </c>
      <c r="J109">
        <v>1201</v>
      </c>
      <c r="K109">
        <v>1196</v>
      </c>
      <c r="L109">
        <v>1203</v>
      </c>
      <c r="M109">
        <v>1204</v>
      </c>
      <c r="N109">
        <v>1201</v>
      </c>
      <c r="O109">
        <f t="shared" ref="O109:O118" si="56">AVERAGE(D109:N109)</f>
        <v>1199.5454545454545</v>
      </c>
      <c r="P109" s="39">
        <f t="shared" ref="P109:P118" si="57">MIN(D109:N109)</f>
        <v>1195</v>
      </c>
      <c r="Q109" s="39">
        <f t="shared" ref="Q109:Q118" si="58">MAX(D109:N109)</f>
        <v>1204</v>
      </c>
      <c r="R109">
        <f t="shared" ref="R109:R118" si="59">Q109-P109</f>
        <v>9</v>
      </c>
      <c r="S109">
        <f t="shared" ref="S109:S118" si="60">CEILING(R109-20,10)</f>
        <v>-10</v>
      </c>
      <c r="T109">
        <f t="shared" ref="T109:T118" si="61">S109/2</f>
        <v>-5</v>
      </c>
      <c r="U109" s="39">
        <v>4</v>
      </c>
      <c r="V109" s="39">
        <v>4</v>
      </c>
      <c r="W109">
        <f t="shared" ref="W109:W118" si="62">U109*Q109</f>
        <v>4816</v>
      </c>
      <c r="X109">
        <f t="shared" ref="X109:X118" si="63">V109*P109</f>
        <v>4780</v>
      </c>
      <c r="Y109">
        <f t="shared" ref="Y109:Y118" si="64">IF(U109=V109,0,1)</f>
        <v>0</v>
      </c>
    </row>
    <row r="110" spans="3:25" x14ac:dyDescent="0.25">
      <c r="C110" t="s">
        <v>294</v>
      </c>
      <c r="D110">
        <v>202</v>
      </c>
      <c r="E110">
        <v>297</v>
      </c>
      <c r="F110">
        <v>197</v>
      </c>
      <c r="G110">
        <v>305</v>
      </c>
      <c r="H110">
        <v>298</v>
      </c>
      <c r="I110">
        <v>205</v>
      </c>
      <c r="J110">
        <v>199</v>
      </c>
      <c r="K110">
        <v>196</v>
      </c>
      <c r="L110">
        <v>295</v>
      </c>
      <c r="M110">
        <v>199</v>
      </c>
      <c r="N110">
        <v>201</v>
      </c>
      <c r="O110">
        <f t="shared" si="56"/>
        <v>235.81818181818181</v>
      </c>
      <c r="P110" s="39">
        <f t="shared" si="57"/>
        <v>196</v>
      </c>
      <c r="Q110" s="39">
        <f t="shared" si="58"/>
        <v>305</v>
      </c>
      <c r="R110">
        <f t="shared" si="59"/>
        <v>109</v>
      </c>
      <c r="S110">
        <f t="shared" si="60"/>
        <v>90</v>
      </c>
      <c r="T110">
        <f t="shared" si="61"/>
        <v>45</v>
      </c>
      <c r="U110" s="39">
        <v>0</v>
      </c>
      <c r="V110" s="39">
        <v>1</v>
      </c>
      <c r="W110">
        <f t="shared" si="62"/>
        <v>0</v>
      </c>
      <c r="X110">
        <f t="shared" si="63"/>
        <v>196</v>
      </c>
      <c r="Y110">
        <f t="shared" si="64"/>
        <v>1</v>
      </c>
    </row>
    <row r="111" spans="3:25" x14ac:dyDescent="0.25">
      <c r="C111" t="s">
        <v>260</v>
      </c>
      <c r="D111">
        <v>754</v>
      </c>
      <c r="E111">
        <v>745</v>
      </c>
      <c r="F111">
        <v>502</v>
      </c>
      <c r="G111">
        <v>745</v>
      </c>
      <c r="H111">
        <v>498</v>
      </c>
      <c r="I111">
        <v>752</v>
      </c>
      <c r="J111">
        <v>752</v>
      </c>
      <c r="K111">
        <v>501</v>
      </c>
      <c r="L111">
        <v>755</v>
      </c>
      <c r="M111">
        <v>504</v>
      </c>
      <c r="N111">
        <v>501</v>
      </c>
      <c r="O111">
        <f t="shared" si="56"/>
        <v>637.18181818181813</v>
      </c>
      <c r="P111" s="39">
        <f t="shared" si="57"/>
        <v>498</v>
      </c>
      <c r="Q111" s="39">
        <f t="shared" si="58"/>
        <v>755</v>
      </c>
      <c r="R111">
        <f t="shared" si="59"/>
        <v>257</v>
      </c>
      <c r="S111">
        <f t="shared" si="60"/>
        <v>240</v>
      </c>
      <c r="T111">
        <f t="shared" si="61"/>
        <v>120</v>
      </c>
      <c r="U111" s="39">
        <v>2</v>
      </c>
      <c r="V111" s="39">
        <v>3</v>
      </c>
      <c r="W111">
        <f t="shared" si="62"/>
        <v>1510</v>
      </c>
      <c r="X111">
        <f t="shared" si="63"/>
        <v>1494</v>
      </c>
      <c r="Y111">
        <f t="shared" si="64"/>
        <v>1</v>
      </c>
    </row>
    <row r="112" spans="3:25" x14ac:dyDescent="0.25">
      <c r="C112" t="s">
        <v>292</v>
      </c>
      <c r="D112">
        <v>845</v>
      </c>
      <c r="E112">
        <v>570</v>
      </c>
      <c r="F112">
        <v>571</v>
      </c>
      <c r="G112">
        <v>845</v>
      </c>
      <c r="H112">
        <v>855</v>
      </c>
      <c r="I112">
        <v>567</v>
      </c>
      <c r="J112">
        <v>567</v>
      </c>
      <c r="K112">
        <v>846</v>
      </c>
      <c r="L112">
        <v>845</v>
      </c>
      <c r="M112">
        <v>846</v>
      </c>
      <c r="N112">
        <v>566</v>
      </c>
      <c r="O112">
        <f t="shared" si="56"/>
        <v>720.27272727272725</v>
      </c>
      <c r="P112" s="39">
        <f t="shared" si="57"/>
        <v>566</v>
      </c>
      <c r="Q112" s="39">
        <f t="shared" si="58"/>
        <v>855</v>
      </c>
      <c r="R112">
        <f t="shared" si="59"/>
        <v>289</v>
      </c>
      <c r="S112">
        <f t="shared" si="60"/>
        <v>270</v>
      </c>
      <c r="T112">
        <f t="shared" si="61"/>
        <v>135</v>
      </c>
      <c r="U112" s="39">
        <v>3</v>
      </c>
      <c r="V112" s="39">
        <v>4</v>
      </c>
      <c r="W112">
        <f t="shared" si="62"/>
        <v>2565</v>
      </c>
      <c r="X112">
        <f t="shared" si="63"/>
        <v>2264</v>
      </c>
      <c r="Y112">
        <f t="shared" si="64"/>
        <v>1</v>
      </c>
    </row>
    <row r="113" spans="3:25" x14ac:dyDescent="0.25">
      <c r="C113" t="s">
        <v>299</v>
      </c>
      <c r="D113">
        <v>304</v>
      </c>
      <c r="E113">
        <v>300</v>
      </c>
      <c r="F113">
        <v>300</v>
      </c>
      <c r="G113">
        <v>300</v>
      </c>
      <c r="H113">
        <v>1505</v>
      </c>
      <c r="I113">
        <v>300</v>
      </c>
      <c r="J113">
        <v>1502</v>
      </c>
      <c r="K113">
        <v>302</v>
      </c>
      <c r="L113">
        <v>1495</v>
      </c>
      <c r="M113">
        <v>1500</v>
      </c>
      <c r="N113">
        <v>300</v>
      </c>
      <c r="O113">
        <f t="shared" si="56"/>
        <v>737.09090909090912</v>
      </c>
      <c r="P113" s="39">
        <f t="shared" si="57"/>
        <v>300</v>
      </c>
      <c r="Q113" s="39">
        <f t="shared" si="58"/>
        <v>1505</v>
      </c>
      <c r="R113">
        <f t="shared" si="59"/>
        <v>1205</v>
      </c>
      <c r="S113">
        <f t="shared" si="60"/>
        <v>1190</v>
      </c>
      <c r="T113">
        <f t="shared" si="61"/>
        <v>595</v>
      </c>
      <c r="U113" s="39">
        <v>1</v>
      </c>
      <c r="V113" s="39">
        <v>5</v>
      </c>
      <c r="W113">
        <f t="shared" si="62"/>
        <v>1505</v>
      </c>
      <c r="X113">
        <f t="shared" si="63"/>
        <v>1500</v>
      </c>
      <c r="Y113">
        <f t="shared" si="64"/>
        <v>1</v>
      </c>
    </row>
    <row r="114" spans="3:25" x14ac:dyDescent="0.25">
      <c r="C114" t="s">
        <v>268</v>
      </c>
      <c r="D114">
        <v>1872</v>
      </c>
      <c r="E114">
        <v>1870</v>
      </c>
      <c r="F114">
        <v>1130</v>
      </c>
      <c r="G114">
        <v>1126</v>
      </c>
      <c r="H114">
        <v>1876</v>
      </c>
      <c r="I114">
        <v>1128</v>
      </c>
      <c r="J114">
        <v>1129</v>
      </c>
      <c r="K114">
        <v>1128</v>
      </c>
      <c r="L114">
        <v>1125</v>
      </c>
      <c r="M114">
        <v>1870</v>
      </c>
      <c r="N114">
        <v>1122</v>
      </c>
      <c r="O114">
        <f t="shared" si="56"/>
        <v>1397.8181818181818</v>
      </c>
      <c r="P114" s="39">
        <f t="shared" si="57"/>
        <v>1122</v>
      </c>
      <c r="Q114" s="39">
        <f t="shared" si="58"/>
        <v>1876</v>
      </c>
      <c r="R114">
        <f t="shared" si="59"/>
        <v>754</v>
      </c>
      <c r="S114">
        <f t="shared" si="60"/>
        <v>740</v>
      </c>
      <c r="T114">
        <f t="shared" si="61"/>
        <v>370</v>
      </c>
      <c r="U114" s="39">
        <v>3</v>
      </c>
      <c r="V114" s="39">
        <v>5</v>
      </c>
      <c r="W114">
        <f t="shared" si="62"/>
        <v>5628</v>
      </c>
      <c r="X114">
        <f t="shared" si="63"/>
        <v>5610</v>
      </c>
      <c r="Y114">
        <f t="shared" si="64"/>
        <v>1</v>
      </c>
    </row>
    <row r="115" spans="3:25" x14ac:dyDescent="0.25">
      <c r="C115" t="s">
        <v>271</v>
      </c>
      <c r="D115">
        <v>7999</v>
      </c>
      <c r="E115">
        <v>3998</v>
      </c>
      <c r="F115">
        <v>8000</v>
      </c>
      <c r="G115">
        <v>8004</v>
      </c>
      <c r="H115">
        <v>8003</v>
      </c>
      <c r="I115">
        <v>3996</v>
      </c>
      <c r="J115">
        <v>7999</v>
      </c>
      <c r="K115">
        <v>3995</v>
      </c>
      <c r="L115">
        <v>3999</v>
      </c>
      <c r="M115">
        <v>3996</v>
      </c>
      <c r="N115">
        <v>4001</v>
      </c>
      <c r="O115">
        <f t="shared" si="56"/>
        <v>5817.272727272727</v>
      </c>
      <c r="P115" s="39">
        <f t="shared" si="57"/>
        <v>3995</v>
      </c>
      <c r="Q115" s="39">
        <f t="shared" si="58"/>
        <v>8004</v>
      </c>
      <c r="R115">
        <f t="shared" si="59"/>
        <v>4009</v>
      </c>
      <c r="S115">
        <f t="shared" si="60"/>
        <v>3990</v>
      </c>
      <c r="T115">
        <f t="shared" si="61"/>
        <v>1995</v>
      </c>
      <c r="U115" s="39">
        <v>0</v>
      </c>
      <c r="V115" s="39">
        <v>2</v>
      </c>
      <c r="W115">
        <f t="shared" si="62"/>
        <v>0</v>
      </c>
      <c r="X115">
        <f t="shared" si="63"/>
        <v>7990</v>
      </c>
      <c r="Y115">
        <f t="shared" si="64"/>
        <v>1</v>
      </c>
    </row>
    <row r="116" spans="3:25" x14ac:dyDescent="0.25">
      <c r="C116" t="s">
        <v>275</v>
      </c>
      <c r="D116">
        <v>2833</v>
      </c>
      <c r="E116">
        <v>11331</v>
      </c>
      <c r="F116">
        <v>2838</v>
      </c>
      <c r="G116">
        <v>11336</v>
      </c>
      <c r="H116">
        <v>11330</v>
      </c>
      <c r="I116">
        <v>11332</v>
      </c>
      <c r="J116">
        <v>2833</v>
      </c>
      <c r="K116">
        <v>2836</v>
      </c>
      <c r="L116">
        <v>2833</v>
      </c>
      <c r="M116">
        <v>11336</v>
      </c>
      <c r="N116">
        <v>2833</v>
      </c>
      <c r="O116">
        <f t="shared" si="56"/>
        <v>6697.363636363636</v>
      </c>
      <c r="P116" s="39">
        <f t="shared" si="57"/>
        <v>2833</v>
      </c>
      <c r="Q116" s="39">
        <f t="shared" si="58"/>
        <v>11336</v>
      </c>
      <c r="R116">
        <f t="shared" si="59"/>
        <v>8503</v>
      </c>
      <c r="S116">
        <f t="shared" si="60"/>
        <v>8490</v>
      </c>
      <c r="T116">
        <f t="shared" si="61"/>
        <v>4245</v>
      </c>
      <c r="U116" s="39">
        <v>1</v>
      </c>
      <c r="V116" s="39">
        <v>4</v>
      </c>
      <c r="W116">
        <f t="shared" si="62"/>
        <v>11336</v>
      </c>
      <c r="X116">
        <f t="shared" si="63"/>
        <v>11332</v>
      </c>
      <c r="Y116">
        <f t="shared" si="64"/>
        <v>1</v>
      </c>
    </row>
    <row r="117" spans="3:25" x14ac:dyDescent="0.25">
      <c r="C117" t="s">
        <v>311</v>
      </c>
      <c r="D117">
        <v>30003</v>
      </c>
      <c r="E117">
        <v>29997</v>
      </c>
      <c r="F117">
        <v>20004</v>
      </c>
      <c r="G117">
        <v>30001</v>
      </c>
      <c r="H117">
        <v>29996</v>
      </c>
      <c r="I117">
        <v>19996</v>
      </c>
      <c r="J117">
        <v>30002</v>
      </c>
      <c r="K117">
        <v>19996</v>
      </c>
      <c r="L117">
        <v>20004</v>
      </c>
      <c r="M117">
        <v>20002</v>
      </c>
      <c r="N117">
        <v>30000</v>
      </c>
      <c r="O117">
        <f t="shared" si="56"/>
        <v>25454.636363636364</v>
      </c>
      <c r="P117" s="39">
        <f t="shared" si="57"/>
        <v>19996</v>
      </c>
      <c r="Q117" s="39">
        <f t="shared" si="58"/>
        <v>30003</v>
      </c>
      <c r="R117">
        <f t="shared" si="59"/>
        <v>10007</v>
      </c>
      <c r="S117">
        <f t="shared" si="60"/>
        <v>9990</v>
      </c>
      <c r="T117">
        <f t="shared" si="61"/>
        <v>4995</v>
      </c>
      <c r="U117" s="39">
        <v>1</v>
      </c>
      <c r="V117" s="39">
        <v>2</v>
      </c>
      <c r="W117">
        <f t="shared" si="62"/>
        <v>30003</v>
      </c>
      <c r="X117">
        <f t="shared" si="63"/>
        <v>39992</v>
      </c>
      <c r="Y117">
        <f t="shared" si="64"/>
        <v>1</v>
      </c>
    </row>
    <row r="118" spans="3:25" x14ac:dyDescent="0.25">
      <c r="C118" t="s">
        <v>273</v>
      </c>
      <c r="D118">
        <v>8662</v>
      </c>
      <c r="E118">
        <v>8672</v>
      </c>
      <c r="F118">
        <v>17334</v>
      </c>
      <c r="G118">
        <v>8668</v>
      </c>
      <c r="H118">
        <v>17335</v>
      </c>
      <c r="I118">
        <v>8663</v>
      </c>
      <c r="J118">
        <v>8671</v>
      </c>
      <c r="K118">
        <v>8666</v>
      </c>
      <c r="L118">
        <v>17333</v>
      </c>
      <c r="M118">
        <v>17333</v>
      </c>
      <c r="N118">
        <v>8666</v>
      </c>
      <c r="O118">
        <f t="shared" si="56"/>
        <v>11818.454545454546</v>
      </c>
      <c r="P118" s="39">
        <f t="shared" si="57"/>
        <v>8662</v>
      </c>
      <c r="Q118" s="39">
        <f t="shared" si="58"/>
        <v>17335</v>
      </c>
      <c r="R118">
        <f t="shared" si="59"/>
        <v>8673</v>
      </c>
      <c r="S118">
        <f t="shared" si="60"/>
        <v>8660</v>
      </c>
      <c r="T118">
        <f t="shared" si="61"/>
        <v>4330</v>
      </c>
      <c r="U118" s="39">
        <v>2</v>
      </c>
      <c r="V118" s="39">
        <v>4</v>
      </c>
      <c r="W118">
        <f t="shared" si="62"/>
        <v>34670</v>
      </c>
      <c r="X118">
        <f t="shared" si="63"/>
        <v>34648</v>
      </c>
      <c r="Y118">
        <f t="shared" si="64"/>
        <v>1</v>
      </c>
    </row>
    <row r="119" spans="3:25" x14ac:dyDescent="0.25">
      <c r="C119" t="s">
        <v>307</v>
      </c>
      <c r="D119">
        <v>29337</v>
      </c>
      <c r="E119">
        <v>29333</v>
      </c>
      <c r="F119">
        <v>29329</v>
      </c>
      <c r="G119">
        <v>14668</v>
      </c>
      <c r="H119">
        <v>14672</v>
      </c>
      <c r="I119">
        <v>14671</v>
      </c>
      <c r="J119">
        <v>14670</v>
      </c>
      <c r="K119">
        <v>14671</v>
      </c>
      <c r="L119">
        <v>14670</v>
      </c>
      <c r="M119">
        <v>29328</v>
      </c>
      <c r="N119">
        <v>29333</v>
      </c>
      <c r="O119">
        <f t="shared" ref="O119" si="65">AVERAGE(D119:N119)</f>
        <v>21334.727272727272</v>
      </c>
      <c r="P119" s="39">
        <f t="shared" ref="P119" si="66">MIN(D119:N119)</f>
        <v>14668</v>
      </c>
      <c r="Q119" s="39">
        <f t="shared" ref="Q119" si="67">MAX(D119:N119)</f>
        <v>29337</v>
      </c>
      <c r="R119">
        <f t="shared" ref="R119" si="68">Q119-P119</f>
        <v>14669</v>
      </c>
      <c r="S119">
        <f t="shared" ref="S119" si="69">CEILING(R119-20,10)</f>
        <v>14650</v>
      </c>
      <c r="T119">
        <f t="shared" ref="T119" si="70">S119/2</f>
        <v>7325</v>
      </c>
      <c r="U119" s="39">
        <v>1</v>
      </c>
      <c r="V119" s="39">
        <v>3</v>
      </c>
      <c r="W119">
        <f t="shared" ref="W119" si="71">U119*Q119</f>
        <v>29337</v>
      </c>
      <c r="X119">
        <f t="shared" ref="X119" si="72">V119*P119</f>
        <v>44004</v>
      </c>
      <c r="Y119">
        <f>IF(U119=V119,0,1)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N45"/>
  <sheetViews>
    <sheetView topLeftCell="E6" workbookViewId="0">
      <selection activeCell="K36" sqref="K36"/>
    </sheetView>
  </sheetViews>
  <sheetFormatPr defaultRowHeight="15" x14ac:dyDescent="0.25"/>
  <cols>
    <col min="5" max="5" width="32.140625" customWidth="1"/>
    <col min="6" max="6" width="17.5703125" customWidth="1"/>
    <col min="7" max="7" width="19" customWidth="1"/>
    <col min="9" max="9" width="15.42578125" customWidth="1"/>
    <col min="10" max="10" width="11" customWidth="1"/>
  </cols>
  <sheetData>
    <row r="6" spans="5:14" x14ac:dyDescent="0.25">
      <c r="E6" s="39"/>
      <c r="F6" t="s">
        <v>328</v>
      </c>
      <c r="G6" s="39" t="s">
        <v>331</v>
      </c>
      <c r="H6" t="s">
        <v>332</v>
      </c>
      <c r="I6" t="s">
        <v>329</v>
      </c>
      <c r="J6" s="39" t="s">
        <v>330</v>
      </c>
      <c r="K6" s="39" t="s">
        <v>335</v>
      </c>
      <c r="L6" s="39" t="s">
        <v>336</v>
      </c>
      <c r="M6" s="39"/>
      <c r="N6" s="39"/>
    </row>
    <row r="7" spans="5:14" x14ac:dyDescent="0.25">
      <c r="E7" s="41" t="s">
        <v>256</v>
      </c>
      <c r="F7" t="s">
        <v>248</v>
      </c>
      <c r="G7">
        <v>130</v>
      </c>
      <c r="H7">
        <v>28</v>
      </c>
      <c r="I7" t="s">
        <v>251</v>
      </c>
      <c r="J7">
        <v>623</v>
      </c>
      <c r="K7">
        <f>(J7-G7)*H7</f>
        <v>13804</v>
      </c>
      <c r="L7">
        <f>K7/(G7*H7)</f>
        <v>3.7923076923076922</v>
      </c>
    </row>
    <row r="8" spans="5:14" x14ac:dyDescent="0.25">
      <c r="E8" s="40" t="s">
        <v>291</v>
      </c>
      <c r="F8" t="s">
        <v>333</v>
      </c>
      <c r="G8">
        <v>298</v>
      </c>
      <c r="H8">
        <v>5</v>
      </c>
      <c r="I8" t="s">
        <v>251</v>
      </c>
      <c r="J8">
        <v>2754</v>
      </c>
      <c r="K8">
        <f t="shared" ref="K8:K32" si="0">(J8-G8)*H8</f>
        <v>12280</v>
      </c>
      <c r="L8">
        <f t="shared" ref="L8:L32" si="1">K8/(G8*H8)</f>
        <v>8.2416107382550337</v>
      </c>
    </row>
    <row r="9" spans="5:14" x14ac:dyDescent="0.25">
      <c r="E9" s="41" t="s">
        <v>292</v>
      </c>
      <c r="F9" t="s">
        <v>247</v>
      </c>
      <c r="G9">
        <v>276</v>
      </c>
      <c r="H9">
        <v>6</v>
      </c>
      <c r="I9" t="s">
        <v>333</v>
      </c>
      <c r="J9">
        <v>1171</v>
      </c>
      <c r="K9">
        <f t="shared" si="0"/>
        <v>5370</v>
      </c>
      <c r="L9">
        <f t="shared" si="1"/>
        <v>3.2427536231884058</v>
      </c>
    </row>
    <row r="10" spans="5:14" x14ac:dyDescent="0.25">
      <c r="E10" s="41" t="s">
        <v>259</v>
      </c>
      <c r="F10" t="s">
        <v>247</v>
      </c>
      <c r="G10">
        <v>195</v>
      </c>
      <c r="H10">
        <v>6</v>
      </c>
      <c r="I10" t="s">
        <v>250</v>
      </c>
      <c r="J10">
        <v>705</v>
      </c>
      <c r="K10">
        <f t="shared" si="0"/>
        <v>3060</v>
      </c>
      <c r="L10">
        <f t="shared" si="1"/>
        <v>2.6153846153846154</v>
      </c>
    </row>
    <row r="11" spans="5:14" x14ac:dyDescent="0.25">
      <c r="E11" s="41" t="s">
        <v>260</v>
      </c>
      <c r="F11" t="s">
        <v>251</v>
      </c>
      <c r="G11">
        <v>174</v>
      </c>
      <c r="H11">
        <v>6</v>
      </c>
      <c r="I11" t="s">
        <v>247</v>
      </c>
      <c r="J11">
        <v>805</v>
      </c>
      <c r="K11">
        <f t="shared" si="0"/>
        <v>3786</v>
      </c>
      <c r="L11">
        <f t="shared" si="1"/>
        <v>3.6264367816091956</v>
      </c>
    </row>
    <row r="12" spans="5:14" x14ac:dyDescent="0.25">
      <c r="E12" s="40" t="s">
        <v>293</v>
      </c>
      <c r="F12" t="s">
        <v>247</v>
      </c>
      <c r="G12">
        <v>464</v>
      </c>
      <c r="H12">
        <v>1</v>
      </c>
      <c r="I12" t="s">
        <v>248</v>
      </c>
      <c r="J12">
        <v>35003</v>
      </c>
      <c r="K12">
        <f t="shared" si="0"/>
        <v>34539</v>
      </c>
      <c r="L12">
        <f t="shared" si="1"/>
        <v>74.4375</v>
      </c>
    </row>
    <row r="13" spans="5:14" x14ac:dyDescent="0.25">
      <c r="E13" s="40" t="s">
        <v>294</v>
      </c>
      <c r="F13" t="s">
        <v>254</v>
      </c>
      <c r="G13">
        <v>196</v>
      </c>
      <c r="H13">
        <v>1</v>
      </c>
      <c r="I13" t="s">
        <v>247</v>
      </c>
      <c r="J13">
        <v>7005</v>
      </c>
      <c r="K13">
        <f t="shared" si="0"/>
        <v>6809</v>
      </c>
      <c r="L13">
        <f t="shared" si="1"/>
        <v>34.739795918367349</v>
      </c>
    </row>
    <row r="14" spans="5:14" x14ac:dyDescent="0.25">
      <c r="E14" s="41" t="s">
        <v>265</v>
      </c>
      <c r="F14" t="s">
        <v>333</v>
      </c>
      <c r="G14">
        <v>229</v>
      </c>
      <c r="H14">
        <v>17</v>
      </c>
      <c r="I14" t="s">
        <v>253</v>
      </c>
      <c r="J14">
        <v>817</v>
      </c>
      <c r="K14">
        <f t="shared" si="0"/>
        <v>9996</v>
      </c>
      <c r="L14">
        <f t="shared" si="1"/>
        <v>2.5676855895196509</v>
      </c>
    </row>
    <row r="15" spans="5:14" x14ac:dyDescent="0.25">
      <c r="E15" s="41" t="s">
        <v>266</v>
      </c>
      <c r="F15" t="s">
        <v>248</v>
      </c>
      <c r="G15">
        <v>298</v>
      </c>
      <c r="H15">
        <v>5</v>
      </c>
      <c r="I15" t="s">
        <v>333</v>
      </c>
      <c r="J15">
        <v>805</v>
      </c>
      <c r="K15">
        <f t="shared" si="0"/>
        <v>2535</v>
      </c>
      <c r="L15">
        <f t="shared" si="1"/>
        <v>1.7013422818791946</v>
      </c>
    </row>
    <row r="16" spans="5:14" x14ac:dyDescent="0.25">
      <c r="E16" s="41" t="s">
        <v>299</v>
      </c>
      <c r="F16" t="s">
        <v>248</v>
      </c>
      <c r="G16">
        <v>183</v>
      </c>
      <c r="H16">
        <v>7</v>
      </c>
      <c r="I16" t="s">
        <v>250</v>
      </c>
      <c r="J16">
        <v>1654</v>
      </c>
      <c r="K16">
        <f t="shared" si="0"/>
        <v>10297</v>
      </c>
      <c r="L16">
        <f t="shared" si="1"/>
        <v>8.0382513661202193</v>
      </c>
    </row>
    <row r="17" spans="5:12" x14ac:dyDescent="0.25">
      <c r="E17" s="41" t="s">
        <v>268</v>
      </c>
      <c r="F17" t="s">
        <v>252</v>
      </c>
      <c r="G17">
        <v>430</v>
      </c>
      <c r="H17">
        <v>4</v>
      </c>
      <c r="I17" t="s">
        <v>250</v>
      </c>
      <c r="J17">
        <v>2538</v>
      </c>
      <c r="K17">
        <f t="shared" si="0"/>
        <v>8432</v>
      </c>
      <c r="L17">
        <f t="shared" si="1"/>
        <v>4.902325581395349</v>
      </c>
    </row>
    <row r="18" spans="5:12" x14ac:dyDescent="0.25">
      <c r="E18" s="41" t="s">
        <v>300</v>
      </c>
      <c r="F18" t="s">
        <v>248</v>
      </c>
      <c r="G18">
        <v>729</v>
      </c>
      <c r="H18">
        <v>1</v>
      </c>
      <c r="I18" t="s">
        <v>253</v>
      </c>
      <c r="J18">
        <v>4671</v>
      </c>
      <c r="K18">
        <f t="shared" si="0"/>
        <v>3942</v>
      </c>
      <c r="L18">
        <f t="shared" si="1"/>
        <v>5.4074074074074074</v>
      </c>
    </row>
    <row r="19" spans="5:12" x14ac:dyDescent="0.25">
      <c r="E19" s="41" t="s">
        <v>301</v>
      </c>
      <c r="F19" t="s">
        <v>252</v>
      </c>
      <c r="G19">
        <v>595</v>
      </c>
      <c r="H19">
        <v>5</v>
      </c>
      <c r="I19" t="s">
        <v>251</v>
      </c>
      <c r="J19">
        <v>2504</v>
      </c>
      <c r="K19">
        <f t="shared" si="0"/>
        <v>9545</v>
      </c>
      <c r="L19">
        <f t="shared" si="1"/>
        <v>3.208403361344538</v>
      </c>
    </row>
    <row r="20" spans="5:12" x14ac:dyDescent="0.25">
      <c r="E20" s="41" t="s">
        <v>271</v>
      </c>
      <c r="F20" t="s">
        <v>251</v>
      </c>
      <c r="G20">
        <v>1333</v>
      </c>
      <c r="H20">
        <v>4</v>
      </c>
      <c r="I20" t="s">
        <v>250</v>
      </c>
      <c r="J20">
        <v>9738</v>
      </c>
      <c r="K20">
        <f t="shared" si="0"/>
        <v>33620</v>
      </c>
      <c r="L20">
        <f t="shared" si="1"/>
        <v>6.3053263315828953</v>
      </c>
    </row>
    <row r="21" spans="5:12" x14ac:dyDescent="0.25">
      <c r="E21" s="41" t="s">
        <v>273</v>
      </c>
      <c r="F21" t="s">
        <v>248</v>
      </c>
      <c r="G21">
        <v>3166</v>
      </c>
      <c r="H21">
        <v>5</v>
      </c>
      <c r="I21" t="s">
        <v>254</v>
      </c>
      <c r="J21">
        <v>17335</v>
      </c>
      <c r="K21">
        <f t="shared" si="0"/>
        <v>70845</v>
      </c>
      <c r="L21">
        <f t="shared" si="1"/>
        <v>4.4753632343651297</v>
      </c>
    </row>
    <row r="22" spans="5:12" x14ac:dyDescent="0.25">
      <c r="E22" s="41" t="s">
        <v>312</v>
      </c>
      <c r="F22" t="s">
        <v>253</v>
      </c>
      <c r="G22">
        <v>272</v>
      </c>
      <c r="H22">
        <v>13</v>
      </c>
      <c r="I22" t="s">
        <v>252</v>
      </c>
      <c r="J22">
        <v>855</v>
      </c>
      <c r="K22">
        <f t="shared" si="0"/>
        <v>7579</v>
      </c>
      <c r="L22">
        <f t="shared" si="1"/>
        <v>2.1433823529411766</v>
      </c>
    </row>
    <row r="23" spans="5:12" x14ac:dyDescent="0.25">
      <c r="E23" s="41" t="s">
        <v>275</v>
      </c>
      <c r="F23" t="s">
        <v>251</v>
      </c>
      <c r="G23">
        <v>1500</v>
      </c>
      <c r="H23">
        <v>5</v>
      </c>
      <c r="I23" t="s">
        <v>253</v>
      </c>
      <c r="J23">
        <v>11662</v>
      </c>
      <c r="K23">
        <f t="shared" si="0"/>
        <v>50810</v>
      </c>
      <c r="L23">
        <f t="shared" si="1"/>
        <v>6.7746666666666666</v>
      </c>
    </row>
    <row r="24" spans="5:12" x14ac:dyDescent="0.25">
      <c r="E24" s="40" t="s">
        <v>311</v>
      </c>
      <c r="F24" t="s">
        <v>253</v>
      </c>
      <c r="G24">
        <v>11333</v>
      </c>
      <c r="H24">
        <v>1</v>
      </c>
      <c r="I24" t="s">
        <v>251</v>
      </c>
      <c r="J24">
        <v>40005</v>
      </c>
      <c r="K24">
        <f t="shared" si="0"/>
        <v>28672</v>
      </c>
      <c r="L24">
        <f t="shared" si="1"/>
        <v>2.5299567634342188</v>
      </c>
    </row>
    <row r="25" spans="5:12" x14ac:dyDescent="0.25">
      <c r="E25" s="41" t="s">
        <v>313</v>
      </c>
      <c r="F25" t="s">
        <v>252</v>
      </c>
      <c r="G25">
        <v>1171</v>
      </c>
      <c r="H25">
        <v>6</v>
      </c>
      <c r="I25" t="s">
        <v>250</v>
      </c>
      <c r="J25">
        <v>4271</v>
      </c>
      <c r="K25">
        <f t="shared" si="0"/>
        <v>18600</v>
      </c>
      <c r="L25">
        <f t="shared" si="1"/>
        <v>2.6473099914602902</v>
      </c>
    </row>
    <row r="26" spans="5:12" x14ac:dyDescent="0.25">
      <c r="E26" s="41" t="s">
        <v>279</v>
      </c>
      <c r="F26" t="s">
        <v>252</v>
      </c>
      <c r="G26">
        <v>15998</v>
      </c>
      <c r="H26">
        <v>1</v>
      </c>
      <c r="I26" t="s">
        <v>250</v>
      </c>
      <c r="J26">
        <v>35005</v>
      </c>
      <c r="K26">
        <f t="shared" si="0"/>
        <v>19007</v>
      </c>
      <c r="L26">
        <f t="shared" si="1"/>
        <v>1.188086010751344</v>
      </c>
    </row>
    <row r="27" spans="5:12" x14ac:dyDescent="0.25">
      <c r="E27" s="40" t="s">
        <v>306</v>
      </c>
      <c r="F27" t="s">
        <v>333</v>
      </c>
      <c r="G27">
        <v>9996</v>
      </c>
      <c r="H27">
        <v>1</v>
      </c>
      <c r="I27" t="s">
        <v>250</v>
      </c>
      <c r="J27">
        <v>29337</v>
      </c>
      <c r="K27">
        <f t="shared" si="0"/>
        <v>19341</v>
      </c>
      <c r="L27">
        <f t="shared" si="1"/>
        <v>1.9348739495798319</v>
      </c>
    </row>
    <row r="28" spans="5:12" x14ac:dyDescent="0.25">
      <c r="E28" s="41" t="s">
        <v>305</v>
      </c>
      <c r="F28" t="s">
        <v>252</v>
      </c>
      <c r="G28">
        <v>10663</v>
      </c>
      <c r="H28">
        <v>4</v>
      </c>
      <c r="I28" t="s">
        <v>252</v>
      </c>
      <c r="J28">
        <v>21336</v>
      </c>
      <c r="K28">
        <f t="shared" si="0"/>
        <v>42692</v>
      </c>
      <c r="L28">
        <f t="shared" si="1"/>
        <v>1.0009378223764418</v>
      </c>
    </row>
    <row r="29" spans="5:12" x14ac:dyDescent="0.25">
      <c r="E29" s="41" t="s">
        <v>304</v>
      </c>
      <c r="F29" t="s">
        <v>250</v>
      </c>
      <c r="G29">
        <v>7995</v>
      </c>
      <c r="H29">
        <v>4</v>
      </c>
      <c r="I29" t="s">
        <v>334</v>
      </c>
      <c r="J29">
        <v>16005</v>
      </c>
      <c r="K29">
        <f t="shared" si="0"/>
        <v>32040</v>
      </c>
      <c r="L29">
        <f t="shared" si="1"/>
        <v>1.00187617260788</v>
      </c>
    </row>
    <row r="30" spans="5:12" x14ac:dyDescent="0.25">
      <c r="E30" s="41" t="s">
        <v>307</v>
      </c>
      <c r="F30" t="s">
        <v>254</v>
      </c>
      <c r="G30">
        <v>14668</v>
      </c>
      <c r="H30">
        <v>3</v>
      </c>
      <c r="I30" t="s">
        <v>254</v>
      </c>
      <c r="J30">
        <v>29337</v>
      </c>
      <c r="K30">
        <f t="shared" si="0"/>
        <v>44007</v>
      </c>
      <c r="L30">
        <f t="shared" si="1"/>
        <v>1.0000681756203982</v>
      </c>
    </row>
    <row r="31" spans="5:12" x14ac:dyDescent="0.25">
      <c r="E31" s="41" t="s">
        <v>308</v>
      </c>
      <c r="F31" t="s">
        <v>333</v>
      </c>
      <c r="G31">
        <v>31995</v>
      </c>
      <c r="H31">
        <v>1</v>
      </c>
      <c r="I31" t="s">
        <v>250</v>
      </c>
      <c r="J31">
        <v>43005</v>
      </c>
      <c r="K31">
        <f t="shared" si="0"/>
        <v>11010</v>
      </c>
      <c r="L31">
        <f t="shared" si="1"/>
        <v>0.34411626816690105</v>
      </c>
    </row>
    <row r="32" spans="5:12" x14ac:dyDescent="0.25">
      <c r="E32" s="41" t="s">
        <v>286</v>
      </c>
      <c r="F32" t="s">
        <v>333</v>
      </c>
      <c r="G32">
        <v>13333</v>
      </c>
      <c r="H32">
        <v>2</v>
      </c>
      <c r="I32" t="s">
        <v>250</v>
      </c>
      <c r="J32">
        <v>65000</v>
      </c>
      <c r="K32">
        <f t="shared" si="0"/>
        <v>103334</v>
      </c>
      <c r="L32">
        <f t="shared" si="1"/>
        <v>3.8751218780469512</v>
      </c>
    </row>
    <row r="37" spans="5:7" x14ac:dyDescent="0.25">
      <c r="E37" t="s">
        <v>320</v>
      </c>
    </row>
    <row r="38" spans="5:7" x14ac:dyDescent="0.25">
      <c r="F38" t="s">
        <v>321</v>
      </c>
      <c r="G38" t="s">
        <v>322</v>
      </c>
    </row>
    <row r="39" spans="5:7" x14ac:dyDescent="0.25">
      <c r="E39" t="s">
        <v>323</v>
      </c>
      <c r="F39">
        <f>7005-262</f>
        <v>6743</v>
      </c>
      <c r="G39">
        <f>4667-262</f>
        <v>4405</v>
      </c>
    </row>
    <row r="40" spans="5:7" x14ac:dyDescent="0.25">
      <c r="E40" t="s">
        <v>324</v>
      </c>
      <c r="F40">
        <f>35003-464</f>
        <v>34539</v>
      </c>
      <c r="G40">
        <f>Sheet4!P31-Sheet4!P15</f>
        <v>22866</v>
      </c>
    </row>
    <row r="41" spans="5:7" x14ac:dyDescent="0.25">
      <c r="E41" t="s">
        <v>325</v>
      </c>
      <c r="F41">
        <f>5*Sheet4!Q56-(5*298)</f>
        <v>12280</v>
      </c>
      <c r="G41">
        <f>3*1096-(3*502)</f>
        <v>1782</v>
      </c>
    </row>
    <row r="42" spans="5:7" x14ac:dyDescent="0.25">
      <c r="E42" t="s">
        <v>326</v>
      </c>
      <c r="F42">
        <v>11300</v>
      </c>
      <c r="G42">
        <v>660</v>
      </c>
    </row>
    <row r="43" spans="5:7" x14ac:dyDescent="0.25">
      <c r="E43" t="s">
        <v>327</v>
      </c>
      <c r="F43">
        <v>9000</v>
      </c>
      <c r="G43">
        <v>0</v>
      </c>
    </row>
    <row r="45" spans="5:7" x14ac:dyDescent="0.25">
      <c r="F45">
        <f>SUM(F39:F44)</f>
        <v>73862</v>
      </c>
      <c r="G45">
        <f>SUM(G39:G44)</f>
        <v>29713</v>
      </c>
    </row>
  </sheetData>
  <conditionalFormatting sqref="L7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N44"/>
  <sheetViews>
    <sheetView topLeftCell="E1" workbookViewId="0">
      <selection activeCell="K41" sqref="K41"/>
    </sheetView>
  </sheetViews>
  <sheetFormatPr defaultRowHeight="15" x14ac:dyDescent="0.25"/>
  <cols>
    <col min="5" max="5" width="32.140625" customWidth="1"/>
    <col min="6" max="6" width="17.5703125" customWidth="1"/>
    <col min="7" max="7" width="19" customWidth="1"/>
    <col min="9" max="9" width="15.42578125" customWidth="1"/>
    <col min="10" max="10" width="11" customWidth="1"/>
  </cols>
  <sheetData>
    <row r="6" spans="5:14" x14ac:dyDescent="0.25">
      <c r="E6" s="39"/>
      <c r="F6" t="s">
        <v>328</v>
      </c>
      <c r="G6" s="39" t="s">
        <v>331</v>
      </c>
      <c r="H6" t="s">
        <v>332</v>
      </c>
      <c r="I6" t="s">
        <v>329</v>
      </c>
      <c r="J6" s="39" t="s">
        <v>330</v>
      </c>
      <c r="K6" s="39" t="s">
        <v>335</v>
      </c>
      <c r="L6" s="39" t="s">
        <v>336</v>
      </c>
      <c r="M6" s="39" t="s">
        <v>337</v>
      </c>
      <c r="N6" s="39"/>
    </row>
    <row r="7" spans="5:14" x14ac:dyDescent="0.25">
      <c r="E7" s="41" t="s">
        <v>256</v>
      </c>
      <c r="F7" t="s">
        <v>248</v>
      </c>
      <c r="G7">
        <v>130</v>
      </c>
      <c r="H7">
        <v>28</v>
      </c>
      <c r="I7" t="s">
        <v>251</v>
      </c>
      <c r="J7">
        <v>623</v>
      </c>
      <c r="K7">
        <f>(J7-G7)*H7</f>
        <v>13804</v>
      </c>
      <c r="L7">
        <f>K7/(G7*H7)</f>
        <v>3.7923076923076922</v>
      </c>
      <c r="M7">
        <f>K7/(50000*(0.1*H7+1))</f>
        <v>7.2652631578947371E-2</v>
      </c>
    </row>
    <row r="8" spans="5:14" x14ac:dyDescent="0.25">
      <c r="E8" s="40" t="s">
        <v>291</v>
      </c>
      <c r="F8" t="s">
        <v>333</v>
      </c>
      <c r="G8">
        <v>298</v>
      </c>
      <c r="H8">
        <v>5</v>
      </c>
      <c r="I8" t="s">
        <v>251</v>
      </c>
      <c r="J8">
        <v>2754</v>
      </c>
      <c r="K8">
        <f t="shared" ref="K8:K27" si="0">(J8-G8)*H8</f>
        <v>12280</v>
      </c>
      <c r="L8">
        <f t="shared" ref="L8:L27" si="1">K8/(G8*H8)</f>
        <v>8.2416107382550337</v>
      </c>
      <c r="M8">
        <f t="shared" ref="M8:M27" si="2">K8/(50000*(0.1*H8+1))</f>
        <v>0.16373333333333334</v>
      </c>
    </row>
    <row r="9" spans="5:14" x14ac:dyDescent="0.25">
      <c r="E9" s="41" t="s">
        <v>292</v>
      </c>
      <c r="F9" t="s">
        <v>247</v>
      </c>
      <c r="G9">
        <v>276</v>
      </c>
      <c r="H9">
        <v>6</v>
      </c>
      <c r="I9" t="s">
        <v>333</v>
      </c>
      <c r="J9">
        <v>1171</v>
      </c>
      <c r="K9">
        <f t="shared" si="0"/>
        <v>5370</v>
      </c>
      <c r="L9">
        <f t="shared" si="1"/>
        <v>3.2427536231884058</v>
      </c>
      <c r="M9">
        <f t="shared" si="2"/>
        <v>6.7125000000000004E-2</v>
      </c>
    </row>
    <row r="10" spans="5:14" x14ac:dyDescent="0.25">
      <c r="E10" s="41" t="s">
        <v>259</v>
      </c>
      <c r="F10" t="s">
        <v>247</v>
      </c>
      <c r="G10">
        <v>195</v>
      </c>
      <c r="H10">
        <v>6</v>
      </c>
      <c r="I10" t="s">
        <v>248</v>
      </c>
      <c r="J10">
        <v>551</v>
      </c>
      <c r="K10">
        <f t="shared" si="0"/>
        <v>2136</v>
      </c>
      <c r="L10">
        <f t="shared" si="1"/>
        <v>1.8256410256410256</v>
      </c>
      <c r="M10">
        <f t="shared" si="2"/>
        <v>2.6700000000000002E-2</v>
      </c>
    </row>
    <row r="11" spans="5:14" x14ac:dyDescent="0.25">
      <c r="E11" s="41" t="s">
        <v>260</v>
      </c>
      <c r="F11" t="s">
        <v>251</v>
      </c>
      <c r="G11">
        <v>174</v>
      </c>
      <c r="H11">
        <v>6</v>
      </c>
      <c r="I11" t="s">
        <v>247</v>
      </c>
      <c r="J11">
        <v>805</v>
      </c>
      <c r="K11">
        <f t="shared" si="0"/>
        <v>3786</v>
      </c>
      <c r="L11">
        <f t="shared" si="1"/>
        <v>3.6264367816091956</v>
      </c>
      <c r="M11">
        <f t="shared" si="2"/>
        <v>4.7324999999999999E-2</v>
      </c>
    </row>
    <row r="12" spans="5:14" x14ac:dyDescent="0.25">
      <c r="E12" s="40" t="s">
        <v>293</v>
      </c>
      <c r="F12" t="s">
        <v>247</v>
      </c>
      <c r="G12">
        <v>464</v>
      </c>
      <c r="H12">
        <v>1</v>
      </c>
      <c r="I12" t="s">
        <v>248</v>
      </c>
      <c r="J12">
        <v>35003</v>
      </c>
      <c r="K12">
        <f t="shared" si="0"/>
        <v>34539</v>
      </c>
      <c r="L12">
        <f t="shared" si="1"/>
        <v>74.4375</v>
      </c>
      <c r="M12">
        <f t="shared" si="2"/>
        <v>0.62798181818181809</v>
      </c>
    </row>
    <row r="13" spans="5:14" x14ac:dyDescent="0.25">
      <c r="E13" s="40" t="s">
        <v>294</v>
      </c>
      <c r="F13" t="s">
        <v>333</v>
      </c>
      <c r="G13">
        <v>262</v>
      </c>
      <c r="H13">
        <v>1</v>
      </c>
      <c r="I13" t="s">
        <v>247</v>
      </c>
      <c r="J13">
        <v>7005</v>
      </c>
      <c r="K13">
        <f t="shared" si="0"/>
        <v>6743</v>
      </c>
      <c r="L13">
        <f t="shared" si="1"/>
        <v>25.736641221374047</v>
      </c>
      <c r="M13">
        <f t="shared" si="2"/>
        <v>0.12259999999999999</v>
      </c>
    </row>
    <row r="14" spans="5:14" x14ac:dyDescent="0.25">
      <c r="E14" s="41" t="s">
        <v>265</v>
      </c>
      <c r="F14" t="s">
        <v>333</v>
      </c>
      <c r="G14">
        <v>229</v>
      </c>
      <c r="H14">
        <v>17</v>
      </c>
      <c r="I14" t="s">
        <v>248</v>
      </c>
      <c r="J14">
        <v>623</v>
      </c>
      <c r="K14">
        <f t="shared" si="0"/>
        <v>6698</v>
      </c>
      <c r="L14">
        <f t="shared" si="1"/>
        <v>1.7205240174672489</v>
      </c>
      <c r="M14">
        <f t="shared" si="2"/>
        <v>4.9614814814814813E-2</v>
      </c>
    </row>
    <row r="15" spans="5:14" x14ac:dyDescent="0.25">
      <c r="E15" s="41" t="s">
        <v>266</v>
      </c>
      <c r="F15" t="s">
        <v>248</v>
      </c>
      <c r="G15">
        <v>298</v>
      </c>
      <c r="H15">
        <v>5</v>
      </c>
      <c r="I15" t="s">
        <v>333</v>
      </c>
      <c r="J15">
        <v>805</v>
      </c>
      <c r="K15">
        <f t="shared" si="0"/>
        <v>2535</v>
      </c>
      <c r="L15">
        <f t="shared" si="1"/>
        <v>1.7013422818791946</v>
      </c>
      <c r="M15">
        <f t="shared" si="2"/>
        <v>3.3799999999999997E-2</v>
      </c>
    </row>
    <row r="16" spans="5:14" x14ac:dyDescent="0.25">
      <c r="E16" s="41" t="s">
        <v>299</v>
      </c>
      <c r="F16" t="s">
        <v>248</v>
      </c>
      <c r="G16">
        <v>183</v>
      </c>
      <c r="H16">
        <v>7</v>
      </c>
      <c r="I16" t="s">
        <v>248</v>
      </c>
      <c r="J16">
        <v>966</v>
      </c>
      <c r="K16">
        <f t="shared" si="0"/>
        <v>5481</v>
      </c>
      <c r="L16">
        <f t="shared" si="1"/>
        <v>4.278688524590164</v>
      </c>
      <c r="M16">
        <f t="shared" si="2"/>
        <v>6.4482352941176463E-2</v>
      </c>
    </row>
    <row r="17" spans="5:13" x14ac:dyDescent="0.25">
      <c r="E17" s="41" t="s">
        <v>268</v>
      </c>
      <c r="F17" t="s">
        <v>248</v>
      </c>
      <c r="G17">
        <v>663</v>
      </c>
      <c r="H17">
        <v>3</v>
      </c>
      <c r="I17" t="s">
        <v>248</v>
      </c>
      <c r="J17">
        <v>1005</v>
      </c>
      <c r="K17">
        <f t="shared" si="0"/>
        <v>1026</v>
      </c>
      <c r="L17">
        <f t="shared" si="1"/>
        <v>0.51583710407239824</v>
      </c>
      <c r="M17">
        <f t="shared" si="2"/>
        <v>1.5784615384615383E-2</v>
      </c>
    </row>
    <row r="18" spans="5:13" x14ac:dyDescent="0.25">
      <c r="E18" s="41" t="s">
        <v>300</v>
      </c>
      <c r="F18" t="s">
        <v>248</v>
      </c>
      <c r="G18">
        <v>729</v>
      </c>
      <c r="H18">
        <v>1</v>
      </c>
      <c r="I18" t="s">
        <v>251</v>
      </c>
      <c r="J18">
        <v>4005</v>
      </c>
      <c r="K18">
        <f t="shared" si="0"/>
        <v>3276</v>
      </c>
      <c r="L18">
        <f t="shared" si="1"/>
        <v>4.4938271604938276</v>
      </c>
      <c r="M18">
        <f t="shared" si="2"/>
        <v>5.9563636363636353E-2</v>
      </c>
    </row>
    <row r="19" spans="5:13" x14ac:dyDescent="0.25">
      <c r="E19" s="41" t="s">
        <v>301</v>
      </c>
      <c r="F19" t="s">
        <v>248</v>
      </c>
      <c r="G19">
        <v>1195</v>
      </c>
      <c r="H19">
        <v>3</v>
      </c>
      <c r="I19" t="s">
        <v>251</v>
      </c>
      <c r="J19">
        <v>2504</v>
      </c>
      <c r="K19">
        <f t="shared" si="0"/>
        <v>3927</v>
      </c>
      <c r="L19">
        <f t="shared" si="1"/>
        <v>1.0953974895397489</v>
      </c>
      <c r="M19">
        <f t="shared" si="2"/>
        <v>6.0415384615384614E-2</v>
      </c>
    </row>
    <row r="20" spans="5:13" x14ac:dyDescent="0.25">
      <c r="E20" s="41" t="s">
        <v>271</v>
      </c>
      <c r="F20" t="s">
        <v>251</v>
      </c>
      <c r="G20">
        <v>1333</v>
      </c>
      <c r="H20">
        <v>4</v>
      </c>
      <c r="I20" t="s">
        <v>251</v>
      </c>
      <c r="J20">
        <v>5334</v>
      </c>
      <c r="K20">
        <f t="shared" si="0"/>
        <v>16004</v>
      </c>
      <c r="L20">
        <f t="shared" si="1"/>
        <v>3.0015003750937734</v>
      </c>
      <c r="M20">
        <f t="shared" si="2"/>
        <v>0.22862857142857143</v>
      </c>
    </row>
    <row r="21" spans="5:13" x14ac:dyDescent="0.25">
      <c r="E21" s="41" t="s">
        <v>273</v>
      </c>
      <c r="F21" t="s">
        <v>248</v>
      </c>
      <c r="G21">
        <v>3166</v>
      </c>
      <c r="H21">
        <v>5</v>
      </c>
      <c r="I21" t="s">
        <v>248</v>
      </c>
      <c r="J21">
        <v>12669</v>
      </c>
      <c r="K21">
        <f t="shared" si="0"/>
        <v>47515</v>
      </c>
      <c r="L21">
        <f t="shared" si="1"/>
        <v>3.0015792798483893</v>
      </c>
      <c r="M21">
        <f t="shared" si="2"/>
        <v>0.63353333333333328</v>
      </c>
    </row>
    <row r="22" spans="5:13" x14ac:dyDescent="0.25">
      <c r="E22" s="41" t="s">
        <v>275</v>
      </c>
      <c r="F22" t="s">
        <v>251</v>
      </c>
      <c r="G22">
        <v>1500</v>
      </c>
      <c r="H22">
        <v>5</v>
      </c>
      <c r="I22" t="s">
        <v>251</v>
      </c>
      <c r="J22">
        <v>7505</v>
      </c>
      <c r="K22">
        <f t="shared" si="0"/>
        <v>30025</v>
      </c>
      <c r="L22">
        <f t="shared" si="1"/>
        <v>4.003333333333333</v>
      </c>
      <c r="M22">
        <f t="shared" si="2"/>
        <v>0.40033333333333332</v>
      </c>
    </row>
    <row r="23" spans="5:13" x14ac:dyDescent="0.25">
      <c r="E23" s="40" t="s">
        <v>311</v>
      </c>
      <c r="F23" t="s">
        <v>251</v>
      </c>
      <c r="G23">
        <v>39995</v>
      </c>
      <c r="H23">
        <v>1</v>
      </c>
      <c r="I23" t="s">
        <v>251</v>
      </c>
      <c r="J23">
        <v>40005</v>
      </c>
      <c r="K23">
        <f t="shared" si="0"/>
        <v>10</v>
      </c>
      <c r="L23">
        <f t="shared" si="1"/>
        <v>2.5003125390673836E-4</v>
      </c>
      <c r="M23">
        <f t="shared" si="2"/>
        <v>1.8181818181818181E-4</v>
      </c>
    </row>
    <row r="24" spans="5:13" x14ac:dyDescent="0.25">
      <c r="E24" s="40" t="s">
        <v>306</v>
      </c>
      <c r="F24" t="s">
        <v>333</v>
      </c>
      <c r="G24">
        <v>9996</v>
      </c>
      <c r="H24">
        <v>1</v>
      </c>
      <c r="I24" t="s">
        <v>252</v>
      </c>
      <c r="J24">
        <v>21338</v>
      </c>
      <c r="K24">
        <f t="shared" si="0"/>
        <v>11342</v>
      </c>
      <c r="L24">
        <f t="shared" si="1"/>
        <v>1.1346538615446178</v>
      </c>
      <c r="M24">
        <f t="shared" si="2"/>
        <v>0.2062181818181818</v>
      </c>
    </row>
    <row r="25" spans="5:13" x14ac:dyDescent="0.25">
      <c r="E25" s="40" t="s">
        <v>305</v>
      </c>
      <c r="F25" t="s">
        <v>333</v>
      </c>
      <c r="G25">
        <v>13995</v>
      </c>
      <c r="H25">
        <v>1</v>
      </c>
      <c r="I25" t="s">
        <v>252</v>
      </c>
      <c r="J25">
        <v>21336</v>
      </c>
      <c r="K25">
        <f t="shared" si="0"/>
        <v>7341</v>
      </c>
      <c r="L25">
        <f t="shared" si="1"/>
        <v>0.5245444801714898</v>
      </c>
      <c r="M25">
        <f t="shared" si="2"/>
        <v>0.13347272727272724</v>
      </c>
    </row>
    <row r="26" spans="5:13" x14ac:dyDescent="0.25">
      <c r="E26" s="40" t="s">
        <v>304</v>
      </c>
      <c r="F26" t="s">
        <v>333</v>
      </c>
      <c r="G26">
        <v>7995</v>
      </c>
      <c r="H26">
        <v>2</v>
      </c>
      <c r="I26" t="s">
        <v>333</v>
      </c>
      <c r="J26">
        <v>16005</v>
      </c>
      <c r="K26">
        <f t="shared" si="0"/>
        <v>16020</v>
      </c>
      <c r="L26">
        <f t="shared" si="1"/>
        <v>1.00187617260788</v>
      </c>
      <c r="M26">
        <f t="shared" si="2"/>
        <v>0.26700000000000002</v>
      </c>
    </row>
    <row r="27" spans="5:13" x14ac:dyDescent="0.25">
      <c r="E27" s="41" t="s">
        <v>286</v>
      </c>
      <c r="F27" t="s">
        <v>333</v>
      </c>
      <c r="G27">
        <v>13333</v>
      </c>
      <c r="H27">
        <v>2</v>
      </c>
      <c r="I27" t="s">
        <v>333</v>
      </c>
      <c r="J27">
        <v>53338</v>
      </c>
      <c r="K27">
        <f t="shared" si="0"/>
        <v>80010</v>
      </c>
      <c r="L27">
        <f t="shared" si="1"/>
        <v>3.0004500112502814</v>
      </c>
      <c r="M27">
        <f t="shared" si="2"/>
        <v>1.3334999999999999</v>
      </c>
    </row>
    <row r="32" spans="5:13" x14ac:dyDescent="0.25">
      <c r="E32" t="s">
        <v>320</v>
      </c>
    </row>
    <row r="33" spans="5:11" x14ac:dyDescent="0.25">
      <c r="F33" t="s">
        <v>321</v>
      </c>
      <c r="G33" t="s">
        <v>338</v>
      </c>
      <c r="H33" t="s">
        <v>339</v>
      </c>
      <c r="I33" t="s">
        <v>322</v>
      </c>
      <c r="K33" t="s">
        <v>345</v>
      </c>
    </row>
    <row r="34" spans="5:11" x14ac:dyDescent="0.25">
      <c r="E34" t="s">
        <v>323</v>
      </c>
      <c r="F34">
        <f>7005-262</f>
        <v>6743</v>
      </c>
      <c r="G34">
        <v>0</v>
      </c>
      <c r="H34">
        <v>4405</v>
      </c>
      <c r="I34">
        <v>0</v>
      </c>
    </row>
    <row r="35" spans="5:11" x14ac:dyDescent="0.25">
      <c r="E35" t="s">
        <v>324</v>
      </c>
      <c r="F35">
        <f>35003-464</f>
        <v>34539</v>
      </c>
      <c r="G35">
        <v>0</v>
      </c>
      <c r="H35">
        <v>22866</v>
      </c>
      <c r="I35">
        <v>0</v>
      </c>
      <c r="K35" t="s">
        <v>346</v>
      </c>
    </row>
    <row r="36" spans="5:11" x14ac:dyDescent="0.25">
      <c r="E36" t="s">
        <v>325</v>
      </c>
      <c r="F36">
        <f>5*Sheet4!Q56-(5*298)</f>
        <v>12280</v>
      </c>
      <c r="G36">
        <f>-3*502+3*2754</f>
        <v>6756</v>
      </c>
      <c r="H36">
        <f>-5*298+5*1096</f>
        <v>3990</v>
      </c>
      <c r="I36">
        <f>3*1096-(3*502)</f>
        <v>1782</v>
      </c>
      <c r="K36" t="s">
        <v>347</v>
      </c>
    </row>
    <row r="37" spans="5:11" x14ac:dyDescent="0.25">
      <c r="E37" t="s">
        <v>326</v>
      </c>
      <c r="F37">
        <v>11300</v>
      </c>
      <c r="G37">
        <v>0</v>
      </c>
      <c r="H37">
        <v>660</v>
      </c>
      <c r="I37">
        <v>0</v>
      </c>
      <c r="K37" t="s">
        <v>348</v>
      </c>
    </row>
    <row r="38" spans="5:11" x14ac:dyDescent="0.25">
      <c r="E38" t="s">
        <v>327</v>
      </c>
      <c r="F38">
        <v>9000</v>
      </c>
      <c r="G38">
        <v>9000</v>
      </c>
      <c r="H38">
        <v>0</v>
      </c>
      <c r="I38">
        <v>0</v>
      </c>
      <c r="K38" t="s">
        <v>349</v>
      </c>
    </row>
    <row r="39" spans="5:11" x14ac:dyDescent="0.25">
      <c r="E39" t="s">
        <v>340</v>
      </c>
      <c r="F39">
        <v>30025</v>
      </c>
      <c r="G39">
        <v>0</v>
      </c>
      <c r="H39">
        <v>0</v>
      </c>
      <c r="I39">
        <v>0</v>
      </c>
      <c r="K39" t="s">
        <v>350</v>
      </c>
    </row>
    <row r="40" spans="5:11" x14ac:dyDescent="0.25">
      <c r="E40" t="s">
        <v>341</v>
      </c>
      <c r="F40">
        <v>16004</v>
      </c>
      <c r="G40">
        <v>0</v>
      </c>
      <c r="H40">
        <v>0</v>
      </c>
      <c r="I40">
        <v>0</v>
      </c>
      <c r="K40" t="s">
        <v>351</v>
      </c>
    </row>
    <row r="41" spans="5:11" x14ac:dyDescent="0.25">
      <c r="E41" t="s">
        <v>342</v>
      </c>
      <c r="F41">
        <f>-3*1504+2754*3</f>
        <v>3750</v>
      </c>
      <c r="G41">
        <v>3750</v>
      </c>
      <c r="H41">
        <v>0</v>
      </c>
      <c r="I41">
        <v>0</v>
      </c>
    </row>
    <row r="42" spans="5:11" x14ac:dyDescent="0.25">
      <c r="E42" t="s">
        <v>343</v>
      </c>
      <c r="F42">
        <f>-6*1006+2754*6</f>
        <v>10488</v>
      </c>
      <c r="G42">
        <v>0</v>
      </c>
      <c r="H42">
        <v>0</v>
      </c>
      <c r="I42">
        <v>0</v>
      </c>
    </row>
    <row r="43" spans="5:11" x14ac:dyDescent="0.25">
      <c r="E43" t="s">
        <v>344</v>
      </c>
      <c r="F43">
        <v>80010</v>
      </c>
      <c r="G43">
        <v>0</v>
      </c>
      <c r="H43">
        <v>0</v>
      </c>
      <c r="I43">
        <v>0</v>
      </c>
    </row>
    <row r="44" spans="5:11" x14ac:dyDescent="0.25">
      <c r="F44">
        <f>SUM(F34:F40)</f>
        <v>119891</v>
      </c>
      <c r="G44">
        <f>SUM(G34:G40)</f>
        <v>15756</v>
      </c>
      <c r="H44">
        <f>SUM(H34:H40)</f>
        <v>31921</v>
      </c>
      <c r="I44">
        <f>SUM(I34:I40)</f>
        <v>1782</v>
      </c>
    </row>
  </sheetData>
  <conditionalFormatting sqref="L7:L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Physical DD Tiers</vt:lpstr>
      <vt:lpstr>Sheet1</vt:lpstr>
      <vt:lpstr>Sheet2</vt:lpstr>
      <vt:lpstr>Sheet3</vt:lpstr>
      <vt:lpstr>Sheet4</vt:lpstr>
      <vt:lpstr>Sheet5</vt:lpstr>
      <vt:lpstr>Trade Route</vt:lpstr>
      <vt:lpstr>'Physical DD Tiers'!_FilterDatabase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UniLOAD</dc:creator>
  <cp:lastModifiedBy>Eric Koziel</cp:lastModifiedBy>
  <dcterms:created xsi:type="dcterms:W3CDTF">2012-12-28T14:57:11Z</dcterms:created>
  <dcterms:modified xsi:type="dcterms:W3CDTF">2015-03-11T17:33:52Z</dcterms:modified>
</cp:coreProperties>
</file>