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Dropbox\"/>
    </mc:Choice>
  </mc:AlternateContent>
  <bookViews>
    <workbookView xWindow="0" yWindow="0" windowWidth="25125" windowHeight="14385" firstSheet="2" activeTab="7"/>
  </bookViews>
  <sheets>
    <sheet name="Scratchpad" sheetId="1" r:id="rId1"/>
    <sheet name="Spell Timing" sheetId="3" r:id="rId2"/>
    <sheet name="Level strats" sheetId="2" r:id="rId3"/>
    <sheet name="Double Beat" sheetId="4" r:id="rId4"/>
    <sheet name="Fury" sheetId="5" r:id="rId5"/>
    <sheet name="DB+Fury" sheetId="6" r:id="rId6"/>
    <sheet name="Current" sheetId="7" r:id="rId7"/>
    <sheet name="Sheet5" sheetId="8" r:id="rId8"/>
    <sheet name="Sheet1" sheetId="9" r:id="rId9"/>
    <sheet name="Sheet2" sheetId="10" r:id="rId10"/>
    <sheet name="Sheet3" sheetId="11" r:id="rId11"/>
    <sheet name="Sheet4" sheetId="12" r:id="rId12"/>
    <sheet name="Sheet6" sheetId="13" r:id="rId13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0" i="12" l="1"/>
  <c r="D178" i="12"/>
  <c r="M187" i="12"/>
  <c r="L186" i="12"/>
  <c r="K186" i="12"/>
  <c r="J186" i="12"/>
  <c r="I186" i="12"/>
  <c r="H186" i="12"/>
  <c r="O156" i="12"/>
  <c r="P18" i="12" l="1"/>
  <c r="AB30" i="12"/>
  <c r="Y15" i="12"/>
  <c r="V16" i="12"/>
  <c r="V19" i="12"/>
  <c r="V18" i="12"/>
  <c r="V17" i="12"/>
  <c r="V15" i="12"/>
  <c r="AA127" i="12"/>
  <c r="AA126" i="12"/>
  <c r="Y126" i="12"/>
  <c r="Y125" i="12"/>
  <c r="U130" i="12"/>
  <c r="F119" i="12"/>
  <c r="F121" i="12"/>
  <c r="T130" i="12"/>
  <c r="Y110" i="12"/>
  <c r="Y109" i="12"/>
  <c r="X110" i="12"/>
  <c r="X109" i="12"/>
  <c r="R107" i="12"/>
  <c r="R106" i="12"/>
  <c r="R105" i="12"/>
  <c r="R103" i="12"/>
  <c r="R102" i="12"/>
  <c r="Q104" i="12"/>
  <c r="P106" i="12"/>
  <c r="P107" i="12" s="1"/>
  <c r="P105" i="12"/>
  <c r="P103" i="12"/>
  <c r="P102" i="12"/>
  <c r="J104" i="12"/>
  <c r="J93" i="12"/>
  <c r="U93" i="12"/>
  <c r="T83" i="12"/>
  <c r="T82" i="12"/>
  <c r="Y76" i="12"/>
  <c r="E79" i="12"/>
  <c r="D79" i="12"/>
  <c r="J59" i="12"/>
  <c r="S61" i="12"/>
  <c r="Q60" i="12"/>
  <c r="O60" i="12"/>
  <c r="R60" i="12"/>
  <c r="P60" i="12"/>
  <c r="N60" i="12"/>
  <c r="I58" i="12" l="1"/>
  <c r="H58" i="12"/>
  <c r="G58" i="12"/>
  <c r="F58" i="12"/>
  <c r="E58" i="12"/>
  <c r="AB152" i="4" l="1"/>
  <c r="AA152" i="4"/>
  <c r="X152" i="4"/>
  <c r="W152" i="4"/>
  <c r="R152" i="4"/>
  <c r="Q152" i="4"/>
  <c r="N153" i="4"/>
  <c r="M153" i="4"/>
  <c r="J151" i="4"/>
  <c r="E130" i="4"/>
  <c r="E125" i="4"/>
  <c r="S135" i="4"/>
  <c r="U135" i="4"/>
  <c r="S132" i="4"/>
  <c r="S131" i="4"/>
  <c r="S130" i="4"/>
  <c r="O132" i="4"/>
  <c r="O129" i="4"/>
  <c r="AA87" i="4"/>
  <c r="X111" i="4"/>
  <c r="W111" i="4"/>
  <c r="V111" i="4"/>
  <c r="U111" i="4"/>
  <c r="T111" i="4"/>
  <c r="P94" i="4"/>
  <c r="P91" i="4"/>
  <c r="O91" i="4"/>
  <c r="I86" i="4"/>
  <c r="S76" i="4"/>
  <c r="Q76" i="4"/>
  <c r="O76" i="4"/>
  <c r="N76" i="4"/>
  <c r="M76" i="4"/>
  <c r="P68" i="4"/>
  <c r="P67" i="4"/>
  <c r="P76" i="4" s="1"/>
  <c r="J33" i="12" l="1"/>
  <c r="I33" i="12"/>
  <c r="G33" i="12"/>
  <c r="H33" i="12"/>
  <c r="G31" i="12"/>
  <c r="V12" i="11" l="1"/>
  <c r="Y12" i="11"/>
  <c r="Y13" i="11"/>
  <c r="J126" i="11"/>
  <c r="I126" i="11"/>
  <c r="J125" i="11"/>
  <c r="I125" i="11"/>
  <c r="J124" i="11"/>
  <c r="I124" i="11"/>
  <c r="J123" i="11"/>
  <c r="I123" i="11"/>
  <c r="J122" i="11"/>
  <c r="I122" i="11"/>
  <c r="J121" i="11"/>
  <c r="I121" i="11"/>
  <c r="G126" i="11"/>
  <c r="G121" i="11"/>
  <c r="G122" i="11"/>
  <c r="G123" i="11"/>
  <c r="L253" i="11" l="1"/>
  <c r="M256" i="11"/>
  <c r="L256" i="11"/>
  <c r="G145" i="11"/>
  <c r="G144" i="11"/>
  <c r="G134" i="11"/>
  <c r="G133" i="11"/>
  <c r="F238" i="11" l="1"/>
  <c r="S237" i="11"/>
  <c r="R237" i="11"/>
  <c r="O238" i="11"/>
  <c r="N238" i="11"/>
  <c r="AB223" i="11"/>
  <c r="AB220" i="11"/>
  <c r="AB221" i="11"/>
  <c r="AA223" i="11"/>
  <c r="AA220" i="11"/>
  <c r="AA221" i="11"/>
  <c r="AC214" i="11"/>
  <c r="AC213" i="11"/>
  <c r="K197" i="11"/>
  <c r="K198" i="11" s="1"/>
  <c r="K199" i="11" s="1"/>
  <c r="K196" i="11"/>
  <c r="K195" i="11"/>
  <c r="Z223" i="11"/>
  <c r="Z221" i="11"/>
  <c r="Z220" i="11"/>
  <c r="Z222" i="11" s="1"/>
  <c r="AA214" i="11"/>
  <c r="AA213" i="11"/>
  <c r="J224" i="11"/>
  <c r="K224" i="11" s="1"/>
  <c r="H224" i="11"/>
  <c r="V223" i="11"/>
  <c r="U223" i="11"/>
  <c r="T223" i="11"/>
  <c r="S223" i="11"/>
  <c r="R223" i="11"/>
  <c r="V221" i="11"/>
  <c r="U221" i="11"/>
  <c r="T221" i="11"/>
  <c r="S221" i="11"/>
  <c r="V220" i="11"/>
  <c r="V222" i="11" s="1"/>
  <c r="U220" i="11"/>
  <c r="U222" i="11" s="1"/>
  <c r="T220" i="11"/>
  <c r="T222" i="11" s="1"/>
  <c r="S220" i="11"/>
  <c r="R221" i="11"/>
  <c r="R220" i="11"/>
  <c r="J204" i="11"/>
  <c r="J205" i="11" s="1"/>
  <c r="J206" i="11" s="1"/>
  <c r="J207" i="11" s="1"/>
  <c r="J208" i="11" s="1"/>
  <c r="J209" i="11" s="1"/>
  <c r="J203" i="11"/>
  <c r="J202" i="11"/>
  <c r="O192" i="11"/>
  <c r="L179" i="11"/>
  <c r="M179" i="11" s="1"/>
  <c r="N179" i="11" s="1"/>
  <c r="O179" i="11" s="1"/>
  <c r="P179" i="11" s="1"/>
  <c r="Q179" i="11" s="1"/>
  <c r="R179" i="11" s="1"/>
  <c r="S179" i="11" s="1"/>
  <c r="T179" i="11" s="1"/>
  <c r="U179" i="11" s="1"/>
  <c r="V179" i="11" s="1"/>
  <c r="W179" i="11" s="1"/>
  <c r="X179" i="11" s="1"/>
  <c r="Y179" i="11" s="1"/>
  <c r="Z179" i="11" s="1"/>
  <c r="AA179" i="11" s="1"/>
  <c r="K179" i="11"/>
  <c r="AA169" i="11"/>
  <c r="AA168" i="11"/>
  <c r="AA167" i="11"/>
  <c r="AA166" i="11"/>
  <c r="AA165" i="11"/>
  <c r="AA164" i="11"/>
  <c r="AA163" i="11"/>
  <c r="AA162" i="11"/>
  <c r="AA161" i="11"/>
  <c r="AA160" i="11"/>
  <c r="AA159" i="11"/>
  <c r="Z161" i="11"/>
  <c r="Z162" i="11" s="1"/>
  <c r="Z163" i="11" s="1"/>
  <c r="Z164" i="11" s="1"/>
  <c r="Z165" i="11" s="1"/>
  <c r="Z166" i="11" s="1"/>
  <c r="Z167" i="11" s="1"/>
  <c r="Z168" i="11" s="1"/>
  <c r="Z169" i="11" s="1"/>
  <c r="Z160" i="11"/>
  <c r="T144" i="11"/>
  <c r="AA151" i="11"/>
  <c r="V165" i="11"/>
  <c r="V163" i="11"/>
  <c r="U163" i="11"/>
  <c r="R163" i="11"/>
  <c r="S163" i="11"/>
  <c r="V168" i="11"/>
  <c r="U168" i="11"/>
  <c r="T168" i="11"/>
  <c r="S168" i="11"/>
  <c r="R168" i="11"/>
  <c r="N168" i="11"/>
  <c r="M168" i="11"/>
  <c r="L168" i="11"/>
  <c r="K168" i="11"/>
  <c r="J168" i="11"/>
  <c r="O147" i="11"/>
  <c r="N147" i="11"/>
  <c r="AB112" i="11"/>
  <c r="AB110" i="11"/>
  <c r="AA140" i="11"/>
  <c r="Z140" i="11"/>
  <c r="Y140" i="11"/>
  <c r="Y139" i="11"/>
  <c r="AA129" i="11"/>
  <c r="Z129" i="11"/>
  <c r="Y129" i="11"/>
  <c r="X129" i="11"/>
  <c r="W129" i="11"/>
  <c r="T129" i="11"/>
  <c r="S129" i="11"/>
  <c r="R129" i="11"/>
  <c r="Q129" i="11"/>
  <c r="P129" i="11"/>
  <c r="T109" i="11"/>
  <c r="T108" i="11"/>
  <c r="Q109" i="11"/>
  <c r="P109" i="11"/>
  <c r="W75" i="11"/>
  <c r="W76" i="11"/>
  <c r="W77" i="11"/>
  <c r="W78" i="11"/>
  <c r="V78" i="11"/>
  <c r="V77" i="11"/>
  <c r="V76" i="11"/>
  <c r="V75" i="11"/>
  <c r="W84" i="11"/>
  <c r="W83" i="11"/>
  <c r="W82" i="11"/>
  <c r="W81" i="11"/>
  <c r="W80" i="11"/>
  <c r="W79" i="11"/>
  <c r="V79" i="11"/>
  <c r="V80" i="11"/>
  <c r="V81" i="11"/>
  <c r="V82" i="11"/>
  <c r="V83" i="11"/>
  <c r="V84" i="11"/>
  <c r="J108" i="11"/>
  <c r="J104" i="11"/>
  <c r="J105" i="11"/>
  <c r="I108" i="11"/>
  <c r="M109" i="11"/>
  <c r="M108" i="11"/>
  <c r="L100" i="11"/>
  <c r="K100" i="11"/>
  <c r="I100" i="11"/>
  <c r="H100" i="11"/>
  <c r="D97" i="11"/>
  <c r="E100" i="11"/>
  <c r="D100" i="11"/>
  <c r="AA99" i="11"/>
  <c r="Z99" i="11"/>
  <c r="X99" i="11"/>
  <c r="T99" i="11"/>
  <c r="S99" i="11"/>
  <c r="Z86" i="11"/>
  <c r="N86" i="11"/>
  <c r="O86" i="11"/>
  <c r="P85" i="11"/>
  <c r="N85" i="11"/>
  <c r="O85" i="11"/>
  <c r="M80" i="11"/>
  <c r="L80" i="11"/>
  <c r="I81" i="11"/>
  <c r="H81" i="11"/>
  <c r="H80" i="11"/>
  <c r="I80" i="11"/>
  <c r="O76" i="11"/>
  <c r="O75" i="11"/>
  <c r="P76" i="11"/>
  <c r="P75" i="11"/>
  <c r="F69" i="11"/>
  <c r="E69" i="11"/>
  <c r="O26" i="11"/>
  <c r="G29" i="11"/>
  <c r="E27" i="11"/>
  <c r="E26" i="11"/>
  <c r="E25" i="11"/>
  <c r="E24" i="11"/>
  <c r="E23" i="11"/>
  <c r="F47" i="11"/>
  <c r="F44" i="11"/>
  <c r="S222" i="11" l="1"/>
  <c r="R222" i="11"/>
  <c r="N80" i="11"/>
  <c r="M81" i="11" s="1"/>
  <c r="J80" i="11"/>
  <c r="L81" i="11" l="1"/>
  <c r="P52" i="11" l="1"/>
  <c r="P51" i="11"/>
  <c r="P50" i="11"/>
  <c r="P49" i="11"/>
  <c r="P48" i="11"/>
  <c r="P47" i="11"/>
  <c r="AA22" i="11"/>
  <c r="AA21" i="11"/>
  <c r="AA32" i="11"/>
  <c r="AA31" i="11"/>
  <c r="V42" i="11"/>
  <c r="V41" i="11"/>
  <c r="V37" i="11"/>
  <c r="V38" i="11"/>
  <c r="AE13" i="11"/>
  <c r="AD13" i="11"/>
  <c r="AA13" i="11"/>
  <c r="AA12" i="11"/>
  <c r="V13" i="11"/>
  <c r="X13" i="11"/>
  <c r="X12" i="11"/>
  <c r="U13" i="11"/>
  <c r="U12" i="11"/>
  <c r="B37" i="11"/>
  <c r="B36" i="11"/>
  <c r="B33" i="11"/>
  <c r="B23" i="11"/>
  <c r="I36" i="11"/>
  <c r="T93" i="10"/>
  <c r="T92" i="10"/>
  <c r="V83" i="10"/>
  <c r="T77" i="10"/>
  <c r="T78" i="10"/>
  <c r="P105" i="10"/>
  <c r="P103" i="10"/>
  <c r="P102" i="10"/>
  <c r="H130" i="10"/>
  <c r="D135" i="10"/>
  <c r="C135" i="10"/>
  <c r="D123" i="10"/>
  <c r="C123" i="10"/>
  <c r="L115" i="10"/>
  <c r="K115" i="10"/>
  <c r="P101" i="10"/>
  <c r="P100" i="10"/>
  <c r="Q93" i="10"/>
  <c r="P93" i="10"/>
  <c r="K93" i="10"/>
  <c r="J93" i="10"/>
  <c r="C87" i="10"/>
  <c r="D110" i="10"/>
  <c r="C100" i="10"/>
  <c r="C99" i="10"/>
  <c r="C110" i="10" s="1"/>
  <c r="D94" i="10"/>
  <c r="C94" i="10"/>
  <c r="C70" i="10"/>
  <c r="K119" i="10"/>
  <c r="K118" i="10"/>
  <c r="U64" i="10"/>
  <c r="D75" i="10"/>
  <c r="C75" i="10"/>
  <c r="E75" i="10"/>
  <c r="F75" i="10"/>
  <c r="C69" i="10"/>
  <c r="C68" i="10"/>
  <c r="C67" i="10"/>
  <c r="C66" i="10"/>
  <c r="Y63" i="10"/>
  <c r="X63" i="10"/>
  <c r="W63" i="10"/>
  <c r="V63" i="10"/>
  <c r="V62" i="10"/>
  <c r="V54" i="10"/>
  <c r="C53" i="10"/>
  <c r="C61" i="10" s="1"/>
  <c r="D61" i="10"/>
  <c r="P52" i="10"/>
  <c r="N31" i="10" l="1"/>
  <c r="N30" i="10"/>
  <c r="N29" i="10"/>
  <c r="N28" i="10"/>
  <c r="N27" i="10"/>
  <c r="N26" i="10"/>
  <c r="N25" i="10"/>
  <c r="N24" i="10"/>
  <c r="N23" i="10"/>
  <c r="H23" i="10"/>
  <c r="E23" i="10"/>
  <c r="H17" i="10"/>
  <c r="E17" i="10"/>
  <c r="K10" i="10"/>
  <c r="H10" i="10"/>
  <c r="E10" i="10"/>
  <c r="K5" i="10"/>
  <c r="H5" i="10"/>
  <c r="E5" i="10"/>
  <c r="AI19" i="9" l="1"/>
  <c r="AI20" i="9" s="1"/>
  <c r="O21" i="8"/>
  <c r="G41" i="8"/>
  <c r="C41" i="8"/>
  <c r="J53" i="8" l="1"/>
  <c r="AE50" i="8"/>
  <c r="I23" i="8"/>
  <c r="E53" i="8"/>
  <c r="F24" i="8"/>
  <c r="AC21" i="1"/>
  <c r="AC20" i="1"/>
  <c r="AC19" i="1"/>
  <c r="AC18" i="1"/>
  <c r="AC17" i="1"/>
  <c r="W27" i="1"/>
  <c r="W28" i="1" s="1"/>
  <c r="W29" i="1" s="1"/>
  <c r="AD50" i="8"/>
  <c r="W32" i="8"/>
  <c r="T10" i="8"/>
  <c r="T11" i="8"/>
  <c r="X27" i="1" l="1"/>
  <c r="X28" i="1" s="1"/>
  <c r="AB46" i="8"/>
  <c r="AC50" i="8"/>
  <c r="U47" i="8"/>
  <c r="P48" i="8"/>
  <c r="L46" i="8"/>
  <c r="H50" i="8"/>
  <c r="D46" i="8"/>
  <c r="AF37" i="8"/>
  <c r="AE37" i="8"/>
  <c r="AB37" i="8"/>
  <c r="X37" i="8"/>
  <c r="W37" i="8"/>
  <c r="T37" i="8"/>
  <c r="P37" i="8"/>
  <c r="O37" i="8"/>
  <c r="L37" i="8"/>
  <c r="H37" i="8"/>
  <c r="D37" i="8"/>
  <c r="C37" i="8"/>
  <c r="Z50" i="8"/>
  <c r="O48" i="8"/>
  <c r="AB50" i="8"/>
  <c r="T47" i="8"/>
  <c r="S47" i="8"/>
  <c r="C46" i="8"/>
  <c r="Y43" i="8"/>
  <c r="X43" i="8"/>
  <c r="X50" i="8" s="1"/>
  <c r="AA42" i="8"/>
  <c r="K42" i="8"/>
  <c r="AA41" i="8"/>
  <c r="K41" i="8"/>
  <c r="K46" i="8" s="1"/>
  <c r="K37" i="8"/>
  <c r="G37" i="8"/>
  <c r="S34" i="8"/>
  <c r="S37" i="8" s="1"/>
  <c r="AA32" i="8"/>
  <c r="AA31" i="8"/>
  <c r="T14" i="8"/>
  <c r="T13" i="8"/>
  <c r="T12" i="8"/>
  <c r="T9" i="8"/>
  <c r="T8" i="8"/>
  <c r="T7" i="8"/>
  <c r="P51" i="3"/>
  <c r="P52" i="3" s="1"/>
  <c r="O50" i="3"/>
  <c r="O47" i="3"/>
  <c r="V26" i="7"/>
  <c r="M24" i="7"/>
  <c r="X23" i="7"/>
  <c r="X26" i="7" s="1"/>
  <c r="Q23" i="7"/>
  <c r="P23" i="7"/>
  <c r="G22" i="7"/>
  <c r="U21" i="7"/>
  <c r="U19" i="7"/>
  <c r="U26" i="7" s="1"/>
  <c r="T19" i="7"/>
  <c r="T26" i="7" s="1"/>
  <c r="J19" i="7"/>
  <c r="W18" i="7"/>
  <c r="J18" i="7"/>
  <c r="J24" i="7" s="1"/>
  <c r="D18" i="7"/>
  <c r="W17" i="7"/>
  <c r="D17" i="7"/>
  <c r="V13" i="7"/>
  <c r="P13" i="7"/>
  <c r="J13" i="7"/>
  <c r="H13" i="7"/>
  <c r="E13" i="7"/>
  <c r="D13" i="7"/>
  <c r="I11" i="7"/>
  <c r="I13" i="7" s="1"/>
  <c r="M10" i="7"/>
  <c r="M13" i="7" s="1"/>
  <c r="S8" i="7"/>
  <c r="S7" i="7"/>
  <c r="F7" i="5"/>
  <c r="F11" i="5" s="1"/>
  <c r="Z49" i="5"/>
  <c r="V49" i="5"/>
  <c r="M47" i="5"/>
  <c r="J47" i="5"/>
  <c r="X46" i="5"/>
  <c r="X49" i="5" s="1"/>
  <c r="Q46" i="5"/>
  <c r="P46" i="5"/>
  <c r="G45" i="5"/>
  <c r="D45" i="5"/>
  <c r="U44" i="5"/>
  <c r="U42" i="5"/>
  <c r="T42" i="5"/>
  <c r="T49" i="5" s="1"/>
  <c r="W41" i="5"/>
  <c r="W40" i="5"/>
  <c r="Y36" i="5"/>
  <c r="V36" i="5"/>
  <c r="S36" i="5"/>
  <c r="P36" i="5"/>
  <c r="M36" i="5"/>
  <c r="J36" i="5"/>
  <c r="G36" i="5"/>
  <c r="F36" i="5"/>
  <c r="C36" i="5"/>
  <c r="X24" i="5"/>
  <c r="O22" i="5"/>
  <c r="L22" i="5"/>
  <c r="Z21" i="5"/>
  <c r="Z24" i="5" s="1"/>
  <c r="S21" i="5"/>
  <c r="R21" i="5"/>
  <c r="I20" i="5"/>
  <c r="W19" i="5"/>
  <c r="W17" i="5"/>
  <c r="W24" i="5" s="1"/>
  <c r="V17" i="5"/>
  <c r="V24" i="5" s="1"/>
  <c r="Y16" i="5"/>
  <c r="F16" i="5"/>
  <c r="Y15" i="5"/>
  <c r="F15" i="5"/>
  <c r="Y11" i="5"/>
  <c r="V11" i="5"/>
  <c r="S11" i="5"/>
  <c r="M11" i="5"/>
  <c r="J11" i="5"/>
  <c r="C11" i="5"/>
  <c r="P7" i="5"/>
  <c r="P11" i="5" s="1"/>
  <c r="P7" i="6"/>
  <c r="P11" i="6" s="1"/>
  <c r="C11" i="6"/>
  <c r="Z49" i="6"/>
  <c r="V49" i="6"/>
  <c r="M47" i="6"/>
  <c r="J47" i="6"/>
  <c r="X46" i="6"/>
  <c r="X49" i="6" s="1"/>
  <c r="Q46" i="6"/>
  <c r="P46" i="6"/>
  <c r="G45" i="6"/>
  <c r="D45" i="6"/>
  <c r="U44" i="6"/>
  <c r="U42" i="6"/>
  <c r="T42" i="6"/>
  <c r="T49" i="6" s="1"/>
  <c r="W41" i="6"/>
  <c r="W40" i="6"/>
  <c r="Y36" i="6"/>
  <c r="V36" i="6"/>
  <c r="S36" i="6"/>
  <c r="P36" i="6"/>
  <c r="M36" i="6"/>
  <c r="J36" i="6"/>
  <c r="G36" i="6"/>
  <c r="AE36" i="6" s="1"/>
  <c r="F36" i="6"/>
  <c r="C36" i="6"/>
  <c r="X24" i="6"/>
  <c r="O22" i="6"/>
  <c r="Z21" i="6"/>
  <c r="Z24" i="6" s="1"/>
  <c r="S21" i="6"/>
  <c r="R21" i="6"/>
  <c r="I20" i="6"/>
  <c r="W19" i="6"/>
  <c r="W17" i="6"/>
  <c r="W24" i="6" s="1"/>
  <c r="V17" i="6"/>
  <c r="V24" i="6" s="1"/>
  <c r="Y16" i="6"/>
  <c r="L22" i="6"/>
  <c r="F16" i="6"/>
  <c r="Y15" i="6"/>
  <c r="F15" i="6"/>
  <c r="Y11" i="6"/>
  <c r="M11" i="6"/>
  <c r="J11" i="6"/>
  <c r="F11" i="6"/>
  <c r="V11" i="6"/>
  <c r="S11" i="6"/>
  <c r="B46" i="4"/>
  <c r="Y59" i="4"/>
  <c r="U59" i="4"/>
  <c r="L57" i="4"/>
  <c r="W56" i="4"/>
  <c r="W59" i="4" s="1"/>
  <c r="P56" i="4"/>
  <c r="O56" i="4"/>
  <c r="F55" i="4"/>
  <c r="T54" i="4"/>
  <c r="T52" i="4"/>
  <c r="T59" i="4" s="1"/>
  <c r="S52" i="4"/>
  <c r="S59" i="4" s="1"/>
  <c r="V51" i="4"/>
  <c r="I57" i="4"/>
  <c r="V50" i="4"/>
  <c r="C55" i="4"/>
  <c r="X46" i="4"/>
  <c r="U46" i="4"/>
  <c r="R46" i="4"/>
  <c r="O46" i="4"/>
  <c r="L46" i="4"/>
  <c r="I46" i="4"/>
  <c r="F46" i="4"/>
  <c r="E46" i="4"/>
  <c r="K32" i="4"/>
  <c r="U16" i="4"/>
  <c r="U21" i="4" s="1"/>
  <c r="R16" i="4"/>
  <c r="R21" i="4" s="1"/>
  <c r="L21" i="4"/>
  <c r="E17" i="4"/>
  <c r="E21" i="4" s="1"/>
  <c r="W34" i="4"/>
  <c r="N32" i="4"/>
  <c r="Y31" i="4"/>
  <c r="Y34" i="4" s="1"/>
  <c r="R31" i="4"/>
  <c r="Q31" i="4"/>
  <c r="H30" i="4"/>
  <c r="V29" i="4"/>
  <c r="V27" i="4"/>
  <c r="U27" i="4"/>
  <c r="U34" i="4" s="1"/>
  <c r="X26" i="4"/>
  <c r="E26" i="4"/>
  <c r="X25" i="4"/>
  <c r="E25" i="4"/>
  <c r="X21" i="4"/>
  <c r="I21" i="4"/>
  <c r="F21" i="4"/>
  <c r="O17" i="4"/>
  <c r="O21" i="4" s="1"/>
  <c r="S13" i="7" l="1"/>
  <c r="AB47" i="4"/>
  <c r="AA37" i="8"/>
  <c r="U49" i="6"/>
  <c r="Y24" i="5"/>
  <c r="D22" i="7"/>
  <c r="U49" i="5"/>
  <c r="W26" i="7"/>
  <c r="Y50" i="8"/>
  <c r="W49" i="6"/>
  <c r="E30" i="4"/>
  <c r="F20" i="6"/>
  <c r="W49" i="5"/>
  <c r="X34" i="4"/>
  <c r="Y24" i="6"/>
  <c r="F20" i="5"/>
  <c r="AA50" i="8"/>
  <c r="G50" i="8"/>
  <c r="V59" i="4"/>
  <c r="V34" i="4"/>
  <c r="N131" i="1"/>
  <c r="N135" i="1" s="1"/>
  <c r="L50" i="3"/>
  <c r="F50" i="3"/>
  <c r="O46" i="3"/>
  <c r="I50" i="3"/>
  <c r="O45" i="3"/>
  <c r="K131" i="1"/>
  <c r="Q135" i="1"/>
  <c r="K135" i="1"/>
  <c r="T131" i="1"/>
  <c r="T130" i="1"/>
  <c r="T117" i="1"/>
  <c r="T116" i="1"/>
  <c r="N117" i="1"/>
  <c r="N121" i="1" s="1"/>
  <c r="Q121" i="1"/>
  <c r="K121" i="1"/>
  <c r="P32" i="3"/>
  <c r="P31" i="3"/>
  <c r="P30" i="3"/>
  <c r="P34" i="3" s="1"/>
  <c r="M31" i="3"/>
  <c r="M30" i="3"/>
  <c r="M33" i="3" s="1"/>
  <c r="O24" i="3"/>
  <c r="U23" i="3"/>
  <c r="V23" i="3" s="1"/>
  <c r="U9" i="3"/>
  <c r="U10" i="3"/>
  <c r="R14" i="3"/>
  <c r="R13" i="3"/>
  <c r="R12" i="3"/>
  <c r="R11" i="3"/>
  <c r="R10" i="3"/>
  <c r="R9" i="3"/>
  <c r="R16" i="3" s="1"/>
  <c r="O9" i="3"/>
  <c r="O14" i="3" s="1"/>
  <c r="Y101" i="1"/>
  <c r="Y100" i="1"/>
  <c r="Y106" i="1" s="1"/>
  <c r="H97" i="1"/>
  <c r="H100" i="1" s="1"/>
  <c r="K97" i="1"/>
  <c r="K100" i="1" s="1"/>
  <c r="D96" i="1"/>
  <c r="D100" i="1" s="1"/>
  <c r="U16" i="3" l="1"/>
  <c r="O51" i="3"/>
  <c r="R96" i="1"/>
  <c r="W45" i="1"/>
  <c r="Y42" i="1"/>
  <c r="U86" i="1"/>
  <c r="Z47" i="1"/>
  <c r="Q84" i="1"/>
  <c r="W55" i="1"/>
  <c r="V43" i="1"/>
  <c r="F82" i="1"/>
  <c r="E19" i="2"/>
  <c r="E20" i="2" s="1"/>
  <c r="D19" i="2"/>
  <c r="C13" i="2"/>
  <c r="E13" i="2" s="1"/>
  <c r="D8" i="2"/>
  <c r="D7" i="2"/>
  <c r="U65" i="1"/>
  <c r="V71" i="1"/>
  <c r="U71" i="1"/>
  <c r="R71" i="1"/>
  <c r="Q71" i="1"/>
  <c r="D20" i="2" l="1"/>
  <c r="E14" i="2"/>
  <c r="D13" i="2"/>
  <c r="D14" i="2" s="1"/>
  <c r="U19" i="1"/>
  <c r="X50" i="1"/>
  <c r="V50" i="1"/>
  <c r="Z50" i="1"/>
  <c r="W43" i="1"/>
  <c r="W50" i="1" s="1"/>
  <c r="Y41" i="1"/>
  <c r="Y50" i="1" s="1"/>
  <c r="S47" i="1"/>
  <c r="R47" i="1"/>
  <c r="O48" i="1"/>
  <c r="L42" i="1"/>
  <c r="L43" i="1"/>
  <c r="I46" i="1"/>
  <c r="F42" i="1"/>
  <c r="F41" i="1"/>
  <c r="F46" i="1" s="1"/>
  <c r="X37" i="1"/>
  <c r="U31" i="1"/>
  <c r="U32" i="1"/>
  <c r="U37" i="1" s="1"/>
  <c r="R37" i="1"/>
  <c r="O34" i="1"/>
  <c r="O37" i="1"/>
  <c r="W10" i="1"/>
  <c r="W11" i="1" s="1"/>
  <c r="W12" i="1" s="1"/>
  <c r="X12" i="1"/>
  <c r="V10" i="1"/>
  <c r="V11" i="1" s="1"/>
  <c r="V12" i="1" s="1"/>
  <c r="L37" i="1"/>
  <c r="K35" i="1"/>
  <c r="K37" i="1" s="1"/>
  <c r="J37" i="1"/>
  <c r="G37" i="1"/>
  <c r="F37" i="1"/>
  <c r="L48" i="1" l="1"/>
</calcChain>
</file>

<file path=xl/sharedStrings.xml><?xml version="1.0" encoding="utf-8"?>
<sst xmlns="http://schemas.openxmlformats.org/spreadsheetml/2006/main" count="2028" uniqueCount="525">
  <si>
    <t>Sui2 Improvement Planning</t>
  </si>
  <si>
    <t>Things to try:</t>
  </si>
  <si>
    <t>Nanami leveling @ Border</t>
  </si>
  <si>
    <t>Wind on Riou @ TR?</t>
  </si>
  <si>
    <t>Different Pest Rat strat w/ Luc/Rina?</t>
  </si>
  <si>
    <t>Set cursors to memory?</t>
  </si>
  <si>
    <t>Different Abom strat? Maybe 1T if it makes more sense</t>
  </si>
  <si>
    <t>Bait strat with Kiba, other battles</t>
  </si>
  <si>
    <t>Templton, Jeane early</t>
  </si>
  <si>
    <t>Once-only war unit arrangement</t>
  </si>
  <si>
    <t>Meg leveling post-Luca</t>
  </si>
  <si>
    <t>Different RA battle strat</t>
  </si>
  <si>
    <t>R+N Only in RA</t>
  </si>
  <si>
    <t>New late game based on rune leniency.</t>
  </si>
  <si>
    <t>Maybe revisit sheena?</t>
  </si>
  <si>
    <t>Abom No Fire</t>
  </si>
  <si>
    <t>Nanami</t>
  </si>
  <si>
    <t>Riou</t>
  </si>
  <si>
    <t>Khan</t>
  </si>
  <si>
    <t>Fire</t>
  </si>
  <si>
    <t>CHANGE: No Fire post-Border</t>
  </si>
  <si>
    <t>CHANGE: Equip Wind to Riou in SW</t>
  </si>
  <si>
    <t>CHANGE: Abom Strat</t>
  </si>
  <si>
    <t>Pest Rat w/ 3</t>
  </si>
  <si>
    <t>Luc</t>
  </si>
  <si>
    <t>lvl32x5+34/3</t>
  </si>
  <si>
    <t>Luca</t>
  </si>
  <si>
    <t>R+N</t>
  </si>
  <si>
    <t>Sierra</t>
  </si>
  <si>
    <t>Shin</t>
  </si>
  <si>
    <t>Golem</t>
  </si>
  <si>
    <t>Neclord</t>
  </si>
  <si>
    <t>Maybe need some adjustments if Luc not 2 lvl 4…</t>
  </si>
  <si>
    <t>Lucia 2</t>
  </si>
  <si>
    <t>Wolf</t>
  </si>
  <si>
    <t>Bone Dragon</t>
  </si>
  <si>
    <t>Anybody</t>
  </si>
  <si>
    <t>Lucia 3</t>
  </si>
  <si>
    <t>S</t>
  </si>
  <si>
    <t>C</t>
  </si>
  <si>
    <t>Flik</t>
  </si>
  <si>
    <t>CONSIDERATION: Super speedy char as kindness bearer after Bone Dragon?</t>
  </si>
  <si>
    <t>???</t>
  </si>
  <si>
    <t>Still more to work out here…</t>
  </si>
  <si>
    <t>R</t>
  </si>
  <si>
    <t>LH</t>
  </si>
  <si>
    <t>RH</t>
  </si>
  <si>
    <t>LL</t>
  </si>
  <si>
    <t>RL</t>
  </si>
  <si>
    <t>CONSIDERATION: Luc doesn't need Blue Gate after a point…</t>
  </si>
  <si>
    <t>Consider Luc w/ Mother Earth again…</t>
  </si>
  <si>
    <t>Consider strat with no heal post-SC</t>
  </si>
  <si>
    <t>2T, not affected by Lake, no restore necessary</t>
  </si>
  <si>
    <t>Wind</t>
  </si>
  <si>
    <t>Lightning</t>
  </si>
  <si>
    <t>Border Leveling round 2</t>
  </si>
  <si>
    <t>Tsai</t>
  </si>
  <si>
    <t>BORDER OPTIONS:</t>
  </si>
  <si>
    <t>Continue as normal, only one battle</t>
  </si>
  <si>
    <t>Bring Tsai, level both Nanami and Tsai</t>
  </si>
  <si>
    <t>Bring Tsai, one battle, no leveling</t>
  </si>
  <si>
    <t>Good: Exp route works out as normal, get high level for Luca, Violence strats for Pest Rat/Abom</t>
  </si>
  <si>
    <t>Bad: luck in encountering elves, must level Luc</t>
  </si>
  <si>
    <t>Bad: Doesn't set up deaths for Tsai, luck in encountering elves, must level Luc</t>
  </si>
  <si>
    <t>Good: Violence strats for Abom/Pest/Sword</t>
  </si>
  <si>
    <t>Bad: Take longer to kill off others</t>
  </si>
  <si>
    <t>5x39 Whitewolves</t>
  </si>
  <si>
    <t>TEST: Family Attack strats on SDS, Abom, Pest</t>
  </si>
  <si>
    <t>TEST: Tsai in Border party</t>
  </si>
  <si>
    <t>Tinto Party:</t>
  </si>
  <si>
    <t>Viktor</t>
  </si>
  <si>
    <t>Sheena</t>
  </si>
  <si>
    <t>NEEDS JEANE</t>
  </si>
  <si>
    <t>Bright</t>
  </si>
  <si>
    <t>Blinking</t>
  </si>
  <si>
    <t>DB</t>
  </si>
  <si>
    <t>DE</t>
  </si>
  <si>
    <t>Viki/Rina</t>
  </si>
  <si>
    <t>-</t>
  </si>
  <si>
    <t>Ninja</t>
  </si>
  <si>
    <t>Speed Ring</t>
  </si>
  <si>
    <t>Boots</t>
  </si>
  <si>
    <t>Boots on Riou</t>
  </si>
  <si>
    <t>Fire Rune in Neclord's Castle…</t>
  </si>
  <si>
    <t>Remove Fire from Rina in early game, give to Viki much later?</t>
  </si>
  <si>
    <t>Get Earth Rune from Amada's weapon…?</t>
  </si>
  <si>
    <t>TEST: Elemental weapons in unite pairings</t>
  </si>
  <si>
    <t>Eilie</t>
  </si>
  <si>
    <t>see if Luc can do Shredding instead?</t>
  </si>
  <si>
    <t>Tsai @ Tinto?</t>
  </si>
  <si>
    <t>Swap Kindness during Muse</t>
  </si>
  <si>
    <t>BD</t>
  </si>
  <si>
    <t>TR -&gt; DM</t>
  </si>
  <si>
    <t>TM -&gt; Tinto</t>
  </si>
  <si>
    <t>Castle -&gt; Coro</t>
  </si>
  <si>
    <t>Coro -&gt; Muse</t>
  </si>
  <si>
    <t>Hanna</t>
  </si>
  <si>
    <t>Flik + Nina instead of Shin?</t>
  </si>
  <si>
    <t>Mik + Cam?</t>
  </si>
  <si>
    <t>MAGICS</t>
  </si>
  <si>
    <t>UNITES</t>
  </si>
  <si>
    <t>Mik + Cam</t>
  </si>
  <si>
    <t>Nina+Flik</t>
  </si>
  <si>
    <t>Vik+Flik</t>
  </si>
  <si>
    <t>Riou+Nan</t>
  </si>
  <si>
    <t>Empty World</t>
  </si>
  <si>
    <t>Start:</t>
  </si>
  <si>
    <t>End</t>
  </si>
  <si>
    <t>Return to positions</t>
  </si>
  <si>
    <t>Flashing</t>
  </si>
  <si>
    <t>Start</t>
  </si>
  <si>
    <t>Damage appears</t>
  </si>
  <si>
    <t>Pale Palace</t>
  </si>
  <si>
    <t>Kings Road</t>
  </si>
  <si>
    <t>Bolt of Wrath</t>
  </si>
  <si>
    <t>Thor Shot</t>
  </si>
  <si>
    <t>Dancing Flames</t>
  </si>
  <si>
    <t>Explosion</t>
  </si>
  <si>
    <t>Shredding</t>
  </si>
  <si>
    <t>Earthquake</t>
  </si>
  <si>
    <t>Shining Light</t>
  </si>
  <si>
    <t>Shining Wind</t>
  </si>
  <si>
    <t>Blazing Camp</t>
  </si>
  <si>
    <t>Storm Fang</t>
  </si>
  <si>
    <t>Scorched Earth</t>
  </si>
  <si>
    <t>Trick</t>
  </si>
  <si>
    <t>Spider Slay</t>
  </si>
  <si>
    <t>Thor</t>
  </si>
  <si>
    <t>Water Dragon</t>
  </si>
  <si>
    <t>Nanx2</t>
  </si>
  <si>
    <t>Flikx2</t>
  </si>
  <si>
    <t>Tsaix2</t>
  </si>
  <si>
    <t>Sheenax2</t>
  </si>
  <si>
    <t>Rioux1</t>
  </si>
  <si>
    <t>Final Bell</t>
  </si>
  <si>
    <t>Black Shadow</t>
  </si>
  <si>
    <t>Charm Arrow</t>
  </si>
  <si>
    <t>Nope</t>
  </si>
  <si>
    <t>BR Strat:</t>
  </si>
  <si>
    <t>Campx4</t>
  </si>
  <si>
    <t>Earthquake (BR)</t>
  </si>
  <si>
    <t>EQ</t>
  </si>
  <si>
    <t>Old Strat</t>
  </si>
  <si>
    <t>Spider Slay (BR)</t>
  </si>
  <si>
    <t>Campx3</t>
  </si>
  <si>
    <t>Scorched</t>
  </si>
  <si>
    <t>Empty</t>
  </si>
  <si>
    <t>Bolt</t>
  </si>
  <si>
    <t>Attack</t>
  </si>
  <si>
    <t>Neoslash strat</t>
  </si>
  <si>
    <t>Thorx3</t>
  </si>
  <si>
    <t>Wrath</t>
  </si>
  <si>
    <t>EW</t>
  </si>
  <si>
    <t>Shining</t>
  </si>
  <si>
    <t>B Gate</t>
  </si>
  <si>
    <t>S+C Strat</t>
  </si>
  <si>
    <t>Shreddingx2</t>
  </si>
  <si>
    <t>Tsaix4</t>
  </si>
  <si>
    <t>Neoslash S+C</t>
  </si>
  <si>
    <t>Thorx2</t>
  </si>
  <si>
    <t>Flik+Nina</t>
  </si>
  <si>
    <t>Flick</t>
  </si>
  <si>
    <t>Nina</t>
  </si>
  <si>
    <t>Flick+Nina</t>
  </si>
  <si>
    <t>Gijimu</t>
  </si>
  <si>
    <t>Does Flik disappear post-BD?</t>
  </si>
  <si>
    <t>Mik+Cam</t>
  </si>
  <si>
    <t>Abom</t>
  </si>
  <si>
    <t>No Fire</t>
  </si>
  <si>
    <t>Pest Rat</t>
  </si>
  <si>
    <t>Worm</t>
  </si>
  <si>
    <t>Def</t>
  </si>
  <si>
    <t>2T</t>
  </si>
  <si>
    <t>SDS</t>
  </si>
  <si>
    <t>MISC</t>
  </si>
  <si>
    <t>Double Beat</t>
  </si>
  <si>
    <t>Fury</t>
  </si>
  <si>
    <t>Gregminster Swap</t>
  </si>
  <si>
    <t>TR Swap</t>
  </si>
  <si>
    <t>Violence Early</t>
  </si>
  <si>
    <t>Route</t>
  </si>
  <si>
    <t>Pest</t>
  </si>
  <si>
    <t>Bone</t>
  </si>
  <si>
    <t>SC</t>
  </si>
  <si>
    <t>BR</t>
  </si>
  <si>
    <t>Current</t>
  </si>
  <si>
    <t>Neoslash</t>
  </si>
  <si>
    <t>Misc</t>
  </si>
  <si>
    <t>DB+Fury</t>
  </si>
  <si>
    <t>TOTAL</t>
  </si>
  <si>
    <t>Pest rat</t>
  </si>
  <si>
    <t>Current MISC:</t>
  </si>
  <si>
    <t>Heal after BR</t>
  </si>
  <si>
    <t>More equip mngmt</t>
  </si>
  <si>
    <t>M Earth</t>
  </si>
  <si>
    <t>Neoslash MISC</t>
  </si>
  <si>
    <t>Meg</t>
  </si>
  <si>
    <t>Jeane</t>
  </si>
  <si>
    <t>Stallion</t>
  </si>
  <si>
    <t>Equipmenting</t>
  </si>
  <si>
    <t>Rune Shop Trips</t>
  </si>
  <si>
    <t>MISC COSTS:</t>
  </si>
  <si>
    <t>Recruit Yoshino</t>
  </si>
  <si>
    <t>Freed+Yoshino</t>
  </si>
  <si>
    <t>Yoshinox1</t>
  </si>
  <si>
    <t>Fire Wall</t>
  </si>
  <si>
    <t>Yoshino</t>
  </si>
  <si>
    <t>Knights</t>
  </si>
  <si>
    <t>Attacks</t>
  </si>
  <si>
    <t>Heal after</t>
  </si>
  <si>
    <t>TEST: Muse extra encounter skips (stairs)</t>
  </si>
  <si>
    <t>Can't remove Koyu's Gale</t>
  </si>
  <si>
    <t>~1 min lost</t>
  </si>
  <si>
    <t>Run Away</t>
  </si>
  <si>
    <t>Normal</t>
  </si>
  <si>
    <t>~30 sec lost</t>
  </si>
  <si>
    <t>20 sec to see Jess scene</t>
  </si>
  <si>
    <t>~20 sec lost</t>
  </si>
  <si>
    <t>10 sec to meet Jess upstairs</t>
  </si>
  <si>
    <t>DarkBunny</t>
  </si>
  <si>
    <t>His Kiba</t>
  </si>
  <si>
    <t>*</t>
  </si>
  <si>
    <t>Charm</t>
  </si>
  <si>
    <t>DB MISC</t>
  </si>
  <si>
    <t>No Vio</t>
  </si>
  <si>
    <t>Double Strike</t>
  </si>
  <si>
    <t>Double strike</t>
  </si>
  <si>
    <t>Double-strike</t>
  </si>
  <si>
    <t>?</t>
  </si>
  <si>
    <t>Jeane trip</t>
  </si>
  <si>
    <t>FURY MISC</t>
  </si>
  <si>
    <t>Swap to Shin before Tinto, then back to Nanami?</t>
  </si>
  <si>
    <t>Violence strats on BD…</t>
  </si>
  <si>
    <t>Maybe Blue Gate on Rina for BR?</t>
  </si>
  <si>
    <t>Muse Rune Shop</t>
  </si>
  <si>
    <t>BD Party</t>
  </si>
  <si>
    <t>SuperSwap</t>
  </si>
  <si>
    <t>Koyu?</t>
  </si>
  <si>
    <t>Swapping</t>
  </si>
  <si>
    <t>DB+FURY MISC</t>
  </si>
  <si>
    <t>DS</t>
  </si>
  <si>
    <t>***</t>
  </si>
  <si>
    <t>SUPERSWAP MISC</t>
  </si>
  <si>
    <t>Before Ryube Forest</t>
  </si>
  <si>
    <t>Muse War Battle</t>
  </si>
  <si>
    <t>Shu &amp; Amada recruiting</t>
  </si>
  <si>
    <t>Matilda</t>
  </si>
  <si>
    <t>Muse/Tinto Start</t>
  </si>
  <si>
    <t>Rockaxe</t>
  </si>
  <si>
    <t>Party</t>
  </si>
  <si>
    <t>Maybe</t>
  </si>
  <si>
    <t>TIME OUT:</t>
  </si>
  <si>
    <t>Average extra turn from SDS</t>
  </si>
  <si>
    <t>Average extra turn from Abom</t>
  </si>
  <si>
    <t>Average extra turn from Pest</t>
  </si>
  <si>
    <t>Average extra turn from Worm</t>
  </si>
  <si>
    <t>Average extra turn from Golem</t>
  </si>
  <si>
    <t>Average extra turn from Neclord</t>
  </si>
  <si>
    <t>Average extra turn from BD</t>
  </si>
  <si>
    <t>Rina?</t>
  </si>
  <si>
    <t>Nanami needs -4</t>
  </si>
  <si>
    <t>Shin needs -2</t>
  </si>
  <si>
    <t>Tsai needs -2</t>
  </si>
  <si>
    <t>Rina needs -2</t>
  </si>
  <si>
    <t>Sheena needs -2</t>
  </si>
  <si>
    <t>Average extra turn from SC</t>
  </si>
  <si>
    <t>Violence</t>
  </si>
  <si>
    <t>SW Rune swap trip</t>
  </si>
  <si>
    <t>FURY ROUTE</t>
  </si>
  <si>
    <t>Same up until Muse</t>
  </si>
  <si>
    <t>Buy Fury (out of the way)</t>
  </si>
  <si>
    <t>Note</t>
  </si>
  <si>
    <t>Do I have enough cash?</t>
  </si>
  <si>
    <t>Equip Fury in SW</t>
  </si>
  <si>
    <t>Shu &amp; Amada</t>
  </si>
  <si>
    <t>Greenhill</t>
  </si>
  <si>
    <t>Level Luc</t>
  </si>
  <si>
    <t>Kiba</t>
  </si>
  <si>
    <t>Banner</t>
  </si>
  <si>
    <t>Kill off secondaries</t>
  </si>
  <si>
    <t>Violence strats</t>
  </si>
  <si>
    <t>Muse</t>
  </si>
  <si>
    <t>R+N+Shin+???</t>
  </si>
  <si>
    <t>Tinto</t>
  </si>
  <si>
    <t>Tinto end</t>
  </si>
  <si>
    <t>Swap Kindness to Shin, Luc + Shin + Sheena?</t>
  </si>
  <si>
    <t>Swap Kindness Back to Nanami</t>
  </si>
  <si>
    <t>Nanami:</t>
  </si>
  <si>
    <t>GH2</t>
  </si>
  <si>
    <t>R+N+Sheena+Luc+Gijimu+???</t>
  </si>
  <si>
    <t>Post-GH2</t>
  </si>
  <si>
    <t>Swap Kindness to Sheena, Fury, DB, DS</t>
  </si>
  <si>
    <t>Pick up DS</t>
  </si>
  <si>
    <t>Take Sheena, deck him out in SPD equipment</t>
  </si>
  <si>
    <t>SPD bonus on Sheena:</t>
  </si>
  <si>
    <t>Ring+Boots</t>
  </si>
  <si>
    <t>Ninja Suit</t>
  </si>
  <si>
    <t>Feathered</t>
  </si>
  <si>
    <t>Take Nanami, Rina?</t>
  </si>
  <si>
    <t>Gorudo</t>
  </si>
  <si>
    <t>Optimal Strat</t>
  </si>
  <si>
    <t>L'Ren</t>
  </si>
  <si>
    <t>Final Party: Riou, Flik, Luc, Rina, Sheena, Eilie</t>
  </si>
  <si>
    <t>Heal after SC</t>
  </si>
  <si>
    <t>all out</t>
  </si>
  <si>
    <t>save major spells</t>
  </si>
  <si>
    <t>Round-trip to check Muse rune shop after save</t>
  </si>
  <si>
    <t>-4 Nanami</t>
  </si>
  <si>
    <t>Is 45 necessary?</t>
  </si>
  <si>
    <t>STANDARD ROUTE</t>
  </si>
  <si>
    <t>Charge</t>
  </si>
  <si>
    <t>Ceiling</t>
  </si>
  <si>
    <t>Gas</t>
  </si>
  <si>
    <t>Slice</t>
  </si>
  <si>
    <t>Darkness</t>
  </si>
  <si>
    <t>Swipe</t>
  </si>
  <si>
    <t>Jump</t>
  </si>
  <si>
    <t>Fireballs</t>
  </si>
  <si>
    <t>Body Slam</t>
  </si>
  <si>
    <t>Ground Slam</t>
  </si>
  <si>
    <t>Chest</t>
  </si>
  <si>
    <t>Punching</t>
  </si>
  <si>
    <t>Bat Form</t>
  </si>
  <si>
    <t>Laser</t>
  </si>
  <si>
    <t>Souls</t>
  </si>
  <si>
    <t>Most common…</t>
  </si>
  <si>
    <t>Only while Nanami alive</t>
  </si>
  <si>
    <t>Bite</t>
  </si>
  <si>
    <t>Meteor</t>
  </si>
  <si>
    <t>Firebreath</t>
  </si>
  <si>
    <t>Rare</t>
  </si>
  <si>
    <t>Seed</t>
  </si>
  <si>
    <t>Culgan</t>
  </si>
  <si>
    <t>S+C</t>
  </si>
  <si>
    <t>ThunderStrike</t>
  </si>
  <si>
    <t>Silent Lake</t>
  </si>
  <si>
    <t>Kind Rain</t>
  </si>
  <si>
    <t>No speedup…</t>
  </si>
  <si>
    <t>35 sec</t>
  </si>
  <si>
    <t>Fury Reset</t>
  </si>
  <si>
    <t>Wind Hat</t>
  </si>
  <si>
    <t>Thunderstrike</t>
  </si>
  <si>
    <t>2T Table</t>
  </si>
  <si>
    <t>Time to fight one extra Border battle</t>
  </si>
  <si>
    <t>Average fight time for each of Kindness-less bosses</t>
  </si>
  <si>
    <t>Time required to die vs soldiers with no Bunny prep</t>
  </si>
  <si>
    <t>15-20 sec to pick up Fire Lizard</t>
  </si>
  <si>
    <t>IDEA:</t>
  </si>
  <si>
    <t>Jowy not participate in Fort battles?</t>
  </si>
  <si>
    <t>cost to bribe jestersx3 + moon</t>
  </si>
  <si>
    <t>Fire Sealing</t>
  </si>
  <si>
    <t>10 sec</t>
  </si>
  <si>
    <t>104 HP</t>
  </si>
  <si>
    <t>15 per hit of fire Lizard</t>
  </si>
  <si>
    <t>60+</t>
  </si>
  <si>
    <t>Blessing</t>
  </si>
  <si>
    <t>27 sec</t>
  </si>
  <si>
    <t>Extra Fire Wall</t>
  </si>
  <si>
    <t>12 sec</t>
  </si>
  <si>
    <t>3T</t>
  </si>
  <si>
    <t>Kahn</t>
  </si>
  <si>
    <t>straight to NW</t>
  </si>
  <si>
    <t>Heal at Kuskus</t>
  </si>
  <si>
    <t>Fire Rune</t>
  </si>
  <si>
    <t>7.5 sec</t>
  </si>
  <si>
    <t>DEF</t>
  </si>
  <si>
    <t>MDEF</t>
  </si>
  <si>
    <t>Freed</t>
  </si>
  <si>
    <t>Not consistent…</t>
  </si>
  <si>
    <t>Eilie not guaranteed to survive 1T vs Abom</t>
  </si>
  <si>
    <t>No Kindness</t>
  </si>
  <si>
    <t>PEST RAT</t>
  </si>
  <si>
    <t>start</t>
  </si>
  <si>
    <t>Blazing strat</t>
  </si>
  <si>
    <t>Luc only strat</t>
  </si>
  <si>
    <t>pest rat start</t>
  </si>
  <si>
    <t>luc strat end</t>
  </si>
  <si>
    <t>GROUPS OF 4:</t>
  </si>
  <si>
    <t>USE AUTO</t>
  </si>
  <si>
    <t>Kindness during GH</t>
  </si>
  <si>
    <t>Worm:</t>
  </si>
  <si>
    <t>Crush</t>
  </si>
  <si>
    <t>At Matilda:</t>
  </si>
  <si>
    <t>Only 2</t>
  </si>
  <si>
    <t>Only 3</t>
  </si>
  <si>
    <t>Take 4?</t>
  </si>
  <si>
    <t>Take 5</t>
  </si>
  <si>
    <t>Castle -&gt; Coronet</t>
  </si>
  <si>
    <t>Coronet -&gt; Muse</t>
  </si>
  <si>
    <t>TR-&gt;Drake</t>
  </si>
  <si>
    <t>Ryube-&gt;Fort</t>
  </si>
  <si>
    <t>Tiger-&gt;Tinto</t>
  </si>
  <si>
    <t>DECISION:</t>
  </si>
  <si>
    <t>No Stallion</t>
  </si>
  <si>
    <t>Get Templton after Banner</t>
  </si>
  <si>
    <t>Move Tsai, Templton, Adlai all at once</t>
  </si>
  <si>
    <t>Does Luca always end up in the same place?</t>
  </si>
  <si>
    <t>Rina</t>
  </si>
  <si>
    <t>u</t>
  </si>
  <si>
    <t>r</t>
  </si>
  <si>
    <t>r u</t>
  </si>
  <si>
    <t>u u</t>
  </si>
  <si>
    <t>Defense</t>
  </si>
  <si>
    <t>do nothing</t>
  </si>
  <si>
    <t>lower corner (some mistakes)</t>
  </si>
  <si>
    <t>go south</t>
  </si>
  <si>
    <t>Full Party</t>
  </si>
  <si>
    <t>Nanami Only</t>
  </si>
  <si>
    <t>phys attack = 216</t>
  </si>
  <si>
    <t>Jowy</t>
  </si>
  <si>
    <t>Piercing One</t>
  </si>
  <si>
    <t>Hungry Friend</t>
  </si>
  <si>
    <t>shredding</t>
  </si>
  <si>
    <t>Sword Attack</t>
  </si>
  <si>
    <t>ST Shards</t>
  </si>
  <si>
    <t>Rune</t>
  </si>
  <si>
    <t>MT Shards</t>
  </si>
  <si>
    <t>IGT</t>
  </si>
  <si>
    <t>NEED SIERRA…</t>
  </si>
  <si>
    <t>Jizo</t>
  </si>
  <si>
    <t>Jizo x2</t>
  </si>
  <si>
    <t>Sword</t>
  </si>
  <si>
    <t>Swirl</t>
  </si>
  <si>
    <t>Unite</t>
  </si>
  <si>
    <t>Bolgan</t>
  </si>
  <si>
    <t>TriAttack</t>
  </si>
  <si>
    <t>FlameBrth</t>
  </si>
  <si>
    <t>May not go before Mist…</t>
  </si>
  <si>
    <t>MAX</t>
  </si>
  <si>
    <t>MIN</t>
  </si>
  <si>
    <t>DIFF</t>
  </si>
  <si>
    <t>AVERAGE</t>
  </si>
  <si>
    <t>Angry</t>
  </si>
  <si>
    <t>In run, default layout post-Radat:</t>
  </si>
  <si>
    <t>Shu</t>
  </si>
  <si>
    <t>Apple</t>
  </si>
  <si>
    <t>Teresa</t>
  </si>
  <si>
    <t>Camus</t>
  </si>
  <si>
    <t>Miklotov</t>
  </si>
  <si>
    <t>Adlai</t>
  </si>
  <si>
    <t>Tuta</t>
  </si>
  <si>
    <t>Gilbert</t>
  </si>
  <si>
    <t>Freed Y</t>
  </si>
  <si>
    <t>Huan</t>
  </si>
  <si>
    <t>Chaco</t>
  </si>
  <si>
    <t>Mikotov</t>
  </si>
  <si>
    <t>gas</t>
  </si>
  <si>
    <t>charge</t>
  </si>
  <si>
    <t>Sword + MT</t>
  </si>
  <si>
    <t>Sword + ST</t>
  </si>
  <si>
    <t>flik</t>
  </si>
  <si>
    <t>179 vs Nanami</t>
  </si>
  <si>
    <t>riou</t>
  </si>
  <si>
    <t>nanami</t>
  </si>
  <si>
    <t>unite</t>
  </si>
  <si>
    <t>shin</t>
  </si>
  <si>
    <t>riou attack</t>
  </si>
  <si>
    <t>Camp</t>
  </si>
  <si>
    <t>new plan:</t>
  </si>
  <si>
    <t>pick up resurrection, attach at rockaxe</t>
  </si>
  <si>
    <t>use bolt of wrath on BR instead of otherwise</t>
  </si>
  <si>
    <t>use dual charm on sierra</t>
  </si>
  <si>
    <t>heal after</t>
  </si>
  <si>
    <t>need extra riou attack to finish…</t>
  </si>
  <si>
    <t>very close to enough, if leave magic ring on can reach</t>
  </si>
  <si>
    <t>but attack is safer</t>
  </si>
  <si>
    <t>so close</t>
  </si>
  <si>
    <t>put magic ring on riou to be sure…</t>
  </si>
  <si>
    <t>lvl 3</t>
  </si>
  <si>
    <t>lvl 4</t>
  </si>
  <si>
    <t>Flaming Arrows</t>
  </si>
  <si>
    <t>circus</t>
  </si>
  <si>
    <t>flame breath</t>
  </si>
  <si>
    <t>Angry Blow</t>
  </si>
  <si>
    <t>Thunder Runner</t>
  </si>
  <si>
    <t>Spark???</t>
  </si>
  <si>
    <t>FLWR</t>
  </si>
  <si>
    <t>D</t>
  </si>
  <si>
    <t>LD</t>
  </si>
  <si>
    <t>FWR</t>
  </si>
  <si>
    <t>ED</t>
  </si>
  <si>
    <t>shrike</t>
  </si>
  <si>
    <t>Tsai Exp Progression</t>
  </si>
  <si>
    <t>Border</t>
  </si>
  <si>
    <t>Luca goons</t>
  </si>
  <si>
    <t>Luca goons 2</t>
  </si>
  <si>
    <t>lvl39x5</t>
  </si>
  <si>
    <t>lvl39x6</t>
  </si>
  <si>
    <t>GH Forest</t>
  </si>
  <si>
    <t>GH Forest 2</t>
  </si>
  <si>
    <t>Lucia</t>
  </si>
  <si>
    <t>lvl47x5+49</t>
  </si>
  <si>
    <t>lvl49x3+54</t>
  </si>
  <si>
    <t>lvl41x6</t>
  </si>
  <si>
    <t>blast</t>
  </si>
  <si>
    <t>jump</t>
  </si>
  <si>
    <t>shin @ GH</t>
  </si>
  <si>
    <t>no double beat</t>
  </si>
  <si>
    <t>no double edge</t>
  </si>
  <si>
    <t>no rune swap trip</t>
  </si>
  <si>
    <t>Lucia R3</t>
  </si>
  <si>
    <t>S&amp;C</t>
  </si>
  <si>
    <t>Beast</t>
  </si>
  <si>
    <t>Step Grace</t>
  </si>
  <si>
    <t>Area</t>
  </si>
  <si>
    <t>World Map</t>
  </si>
  <si>
    <t>GH-Matilda Forest</t>
  </si>
  <si>
    <t>Tenzan</t>
  </si>
  <si>
    <t>North Sparrow</t>
  </si>
  <si>
    <t>Ryube</t>
  </si>
  <si>
    <t>Sindar</t>
  </si>
  <si>
    <t>Muse-Highland</t>
  </si>
  <si>
    <t>Muse 1</t>
  </si>
  <si>
    <t>Cave of the Wind</t>
  </si>
  <si>
    <t>North Window</t>
  </si>
  <si>
    <t>TR Sewers</t>
  </si>
  <si>
    <t>Banner Pass</t>
  </si>
  <si>
    <t>Tinto Mines</t>
  </si>
  <si>
    <t>Lots of rooms have no encounters…</t>
  </si>
  <si>
    <t>GH Forest 1</t>
  </si>
  <si>
    <t>Rockaxe Castle</t>
  </si>
  <si>
    <t>Tinto Pass</t>
  </si>
  <si>
    <t>Rakutei 2</t>
  </si>
  <si>
    <t>World Map (Lakewest)</t>
  </si>
  <si>
    <t>Kobold Village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</si>
</sst>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quotePrefix="1" applyFont="1"/>
    <xf numFmtId="0" fontId="1" fillId="0" borderId="0" xfId="0" applyFont="1"/>
    <xf numFmtId="20" fontId="0" fillId="0" borderId="0" xfId="0" applyNumberFormat="1"/>
    <xf numFmtId="2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D138"/>
  <sheetViews>
    <sheetView workbookViewId="0">
      <selection activeCell="G27" sqref="G27"/>
    </sheetView>
  </sheetViews>
  <sheetFormatPr defaultRowHeight="15" x14ac:dyDescent="0.25"/>
  <sheetData>
    <row r="4" spans="3:30" x14ac:dyDescent="0.25">
      <c r="L4" t="s">
        <v>211</v>
      </c>
    </row>
    <row r="5" spans="3:30" x14ac:dyDescent="0.25">
      <c r="C5" t="s">
        <v>0</v>
      </c>
    </row>
    <row r="7" spans="3:30" x14ac:dyDescent="0.25">
      <c r="C7" t="s">
        <v>1</v>
      </c>
      <c r="L7" t="s">
        <v>20</v>
      </c>
    </row>
    <row r="8" spans="3:30" x14ac:dyDescent="0.25">
      <c r="C8" t="s">
        <v>5</v>
      </c>
      <c r="L8" t="s">
        <v>21</v>
      </c>
    </row>
    <row r="9" spans="3:30" x14ac:dyDescent="0.25">
      <c r="C9" t="s">
        <v>2</v>
      </c>
      <c r="L9" t="s">
        <v>22</v>
      </c>
      <c r="V9" t="s">
        <v>25</v>
      </c>
    </row>
    <row r="10" spans="3:30" x14ac:dyDescent="0.25">
      <c r="C10" t="s">
        <v>3</v>
      </c>
      <c r="V10">
        <f>3900*5+6000</f>
        <v>25500</v>
      </c>
      <c r="W10">
        <f>900*5+6000</f>
        <v>10500</v>
      </c>
    </row>
    <row r="11" spans="3:30" x14ac:dyDescent="0.25">
      <c r="C11" t="s">
        <v>4</v>
      </c>
      <c r="V11">
        <f>V10/3</f>
        <v>8500</v>
      </c>
      <c r="W11">
        <f>W10/3</f>
        <v>3500</v>
      </c>
    </row>
    <row r="12" spans="3:30" x14ac:dyDescent="0.25">
      <c r="C12" t="s">
        <v>6</v>
      </c>
      <c r="L12" t="s">
        <v>41</v>
      </c>
      <c r="V12">
        <f>27000+V11</f>
        <v>35500</v>
      </c>
      <c r="W12">
        <f>27000+W11+X12</f>
        <v>33600</v>
      </c>
      <c r="X12">
        <f>9300/3</f>
        <v>3100</v>
      </c>
    </row>
    <row r="13" spans="3:30" x14ac:dyDescent="0.25">
      <c r="C13" t="s">
        <v>7</v>
      </c>
      <c r="L13" t="s">
        <v>49</v>
      </c>
    </row>
    <row r="14" spans="3:30" x14ac:dyDescent="0.25">
      <c r="C14" t="s">
        <v>8</v>
      </c>
      <c r="L14" t="s">
        <v>67</v>
      </c>
      <c r="AD14" t="s">
        <v>220</v>
      </c>
    </row>
    <row r="15" spans="3:30" x14ac:dyDescent="0.25">
      <c r="C15" t="s">
        <v>9</v>
      </c>
      <c r="L15" t="s">
        <v>68</v>
      </c>
      <c r="AD15" s="4">
        <v>4.6874999999999998E-3</v>
      </c>
    </row>
    <row r="16" spans="3:30" x14ac:dyDescent="0.25">
      <c r="C16" t="s">
        <v>10</v>
      </c>
      <c r="K16" t="s">
        <v>137</v>
      </c>
      <c r="L16" t="s">
        <v>86</v>
      </c>
    </row>
    <row r="17" spans="3:29" x14ac:dyDescent="0.25">
      <c r="C17" t="s">
        <v>11</v>
      </c>
      <c r="L17" t="s">
        <v>210</v>
      </c>
      <c r="AA17" s="4">
        <v>0.16366898148148148</v>
      </c>
      <c r="AB17" s="4">
        <v>0.16655092592592594</v>
      </c>
      <c r="AC17" s="4">
        <f>AB17-AA17</f>
        <v>2.8819444444444509E-3</v>
      </c>
    </row>
    <row r="18" spans="3:29" x14ac:dyDescent="0.25">
      <c r="C18" t="s">
        <v>12</v>
      </c>
      <c r="AB18" s="4">
        <v>0.16721064814814815</v>
      </c>
      <c r="AC18" s="4">
        <f>AB18-AA17</f>
        <v>3.5416666666666652E-3</v>
      </c>
    </row>
    <row r="19" spans="3:29" x14ac:dyDescent="0.25">
      <c r="C19" t="s">
        <v>13</v>
      </c>
      <c r="U19">
        <f>780*2</f>
        <v>1560</v>
      </c>
      <c r="AB19" s="4">
        <v>0.16793981481481482</v>
      </c>
      <c r="AC19" s="4">
        <f>AB19-AA17</f>
        <v>4.2708333333333348E-3</v>
      </c>
    </row>
    <row r="20" spans="3:29" x14ac:dyDescent="0.25">
      <c r="C20" t="s">
        <v>14</v>
      </c>
      <c r="AB20" s="4">
        <v>0.16851851851851851</v>
      </c>
      <c r="AC20" s="4">
        <f>AB20-AA17</f>
        <v>4.8495370370370272E-3</v>
      </c>
    </row>
    <row r="21" spans="3:29" x14ac:dyDescent="0.25">
      <c r="AB21" s="4">
        <v>0.16921296296296295</v>
      </c>
      <c r="AC21" s="4">
        <f>AB21-AA17</f>
        <v>5.5439814814814692E-3</v>
      </c>
    </row>
    <row r="22" spans="3:29" x14ac:dyDescent="0.25">
      <c r="I22" t="s">
        <v>213</v>
      </c>
      <c r="M22" t="s">
        <v>214</v>
      </c>
    </row>
    <row r="23" spans="3:29" x14ac:dyDescent="0.25">
      <c r="I23" s="3">
        <v>0.49305555555555558</v>
      </c>
      <c r="J23" t="s">
        <v>212</v>
      </c>
      <c r="M23" s="3">
        <v>0.3888888888888889</v>
      </c>
      <c r="N23" t="s">
        <v>215</v>
      </c>
      <c r="R23" t="s">
        <v>216</v>
      </c>
      <c r="W23">
        <v>2757</v>
      </c>
      <c r="X23">
        <v>2785</v>
      </c>
    </row>
    <row r="24" spans="3:29" x14ac:dyDescent="0.25">
      <c r="I24" s="3">
        <v>0.4513888888888889</v>
      </c>
      <c r="J24" t="s">
        <v>217</v>
      </c>
      <c r="R24" t="s">
        <v>218</v>
      </c>
      <c r="V24" t="s">
        <v>162</v>
      </c>
      <c r="W24">
        <v>999</v>
      </c>
    </row>
    <row r="25" spans="3:29" x14ac:dyDescent="0.25">
      <c r="V25" t="s">
        <v>40</v>
      </c>
      <c r="W25">
        <v>195</v>
      </c>
    </row>
    <row r="26" spans="3:29" x14ac:dyDescent="0.25">
      <c r="V26" t="s">
        <v>219</v>
      </c>
      <c r="W26">
        <v>45</v>
      </c>
    </row>
    <row r="27" spans="3:29" x14ac:dyDescent="0.25">
      <c r="W27">
        <f>W24+W25</f>
        <v>1194</v>
      </c>
      <c r="X27">
        <f>W27-W26*2</f>
        <v>1104</v>
      </c>
    </row>
    <row r="28" spans="3:29" x14ac:dyDescent="0.25">
      <c r="W28">
        <f>W27-W26</f>
        <v>1149</v>
      </c>
      <c r="X28">
        <f>X27*2.5</f>
        <v>2760</v>
      </c>
    </row>
    <row r="29" spans="3:29" x14ac:dyDescent="0.25">
      <c r="W29">
        <f>W28*2.5</f>
        <v>2872.5</v>
      </c>
    </row>
    <row r="30" spans="3:29" x14ac:dyDescent="0.25">
      <c r="F30" t="s">
        <v>15</v>
      </c>
      <c r="G30" t="s">
        <v>19</v>
      </c>
      <c r="J30" t="s">
        <v>23</v>
      </c>
      <c r="O30" t="s">
        <v>26</v>
      </c>
      <c r="R30" t="s">
        <v>28</v>
      </c>
      <c r="U30" t="s">
        <v>30</v>
      </c>
      <c r="X30" t="s">
        <v>31</v>
      </c>
    </row>
    <row r="31" spans="3:29" x14ac:dyDescent="0.25">
      <c r="E31" t="s">
        <v>16</v>
      </c>
      <c r="F31">
        <v>950</v>
      </c>
      <c r="G31">
        <v>950</v>
      </c>
      <c r="I31" t="s">
        <v>17</v>
      </c>
      <c r="J31">
        <v>1000</v>
      </c>
      <c r="L31">
        <v>2000</v>
      </c>
      <c r="N31" t="s">
        <v>17</v>
      </c>
      <c r="O31">
        <v>1000</v>
      </c>
      <c r="Q31" t="s">
        <v>29</v>
      </c>
      <c r="R31">
        <v>2700</v>
      </c>
      <c r="T31" t="s">
        <v>17</v>
      </c>
      <c r="U31">
        <f>1050*2</f>
        <v>2100</v>
      </c>
      <c r="W31" t="s">
        <v>17</v>
      </c>
      <c r="X31">
        <v>600</v>
      </c>
    </row>
    <row r="32" spans="3:29" x14ac:dyDescent="0.25">
      <c r="E32" t="s">
        <v>17</v>
      </c>
      <c r="F32">
        <v>1000</v>
      </c>
      <c r="G32">
        <v>1500</v>
      </c>
      <c r="I32" t="s">
        <v>16</v>
      </c>
      <c r="J32">
        <v>950</v>
      </c>
      <c r="L32">
        <v>950</v>
      </c>
      <c r="N32" t="s">
        <v>24</v>
      </c>
      <c r="O32">
        <v>1300</v>
      </c>
      <c r="Q32" t="s">
        <v>17</v>
      </c>
      <c r="R32">
        <v>150</v>
      </c>
      <c r="T32" t="s">
        <v>24</v>
      </c>
      <c r="U32">
        <f>1250*2</f>
        <v>2500</v>
      </c>
      <c r="W32" t="s">
        <v>24</v>
      </c>
      <c r="X32">
        <v>1200</v>
      </c>
    </row>
    <row r="33" spans="5:28" x14ac:dyDescent="0.25">
      <c r="E33" t="s">
        <v>18</v>
      </c>
      <c r="I33" t="s">
        <v>24</v>
      </c>
      <c r="J33">
        <v>1200</v>
      </c>
      <c r="K33">
        <v>1300</v>
      </c>
      <c r="L33">
        <v>0</v>
      </c>
      <c r="N33" t="s">
        <v>16</v>
      </c>
      <c r="O33">
        <v>1400</v>
      </c>
      <c r="T33" t="s">
        <v>29</v>
      </c>
      <c r="U33">
        <v>2750</v>
      </c>
      <c r="W33" t="s">
        <v>29</v>
      </c>
      <c r="X33">
        <v>2700</v>
      </c>
    </row>
    <row r="34" spans="5:28" x14ac:dyDescent="0.25">
      <c r="E34" t="s">
        <v>16</v>
      </c>
      <c r="F34">
        <v>2850</v>
      </c>
      <c r="G34">
        <v>950</v>
      </c>
      <c r="I34" t="s">
        <v>17</v>
      </c>
      <c r="J34">
        <v>600</v>
      </c>
      <c r="L34">
        <v>600</v>
      </c>
      <c r="N34" t="s">
        <v>27</v>
      </c>
      <c r="O34">
        <f>1600*3*2</f>
        <v>9600</v>
      </c>
    </row>
    <row r="35" spans="5:28" x14ac:dyDescent="0.25">
      <c r="E35" t="s">
        <v>17</v>
      </c>
      <c r="G35">
        <v>600</v>
      </c>
      <c r="I35" t="s">
        <v>16</v>
      </c>
      <c r="J35">
        <v>1450</v>
      </c>
      <c r="K35">
        <f>J35*3</f>
        <v>4350</v>
      </c>
      <c r="L35">
        <v>950</v>
      </c>
    </row>
    <row r="36" spans="5:28" x14ac:dyDescent="0.25">
      <c r="L36">
        <v>600</v>
      </c>
    </row>
    <row r="37" spans="5:28" x14ac:dyDescent="0.25">
      <c r="F37">
        <f>SUM(F31:F36)</f>
        <v>4800</v>
      </c>
      <c r="G37">
        <f>SUM(G31:G36)</f>
        <v>4000</v>
      </c>
      <c r="J37">
        <f>SUM(J31:J36)</f>
        <v>5200</v>
      </c>
      <c r="K37">
        <f>SUM(K31:K36)</f>
        <v>5650</v>
      </c>
      <c r="L37">
        <f>SUM(L31:L36)</f>
        <v>5100</v>
      </c>
      <c r="O37">
        <f>SUM(O31:O36)</f>
        <v>13300</v>
      </c>
      <c r="R37">
        <f>SUM(R31:R36)</f>
        <v>2850</v>
      </c>
      <c r="U37">
        <f>SUM(U31:U36)</f>
        <v>7350</v>
      </c>
      <c r="X37">
        <f>SUM(X31:X36)</f>
        <v>4500</v>
      </c>
    </row>
    <row r="39" spans="5:28" x14ac:dyDescent="0.25">
      <c r="X39" t="s">
        <v>32</v>
      </c>
    </row>
    <row r="40" spans="5:28" x14ac:dyDescent="0.25">
      <c r="F40" t="s">
        <v>34</v>
      </c>
      <c r="I40" t="s">
        <v>33</v>
      </c>
      <c r="L40" t="s">
        <v>35</v>
      </c>
      <c r="O40" t="s">
        <v>37</v>
      </c>
      <c r="R40" t="s">
        <v>38</v>
      </c>
      <c r="S40" t="s">
        <v>39</v>
      </c>
      <c r="V40" t="s">
        <v>45</v>
      </c>
      <c r="W40" t="s">
        <v>46</v>
      </c>
      <c r="X40" t="s">
        <v>44</v>
      </c>
      <c r="Y40" t="s">
        <v>47</v>
      </c>
      <c r="Z40" t="s">
        <v>48</v>
      </c>
    </row>
    <row r="41" spans="5:28" x14ac:dyDescent="0.25">
      <c r="E41" t="s">
        <v>29</v>
      </c>
      <c r="F41">
        <f>(999-66)*3</f>
        <v>2799</v>
      </c>
      <c r="H41" t="s">
        <v>29</v>
      </c>
      <c r="I41">
        <v>2700</v>
      </c>
      <c r="K41" t="s">
        <v>29</v>
      </c>
      <c r="L41">
        <v>2760</v>
      </c>
      <c r="N41" t="s">
        <v>24</v>
      </c>
      <c r="O41">
        <v>2000</v>
      </c>
      <c r="Q41" t="s">
        <v>24</v>
      </c>
      <c r="R41">
        <v>630</v>
      </c>
      <c r="S41">
        <v>630</v>
      </c>
      <c r="U41" t="s">
        <v>24</v>
      </c>
      <c r="X41">
        <v>2000</v>
      </c>
      <c r="Y41">
        <f>1300*0.3</f>
        <v>390</v>
      </c>
      <c r="Z41">
        <v>1300</v>
      </c>
    </row>
    <row r="42" spans="5:28" x14ac:dyDescent="0.25">
      <c r="E42" t="s">
        <v>24</v>
      </c>
      <c r="F42">
        <f>1200/2</f>
        <v>600</v>
      </c>
      <c r="H42" t="s">
        <v>24</v>
      </c>
      <c r="I42">
        <v>2000</v>
      </c>
      <c r="K42" t="s">
        <v>17</v>
      </c>
      <c r="L42">
        <f>525*2</f>
        <v>1050</v>
      </c>
      <c r="N42" t="s">
        <v>17</v>
      </c>
      <c r="O42">
        <v>2000</v>
      </c>
      <c r="Q42" t="s">
        <v>17</v>
      </c>
      <c r="R42">
        <v>450</v>
      </c>
      <c r="S42">
        <v>450</v>
      </c>
      <c r="U42" t="s">
        <v>17</v>
      </c>
      <c r="X42">
        <v>1300</v>
      </c>
      <c r="Y42">
        <f>2000*0.3</f>
        <v>600</v>
      </c>
      <c r="Z42">
        <v>1300</v>
      </c>
    </row>
    <row r="43" spans="5:28" x14ac:dyDescent="0.25">
      <c r="E43" t="s">
        <v>17</v>
      </c>
      <c r="F43">
        <v>101</v>
      </c>
      <c r="K43" t="s">
        <v>24</v>
      </c>
      <c r="L43">
        <f>450*1.4*2+200</f>
        <v>1460</v>
      </c>
      <c r="N43" t="s">
        <v>29</v>
      </c>
      <c r="O43">
        <v>2700</v>
      </c>
      <c r="Q43" t="s">
        <v>56</v>
      </c>
      <c r="S43">
        <v>2800</v>
      </c>
      <c r="U43" t="s">
        <v>40</v>
      </c>
      <c r="V43">
        <f>1300*0.6</f>
        <v>780</v>
      </c>
      <c r="W43">
        <f>1200</f>
        <v>1200</v>
      </c>
      <c r="Y43">
        <v>390</v>
      </c>
      <c r="Z43">
        <v>1300</v>
      </c>
    </row>
    <row r="44" spans="5:28" x14ac:dyDescent="0.25">
      <c r="K44" t="s">
        <v>29</v>
      </c>
      <c r="L44">
        <v>920</v>
      </c>
      <c r="Q44" t="s">
        <v>17</v>
      </c>
      <c r="R44">
        <v>250</v>
      </c>
      <c r="U44" t="s">
        <v>56</v>
      </c>
      <c r="Y44">
        <v>2800</v>
      </c>
    </row>
    <row r="45" spans="5:28" x14ac:dyDescent="0.25">
      <c r="K45" t="s">
        <v>24</v>
      </c>
      <c r="L45">
        <v>1460</v>
      </c>
      <c r="Q45" t="s">
        <v>56</v>
      </c>
      <c r="R45">
        <v>2800</v>
      </c>
      <c r="U45" t="s">
        <v>87</v>
      </c>
      <c r="V45">
        <v>1200</v>
      </c>
      <c r="W45">
        <f>1300*0.6</f>
        <v>780</v>
      </c>
      <c r="Y45">
        <v>390</v>
      </c>
      <c r="Z45">
        <v>780</v>
      </c>
    </row>
    <row r="46" spans="5:28" x14ac:dyDescent="0.25">
      <c r="F46">
        <f>SUM(F41:F45)</f>
        <v>3500</v>
      </c>
      <c r="I46">
        <f>SUM(I41:I45)</f>
        <v>4700</v>
      </c>
      <c r="K46" t="s">
        <v>17</v>
      </c>
      <c r="L46">
        <v>1050</v>
      </c>
      <c r="U46" t="s">
        <v>24</v>
      </c>
      <c r="V46">
        <v>1300</v>
      </c>
      <c r="W46">
        <v>1300</v>
      </c>
      <c r="Z46">
        <v>1300</v>
      </c>
      <c r="AB46" t="s">
        <v>88</v>
      </c>
    </row>
    <row r="47" spans="5:28" x14ac:dyDescent="0.25">
      <c r="K47" t="s">
        <v>36</v>
      </c>
      <c r="L47">
        <v>200</v>
      </c>
      <c r="R47">
        <f>SUM(R41:R46)</f>
        <v>4130</v>
      </c>
      <c r="S47">
        <f>SUM(S41:S46)</f>
        <v>3880</v>
      </c>
      <c r="U47" t="s">
        <v>17</v>
      </c>
      <c r="V47">
        <v>120</v>
      </c>
      <c r="W47">
        <v>60</v>
      </c>
      <c r="Z47">
        <f>400</f>
        <v>400</v>
      </c>
    </row>
    <row r="48" spans="5:28" x14ac:dyDescent="0.25">
      <c r="L48">
        <f>SUM(L41:L47)</f>
        <v>8900</v>
      </c>
      <c r="O48">
        <f>SUM(O41:O47)</f>
        <v>6700</v>
      </c>
      <c r="U48" t="s">
        <v>56</v>
      </c>
      <c r="V48">
        <v>1400</v>
      </c>
      <c r="W48">
        <v>1400</v>
      </c>
    </row>
    <row r="50" spans="3:26" x14ac:dyDescent="0.25">
      <c r="R50" t="s">
        <v>43</v>
      </c>
      <c r="V50">
        <f>SUM(V41:V49)</f>
        <v>4800</v>
      </c>
      <c r="W50">
        <f>SUM(W41:W49)</f>
        <v>4740</v>
      </c>
      <c r="X50">
        <f>SUM(X41:X49)</f>
        <v>3300</v>
      </c>
      <c r="Y50">
        <f>SUM(Y41:Y49)</f>
        <v>4570</v>
      </c>
      <c r="Z50">
        <f>SUM(Z41:Z49)</f>
        <v>6380</v>
      </c>
    </row>
    <row r="55" spans="3:26" x14ac:dyDescent="0.25">
      <c r="Q55" t="s">
        <v>50</v>
      </c>
      <c r="W55">
        <f>500*1.4</f>
        <v>700</v>
      </c>
    </row>
    <row r="57" spans="3:26" x14ac:dyDescent="0.25">
      <c r="Q57" t="s">
        <v>51</v>
      </c>
    </row>
    <row r="58" spans="3:26" x14ac:dyDescent="0.25">
      <c r="C58" t="s">
        <v>57</v>
      </c>
    </row>
    <row r="59" spans="3:26" x14ac:dyDescent="0.25">
      <c r="C59" s="1" t="s">
        <v>58</v>
      </c>
    </row>
    <row r="60" spans="3:26" x14ac:dyDescent="0.25">
      <c r="C60" t="s">
        <v>61</v>
      </c>
    </row>
    <row r="61" spans="3:26" x14ac:dyDescent="0.25">
      <c r="C61" t="s">
        <v>63</v>
      </c>
    </row>
    <row r="62" spans="3:26" x14ac:dyDescent="0.25">
      <c r="C62" s="2" t="s">
        <v>60</v>
      </c>
      <c r="U62" t="s">
        <v>52</v>
      </c>
    </row>
    <row r="63" spans="3:26" x14ac:dyDescent="0.25">
      <c r="C63" t="s">
        <v>61</v>
      </c>
    </row>
    <row r="64" spans="3:26" x14ac:dyDescent="0.25">
      <c r="C64" t="s">
        <v>62</v>
      </c>
      <c r="Q64" t="s">
        <v>38</v>
      </c>
      <c r="R64" t="s">
        <v>39</v>
      </c>
      <c r="U64" t="s">
        <v>38</v>
      </c>
      <c r="V64" t="s">
        <v>39</v>
      </c>
    </row>
    <row r="65" spans="3:25" x14ac:dyDescent="0.25">
      <c r="C65" s="2" t="s">
        <v>59</v>
      </c>
      <c r="P65" t="s">
        <v>24</v>
      </c>
      <c r="Q65">
        <v>1200</v>
      </c>
      <c r="R65">
        <v>780</v>
      </c>
      <c r="T65" t="s">
        <v>24</v>
      </c>
      <c r="U65">
        <f>800*1.4</f>
        <v>1120</v>
      </c>
      <c r="V65">
        <v>1120</v>
      </c>
    </row>
    <row r="66" spans="3:25" x14ac:dyDescent="0.25">
      <c r="C66" t="s">
        <v>64</v>
      </c>
      <c r="P66" t="s">
        <v>17</v>
      </c>
      <c r="Q66">
        <v>1200</v>
      </c>
      <c r="R66">
        <v>780</v>
      </c>
      <c r="T66" t="s">
        <v>17</v>
      </c>
      <c r="U66">
        <v>300</v>
      </c>
    </row>
    <row r="67" spans="3:25" x14ac:dyDescent="0.25">
      <c r="C67" t="s">
        <v>65</v>
      </c>
      <c r="P67" t="s">
        <v>42</v>
      </c>
      <c r="Q67">
        <v>1400</v>
      </c>
      <c r="R67">
        <v>1400</v>
      </c>
      <c r="T67" t="s">
        <v>42</v>
      </c>
      <c r="U67">
        <v>2800</v>
      </c>
    </row>
    <row r="68" spans="3:25" x14ac:dyDescent="0.25">
      <c r="P68" t="s">
        <v>40</v>
      </c>
      <c r="Q68">
        <v>780</v>
      </c>
      <c r="R68">
        <v>1200</v>
      </c>
      <c r="T68" t="s">
        <v>42</v>
      </c>
      <c r="V68">
        <v>2800</v>
      </c>
    </row>
    <row r="71" spans="3:25" x14ac:dyDescent="0.25">
      <c r="Q71">
        <f>SUM(Q65:Q70)</f>
        <v>4580</v>
      </c>
      <c r="R71">
        <f>SUM(R65:R70)</f>
        <v>4160</v>
      </c>
      <c r="U71">
        <f>SUM(U65:U70)</f>
        <v>4220</v>
      </c>
      <c r="V71">
        <f>SUM(V65:V70)</f>
        <v>3920</v>
      </c>
    </row>
    <row r="74" spans="3:25" x14ac:dyDescent="0.25">
      <c r="F74" t="s">
        <v>35</v>
      </c>
      <c r="J74" t="s">
        <v>72</v>
      </c>
    </row>
    <row r="75" spans="3:25" x14ac:dyDescent="0.25">
      <c r="E75" t="s">
        <v>56</v>
      </c>
      <c r="F75">
        <v>2800</v>
      </c>
    </row>
    <row r="76" spans="3:25" x14ac:dyDescent="0.25">
      <c r="E76" t="s">
        <v>17</v>
      </c>
      <c r="F76">
        <v>200</v>
      </c>
      <c r="N76" t="s">
        <v>83</v>
      </c>
      <c r="T76" t="s">
        <v>77</v>
      </c>
      <c r="U76" t="s">
        <v>24</v>
      </c>
      <c r="V76" t="s">
        <v>17</v>
      </c>
      <c r="W76" t="s">
        <v>56</v>
      </c>
      <c r="X76" t="s">
        <v>40</v>
      </c>
      <c r="Y76" t="s">
        <v>87</v>
      </c>
    </row>
    <row r="77" spans="3:25" x14ac:dyDescent="0.25">
      <c r="E77" t="s">
        <v>24</v>
      </c>
      <c r="F77">
        <v>1460</v>
      </c>
      <c r="T77" t="s">
        <v>19</v>
      </c>
      <c r="U77" t="s">
        <v>154</v>
      </c>
      <c r="V77" t="s">
        <v>53</v>
      </c>
      <c r="W77" t="s">
        <v>75</v>
      </c>
      <c r="X77" t="s">
        <v>54</v>
      </c>
      <c r="Y77" t="s">
        <v>54</v>
      </c>
    </row>
    <row r="78" spans="3:25" x14ac:dyDescent="0.25">
      <c r="E78" t="s">
        <v>17</v>
      </c>
      <c r="F78">
        <v>200</v>
      </c>
      <c r="T78" t="s">
        <v>74</v>
      </c>
      <c r="U78" t="s">
        <v>53</v>
      </c>
      <c r="V78" t="s">
        <v>73</v>
      </c>
      <c r="W78" t="s">
        <v>76</v>
      </c>
      <c r="X78" t="s">
        <v>78</v>
      </c>
      <c r="Y78" t="s">
        <v>78</v>
      </c>
    </row>
    <row r="79" spans="3:25" x14ac:dyDescent="0.25">
      <c r="E79" t="s">
        <v>24</v>
      </c>
      <c r="F79">
        <v>1460</v>
      </c>
      <c r="U79" t="s">
        <v>54</v>
      </c>
      <c r="V79" t="s">
        <v>54</v>
      </c>
      <c r="Y79" t="s">
        <v>78</v>
      </c>
    </row>
    <row r="80" spans="3:25" x14ac:dyDescent="0.25">
      <c r="E80" t="s">
        <v>56</v>
      </c>
      <c r="F80">
        <v>2800</v>
      </c>
      <c r="K80" t="s">
        <v>69</v>
      </c>
    </row>
    <row r="81" spans="3:21" x14ac:dyDescent="0.25">
      <c r="K81" t="s">
        <v>17</v>
      </c>
    </row>
    <row r="82" spans="3:21" x14ac:dyDescent="0.25">
      <c r="F82">
        <f>SUM(F75:F81)</f>
        <v>8920</v>
      </c>
      <c r="K82" t="s">
        <v>16</v>
      </c>
    </row>
    <row r="83" spans="3:21" x14ac:dyDescent="0.25">
      <c r="K83" t="s">
        <v>70</v>
      </c>
    </row>
    <row r="84" spans="3:21" x14ac:dyDescent="0.25">
      <c r="K84" t="s">
        <v>29</v>
      </c>
      <c r="Q84">
        <f>148*1.1</f>
        <v>162.80000000000001</v>
      </c>
    </row>
    <row r="85" spans="3:21" x14ac:dyDescent="0.25">
      <c r="K85" t="s">
        <v>71</v>
      </c>
      <c r="R85" t="s">
        <v>79</v>
      </c>
      <c r="S85" t="s">
        <v>80</v>
      </c>
      <c r="T85" t="s">
        <v>81</v>
      </c>
    </row>
    <row r="86" spans="3:21" x14ac:dyDescent="0.25">
      <c r="K86" t="s">
        <v>24</v>
      </c>
      <c r="Q86">
        <v>123</v>
      </c>
      <c r="R86">
        <v>15</v>
      </c>
      <c r="S86">
        <v>15</v>
      </c>
      <c r="T86">
        <v>10</v>
      </c>
      <c r="U86">
        <f>Q86+T86+S86+R86</f>
        <v>163</v>
      </c>
    </row>
    <row r="88" spans="3:21" x14ac:dyDescent="0.25">
      <c r="Q88" t="s">
        <v>82</v>
      </c>
    </row>
    <row r="90" spans="3:21" x14ac:dyDescent="0.25">
      <c r="Q90" t="s">
        <v>84</v>
      </c>
    </row>
    <row r="91" spans="3:21" x14ac:dyDescent="0.25">
      <c r="D91" t="s">
        <v>89</v>
      </c>
      <c r="Q91" t="s">
        <v>85</v>
      </c>
    </row>
    <row r="92" spans="3:21" x14ac:dyDescent="0.25">
      <c r="D92" t="s">
        <v>90</v>
      </c>
    </row>
    <row r="94" spans="3:21" x14ac:dyDescent="0.25">
      <c r="D94" t="s">
        <v>28</v>
      </c>
      <c r="H94" t="s">
        <v>30</v>
      </c>
      <c r="K94" t="s">
        <v>31</v>
      </c>
      <c r="N94" t="s">
        <v>91</v>
      </c>
    </row>
    <row r="95" spans="3:21" x14ac:dyDescent="0.25">
      <c r="C95" t="s">
        <v>56</v>
      </c>
      <c r="D95">
        <v>950</v>
      </c>
      <c r="G95" t="s">
        <v>56</v>
      </c>
      <c r="H95">
        <v>900</v>
      </c>
      <c r="J95" t="s">
        <v>56</v>
      </c>
      <c r="K95">
        <v>900</v>
      </c>
      <c r="M95" t="s">
        <v>56</v>
      </c>
    </row>
    <row r="96" spans="3:21" x14ac:dyDescent="0.25">
      <c r="C96" t="s">
        <v>24</v>
      </c>
      <c r="D96">
        <f>450*1.4</f>
        <v>630</v>
      </c>
      <c r="G96" t="s">
        <v>24</v>
      </c>
      <c r="H96">
        <v>2600</v>
      </c>
      <c r="J96" t="s">
        <v>24</v>
      </c>
      <c r="K96">
        <v>1280</v>
      </c>
      <c r="R96">
        <f>155*1.1</f>
        <v>170.5</v>
      </c>
    </row>
    <row r="97" spans="3:25" x14ac:dyDescent="0.25">
      <c r="C97" t="s">
        <v>17</v>
      </c>
      <c r="D97">
        <v>200</v>
      </c>
      <c r="G97" t="s">
        <v>56</v>
      </c>
      <c r="H97">
        <f>900*4.5</f>
        <v>4050</v>
      </c>
      <c r="J97" t="s">
        <v>56</v>
      </c>
      <c r="K97">
        <f>900*3</f>
        <v>2700</v>
      </c>
    </row>
    <row r="98" spans="3:25" x14ac:dyDescent="0.25">
      <c r="C98" t="s">
        <v>56</v>
      </c>
      <c r="D98">
        <v>950</v>
      </c>
    </row>
    <row r="100" spans="3:25" x14ac:dyDescent="0.25">
      <c r="D100">
        <f>SUM(D95:D99)</f>
        <v>2730</v>
      </c>
      <c r="H100">
        <f>SUM(H95:H99)</f>
        <v>7550</v>
      </c>
      <c r="K100">
        <f>SUM(K95:K99)</f>
        <v>4880</v>
      </c>
      <c r="P100" t="s">
        <v>96</v>
      </c>
      <c r="Q100">
        <v>7</v>
      </c>
      <c r="W100" t="s">
        <v>92</v>
      </c>
      <c r="X100">
        <v>30</v>
      </c>
      <c r="Y100">
        <f>X100/2</f>
        <v>15</v>
      </c>
    </row>
    <row r="101" spans="3:25" x14ac:dyDescent="0.25">
      <c r="W101" t="s">
        <v>93</v>
      </c>
      <c r="X101">
        <v>19</v>
      </c>
      <c r="Y101">
        <f>X101/2</f>
        <v>9.5</v>
      </c>
    </row>
    <row r="102" spans="3:25" x14ac:dyDescent="0.25">
      <c r="W102" t="s">
        <v>94</v>
      </c>
      <c r="X102">
        <v>19</v>
      </c>
      <c r="Y102">
        <v>9.5</v>
      </c>
    </row>
    <row r="103" spans="3:25" x14ac:dyDescent="0.25">
      <c r="W103" t="s">
        <v>95</v>
      </c>
      <c r="X103">
        <v>10</v>
      </c>
      <c r="Y103">
        <v>5</v>
      </c>
    </row>
    <row r="104" spans="3:25" x14ac:dyDescent="0.25">
      <c r="Y104">
        <v>2.5</v>
      </c>
    </row>
    <row r="105" spans="3:25" x14ac:dyDescent="0.25">
      <c r="Y105">
        <v>2.5</v>
      </c>
    </row>
    <row r="106" spans="3:25" x14ac:dyDescent="0.25">
      <c r="I106" t="s">
        <v>97</v>
      </c>
      <c r="Y106">
        <f>SUM(Y100:Y105)</f>
        <v>44</v>
      </c>
    </row>
    <row r="107" spans="3:25" x14ac:dyDescent="0.25">
      <c r="I107" t="s">
        <v>98</v>
      </c>
    </row>
    <row r="114" spans="10:22" x14ac:dyDescent="0.25">
      <c r="K114" t="s">
        <v>28</v>
      </c>
      <c r="N114" t="s">
        <v>30</v>
      </c>
      <c r="Q114" t="s">
        <v>31</v>
      </c>
      <c r="T114" t="s">
        <v>35</v>
      </c>
      <c r="V114" t="s">
        <v>91</v>
      </c>
    </row>
    <row r="115" spans="10:22" x14ac:dyDescent="0.25">
      <c r="J115" t="s">
        <v>160</v>
      </c>
      <c r="K115">
        <v>2500</v>
      </c>
      <c r="M115" t="s">
        <v>17</v>
      </c>
      <c r="N115">
        <v>2100</v>
      </c>
      <c r="P115" t="s">
        <v>17</v>
      </c>
      <c r="Q115">
        <v>600</v>
      </c>
      <c r="S115" t="s">
        <v>160</v>
      </c>
      <c r="T115">
        <v>2500</v>
      </c>
      <c r="V115" t="s">
        <v>40</v>
      </c>
    </row>
    <row r="116" spans="10:22" x14ac:dyDescent="0.25">
      <c r="J116" t="s">
        <v>17</v>
      </c>
      <c r="K116">
        <v>300</v>
      </c>
      <c r="M116" t="s">
        <v>24</v>
      </c>
      <c r="N116">
        <v>2600</v>
      </c>
      <c r="P116" t="s">
        <v>24</v>
      </c>
      <c r="Q116">
        <v>1200</v>
      </c>
      <c r="S116" t="s">
        <v>17</v>
      </c>
      <c r="T116">
        <f>525*2</f>
        <v>1050</v>
      </c>
      <c r="V116" t="s">
        <v>162</v>
      </c>
    </row>
    <row r="117" spans="10:22" x14ac:dyDescent="0.25">
      <c r="M117" t="s">
        <v>161</v>
      </c>
      <c r="N117">
        <f>1250*2</f>
        <v>2500</v>
      </c>
      <c r="P117" t="s">
        <v>163</v>
      </c>
      <c r="Q117">
        <v>2600</v>
      </c>
      <c r="S117" t="s">
        <v>24</v>
      </c>
      <c r="T117">
        <f>450*1.4*2+200</f>
        <v>1460</v>
      </c>
      <c r="V117" t="s">
        <v>56</v>
      </c>
    </row>
    <row r="118" spans="10:22" x14ac:dyDescent="0.25">
      <c r="M118" t="s">
        <v>162</v>
      </c>
      <c r="N118">
        <v>900</v>
      </c>
      <c r="S118" t="s">
        <v>40</v>
      </c>
      <c r="T118">
        <v>920</v>
      </c>
      <c r="V118" t="s">
        <v>17</v>
      </c>
    </row>
    <row r="119" spans="10:22" x14ac:dyDescent="0.25">
      <c r="S119" t="s">
        <v>24</v>
      </c>
      <c r="T119">
        <v>1460</v>
      </c>
      <c r="V119" t="s">
        <v>164</v>
      </c>
    </row>
    <row r="120" spans="10:22" x14ac:dyDescent="0.25">
      <c r="S120" t="s">
        <v>17</v>
      </c>
      <c r="T120">
        <v>1050</v>
      </c>
      <c r="V120" t="s">
        <v>24</v>
      </c>
    </row>
    <row r="121" spans="10:22" x14ac:dyDescent="0.25">
      <c r="K121">
        <f>SUM(K115:K120)</f>
        <v>2800</v>
      </c>
      <c r="N121">
        <f>SUM(N115:N120)</f>
        <v>8100</v>
      </c>
      <c r="Q121">
        <f>SUM(Q115:Q120)</f>
        <v>4400</v>
      </c>
    </row>
    <row r="124" spans="10:22" x14ac:dyDescent="0.25">
      <c r="S124" t="s">
        <v>165</v>
      </c>
    </row>
    <row r="126" spans="10:22" x14ac:dyDescent="0.25">
      <c r="J126" t="s">
        <v>166</v>
      </c>
    </row>
    <row r="128" spans="10:22" x14ac:dyDescent="0.25">
      <c r="K128" t="s">
        <v>28</v>
      </c>
      <c r="N128" t="s">
        <v>30</v>
      </c>
      <c r="Q128" t="s">
        <v>31</v>
      </c>
      <c r="T128" t="s">
        <v>35</v>
      </c>
      <c r="V128" t="s">
        <v>91</v>
      </c>
    </row>
    <row r="129" spans="10:22" x14ac:dyDescent="0.25">
      <c r="J129" t="s">
        <v>166</v>
      </c>
      <c r="K129">
        <v>2000</v>
      </c>
      <c r="M129" t="s">
        <v>166</v>
      </c>
      <c r="N129">
        <v>2000</v>
      </c>
      <c r="P129" t="s">
        <v>17</v>
      </c>
      <c r="Q129">
        <v>600</v>
      </c>
      <c r="S129" t="s">
        <v>160</v>
      </c>
      <c r="T129">
        <v>2500</v>
      </c>
      <c r="V129" t="s">
        <v>40</v>
      </c>
    </row>
    <row r="130" spans="10:22" x14ac:dyDescent="0.25">
      <c r="J130" t="s">
        <v>17</v>
      </c>
      <c r="K130">
        <v>300</v>
      </c>
      <c r="M130" t="s">
        <v>24</v>
      </c>
      <c r="N130">
        <v>2600</v>
      </c>
      <c r="P130" t="s">
        <v>24</v>
      </c>
      <c r="Q130">
        <v>1300</v>
      </c>
      <c r="S130" t="s">
        <v>17</v>
      </c>
      <c r="T130">
        <f>525*2</f>
        <v>1050</v>
      </c>
      <c r="V130" t="s">
        <v>162</v>
      </c>
    </row>
    <row r="131" spans="10:22" x14ac:dyDescent="0.25">
      <c r="J131" t="s">
        <v>24</v>
      </c>
      <c r="K131">
        <f>450*1.4</f>
        <v>630</v>
      </c>
      <c r="M131" t="s">
        <v>28</v>
      </c>
      <c r="N131">
        <f>600*1.4*2+100</f>
        <v>1780</v>
      </c>
      <c r="P131" t="s">
        <v>166</v>
      </c>
      <c r="Q131">
        <v>2000</v>
      </c>
      <c r="S131" t="s">
        <v>24</v>
      </c>
      <c r="T131">
        <f>450*1.4*2+200</f>
        <v>1460</v>
      </c>
      <c r="V131" t="s">
        <v>56</v>
      </c>
    </row>
    <row r="132" spans="10:22" x14ac:dyDescent="0.25">
      <c r="M132" t="s">
        <v>17</v>
      </c>
      <c r="N132">
        <v>1200</v>
      </c>
      <c r="P132" t="s">
        <v>28</v>
      </c>
      <c r="Q132">
        <v>600</v>
      </c>
      <c r="S132" t="s">
        <v>40</v>
      </c>
      <c r="T132">
        <v>920</v>
      </c>
      <c r="V132" t="s">
        <v>17</v>
      </c>
    </row>
    <row r="133" spans="10:22" x14ac:dyDescent="0.25">
      <c r="S133" t="s">
        <v>24</v>
      </c>
      <c r="T133">
        <v>1460</v>
      </c>
      <c r="V133" t="s">
        <v>164</v>
      </c>
    </row>
    <row r="134" spans="10:22" x14ac:dyDescent="0.25">
      <c r="S134" t="s">
        <v>17</v>
      </c>
      <c r="T134">
        <v>1050</v>
      </c>
      <c r="V134" t="s">
        <v>24</v>
      </c>
    </row>
    <row r="135" spans="10:22" x14ac:dyDescent="0.25">
      <c r="K135">
        <f>SUM(K129:K134)</f>
        <v>2930</v>
      </c>
      <c r="N135">
        <f>SUM(N129:N134)</f>
        <v>7580</v>
      </c>
      <c r="Q135">
        <f>SUM(Q129:Q134)</f>
        <v>4500</v>
      </c>
    </row>
    <row r="138" spans="10:22" x14ac:dyDescent="0.25">
      <c r="S138" t="s">
        <v>165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135"/>
  <sheetViews>
    <sheetView workbookViewId="0">
      <selection activeCell="Y21" sqref="Y21"/>
    </sheetView>
  </sheetViews>
  <sheetFormatPr defaultRowHeight="15" x14ac:dyDescent="0.25"/>
  <sheetData>
    <row r="3" spans="3:20" x14ac:dyDescent="0.25">
      <c r="N3" t="s">
        <v>251</v>
      </c>
    </row>
    <row r="4" spans="3:20" x14ac:dyDescent="0.25">
      <c r="N4" t="s">
        <v>252</v>
      </c>
    </row>
    <row r="5" spans="3:20" x14ac:dyDescent="0.25">
      <c r="C5" s="2" t="s">
        <v>169</v>
      </c>
      <c r="D5">
        <v>2</v>
      </c>
      <c r="E5">
        <f>AVERAGE(D6:D8)*D5+5</f>
        <v>17.666666666666664</v>
      </c>
      <c r="F5" s="2" t="s">
        <v>173</v>
      </c>
      <c r="G5">
        <v>2</v>
      </c>
      <c r="H5">
        <f>AVERAGE(G6:G8)*G5+5</f>
        <v>16</v>
      </c>
      <c r="I5" s="2" t="s">
        <v>167</v>
      </c>
      <c r="J5">
        <v>2</v>
      </c>
      <c r="K5">
        <f>AVERAGE(J6:J8)*J5+5</f>
        <v>21.933333333333334</v>
      </c>
      <c r="N5" t="s">
        <v>253</v>
      </c>
    </row>
    <row r="6" spans="3:20" x14ac:dyDescent="0.25">
      <c r="C6" t="s">
        <v>310</v>
      </c>
      <c r="D6">
        <v>4.2</v>
      </c>
      <c r="F6" t="s">
        <v>313</v>
      </c>
      <c r="G6">
        <v>4.4000000000000004</v>
      </c>
      <c r="I6" t="s">
        <v>315</v>
      </c>
      <c r="J6">
        <v>10.5</v>
      </c>
      <c r="N6" t="s">
        <v>254</v>
      </c>
    </row>
    <row r="7" spans="3:20" x14ac:dyDescent="0.25">
      <c r="C7" t="s">
        <v>311</v>
      </c>
      <c r="D7">
        <v>8.5</v>
      </c>
      <c r="F7" t="s">
        <v>54</v>
      </c>
      <c r="G7">
        <v>5.9</v>
      </c>
      <c r="I7" t="s">
        <v>316</v>
      </c>
      <c r="J7">
        <v>8.8000000000000007</v>
      </c>
      <c r="N7" t="s">
        <v>255</v>
      </c>
    </row>
    <row r="8" spans="3:20" x14ac:dyDescent="0.25">
      <c r="C8" t="s">
        <v>312</v>
      </c>
      <c r="D8">
        <v>6.3</v>
      </c>
      <c r="F8" t="s">
        <v>314</v>
      </c>
      <c r="G8">
        <v>6.2</v>
      </c>
      <c r="I8" t="s">
        <v>317</v>
      </c>
      <c r="J8">
        <v>6.1</v>
      </c>
      <c r="N8" t="s">
        <v>256</v>
      </c>
    </row>
    <row r="9" spans="3:20" x14ac:dyDescent="0.25">
      <c r="N9" t="s">
        <v>257</v>
      </c>
    </row>
    <row r="10" spans="3:20" x14ac:dyDescent="0.25">
      <c r="C10" s="2" t="s">
        <v>170</v>
      </c>
      <c r="D10">
        <v>1</v>
      </c>
      <c r="E10">
        <f>AVERAGE(D11:D12)*D10+5</f>
        <v>11.15</v>
      </c>
      <c r="F10" s="2" t="s">
        <v>30</v>
      </c>
      <c r="G10">
        <v>1</v>
      </c>
      <c r="H10">
        <f>AVERAGE(G11:G12)*G10+5</f>
        <v>12.9</v>
      </c>
      <c r="I10" s="2" t="s">
        <v>31</v>
      </c>
      <c r="J10">
        <v>2</v>
      </c>
      <c r="K10">
        <f>AVERAGE(J11:J14)*J10+5</f>
        <v>19.8</v>
      </c>
      <c r="N10" t="s">
        <v>258</v>
      </c>
    </row>
    <row r="11" spans="3:20" x14ac:dyDescent="0.25">
      <c r="C11" t="s">
        <v>318</v>
      </c>
      <c r="D11">
        <v>6</v>
      </c>
      <c r="F11" t="s">
        <v>319</v>
      </c>
      <c r="G11">
        <v>6.8</v>
      </c>
      <c r="I11" t="s">
        <v>322</v>
      </c>
      <c r="J11">
        <v>10.5</v>
      </c>
      <c r="K11" t="s">
        <v>326</v>
      </c>
      <c r="N11" t="s">
        <v>265</v>
      </c>
    </row>
    <row r="12" spans="3:20" x14ac:dyDescent="0.25">
      <c r="C12" t="s">
        <v>54</v>
      </c>
      <c r="D12">
        <v>6.3</v>
      </c>
      <c r="F12" t="s">
        <v>320</v>
      </c>
      <c r="G12">
        <v>9</v>
      </c>
      <c r="I12" t="s">
        <v>324</v>
      </c>
      <c r="J12">
        <v>7</v>
      </c>
      <c r="K12" t="s">
        <v>325</v>
      </c>
      <c r="N12" t="s">
        <v>306</v>
      </c>
      <c r="S12" t="s">
        <v>338</v>
      </c>
    </row>
    <row r="13" spans="3:20" x14ac:dyDescent="0.25">
      <c r="F13" t="s">
        <v>321</v>
      </c>
      <c r="G13">
        <v>5.7</v>
      </c>
      <c r="I13" t="s">
        <v>323</v>
      </c>
      <c r="J13">
        <v>5</v>
      </c>
      <c r="K13" t="s">
        <v>228</v>
      </c>
    </row>
    <row r="14" spans="3:20" x14ac:dyDescent="0.25">
      <c r="I14" t="s">
        <v>54</v>
      </c>
      <c r="J14">
        <v>7.1</v>
      </c>
      <c r="N14" t="s">
        <v>343</v>
      </c>
      <c r="T14" t="s">
        <v>356</v>
      </c>
    </row>
    <row r="15" spans="3:20" x14ac:dyDescent="0.25">
      <c r="N15" t="s">
        <v>344</v>
      </c>
    </row>
    <row r="16" spans="3:20" x14ac:dyDescent="0.25">
      <c r="N16" t="s">
        <v>345</v>
      </c>
      <c r="T16" t="s">
        <v>354</v>
      </c>
    </row>
    <row r="17" spans="3:20" x14ac:dyDescent="0.25">
      <c r="C17" s="2" t="s">
        <v>91</v>
      </c>
      <c r="D17">
        <v>1</v>
      </c>
      <c r="E17">
        <f>AVERAGE(D18:D19)*D17+5</f>
        <v>12.5</v>
      </c>
      <c r="F17" s="2" t="s">
        <v>34</v>
      </c>
      <c r="G17">
        <v>2</v>
      </c>
      <c r="H17">
        <f>AVERAGE(G18:G19)*G17+5</f>
        <v>11.4</v>
      </c>
      <c r="I17" s="2"/>
    </row>
    <row r="18" spans="3:20" x14ac:dyDescent="0.25">
      <c r="C18" t="s">
        <v>327</v>
      </c>
      <c r="D18">
        <v>4.5</v>
      </c>
      <c r="F18" t="s">
        <v>148</v>
      </c>
      <c r="G18">
        <v>2</v>
      </c>
    </row>
    <row r="19" spans="3:20" x14ac:dyDescent="0.25">
      <c r="C19" t="s">
        <v>328</v>
      </c>
      <c r="D19">
        <v>10.5</v>
      </c>
      <c r="F19" t="s">
        <v>54</v>
      </c>
      <c r="G19">
        <v>4.4000000000000004</v>
      </c>
      <c r="H19">
        <v>4</v>
      </c>
    </row>
    <row r="20" spans="3:20" x14ac:dyDescent="0.25">
      <c r="C20" t="s">
        <v>329</v>
      </c>
      <c r="D20">
        <v>5.5</v>
      </c>
      <c r="F20" t="s">
        <v>324</v>
      </c>
      <c r="G20">
        <v>8</v>
      </c>
      <c r="H20" t="s">
        <v>330</v>
      </c>
    </row>
    <row r="22" spans="3:20" x14ac:dyDescent="0.25">
      <c r="N22" t="s">
        <v>342</v>
      </c>
    </row>
    <row r="23" spans="3:20" x14ac:dyDescent="0.25">
      <c r="C23" s="2" t="s">
        <v>331</v>
      </c>
      <c r="D23">
        <v>2</v>
      </c>
      <c r="E23">
        <f>AVERAGE(D24:D27)*D23+5</f>
        <v>23.900000000000002</v>
      </c>
      <c r="F23" s="2" t="s">
        <v>332</v>
      </c>
      <c r="G23">
        <v>2</v>
      </c>
      <c r="H23">
        <f>AVERAGE(G24:G27)*G23+5</f>
        <v>18.049999999999997</v>
      </c>
      <c r="I23" t="s">
        <v>333</v>
      </c>
      <c r="J23">
        <v>1</v>
      </c>
      <c r="M23" s="2" t="s">
        <v>173</v>
      </c>
      <c r="N23">
        <f>H5</f>
        <v>16</v>
      </c>
    </row>
    <row r="24" spans="3:20" x14ac:dyDescent="0.25">
      <c r="C24" t="s">
        <v>117</v>
      </c>
      <c r="D24">
        <v>13.1</v>
      </c>
      <c r="F24" t="s">
        <v>148</v>
      </c>
      <c r="G24">
        <v>2</v>
      </c>
      <c r="I24" t="s">
        <v>334</v>
      </c>
      <c r="J24">
        <v>6.7</v>
      </c>
      <c r="M24" s="2" t="s">
        <v>167</v>
      </c>
      <c r="N24">
        <f>K5</f>
        <v>21.933333333333334</v>
      </c>
      <c r="Q24" t="s">
        <v>349</v>
      </c>
      <c r="T24">
        <v>3450</v>
      </c>
    </row>
    <row r="25" spans="3:20" x14ac:dyDescent="0.25">
      <c r="C25" t="s">
        <v>148</v>
      </c>
      <c r="D25">
        <v>2</v>
      </c>
      <c r="F25" t="s">
        <v>115</v>
      </c>
      <c r="G25">
        <v>10.5</v>
      </c>
      <c r="M25" s="2" t="s">
        <v>181</v>
      </c>
      <c r="N25">
        <f>E5</f>
        <v>17.666666666666664</v>
      </c>
    </row>
    <row r="26" spans="3:20" x14ac:dyDescent="0.25">
      <c r="C26" t="s">
        <v>335</v>
      </c>
      <c r="D26">
        <v>16</v>
      </c>
      <c r="F26" t="s">
        <v>336</v>
      </c>
      <c r="G26">
        <v>6.9</v>
      </c>
      <c r="M26" s="2" t="s">
        <v>170</v>
      </c>
      <c r="N26">
        <f>E10</f>
        <v>11.15</v>
      </c>
    </row>
    <row r="27" spans="3:20" x14ac:dyDescent="0.25">
      <c r="C27" t="s">
        <v>341</v>
      </c>
      <c r="D27">
        <v>6.7</v>
      </c>
      <c r="F27" t="s">
        <v>334</v>
      </c>
      <c r="G27">
        <v>6.7</v>
      </c>
      <c r="M27" s="2" t="s">
        <v>30</v>
      </c>
      <c r="N27">
        <f>H10</f>
        <v>12.9</v>
      </c>
    </row>
    <row r="28" spans="3:20" x14ac:dyDescent="0.25">
      <c r="M28" s="2" t="s">
        <v>31</v>
      </c>
      <c r="N28">
        <f>K10</f>
        <v>19.8</v>
      </c>
    </row>
    <row r="29" spans="3:20" x14ac:dyDescent="0.25">
      <c r="M29" s="2" t="s">
        <v>91</v>
      </c>
      <c r="N29">
        <f>E17</f>
        <v>12.5</v>
      </c>
    </row>
    <row r="30" spans="3:20" x14ac:dyDescent="0.25">
      <c r="M30" s="2" t="s">
        <v>34</v>
      </c>
      <c r="N30">
        <f>H17</f>
        <v>11.4</v>
      </c>
    </row>
    <row r="31" spans="3:20" x14ac:dyDescent="0.25">
      <c r="M31" s="2" t="s">
        <v>333</v>
      </c>
      <c r="N31">
        <f>H23</f>
        <v>18.049999999999997</v>
      </c>
    </row>
    <row r="33" spans="2:24" x14ac:dyDescent="0.25">
      <c r="W33" t="s">
        <v>355</v>
      </c>
      <c r="X33">
        <v>10.5</v>
      </c>
    </row>
    <row r="34" spans="2:24" x14ac:dyDescent="0.25">
      <c r="E34" t="s">
        <v>337</v>
      </c>
    </row>
    <row r="35" spans="2:24" x14ac:dyDescent="0.25">
      <c r="M35" t="s">
        <v>346</v>
      </c>
    </row>
    <row r="37" spans="2:24" x14ac:dyDescent="0.25">
      <c r="B37">
        <v>47.2</v>
      </c>
    </row>
    <row r="38" spans="2:24" x14ac:dyDescent="0.25">
      <c r="B38">
        <v>71.930000000000007</v>
      </c>
    </row>
    <row r="39" spans="2:24" x14ac:dyDescent="0.25">
      <c r="K39" t="s">
        <v>347</v>
      </c>
      <c r="L39" t="s">
        <v>348</v>
      </c>
    </row>
    <row r="42" spans="2:24" x14ac:dyDescent="0.25">
      <c r="S42" t="s">
        <v>352</v>
      </c>
    </row>
    <row r="43" spans="2:24" x14ac:dyDescent="0.25">
      <c r="S43" t="s">
        <v>353</v>
      </c>
    </row>
    <row r="44" spans="2:24" x14ac:dyDescent="0.25">
      <c r="K44" t="s">
        <v>350</v>
      </c>
      <c r="M44" t="s">
        <v>351</v>
      </c>
      <c r="N44">
        <v>4000</v>
      </c>
    </row>
    <row r="45" spans="2:24" x14ac:dyDescent="0.25">
      <c r="K45" t="s">
        <v>357</v>
      </c>
      <c r="M45" t="s">
        <v>358</v>
      </c>
    </row>
    <row r="46" spans="2:24" x14ac:dyDescent="0.25">
      <c r="K46" t="s">
        <v>363</v>
      </c>
      <c r="M46" t="s">
        <v>364</v>
      </c>
    </row>
    <row r="51" spans="2:25" x14ac:dyDescent="0.25">
      <c r="C51" s="2" t="s">
        <v>173</v>
      </c>
    </row>
    <row r="52" spans="2:25" x14ac:dyDescent="0.25">
      <c r="B52" t="s">
        <v>17</v>
      </c>
      <c r="C52">
        <v>1075</v>
      </c>
      <c r="D52">
        <v>9.1</v>
      </c>
      <c r="J52" t="s">
        <v>99</v>
      </c>
      <c r="N52" t="s">
        <v>100</v>
      </c>
      <c r="P52">
        <f>133-58</f>
        <v>75</v>
      </c>
      <c r="V52">
        <v>20</v>
      </c>
      <c r="W52" t="s">
        <v>361</v>
      </c>
    </row>
    <row r="53" spans="2:25" x14ac:dyDescent="0.25">
      <c r="B53" t="s">
        <v>360</v>
      </c>
      <c r="C53">
        <f>400*1.4</f>
        <v>560</v>
      </c>
      <c r="D53">
        <v>10.8</v>
      </c>
      <c r="J53" t="s">
        <v>105</v>
      </c>
      <c r="K53">
        <v>17.5</v>
      </c>
      <c r="N53" t="s">
        <v>101</v>
      </c>
      <c r="O53">
        <v>4</v>
      </c>
      <c r="V53">
        <v>55</v>
      </c>
      <c r="W53" t="s">
        <v>362</v>
      </c>
    </row>
    <row r="54" spans="2:25" x14ac:dyDescent="0.25">
      <c r="B54" t="s">
        <v>70</v>
      </c>
      <c r="C54">
        <v>100</v>
      </c>
      <c r="D54">
        <v>2</v>
      </c>
      <c r="G54" s="3">
        <v>4.4444444444444446E-2</v>
      </c>
      <c r="J54" t="s">
        <v>112</v>
      </c>
      <c r="K54">
        <v>14.8</v>
      </c>
      <c r="N54" t="s">
        <v>102</v>
      </c>
      <c r="O54">
        <v>11.7</v>
      </c>
      <c r="V54">
        <f>V53-V52</f>
        <v>35</v>
      </c>
    </row>
    <row r="55" spans="2:25" x14ac:dyDescent="0.25">
      <c r="B55" t="s">
        <v>172</v>
      </c>
      <c r="D55">
        <v>16</v>
      </c>
      <c r="J55" t="s">
        <v>113</v>
      </c>
      <c r="K55">
        <v>8.1</v>
      </c>
      <c r="N55" t="s">
        <v>103</v>
      </c>
      <c r="O55">
        <v>5</v>
      </c>
    </row>
    <row r="56" spans="2:25" x14ac:dyDescent="0.25">
      <c r="B56" t="s">
        <v>17</v>
      </c>
      <c r="C56">
        <v>675</v>
      </c>
      <c r="D56">
        <v>7.3</v>
      </c>
      <c r="J56" t="s">
        <v>114</v>
      </c>
      <c r="K56">
        <v>7.3</v>
      </c>
      <c r="N56" t="s">
        <v>104</v>
      </c>
      <c r="O56">
        <v>9.5</v>
      </c>
    </row>
    <row r="57" spans="2:25" x14ac:dyDescent="0.25">
      <c r="B57" t="s">
        <v>70</v>
      </c>
      <c r="C57">
        <v>100</v>
      </c>
      <c r="D57">
        <v>2</v>
      </c>
      <c r="J57" t="s">
        <v>115</v>
      </c>
      <c r="K57">
        <v>9.1</v>
      </c>
      <c r="N57" t="s">
        <v>125</v>
      </c>
      <c r="O57">
        <v>4.9000000000000004</v>
      </c>
    </row>
    <row r="58" spans="2:25" x14ac:dyDescent="0.25">
      <c r="D58">
        <v>8</v>
      </c>
      <c r="J58" t="s">
        <v>116</v>
      </c>
      <c r="K58">
        <v>12.3</v>
      </c>
      <c r="N58" t="s">
        <v>126</v>
      </c>
      <c r="O58">
        <v>7.9</v>
      </c>
    </row>
    <row r="59" spans="2:25" x14ac:dyDescent="0.25">
      <c r="J59" t="s">
        <v>117</v>
      </c>
      <c r="K59">
        <v>13.1</v>
      </c>
      <c r="N59" t="s">
        <v>129</v>
      </c>
      <c r="O59">
        <v>4.5</v>
      </c>
    </row>
    <row r="60" spans="2:25" x14ac:dyDescent="0.25">
      <c r="J60" t="s">
        <v>118</v>
      </c>
      <c r="K60">
        <v>8.3000000000000007</v>
      </c>
      <c r="N60" t="s">
        <v>130</v>
      </c>
      <c r="O60">
        <v>3.6</v>
      </c>
    </row>
    <row r="61" spans="2:25" x14ac:dyDescent="0.25">
      <c r="C61">
        <f>SUM(C52:C60)</f>
        <v>2510</v>
      </c>
      <c r="D61">
        <f>SUM(D52:D60)</f>
        <v>55.199999999999996</v>
      </c>
      <c r="J61" t="s">
        <v>119</v>
      </c>
      <c r="K61">
        <v>13.3</v>
      </c>
      <c r="N61" t="s">
        <v>131</v>
      </c>
      <c r="O61">
        <v>4.5999999999999996</v>
      </c>
      <c r="U61" t="s">
        <v>167</v>
      </c>
    </row>
    <row r="62" spans="2:25" x14ac:dyDescent="0.25">
      <c r="J62" t="s">
        <v>120</v>
      </c>
      <c r="K62">
        <v>7.7</v>
      </c>
      <c r="N62" t="s">
        <v>132</v>
      </c>
      <c r="O62">
        <v>4.3</v>
      </c>
      <c r="T62" t="s">
        <v>365</v>
      </c>
      <c r="U62">
        <v>25</v>
      </c>
      <c r="V62">
        <f>146-U62</f>
        <v>121</v>
      </c>
    </row>
    <row r="63" spans="2:25" x14ac:dyDescent="0.25">
      <c r="J63" t="s">
        <v>121</v>
      </c>
      <c r="K63">
        <v>13.1</v>
      </c>
      <c r="N63" t="s">
        <v>133</v>
      </c>
      <c r="O63">
        <v>2.7</v>
      </c>
      <c r="T63" t="s">
        <v>366</v>
      </c>
      <c r="U63">
        <v>38</v>
      </c>
      <c r="V63">
        <f>133-U63</f>
        <v>95</v>
      </c>
      <c r="W63">
        <f>78-U63</f>
        <v>40</v>
      </c>
      <c r="X63">
        <f>51-U63</f>
        <v>13</v>
      </c>
      <c r="Y63">
        <f>59-U63</f>
        <v>21</v>
      </c>
    </row>
    <row r="64" spans="2:25" x14ac:dyDescent="0.25">
      <c r="J64" t="s">
        <v>122</v>
      </c>
      <c r="K64">
        <v>8.1</v>
      </c>
      <c r="N64" t="s">
        <v>143</v>
      </c>
      <c r="O64">
        <v>15.7</v>
      </c>
      <c r="U64">
        <f>(159*1.5-U62)*2</f>
        <v>427</v>
      </c>
    </row>
    <row r="65" spans="2:25" x14ac:dyDescent="0.25">
      <c r="C65" s="2" t="s">
        <v>167</v>
      </c>
      <c r="J65" t="s">
        <v>123</v>
      </c>
      <c r="K65">
        <v>12</v>
      </c>
      <c r="N65" t="s">
        <v>203</v>
      </c>
      <c r="O65">
        <v>6.8</v>
      </c>
    </row>
    <row r="66" spans="2:25" x14ac:dyDescent="0.25">
      <c r="B66" t="s">
        <v>17</v>
      </c>
      <c r="C66">
        <f>795*2</f>
        <v>1590</v>
      </c>
      <c r="D66">
        <v>13.1</v>
      </c>
      <c r="E66">
        <v>1095</v>
      </c>
      <c r="F66">
        <v>9.1</v>
      </c>
      <c r="J66" t="s">
        <v>124</v>
      </c>
      <c r="K66">
        <v>10.4</v>
      </c>
      <c r="N66" t="s">
        <v>204</v>
      </c>
      <c r="O66">
        <v>2</v>
      </c>
    </row>
    <row r="67" spans="2:25" x14ac:dyDescent="0.25">
      <c r="B67" t="s">
        <v>360</v>
      </c>
      <c r="C67">
        <f>(400*1.4+40)*2</f>
        <v>1200</v>
      </c>
      <c r="D67">
        <v>10.8</v>
      </c>
      <c r="E67">
        <v>1200</v>
      </c>
      <c r="F67">
        <v>10.8</v>
      </c>
      <c r="J67" t="s">
        <v>127</v>
      </c>
      <c r="K67">
        <v>11.3</v>
      </c>
    </row>
    <row r="68" spans="2:25" x14ac:dyDescent="0.25">
      <c r="B68" t="s">
        <v>367</v>
      </c>
      <c r="C68">
        <f>((150*1.2)+13)*2</f>
        <v>386</v>
      </c>
      <c r="D68">
        <v>8.4</v>
      </c>
      <c r="E68">
        <v>386</v>
      </c>
      <c r="F68">
        <v>8.4</v>
      </c>
      <c r="J68" t="s">
        <v>128</v>
      </c>
      <c r="K68">
        <v>12.8</v>
      </c>
    </row>
    <row r="69" spans="2:25" x14ac:dyDescent="0.25">
      <c r="B69" t="s">
        <v>87</v>
      </c>
      <c r="C69">
        <f>((150*1.2)+21)*2</f>
        <v>402</v>
      </c>
      <c r="D69">
        <v>8.4</v>
      </c>
      <c r="E69">
        <v>402</v>
      </c>
      <c r="F69">
        <v>8.4</v>
      </c>
      <c r="H69" s="3">
        <v>8.8888888888888892E-2</v>
      </c>
      <c r="J69" t="s">
        <v>134</v>
      </c>
      <c r="K69">
        <v>8.1999999999999993</v>
      </c>
    </row>
    <row r="70" spans="2:25" x14ac:dyDescent="0.25">
      <c r="B70" t="s">
        <v>70</v>
      </c>
      <c r="C70">
        <f>388</f>
        <v>388</v>
      </c>
      <c r="D70">
        <v>2</v>
      </c>
      <c r="E70">
        <v>388</v>
      </c>
      <c r="F70">
        <v>2</v>
      </c>
      <c r="J70" t="s">
        <v>135</v>
      </c>
      <c r="K70">
        <v>9.3000000000000007</v>
      </c>
    </row>
    <row r="71" spans="2:25" x14ac:dyDescent="0.25">
      <c r="B71" t="s">
        <v>172</v>
      </c>
      <c r="D71">
        <v>21.93</v>
      </c>
      <c r="F71">
        <v>21.93</v>
      </c>
      <c r="J71" t="s">
        <v>136</v>
      </c>
      <c r="K71">
        <v>10.8</v>
      </c>
    </row>
    <row r="72" spans="2:25" x14ac:dyDescent="0.25">
      <c r="B72" t="s">
        <v>17</v>
      </c>
      <c r="C72">
        <v>695</v>
      </c>
      <c r="D72">
        <v>7.3</v>
      </c>
      <c r="E72">
        <v>695</v>
      </c>
      <c r="F72">
        <v>7.3</v>
      </c>
      <c r="J72" t="s">
        <v>140</v>
      </c>
      <c r="K72">
        <v>7.7</v>
      </c>
    </row>
    <row r="73" spans="2:25" x14ac:dyDescent="0.25">
      <c r="B73" t="s">
        <v>367</v>
      </c>
      <c r="J73" t="s">
        <v>205</v>
      </c>
      <c r="K73">
        <v>8.4</v>
      </c>
      <c r="V73">
        <v>1281</v>
      </c>
      <c r="Y73">
        <v>149</v>
      </c>
    </row>
    <row r="75" spans="2:25" x14ac:dyDescent="0.25">
      <c r="C75">
        <f>SUM(C66:C74)</f>
        <v>4661</v>
      </c>
      <c r="D75">
        <f>SUM(D66:D74)</f>
        <v>71.929999999999993</v>
      </c>
      <c r="E75">
        <f>SUM(E66:E74)</f>
        <v>4166</v>
      </c>
      <c r="F75">
        <f>SUM(F66:F74)</f>
        <v>67.929999999999993</v>
      </c>
    </row>
    <row r="76" spans="2:25" x14ac:dyDescent="0.25">
      <c r="U76">
        <v>577115</v>
      </c>
      <c r="V76" t="s">
        <v>372</v>
      </c>
    </row>
    <row r="77" spans="2:25" x14ac:dyDescent="0.25">
      <c r="T77">
        <f>U77-U76</f>
        <v>3722</v>
      </c>
      <c r="U77">
        <v>580837</v>
      </c>
      <c r="V77" t="s">
        <v>373</v>
      </c>
    </row>
    <row r="78" spans="2:25" x14ac:dyDescent="0.25">
      <c r="B78" t="s">
        <v>368</v>
      </c>
      <c r="T78">
        <f>U78-U76</f>
        <v>6066</v>
      </c>
      <c r="U78">
        <v>583181</v>
      </c>
      <c r="V78" t="s">
        <v>374</v>
      </c>
    </row>
    <row r="79" spans="2:25" x14ac:dyDescent="0.25">
      <c r="B79" t="s">
        <v>369</v>
      </c>
    </row>
    <row r="82" spans="2:22" x14ac:dyDescent="0.25">
      <c r="J82" t="s">
        <v>185</v>
      </c>
      <c r="P82" t="s">
        <v>185</v>
      </c>
    </row>
    <row r="83" spans="2:22" x14ac:dyDescent="0.25">
      <c r="J83" s="2" t="s">
        <v>167</v>
      </c>
      <c r="P83" s="2" t="s">
        <v>173</v>
      </c>
      <c r="U83" t="s">
        <v>311</v>
      </c>
      <c r="V83">
        <f>222-133</f>
        <v>89</v>
      </c>
    </row>
    <row r="84" spans="2:22" x14ac:dyDescent="0.25">
      <c r="C84" s="2" t="s">
        <v>173</v>
      </c>
      <c r="I84" t="s">
        <v>17</v>
      </c>
      <c r="J84">
        <v>1095</v>
      </c>
      <c r="K84">
        <v>9.1</v>
      </c>
      <c r="O84" t="s">
        <v>17</v>
      </c>
      <c r="U84" t="s">
        <v>312</v>
      </c>
    </row>
    <row r="85" spans="2:22" x14ac:dyDescent="0.25">
      <c r="B85" t="s">
        <v>17</v>
      </c>
      <c r="C85">
        <v>1075</v>
      </c>
      <c r="D85">
        <v>9.1</v>
      </c>
      <c r="I85" t="s">
        <v>16</v>
      </c>
      <c r="J85">
        <v>900</v>
      </c>
      <c r="K85">
        <v>2.7</v>
      </c>
      <c r="U85" t="s">
        <v>310</v>
      </c>
    </row>
    <row r="86" spans="2:22" x14ac:dyDescent="0.25">
      <c r="I86" t="s">
        <v>367</v>
      </c>
      <c r="J86">
        <v>1200</v>
      </c>
      <c r="K86">
        <v>10.8</v>
      </c>
      <c r="O86" t="s">
        <v>16</v>
      </c>
    </row>
    <row r="87" spans="2:22" x14ac:dyDescent="0.25">
      <c r="B87" t="s">
        <v>70</v>
      </c>
      <c r="C87">
        <f>100</f>
        <v>100</v>
      </c>
      <c r="D87">
        <v>2</v>
      </c>
      <c r="I87" t="s">
        <v>87</v>
      </c>
      <c r="O87" t="s">
        <v>172</v>
      </c>
      <c r="Q87">
        <v>16</v>
      </c>
    </row>
    <row r="88" spans="2:22" x14ac:dyDescent="0.25">
      <c r="B88" t="s">
        <v>172</v>
      </c>
      <c r="D88">
        <v>16</v>
      </c>
      <c r="I88" t="s">
        <v>70</v>
      </c>
      <c r="O88" t="s">
        <v>16</v>
      </c>
      <c r="P88">
        <v>2700</v>
      </c>
      <c r="Q88">
        <v>2.7</v>
      </c>
    </row>
    <row r="89" spans="2:22" x14ac:dyDescent="0.25">
      <c r="B89" t="s">
        <v>17</v>
      </c>
      <c r="C89">
        <v>675</v>
      </c>
      <c r="D89">
        <v>7.3</v>
      </c>
      <c r="I89" t="s">
        <v>172</v>
      </c>
      <c r="K89">
        <v>21.93</v>
      </c>
      <c r="O89" t="s">
        <v>70</v>
      </c>
    </row>
    <row r="90" spans="2:22" x14ac:dyDescent="0.25">
      <c r="B90" t="s">
        <v>70</v>
      </c>
      <c r="I90" t="s">
        <v>17</v>
      </c>
      <c r="J90">
        <v>695</v>
      </c>
      <c r="K90">
        <v>7.3</v>
      </c>
      <c r="O90" t="s">
        <v>359</v>
      </c>
    </row>
    <row r="91" spans="2:22" x14ac:dyDescent="0.25">
      <c r="B91" t="s">
        <v>359</v>
      </c>
      <c r="D91">
        <v>16</v>
      </c>
      <c r="I91" t="s">
        <v>367</v>
      </c>
      <c r="J91">
        <v>900</v>
      </c>
      <c r="K91">
        <v>2.7</v>
      </c>
      <c r="O91" t="s">
        <v>17</v>
      </c>
      <c r="U91">
        <v>575181</v>
      </c>
      <c r="V91" t="s">
        <v>375</v>
      </c>
    </row>
    <row r="92" spans="2:22" x14ac:dyDescent="0.25">
      <c r="B92" t="s">
        <v>17</v>
      </c>
      <c r="C92">
        <v>675</v>
      </c>
      <c r="D92">
        <v>7.3</v>
      </c>
      <c r="T92">
        <f>U92-U91</f>
        <v>5703</v>
      </c>
      <c r="U92">
        <v>580884</v>
      </c>
      <c r="V92" t="s">
        <v>376</v>
      </c>
    </row>
    <row r="93" spans="2:22" x14ac:dyDescent="0.25">
      <c r="J93">
        <f>SUM(J84:J92)</f>
        <v>4790</v>
      </c>
      <c r="K93">
        <f>SUM(K84:K92)</f>
        <v>54.53</v>
      </c>
      <c r="P93">
        <f>SUM(P84:P92)</f>
        <v>2700</v>
      </c>
      <c r="Q93">
        <f>SUM(Q84:Q92)</f>
        <v>18.7</v>
      </c>
      <c r="T93">
        <f>T92/60</f>
        <v>95.05</v>
      </c>
    </row>
    <row r="94" spans="2:22" x14ac:dyDescent="0.25">
      <c r="C94">
        <f>SUM(C85:C93)</f>
        <v>2525</v>
      </c>
      <c r="D94">
        <f>SUM(D85:D93)</f>
        <v>57.699999999999996</v>
      </c>
    </row>
    <row r="98" spans="2:16" x14ac:dyDescent="0.25">
      <c r="C98" s="2" t="s">
        <v>167</v>
      </c>
    </row>
    <row r="99" spans="2:16" x14ac:dyDescent="0.25">
      <c r="B99" t="s">
        <v>17</v>
      </c>
      <c r="C99">
        <f>795*2</f>
        <v>1590</v>
      </c>
      <c r="D99">
        <v>13.1</v>
      </c>
      <c r="N99" t="s">
        <v>185</v>
      </c>
      <c r="O99" t="s">
        <v>370</v>
      </c>
    </row>
    <row r="100" spans="2:16" x14ac:dyDescent="0.25">
      <c r="B100" t="s">
        <v>360</v>
      </c>
      <c r="C100">
        <f>(400*1.4+40)*2</f>
        <v>1200</v>
      </c>
      <c r="D100">
        <v>10.8</v>
      </c>
      <c r="M100" t="s">
        <v>173</v>
      </c>
      <c r="N100">
        <v>18.7</v>
      </c>
      <c r="O100">
        <v>55.2</v>
      </c>
      <c r="P100">
        <f>O100-N100</f>
        <v>36.5</v>
      </c>
    </row>
    <row r="101" spans="2:16" x14ac:dyDescent="0.25">
      <c r="B101" t="s">
        <v>367</v>
      </c>
      <c r="M101" t="s">
        <v>167</v>
      </c>
      <c r="N101">
        <v>54.54</v>
      </c>
      <c r="O101">
        <v>71.930000000000007</v>
      </c>
      <c r="P101">
        <f>O101-N101</f>
        <v>17.390000000000008</v>
      </c>
    </row>
    <row r="102" spans="2:16" x14ac:dyDescent="0.25">
      <c r="B102" t="s">
        <v>87</v>
      </c>
      <c r="M102" t="s">
        <v>169</v>
      </c>
      <c r="N102">
        <v>32.167000000000002</v>
      </c>
      <c r="O102">
        <v>48.466999999999999</v>
      </c>
      <c r="P102">
        <f>O102-N102</f>
        <v>16.299999999999997</v>
      </c>
    </row>
    <row r="103" spans="2:16" x14ac:dyDescent="0.25">
      <c r="B103" t="s">
        <v>70</v>
      </c>
      <c r="C103">
        <v>380</v>
      </c>
      <c r="D103">
        <v>2</v>
      </c>
      <c r="P103">
        <f>SUM(P100:P102)</f>
        <v>70.19</v>
      </c>
    </row>
    <row r="104" spans="2:16" x14ac:dyDescent="0.25">
      <c r="B104" t="s">
        <v>172</v>
      </c>
      <c r="D104">
        <v>21.93</v>
      </c>
      <c r="O104" t="s">
        <v>174</v>
      </c>
      <c r="P104">
        <v>30</v>
      </c>
    </row>
    <row r="105" spans="2:16" x14ac:dyDescent="0.25">
      <c r="B105" t="s">
        <v>17</v>
      </c>
      <c r="C105">
        <v>695</v>
      </c>
      <c r="D105">
        <v>7.3</v>
      </c>
      <c r="P105">
        <f>P104+P103</f>
        <v>100.19</v>
      </c>
    </row>
    <row r="106" spans="2:16" x14ac:dyDescent="0.25">
      <c r="B106" t="s">
        <v>359</v>
      </c>
      <c r="D106">
        <v>21.93</v>
      </c>
    </row>
    <row r="107" spans="2:16" x14ac:dyDescent="0.25">
      <c r="B107" t="s">
        <v>17</v>
      </c>
      <c r="C107">
        <v>695</v>
      </c>
      <c r="D107">
        <v>7.3</v>
      </c>
    </row>
    <row r="110" spans="2:16" x14ac:dyDescent="0.25">
      <c r="C110">
        <f>SUM(C99:C107)</f>
        <v>4560</v>
      </c>
      <c r="D110">
        <f>SUM(D99:D107)</f>
        <v>84.36</v>
      </c>
    </row>
    <row r="113" spans="2:12" x14ac:dyDescent="0.25">
      <c r="J113" t="s">
        <v>371</v>
      </c>
    </row>
    <row r="114" spans="2:12" x14ac:dyDescent="0.25">
      <c r="C114" t="s">
        <v>190</v>
      </c>
      <c r="I114" t="s">
        <v>365</v>
      </c>
      <c r="J114">
        <v>39</v>
      </c>
    </row>
    <row r="115" spans="2:12" x14ac:dyDescent="0.25">
      <c r="B115" t="s">
        <v>17</v>
      </c>
      <c r="C115">
        <v>1097</v>
      </c>
      <c r="D115">
        <v>9.1</v>
      </c>
      <c r="I115" t="s">
        <v>366</v>
      </c>
      <c r="J115">
        <v>36</v>
      </c>
      <c r="K115">
        <f>133-J115</f>
        <v>97</v>
      </c>
      <c r="L115">
        <f>120-J115</f>
        <v>84</v>
      </c>
    </row>
    <row r="116" spans="2:12" x14ac:dyDescent="0.25">
      <c r="B116" t="s">
        <v>24</v>
      </c>
      <c r="C116">
        <v>1284</v>
      </c>
      <c r="D116">
        <v>9.1</v>
      </c>
    </row>
    <row r="117" spans="2:12" x14ac:dyDescent="0.25">
      <c r="B117" t="s">
        <v>172</v>
      </c>
      <c r="D117">
        <v>17.667000000000002</v>
      </c>
    </row>
    <row r="118" spans="2:12" x14ac:dyDescent="0.25">
      <c r="B118" t="s">
        <v>24</v>
      </c>
      <c r="C118">
        <v>684</v>
      </c>
      <c r="D118">
        <v>7.3</v>
      </c>
      <c r="K118">
        <f>146*1.5-U62</f>
        <v>194</v>
      </c>
    </row>
    <row r="119" spans="2:12" x14ac:dyDescent="0.25">
      <c r="B119" t="s">
        <v>17</v>
      </c>
      <c r="C119">
        <v>697</v>
      </c>
      <c r="D119">
        <v>7.3</v>
      </c>
      <c r="K119">
        <f>K118*2</f>
        <v>388</v>
      </c>
    </row>
    <row r="120" spans="2:12" x14ac:dyDescent="0.25">
      <c r="B120" t="s">
        <v>359</v>
      </c>
      <c r="D120">
        <v>17.667000000000002</v>
      </c>
    </row>
    <row r="121" spans="2:12" x14ac:dyDescent="0.25">
      <c r="B121" t="s">
        <v>24</v>
      </c>
      <c r="C121">
        <v>684</v>
      </c>
      <c r="D121">
        <v>7.3</v>
      </c>
    </row>
    <row r="122" spans="2:12" x14ac:dyDescent="0.25">
      <c r="B122" t="s">
        <v>17</v>
      </c>
      <c r="C122">
        <v>697</v>
      </c>
      <c r="D122">
        <v>7.3</v>
      </c>
    </row>
    <row r="123" spans="2:12" x14ac:dyDescent="0.25">
      <c r="C123">
        <f>SUM(C115:C122)</f>
        <v>5143</v>
      </c>
      <c r="D123">
        <f>SUM(D115:D122)</f>
        <v>82.733999999999995</v>
      </c>
    </row>
    <row r="126" spans="2:12" x14ac:dyDescent="0.25">
      <c r="C126" t="s">
        <v>190</v>
      </c>
      <c r="H126">
        <v>9.1</v>
      </c>
    </row>
    <row r="127" spans="2:12" x14ac:dyDescent="0.25">
      <c r="B127" t="s">
        <v>17</v>
      </c>
      <c r="C127">
        <v>2097</v>
      </c>
      <c r="D127">
        <v>8.1</v>
      </c>
      <c r="H127">
        <v>2.7</v>
      </c>
    </row>
    <row r="128" spans="2:12" x14ac:dyDescent="0.25">
      <c r="B128" t="s">
        <v>24</v>
      </c>
      <c r="C128">
        <v>2084</v>
      </c>
      <c r="D128">
        <v>8.1</v>
      </c>
      <c r="H128">
        <v>2.7</v>
      </c>
    </row>
    <row r="129" spans="2:8" x14ac:dyDescent="0.25">
      <c r="B129" t="s">
        <v>172</v>
      </c>
      <c r="D129">
        <v>17.667000000000002</v>
      </c>
      <c r="H129">
        <v>17.667000000000002</v>
      </c>
    </row>
    <row r="130" spans="2:8" x14ac:dyDescent="0.25">
      <c r="B130" t="s">
        <v>24</v>
      </c>
      <c r="C130">
        <v>684</v>
      </c>
      <c r="D130">
        <v>7.3</v>
      </c>
      <c r="H130">
        <f>SUM(H126:H129)</f>
        <v>32.167000000000002</v>
      </c>
    </row>
    <row r="131" spans="2:8" x14ac:dyDescent="0.25">
      <c r="B131" t="s">
        <v>17</v>
      </c>
      <c r="C131">
        <v>697</v>
      </c>
      <c r="D131">
        <v>7.3</v>
      </c>
    </row>
    <row r="132" spans="2:8" x14ac:dyDescent="0.25">
      <c r="B132" t="s">
        <v>359</v>
      </c>
    </row>
    <row r="133" spans="2:8" x14ac:dyDescent="0.25">
      <c r="B133" t="s">
        <v>24</v>
      </c>
    </row>
    <row r="134" spans="2:8" x14ac:dyDescent="0.25">
      <c r="B134" t="s">
        <v>17</v>
      </c>
    </row>
    <row r="135" spans="2:8" x14ac:dyDescent="0.25">
      <c r="C135">
        <f>SUM(C127:C134)</f>
        <v>5562</v>
      </c>
      <c r="D135">
        <f>SUM(D127:D134)</f>
        <v>48.466999999999999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AE256"/>
  <sheetViews>
    <sheetView topLeftCell="C1" workbookViewId="0">
      <selection activeCell="D157" sqref="D157"/>
    </sheetView>
  </sheetViews>
  <sheetFormatPr defaultRowHeight="15" x14ac:dyDescent="0.25"/>
  <sheetData>
    <row r="9" spans="5:31" x14ac:dyDescent="0.25">
      <c r="J9">
        <v>677782</v>
      </c>
      <c r="M9" t="s">
        <v>377</v>
      </c>
      <c r="O9" t="s">
        <v>378</v>
      </c>
      <c r="V9">
        <v>44</v>
      </c>
    </row>
    <row r="10" spans="5:31" x14ac:dyDescent="0.25">
      <c r="J10">
        <v>677742</v>
      </c>
    </row>
    <row r="11" spans="5:31" x14ac:dyDescent="0.25">
      <c r="S11" t="s">
        <v>382</v>
      </c>
      <c r="U11" t="s">
        <v>383</v>
      </c>
      <c r="V11" t="s">
        <v>170</v>
      </c>
      <c r="X11" t="s">
        <v>384</v>
      </c>
      <c r="Y11" t="s">
        <v>170</v>
      </c>
      <c r="AA11" t="s">
        <v>385</v>
      </c>
      <c r="AD11" t="s">
        <v>386</v>
      </c>
    </row>
    <row r="12" spans="5:31" x14ac:dyDescent="0.25">
      <c r="S12" t="s">
        <v>16</v>
      </c>
      <c r="T12">
        <v>36132</v>
      </c>
      <c r="U12">
        <f>200*5/2+T12</f>
        <v>36632</v>
      </c>
      <c r="V12">
        <f>6900/3+U12</f>
        <v>38932</v>
      </c>
      <c r="X12">
        <f>200*5/3+T12</f>
        <v>36465.333333333336</v>
      </c>
      <c r="Y12">
        <f>6900/3+X12</f>
        <v>38765.333333333336</v>
      </c>
      <c r="AA12">
        <f>200*5/4+T12</f>
        <v>36382</v>
      </c>
    </row>
    <row r="13" spans="5:31" x14ac:dyDescent="0.25">
      <c r="S13" t="s">
        <v>24</v>
      </c>
      <c r="T13">
        <v>34050</v>
      </c>
      <c r="U13">
        <f>900*5/2+T13</f>
        <v>36300</v>
      </c>
      <c r="V13">
        <f>6900/3+U13</f>
        <v>38600</v>
      </c>
      <c r="X13">
        <f>900*5/3+T13</f>
        <v>35550</v>
      </c>
      <c r="Y13">
        <f>7500/3+X13</f>
        <v>38050</v>
      </c>
      <c r="AA13">
        <f>900*5/4+T13</f>
        <v>35175</v>
      </c>
      <c r="AD13">
        <f>900*5/5+T13</f>
        <v>34950</v>
      </c>
      <c r="AE13">
        <f>8000/3+AD13</f>
        <v>37616.666666666664</v>
      </c>
    </row>
    <row r="14" spans="5:31" x14ac:dyDescent="0.25">
      <c r="E14">
        <v>623672</v>
      </c>
    </row>
    <row r="15" spans="5:31" x14ac:dyDescent="0.25">
      <c r="E15">
        <v>624945</v>
      </c>
    </row>
    <row r="18" spans="2:27" x14ac:dyDescent="0.25">
      <c r="O18" t="s">
        <v>379</v>
      </c>
    </row>
    <row r="20" spans="2:27" x14ac:dyDescent="0.25">
      <c r="Z20">
        <v>941516</v>
      </c>
    </row>
    <row r="21" spans="2:27" x14ac:dyDescent="0.25">
      <c r="L21">
        <v>686667</v>
      </c>
      <c r="Z21">
        <v>941894</v>
      </c>
      <c r="AA21">
        <f>Z21-Z20</f>
        <v>378</v>
      </c>
    </row>
    <row r="22" spans="2:27" x14ac:dyDescent="0.25">
      <c r="AA22">
        <f>AA21/60</f>
        <v>6.3</v>
      </c>
    </row>
    <row r="23" spans="2:27" x14ac:dyDescent="0.25">
      <c r="B23">
        <f>295-212</f>
        <v>83</v>
      </c>
      <c r="E23">
        <f>2700</f>
        <v>2700</v>
      </c>
      <c r="O23">
        <v>608</v>
      </c>
    </row>
    <row r="24" spans="2:27" x14ac:dyDescent="0.25">
      <c r="E24">
        <f>650*2</f>
        <v>1300</v>
      </c>
      <c r="O24">
        <v>1243</v>
      </c>
    </row>
    <row r="25" spans="2:27" x14ac:dyDescent="0.25">
      <c r="E25">
        <f>800*2</f>
        <v>1600</v>
      </c>
      <c r="G25">
        <v>2176</v>
      </c>
      <c r="O25">
        <v>2724</v>
      </c>
    </row>
    <row r="26" spans="2:27" x14ac:dyDescent="0.25">
      <c r="E26">
        <f>1200</f>
        <v>1200</v>
      </c>
      <c r="G26">
        <v>1678</v>
      </c>
      <c r="O26">
        <f>SUM(O23:O25)</f>
        <v>4575</v>
      </c>
      <c r="V26">
        <v>854890</v>
      </c>
    </row>
    <row r="27" spans="2:27" x14ac:dyDescent="0.25">
      <c r="E27">
        <f>SUM(E23:E26)</f>
        <v>6800</v>
      </c>
      <c r="G27">
        <v>2704</v>
      </c>
      <c r="V27">
        <v>854936</v>
      </c>
    </row>
    <row r="28" spans="2:27" x14ac:dyDescent="0.25">
      <c r="G28">
        <v>1204</v>
      </c>
    </row>
    <row r="29" spans="2:27" x14ac:dyDescent="0.25">
      <c r="G29">
        <f>SUM(G25:G28)</f>
        <v>7762</v>
      </c>
    </row>
    <row r="30" spans="2:27" x14ac:dyDescent="0.25">
      <c r="Z30">
        <v>947475</v>
      </c>
    </row>
    <row r="31" spans="2:27" x14ac:dyDescent="0.25">
      <c r="Z31">
        <v>948016</v>
      </c>
      <c r="AA31">
        <f>Z31-Z30</f>
        <v>541</v>
      </c>
    </row>
    <row r="32" spans="2:27" x14ac:dyDescent="0.25">
      <c r="AA32">
        <f>AA31/60</f>
        <v>9.0166666666666675</v>
      </c>
    </row>
    <row r="33" spans="2:22" x14ac:dyDescent="0.25">
      <c r="B33">
        <f>90*1.4</f>
        <v>125.99999999999999</v>
      </c>
      <c r="O33" t="s">
        <v>380</v>
      </c>
    </row>
    <row r="34" spans="2:22" x14ac:dyDescent="0.25">
      <c r="B34">
        <v>135</v>
      </c>
      <c r="I34">
        <v>455</v>
      </c>
      <c r="N34" t="s">
        <v>381</v>
      </c>
      <c r="O34">
        <v>90</v>
      </c>
      <c r="P34">
        <v>83</v>
      </c>
    </row>
    <row r="35" spans="2:22" x14ac:dyDescent="0.25">
      <c r="B35">
        <v>98</v>
      </c>
      <c r="I35">
        <v>95</v>
      </c>
      <c r="N35" t="s">
        <v>54</v>
      </c>
      <c r="O35">
        <v>190</v>
      </c>
    </row>
    <row r="36" spans="2:22" x14ac:dyDescent="0.25">
      <c r="B36">
        <f>B33+B34-B35</f>
        <v>163</v>
      </c>
      <c r="C36">
        <v>304</v>
      </c>
      <c r="I36">
        <f>I34-I35</f>
        <v>360</v>
      </c>
      <c r="U36">
        <v>946302</v>
      </c>
    </row>
    <row r="37" spans="2:22" x14ac:dyDescent="0.25">
      <c r="B37">
        <f>B36/C36</f>
        <v>0.53618421052631582</v>
      </c>
      <c r="U37">
        <v>946856</v>
      </c>
      <c r="V37">
        <f>U37-U36</f>
        <v>554</v>
      </c>
    </row>
    <row r="38" spans="2:22" x14ac:dyDescent="0.25">
      <c r="U38">
        <v>947531</v>
      </c>
      <c r="V38">
        <f>U38-U36</f>
        <v>1229</v>
      </c>
    </row>
    <row r="41" spans="2:22" x14ac:dyDescent="0.25">
      <c r="V41">
        <f>V38-V37</f>
        <v>675</v>
      </c>
    </row>
    <row r="42" spans="2:22" x14ac:dyDescent="0.25">
      <c r="V42">
        <f>V41/60</f>
        <v>11.25</v>
      </c>
    </row>
    <row r="44" spans="2:22" x14ac:dyDescent="0.25">
      <c r="F44">
        <f>875*2</f>
        <v>1750</v>
      </c>
    </row>
    <row r="45" spans="2:22" x14ac:dyDescent="0.25">
      <c r="F45">
        <v>2400</v>
      </c>
    </row>
    <row r="46" spans="2:22" x14ac:dyDescent="0.25">
      <c r="F46">
        <v>2700</v>
      </c>
    </row>
    <row r="47" spans="2:22" x14ac:dyDescent="0.25">
      <c r="F47">
        <f>SUM(F44:F46)</f>
        <v>6850</v>
      </c>
      <c r="M47" t="s">
        <v>387</v>
      </c>
      <c r="O47">
        <v>18</v>
      </c>
      <c r="P47">
        <f>O47/2</f>
        <v>9</v>
      </c>
    </row>
    <row r="48" spans="2:22" x14ac:dyDescent="0.25">
      <c r="M48" t="s">
        <v>388</v>
      </c>
      <c r="O48">
        <v>10</v>
      </c>
      <c r="P48">
        <f>O48/2</f>
        <v>5</v>
      </c>
    </row>
    <row r="49" spans="5:28" x14ac:dyDescent="0.25">
      <c r="M49" t="s">
        <v>389</v>
      </c>
      <c r="O49">
        <v>14</v>
      </c>
      <c r="P49">
        <f>O49/2</f>
        <v>7</v>
      </c>
      <c r="R49" t="s">
        <v>392</v>
      </c>
      <c r="W49" t="s">
        <v>396</v>
      </c>
    </row>
    <row r="50" spans="5:28" x14ac:dyDescent="0.25">
      <c r="M50" t="s">
        <v>390</v>
      </c>
      <c r="O50">
        <v>5</v>
      </c>
      <c r="P50">
        <f>O50/2</f>
        <v>2.5</v>
      </c>
      <c r="R50" t="s">
        <v>393</v>
      </c>
    </row>
    <row r="51" spans="5:28" x14ac:dyDescent="0.25">
      <c r="M51" t="s">
        <v>391</v>
      </c>
      <c r="O51">
        <v>15</v>
      </c>
      <c r="P51">
        <f>O51/2</f>
        <v>7.5</v>
      </c>
      <c r="R51" t="s">
        <v>394</v>
      </c>
    </row>
    <row r="52" spans="5:28" x14ac:dyDescent="0.25">
      <c r="P52">
        <f>SUM(P47:P51)</f>
        <v>31</v>
      </c>
      <c r="R52" t="s">
        <v>395</v>
      </c>
    </row>
    <row r="56" spans="5:28" x14ac:dyDescent="0.25">
      <c r="E56">
        <v>966704</v>
      </c>
    </row>
    <row r="57" spans="5:28" x14ac:dyDescent="0.25">
      <c r="E57">
        <v>966673</v>
      </c>
      <c r="I57">
        <v>1058593</v>
      </c>
    </row>
    <row r="58" spans="5:28" x14ac:dyDescent="0.25">
      <c r="I58">
        <v>1060303</v>
      </c>
    </row>
    <row r="59" spans="5:28" x14ac:dyDescent="0.25">
      <c r="I59">
        <v>1060792</v>
      </c>
    </row>
    <row r="60" spans="5:28" x14ac:dyDescent="0.25">
      <c r="M60" t="s">
        <v>16</v>
      </c>
      <c r="N60" t="s">
        <v>398</v>
      </c>
    </row>
    <row r="61" spans="5:28" x14ac:dyDescent="0.25">
      <c r="M61" t="s">
        <v>397</v>
      </c>
      <c r="N61" t="s">
        <v>399</v>
      </c>
      <c r="W61" t="s">
        <v>148</v>
      </c>
      <c r="X61" t="s">
        <v>402</v>
      </c>
    </row>
    <row r="62" spans="5:28" x14ac:dyDescent="0.25">
      <c r="M62" t="s">
        <v>24</v>
      </c>
      <c r="N62" t="s">
        <v>400</v>
      </c>
      <c r="V62" t="s">
        <v>327</v>
      </c>
      <c r="W62">
        <v>489</v>
      </c>
      <c r="X62">
        <v>245</v>
      </c>
    </row>
    <row r="63" spans="5:28" x14ac:dyDescent="0.25">
      <c r="M63" t="s">
        <v>56</v>
      </c>
      <c r="N63" t="s">
        <v>401</v>
      </c>
      <c r="V63" t="s">
        <v>328</v>
      </c>
      <c r="W63">
        <v>376</v>
      </c>
      <c r="X63">
        <v>246</v>
      </c>
      <c r="AA63" t="s">
        <v>410</v>
      </c>
      <c r="AB63">
        <v>9.9</v>
      </c>
    </row>
    <row r="64" spans="5:28" x14ac:dyDescent="0.25">
      <c r="M64" t="s">
        <v>164</v>
      </c>
      <c r="N64" t="s">
        <v>399</v>
      </c>
      <c r="V64" t="s">
        <v>19</v>
      </c>
      <c r="W64">
        <v>240</v>
      </c>
      <c r="X64">
        <v>162</v>
      </c>
      <c r="AA64" t="s">
        <v>411</v>
      </c>
      <c r="AB64">
        <v>19.7</v>
      </c>
    </row>
    <row r="65" spans="5:28" x14ac:dyDescent="0.25">
      <c r="M65" t="s">
        <v>17</v>
      </c>
    </row>
    <row r="67" spans="5:28" x14ac:dyDescent="0.25">
      <c r="E67" s="4">
        <v>0.22527777777777777</v>
      </c>
      <c r="F67" s="4">
        <v>0.23606481481481481</v>
      </c>
    </row>
    <row r="68" spans="5:28" x14ac:dyDescent="0.25">
      <c r="E68" s="4">
        <v>0.22721064814814815</v>
      </c>
      <c r="F68" s="4">
        <v>0.23836805555555554</v>
      </c>
    </row>
    <row r="69" spans="5:28" x14ac:dyDescent="0.25">
      <c r="E69" s="4">
        <f>E68-E67</f>
        <v>1.9328703703703765E-3</v>
      </c>
      <c r="F69" s="4">
        <f>F68-F67</f>
        <v>2.3032407407407307E-3</v>
      </c>
    </row>
    <row r="72" spans="5:28" x14ac:dyDescent="0.25">
      <c r="H72" t="s">
        <v>406</v>
      </c>
      <c r="L72" t="s">
        <v>407</v>
      </c>
    </row>
    <row r="73" spans="5:28" x14ac:dyDescent="0.25">
      <c r="H73">
        <v>7</v>
      </c>
      <c r="L73">
        <v>7</v>
      </c>
    </row>
    <row r="74" spans="5:28" x14ac:dyDescent="0.25">
      <c r="H74">
        <v>14</v>
      </c>
      <c r="I74">
        <v>1</v>
      </c>
      <c r="L74">
        <v>9</v>
      </c>
      <c r="M74">
        <v>2</v>
      </c>
      <c r="Q74">
        <v>1182266</v>
      </c>
      <c r="R74" t="s">
        <v>403</v>
      </c>
      <c r="V74" t="s">
        <v>331</v>
      </c>
      <c r="W74" t="s">
        <v>332</v>
      </c>
      <c r="Z74" t="s">
        <v>408</v>
      </c>
      <c r="AA74">
        <v>216</v>
      </c>
      <c r="AB74" t="s">
        <v>17</v>
      </c>
    </row>
    <row r="75" spans="5:28" x14ac:dyDescent="0.25">
      <c r="H75">
        <v>7</v>
      </c>
      <c r="I75">
        <v>1</v>
      </c>
      <c r="L75">
        <v>18</v>
      </c>
      <c r="M75">
        <v>1</v>
      </c>
      <c r="O75">
        <f>P75/60</f>
        <v>21.283333333333335</v>
      </c>
      <c r="P75">
        <f>Q74-Q75</f>
        <v>1277</v>
      </c>
      <c r="Q75">
        <v>1180989</v>
      </c>
      <c r="R75" t="s">
        <v>404</v>
      </c>
      <c r="U75">
        <v>1</v>
      </c>
      <c r="V75">
        <f>155*(1+U75/100)</f>
        <v>156.55000000000001</v>
      </c>
      <c r="W75">
        <f t="shared" ref="W75:W84" si="0">146*(1+U75/100)</f>
        <v>147.46</v>
      </c>
      <c r="AA75">
        <v>191</v>
      </c>
      <c r="AB75" t="s">
        <v>409</v>
      </c>
    </row>
    <row r="76" spans="5:28" x14ac:dyDescent="0.25">
      <c r="H76">
        <v>6</v>
      </c>
      <c r="I76">
        <v>2</v>
      </c>
      <c r="L76">
        <v>6</v>
      </c>
      <c r="M76">
        <v>1</v>
      </c>
      <c r="O76">
        <f>P76/60</f>
        <v>29.366666666666667</v>
      </c>
      <c r="P76">
        <f>Q74-Q76</f>
        <v>1762</v>
      </c>
      <c r="Q76">
        <v>1180504</v>
      </c>
      <c r="R76" t="s">
        <v>405</v>
      </c>
      <c r="U76">
        <v>2</v>
      </c>
      <c r="V76">
        <f>155*(1+U76/100)</f>
        <v>158.1</v>
      </c>
      <c r="W76">
        <f t="shared" si="0"/>
        <v>148.92000000000002</v>
      </c>
    </row>
    <row r="77" spans="5:28" x14ac:dyDescent="0.25">
      <c r="H77">
        <v>3</v>
      </c>
      <c r="I77">
        <v>1</v>
      </c>
      <c r="L77">
        <v>12</v>
      </c>
      <c r="M77">
        <v>1</v>
      </c>
      <c r="U77">
        <v>3</v>
      </c>
      <c r="V77">
        <f>155*(1+U77/100)</f>
        <v>159.65</v>
      </c>
      <c r="W77">
        <f t="shared" si="0"/>
        <v>150.38</v>
      </c>
    </row>
    <row r="78" spans="5:28" x14ac:dyDescent="0.25">
      <c r="H78">
        <v>8</v>
      </c>
      <c r="I78">
        <v>1</v>
      </c>
      <c r="L78">
        <v>15</v>
      </c>
      <c r="M78">
        <v>1</v>
      </c>
      <c r="U78">
        <v>4</v>
      </c>
      <c r="V78">
        <f>155*(1+U78/100)</f>
        <v>161.20000000000002</v>
      </c>
      <c r="W78">
        <f t="shared" si="0"/>
        <v>151.84</v>
      </c>
    </row>
    <row r="79" spans="5:28" x14ac:dyDescent="0.25">
      <c r="H79">
        <v>14</v>
      </c>
      <c r="I79">
        <v>1</v>
      </c>
      <c r="L79">
        <v>0</v>
      </c>
      <c r="M79">
        <v>1</v>
      </c>
      <c r="U79">
        <v>5</v>
      </c>
      <c r="V79">
        <f>155*1.05</f>
        <v>162.75</v>
      </c>
      <c r="W79">
        <f>146*(1+U79/100)</f>
        <v>153.30000000000001</v>
      </c>
    </row>
    <row r="80" spans="5:28" x14ac:dyDescent="0.25">
      <c r="H80">
        <f>SUM(H73:H79)</f>
        <v>59</v>
      </c>
      <c r="I80">
        <f>SUM(I74:I79)</f>
        <v>7</v>
      </c>
      <c r="J80">
        <f>SUM(H80:I80)</f>
        <v>66</v>
      </c>
      <c r="L80">
        <f>SUM(L73:L79)</f>
        <v>67</v>
      </c>
      <c r="M80">
        <f>SUM(M74:M79)</f>
        <v>7</v>
      </c>
      <c r="N80">
        <f>SUM(L80:M80)</f>
        <v>74</v>
      </c>
      <c r="U80">
        <v>6</v>
      </c>
      <c r="V80">
        <f>155*1.06</f>
        <v>164.3</v>
      </c>
      <c r="W80">
        <f t="shared" si="0"/>
        <v>154.76000000000002</v>
      </c>
    </row>
    <row r="81" spans="4:27" x14ac:dyDescent="0.25">
      <c r="H81">
        <f>H80/J80</f>
        <v>0.89393939393939392</v>
      </c>
      <c r="I81">
        <f>I80/J80</f>
        <v>0.10606060606060606</v>
      </c>
      <c r="L81">
        <f>L80/N80</f>
        <v>0.90540540540540537</v>
      </c>
      <c r="M81">
        <f>M80/N80</f>
        <v>9.45945945945946E-2</v>
      </c>
      <c r="U81">
        <v>7</v>
      </c>
      <c r="V81">
        <f>155*1.07</f>
        <v>165.85000000000002</v>
      </c>
      <c r="W81">
        <f t="shared" si="0"/>
        <v>156.22</v>
      </c>
      <c r="Z81">
        <v>1287</v>
      </c>
    </row>
    <row r="82" spans="4:27" x14ac:dyDescent="0.25">
      <c r="U82">
        <v>8</v>
      </c>
      <c r="V82">
        <f>155*1.08</f>
        <v>167.4</v>
      </c>
      <c r="W82">
        <f t="shared" si="0"/>
        <v>157.68</v>
      </c>
      <c r="Z82">
        <v>1053</v>
      </c>
    </row>
    <row r="83" spans="4:27" x14ac:dyDescent="0.25">
      <c r="U83">
        <v>9</v>
      </c>
      <c r="V83">
        <f>155*1.09</f>
        <v>168.95000000000002</v>
      </c>
      <c r="W83">
        <f t="shared" si="0"/>
        <v>159.14000000000001</v>
      </c>
      <c r="Z83">
        <v>787</v>
      </c>
    </row>
    <row r="84" spans="4:27" x14ac:dyDescent="0.25">
      <c r="U84">
        <v>10</v>
      </c>
      <c r="V84">
        <f>155*1.1</f>
        <v>170.5</v>
      </c>
      <c r="W84">
        <f t="shared" si="0"/>
        <v>160.60000000000002</v>
      </c>
      <c r="Z84">
        <v>653</v>
      </c>
    </row>
    <row r="85" spans="4:27" x14ac:dyDescent="0.25">
      <c r="N85">
        <f>L80+H80</f>
        <v>126</v>
      </c>
      <c r="O85">
        <f>M80+I80</f>
        <v>14</v>
      </c>
      <c r="P85">
        <f>SUM(N85:O85)</f>
        <v>140</v>
      </c>
      <c r="Z85">
        <v>653</v>
      </c>
    </row>
    <row r="86" spans="4:27" x14ac:dyDescent="0.25">
      <c r="N86">
        <f>N85/P85</f>
        <v>0.9</v>
      </c>
      <c r="O86">
        <f>O85/P85</f>
        <v>0.1</v>
      </c>
      <c r="Z86">
        <f>SUM(Z81:Z85)</f>
        <v>4433</v>
      </c>
    </row>
    <row r="93" spans="4:27" x14ac:dyDescent="0.25">
      <c r="Q93" t="s">
        <v>412</v>
      </c>
      <c r="S93">
        <v>500</v>
      </c>
      <c r="T93">
        <v>8.3000000000000007</v>
      </c>
      <c r="X93">
        <v>19.7</v>
      </c>
      <c r="Z93">
        <v>1287</v>
      </c>
      <c r="AA93">
        <v>19.7</v>
      </c>
    </row>
    <row r="94" spans="4:27" x14ac:dyDescent="0.25">
      <c r="D94" t="s">
        <v>38</v>
      </c>
      <c r="E94" t="s">
        <v>39</v>
      </c>
      <c r="S94">
        <v>787</v>
      </c>
      <c r="T94">
        <v>9.9</v>
      </c>
      <c r="X94">
        <v>9.9</v>
      </c>
      <c r="Z94">
        <v>1287</v>
      </c>
      <c r="AA94">
        <v>19.7</v>
      </c>
    </row>
    <row r="95" spans="4:27" x14ac:dyDescent="0.25">
      <c r="D95">
        <v>1326</v>
      </c>
      <c r="E95">
        <v>1354</v>
      </c>
      <c r="H95">
        <v>1227</v>
      </c>
      <c r="I95">
        <v>785</v>
      </c>
      <c r="K95">
        <v>805</v>
      </c>
      <c r="L95">
        <v>1207</v>
      </c>
      <c r="S95">
        <v>1050</v>
      </c>
      <c r="T95">
        <v>9.1</v>
      </c>
      <c r="X95">
        <v>9.9</v>
      </c>
      <c r="Z95">
        <v>1050</v>
      </c>
      <c r="AA95">
        <v>9.1</v>
      </c>
    </row>
    <row r="96" spans="4:27" x14ac:dyDescent="0.25">
      <c r="D96">
        <v>843</v>
      </c>
      <c r="E96">
        <v>1368</v>
      </c>
      <c r="H96">
        <v>843</v>
      </c>
      <c r="I96">
        <v>1368</v>
      </c>
      <c r="K96">
        <v>843</v>
      </c>
      <c r="L96">
        <v>1368</v>
      </c>
      <c r="S96">
        <v>787</v>
      </c>
      <c r="T96">
        <v>9.9</v>
      </c>
      <c r="X96">
        <v>9.1</v>
      </c>
      <c r="Z96">
        <v>787</v>
      </c>
      <c r="AA96">
        <v>9.9</v>
      </c>
    </row>
    <row r="97" spans="4:28" x14ac:dyDescent="0.25">
      <c r="D97">
        <f>E97*0.6</f>
        <v>723</v>
      </c>
      <c r="E97">
        <v>1205</v>
      </c>
      <c r="H97">
        <v>1332</v>
      </c>
      <c r="K97">
        <v>1332</v>
      </c>
      <c r="S97">
        <v>787</v>
      </c>
      <c r="T97">
        <v>9.9</v>
      </c>
      <c r="X97">
        <v>7.3</v>
      </c>
      <c r="Z97">
        <v>200</v>
      </c>
      <c r="AA97">
        <v>2.7</v>
      </c>
    </row>
    <row r="98" spans="4:28" x14ac:dyDescent="0.25">
      <c r="D98">
        <v>1213</v>
      </c>
      <c r="H98">
        <v>1324</v>
      </c>
      <c r="K98">
        <v>1324</v>
      </c>
      <c r="Q98" t="s">
        <v>151</v>
      </c>
      <c r="S98">
        <v>650</v>
      </c>
      <c r="T98">
        <v>7.3</v>
      </c>
    </row>
    <row r="99" spans="4:28" x14ac:dyDescent="0.25">
      <c r="L99">
        <v>1209</v>
      </c>
      <c r="S99">
        <f>SUM(S93:S98)</f>
        <v>4561</v>
      </c>
      <c r="T99">
        <f>SUM(T93:T98)</f>
        <v>54.4</v>
      </c>
      <c r="X99">
        <f>SUM(X93:X98)</f>
        <v>55.9</v>
      </c>
      <c r="Z99">
        <f>SUM(Z93:Z98)</f>
        <v>4611</v>
      </c>
      <c r="AA99">
        <f>SUM(AA93:AA98)</f>
        <v>61.1</v>
      </c>
    </row>
    <row r="100" spans="4:28" x14ac:dyDescent="0.25">
      <c r="D100">
        <f>SUM(D95:D99)</f>
        <v>4105</v>
      </c>
      <c r="E100">
        <f>SUM(E95:E99)</f>
        <v>3927</v>
      </c>
      <c r="H100">
        <f>SUM(H95:H99)</f>
        <v>4726</v>
      </c>
      <c r="I100">
        <f>SUM(I95:I99)</f>
        <v>2153</v>
      </c>
      <c r="K100">
        <f>SUM(K95:K99)</f>
        <v>4304</v>
      </c>
      <c r="L100">
        <f>SUM(L95:L99)</f>
        <v>3784</v>
      </c>
    </row>
    <row r="104" spans="4:28" x14ac:dyDescent="0.25">
      <c r="J104">
        <f>1300*0.6</f>
        <v>780</v>
      </c>
      <c r="M104">
        <v>1200</v>
      </c>
      <c r="P104">
        <v>496</v>
      </c>
      <c r="Q104">
        <v>459</v>
      </c>
      <c r="T104">
        <v>1205</v>
      </c>
    </row>
    <row r="105" spans="4:28" x14ac:dyDescent="0.25">
      <c r="D105">
        <v>1326</v>
      </c>
      <c r="E105">
        <v>1354</v>
      </c>
      <c r="I105">
        <v>1227</v>
      </c>
      <c r="J105">
        <f>1300*0.6</f>
        <v>780</v>
      </c>
      <c r="M105">
        <v>1200</v>
      </c>
      <c r="P105">
        <v>735</v>
      </c>
      <c r="Q105">
        <v>698</v>
      </c>
      <c r="T105">
        <v>1240</v>
      </c>
    </row>
    <row r="106" spans="4:28" x14ac:dyDescent="0.25">
      <c r="I106">
        <v>1332</v>
      </c>
      <c r="J106">
        <v>1368</v>
      </c>
      <c r="M106">
        <v>1368</v>
      </c>
      <c r="P106">
        <v>1332</v>
      </c>
      <c r="Q106">
        <v>1368</v>
      </c>
      <c r="T106">
        <v>1368</v>
      </c>
    </row>
    <row r="107" spans="4:28" x14ac:dyDescent="0.25">
      <c r="I107">
        <v>1324</v>
      </c>
      <c r="J107">
        <v>1368</v>
      </c>
      <c r="M107">
        <v>1368</v>
      </c>
      <c r="P107">
        <v>1324</v>
      </c>
      <c r="Q107">
        <v>1368</v>
      </c>
      <c r="T107">
        <v>1368</v>
      </c>
    </row>
    <row r="108" spans="4:28" x14ac:dyDescent="0.25">
      <c r="I108">
        <f>SUM(I105:I107)</f>
        <v>3883</v>
      </c>
      <c r="J108">
        <f>SUM(J104:J107)</f>
        <v>4296</v>
      </c>
      <c r="M108">
        <f>SUM(M104:M107)</f>
        <v>5136</v>
      </c>
      <c r="T108">
        <f>SUM(T104:T107)</f>
        <v>5181</v>
      </c>
      <c r="AB108">
        <v>1358</v>
      </c>
    </row>
    <row r="109" spans="4:28" x14ac:dyDescent="0.25">
      <c r="M109">
        <f>M108-600</f>
        <v>4536</v>
      </c>
      <c r="P109">
        <f>SUM(P104:P108)</f>
        <v>3887</v>
      </c>
      <c r="Q109">
        <f>SUM(Q104:Q108)</f>
        <v>3893</v>
      </c>
      <c r="T109">
        <f>T108-800</f>
        <v>4381</v>
      </c>
      <c r="AB109">
        <v>1040</v>
      </c>
    </row>
    <row r="110" spans="4:28" x14ac:dyDescent="0.25">
      <c r="AB110">
        <f>697*2</f>
        <v>1394</v>
      </c>
    </row>
    <row r="111" spans="4:28" x14ac:dyDescent="0.25">
      <c r="AB111">
        <v>735</v>
      </c>
    </row>
    <row r="112" spans="4:28" x14ac:dyDescent="0.25">
      <c r="AB112">
        <f>SUM(AB108:AB111)</f>
        <v>4527</v>
      </c>
    </row>
    <row r="118" spans="3:27" x14ac:dyDescent="0.25">
      <c r="P118" t="s">
        <v>47</v>
      </c>
      <c r="Q118" t="s">
        <v>45</v>
      </c>
      <c r="R118" t="s">
        <v>415</v>
      </c>
      <c r="S118" t="s">
        <v>46</v>
      </c>
      <c r="T118" t="s">
        <v>48</v>
      </c>
      <c r="W118" t="s">
        <v>47</v>
      </c>
      <c r="X118" t="s">
        <v>45</v>
      </c>
      <c r="Y118" t="s">
        <v>415</v>
      </c>
      <c r="Z118" t="s">
        <v>46</v>
      </c>
      <c r="AA118" t="s">
        <v>48</v>
      </c>
    </row>
    <row r="119" spans="3:27" x14ac:dyDescent="0.25">
      <c r="O119" t="s">
        <v>24</v>
      </c>
      <c r="P119">
        <v>414</v>
      </c>
      <c r="R119">
        <v>2057</v>
      </c>
      <c r="T119">
        <v>1380</v>
      </c>
      <c r="V119" t="s">
        <v>24</v>
      </c>
      <c r="W119">
        <v>414</v>
      </c>
      <c r="Y119">
        <v>2057</v>
      </c>
      <c r="AA119">
        <v>1380</v>
      </c>
    </row>
    <row r="120" spans="3:27" x14ac:dyDescent="0.25">
      <c r="F120" t="s">
        <v>413</v>
      </c>
      <c r="G120" t="s">
        <v>414</v>
      </c>
      <c r="H120" t="s">
        <v>416</v>
      </c>
      <c r="I120" t="s">
        <v>449</v>
      </c>
      <c r="J120" t="s">
        <v>448</v>
      </c>
      <c r="O120" t="s">
        <v>17</v>
      </c>
      <c r="P120">
        <v>604</v>
      </c>
      <c r="R120">
        <v>1293</v>
      </c>
      <c r="T120">
        <v>1316</v>
      </c>
      <c r="V120" t="s">
        <v>17</v>
      </c>
      <c r="W120">
        <v>604</v>
      </c>
      <c r="Y120">
        <v>1293</v>
      </c>
      <c r="AA120">
        <v>1316</v>
      </c>
    </row>
    <row r="121" spans="3:27" x14ac:dyDescent="0.25">
      <c r="D121">
        <v>484</v>
      </c>
      <c r="E121" t="s">
        <v>397</v>
      </c>
      <c r="F121">
        <v>236</v>
      </c>
      <c r="G121">
        <f>H121*1.33</f>
        <v>196.84</v>
      </c>
      <c r="H121">
        <v>148</v>
      </c>
      <c r="I121">
        <f>G121+F121</f>
        <v>432.84000000000003</v>
      </c>
      <c r="J121">
        <f>H121+F121</f>
        <v>384</v>
      </c>
      <c r="O121" t="s">
        <v>56</v>
      </c>
      <c r="P121">
        <v>1371</v>
      </c>
      <c r="V121" t="s">
        <v>56</v>
      </c>
      <c r="W121">
        <v>1371</v>
      </c>
    </row>
    <row r="122" spans="3:27" x14ac:dyDescent="0.25">
      <c r="C122" t="s">
        <v>419</v>
      </c>
      <c r="D122">
        <v>605</v>
      </c>
      <c r="E122" t="s">
        <v>40</v>
      </c>
      <c r="F122">
        <v>212</v>
      </c>
      <c r="G122">
        <f>H122*1.33</f>
        <v>250.04000000000002</v>
      </c>
      <c r="H122">
        <v>188</v>
      </c>
      <c r="I122">
        <f t="shared" ref="I122:I126" si="1">G122+F122</f>
        <v>462.04</v>
      </c>
      <c r="J122">
        <f t="shared" ref="J122:J126" si="2">H122+F122</f>
        <v>400</v>
      </c>
      <c r="O122" t="s">
        <v>56</v>
      </c>
      <c r="P122">
        <v>1366</v>
      </c>
      <c r="V122" t="s">
        <v>56</v>
      </c>
      <c r="W122">
        <v>1366</v>
      </c>
    </row>
    <row r="123" spans="3:27" x14ac:dyDescent="0.25">
      <c r="D123">
        <v>633</v>
      </c>
      <c r="E123" t="s">
        <v>17</v>
      </c>
      <c r="F123">
        <v>70</v>
      </c>
      <c r="G123">
        <f>H123*1.33</f>
        <v>215.46</v>
      </c>
      <c r="H123">
        <v>162</v>
      </c>
      <c r="I123">
        <f t="shared" si="1"/>
        <v>285.46000000000004</v>
      </c>
      <c r="J123">
        <f t="shared" si="2"/>
        <v>232</v>
      </c>
      <c r="O123" t="s">
        <v>40</v>
      </c>
      <c r="P123">
        <v>398</v>
      </c>
      <c r="Q123">
        <v>793</v>
      </c>
      <c r="S123">
        <v>1213</v>
      </c>
      <c r="T123">
        <v>1327</v>
      </c>
      <c r="V123" t="s">
        <v>40</v>
      </c>
      <c r="W123">
        <v>398</v>
      </c>
      <c r="X123">
        <v>1213</v>
      </c>
      <c r="Z123">
        <v>793</v>
      </c>
      <c r="AA123">
        <v>1327</v>
      </c>
    </row>
    <row r="124" spans="3:27" x14ac:dyDescent="0.25">
      <c r="C124" t="s">
        <v>419</v>
      </c>
      <c r="D124">
        <v>539</v>
      </c>
      <c r="E124" t="s">
        <v>87</v>
      </c>
      <c r="F124">
        <v>202</v>
      </c>
      <c r="G124">
        <v>230</v>
      </c>
      <c r="H124">
        <v>172</v>
      </c>
      <c r="I124">
        <f t="shared" si="1"/>
        <v>432</v>
      </c>
      <c r="J124">
        <f t="shared" si="2"/>
        <v>374</v>
      </c>
      <c r="O124" t="s">
        <v>87</v>
      </c>
      <c r="P124">
        <v>388</v>
      </c>
      <c r="Q124">
        <v>1193</v>
      </c>
      <c r="S124">
        <v>773</v>
      </c>
      <c r="T124">
        <v>1294</v>
      </c>
      <c r="V124" t="s">
        <v>87</v>
      </c>
      <c r="W124">
        <v>388</v>
      </c>
      <c r="X124">
        <v>773</v>
      </c>
      <c r="Z124">
        <v>1193</v>
      </c>
      <c r="AA124">
        <v>1294</v>
      </c>
    </row>
    <row r="125" spans="3:27" x14ac:dyDescent="0.25">
      <c r="C125" t="s">
        <v>419</v>
      </c>
      <c r="D125">
        <v>537</v>
      </c>
      <c r="E125" t="s">
        <v>56</v>
      </c>
      <c r="F125">
        <v>250</v>
      </c>
      <c r="G125">
        <v>242</v>
      </c>
      <c r="H125">
        <v>181</v>
      </c>
      <c r="I125">
        <f t="shared" si="1"/>
        <v>492</v>
      </c>
      <c r="J125">
        <f t="shared" si="2"/>
        <v>431</v>
      </c>
      <c r="L125">
        <v>213</v>
      </c>
      <c r="O125" t="s">
        <v>24</v>
      </c>
      <c r="Q125">
        <v>1195</v>
      </c>
      <c r="S125">
        <v>1195</v>
      </c>
      <c r="T125">
        <v>600</v>
      </c>
      <c r="V125" t="s">
        <v>24</v>
      </c>
      <c r="X125">
        <v>1300</v>
      </c>
      <c r="Z125">
        <v>1300</v>
      </c>
      <c r="AA125">
        <v>1300</v>
      </c>
    </row>
    <row r="126" spans="3:27" x14ac:dyDescent="0.25">
      <c r="C126" t="s">
        <v>420</v>
      </c>
      <c r="D126">
        <v>486</v>
      </c>
      <c r="E126" t="s">
        <v>24</v>
      </c>
      <c r="F126">
        <v>280</v>
      </c>
      <c r="G126">
        <f>H126*1.33</f>
        <v>167.58</v>
      </c>
      <c r="H126">
        <v>126</v>
      </c>
      <c r="I126">
        <f t="shared" si="1"/>
        <v>447.58000000000004</v>
      </c>
      <c r="J126">
        <f t="shared" si="2"/>
        <v>406</v>
      </c>
      <c r="O126" t="s">
        <v>17</v>
      </c>
      <c r="Q126">
        <v>461</v>
      </c>
      <c r="S126">
        <v>250</v>
      </c>
      <c r="V126" t="s">
        <v>17</v>
      </c>
      <c r="X126">
        <v>450</v>
      </c>
      <c r="Z126">
        <v>225</v>
      </c>
    </row>
    <row r="127" spans="3:27" x14ac:dyDescent="0.25">
      <c r="O127" t="s">
        <v>56</v>
      </c>
      <c r="S127">
        <v>1375</v>
      </c>
      <c r="V127" t="s">
        <v>56</v>
      </c>
      <c r="Z127">
        <v>1375</v>
      </c>
    </row>
    <row r="128" spans="3:27" x14ac:dyDescent="0.25">
      <c r="O128" t="s">
        <v>56</v>
      </c>
      <c r="Q128">
        <v>1383</v>
      </c>
      <c r="V128" t="s">
        <v>56</v>
      </c>
      <c r="X128">
        <v>1375</v>
      </c>
    </row>
    <row r="129" spans="4:29" x14ac:dyDescent="0.25">
      <c r="E129">
        <v>70</v>
      </c>
      <c r="P129">
        <f>SUM(P119:P128)</f>
        <v>4541</v>
      </c>
      <c r="Q129">
        <f>SUM(Q119:Q128)</f>
        <v>5025</v>
      </c>
      <c r="R129">
        <f>SUM(R119:R128)</f>
        <v>3350</v>
      </c>
      <c r="S129">
        <f>SUM(S119:S128)</f>
        <v>4806</v>
      </c>
      <c r="T129">
        <f>SUM(T119:T128)</f>
        <v>5917</v>
      </c>
      <c r="W129">
        <f>SUM(W119:W128)</f>
        <v>4541</v>
      </c>
      <c r="X129">
        <f>SUM(X119:X128)</f>
        <v>5111</v>
      </c>
      <c r="Y129">
        <f>SUM(Y119:Y128)</f>
        <v>3350</v>
      </c>
      <c r="Z129">
        <f>SUM(Z119:Z128)</f>
        <v>4886</v>
      </c>
      <c r="AA129">
        <f>SUM(AA119:AA128)</f>
        <v>6617</v>
      </c>
    </row>
    <row r="133" spans="4:29" x14ac:dyDescent="0.25">
      <c r="G133">
        <f>999-105</f>
        <v>894</v>
      </c>
    </row>
    <row r="134" spans="4:29" x14ac:dyDescent="0.25">
      <c r="G134">
        <f>G133*1.5</f>
        <v>1341</v>
      </c>
    </row>
    <row r="135" spans="4:29" x14ac:dyDescent="0.25">
      <c r="O135">
        <v>1378</v>
      </c>
      <c r="P135">
        <v>1375</v>
      </c>
    </row>
    <row r="136" spans="4:29" x14ac:dyDescent="0.25">
      <c r="AB136" s="4">
        <v>0.24562499999999998</v>
      </c>
      <c r="AC136" t="s">
        <v>417</v>
      </c>
    </row>
    <row r="138" spans="4:29" x14ac:dyDescent="0.25">
      <c r="J138" t="s">
        <v>418</v>
      </c>
      <c r="Y138">
        <v>1312867</v>
      </c>
    </row>
    <row r="139" spans="4:29" x14ac:dyDescent="0.25">
      <c r="Y139">
        <f>Y138/3600</f>
        <v>364.6852777777778</v>
      </c>
    </row>
    <row r="140" spans="4:29" x14ac:dyDescent="0.25">
      <c r="Y140">
        <f>Y139/60</f>
        <v>6.0780879629629636</v>
      </c>
      <c r="Z140">
        <f>Y140-6</f>
        <v>7.8087962962963609E-2</v>
      </c>
      <c r="AA140">
        <f>Z140*60</f>
        <v>4.6852777777778165</v>
      </c>
    </row>
    <row r="142" spans="4:29" x14ac:dyDescent="0.25">
      <c r="F142">
        <v>218</v>
      </c>
    </row>
    <row r="144" spans="4:29" x14ac:dyDescent="0.25">
      <c r="D144" t="s">
        <v>446</v>
      </c>
      <c r="E144">
        <v>60</v>
      </c>
      <c r="G144">
        <f>E144*4</f>
        <v>240</v>
      </c>
      <c r="T144">
        <f>148*1.1</f>
        <v>162.80000000000001</v>
      </c>
    </row>
    <row r="145" spans="4:27" x14ac:dyDescent="0.25">
      <c r="D145" t="s">
        <v>447</v>
      </c>
      <c r="E145">
        <v>140</v>
      </c>
      <c r="G145">
        <f>E145*4</f>
        <v>560</v>
      </c>
    </row>
    <row r="147" spans="4:27" x14ac:dyDescent="0.25">
      <c r="N147">
        <f>400*1.2</f>
        <v>480</v>
      </c>
      <c r="O147">
        <f>480/2</f>
        <v>240</v>
      </c>
    </row>
    <row r="151" spans="4:27" x14ac:dyDescent="0.25">
      <c r="AA151">
        <f>130*1.3</f>
        <v>169</v>
      </c>
    </row>
    <row r="157" spans="4:27" x14ac:dyDescent="0.25">
      <c r="J157" t="s">
        <v>47</v>
      </c>
      <c r="K157" t="s">
        <v>45</v>
      </c>
      <c r="L157" t="s">
        <v>415</v>
      </c>
      <c r="M157" t="s">
        <v>46</v>
      </c>
      <c r="N157" t="s">
        <v>48</v>
      </c>
      <c r="R157" t="s">
        <v>47</v>
      </c>
      <c r="S157" t="s">
        <v>45</v>
      </c>
      <c r="T157" t="s">
        <v>415</v>
      </c>
      <c r="U157" t="s">
        <v>46</v>
      </c>
      <c r="V157" t="s">
        <v>48</v>
      </c>
    </row>
    <row r="158" spans="4:27" x14ac:dyDescent="0.25">
      <c r="I158" t="s">
        <v>24</v>
      </c>
      <c r="J158">
        <v>414</v>
      </c>
      <c r="L158">
        <v>2042</v>
      </c>
      <c r="N158">
        <v>1380</v>
      </c>
      <c r="Q158" t="s">
        <v>24</v>
      </c>
      <c r="R158">
        <v>414</v>
      </c>
      <c r="T158">
        <v>2042</v>
      </c>
      <c r="V158">
        <v>1380</v>
      </c>
    </row>
    <row r="159" spans="4:27" x14ac:dyDescent="0.25">
      <c r="I159" t="s">
        <v>17</v>
      </c>
      <c r="J159">
        <v>604</v>
      </c>
      <c r="L159">
        <v>1293</v>
      </c>
      <c r="N159">
        <v>1304</v>
      </c>
      <c r="Q159" t="s">
        <v>17</v>
      </c>
      <c r="R159">
        <v>604</v>
      </c>
      <c r="T159">
        <v>1293</v>
      </c>
      <c r="V159">
        <v>1304</v>
      </c>
      <c r="Z159">
        <v>120</v>
      </c>
      <c r="AA159">
        <f>Z159*1.3</f>
        <v>156</v>
      </c>
    </row>
    <row r="160" spans="4:27" x14ac:dyDescent="0.25">
      <c r="I160" t="s">
        <v>56</v>
      </c>
      <c r="J160">
        <v>1371</v>
      </c>
      <c r="Q160" t="s">
        <v>56</v>
      </c>
      <c r="R160">
        <v>1371</v>
      </c>
      <c r="Z160">
        <f>Z159+1</f>
        <v>121</v>
      </c>
      <c r="AA160">
        <f t="shared" ref="AA160:AA169" si="3">Z160*1.3</f>
        <v>157.30000000000001</v>
      </c>
    </row>
    <row r="161" spans="9:27" x14ac:dyDescent="0.25">
      <c r="I161" t="s">
        <v>56</v>
      </c>
      <c r="J161">
        <v>1377</v>
      </c>
      <c r="Q161" t="s">
        <v>56</v>
      </c>
      <c r="R161">
        <v>1377</v>
      </c>
      <c r="Z161">
        <f t="shared" ref="Z161:Z169" si="4">Z160+1</f>
        <v>122</v>
      </c>
      <c r="AA161">
        <f t="shared" si="3"/>
        <v>158.6</v>
      </c>
    </row>
    <row r="162" spans="9:27" x14ac:dyDescent="0.25">
      <c r="I162" t="s">
        <v>40</v>
      </c>
      <c r="J162">
        <v>398</v>
      </c>
      <c r="K162">
        <v>1213</v>
      </c>
      <c r="M162">
        <v>793</v>
      </c>
      <c r="N162">
        <v>1314</v>
      </c>
      <c r="Q162" t="s">
        <v>40</v>
      </c>
      <c r="R162">
        <v>398</v>
      </c>
      <c r="S162">
        <v>793</v>
      </c>
      <c r="U162">
        <v>1213</v>
      </c>
      <c r="V162">
        <v>1314</v>
      </c>
      <c r="Z162">
        <f t="shared" si="4"/>
        <v>123</v>
      </c>
      <c r="AA162">
        <f t="shared" si="3"/>
        <v>159.9</v>
      </c>
    </row>
    <row r="163" spans="9:27" x14ac:dyDescent="0.25">
      <c r="I163" t="s">
        <v>87</v>
      </c>
      <c r="J163">
        <v>388</v>
      </c>
      <c r="K163">
        <v>773</v>
      </c>
      <c r="M163">
        <v>1193</v>
      </c>
      <c r="N163">
        <v>1294</v>
      </c>
      <c r="Q163" t="s">
        <v>71</v>
      </c>
      <c r="R163">
        <f>1300*0.6</f>
        <v>780</v>
      </c>
      <c r="S163">
        <f>1300</f>
        <v>1300</v>
      </c>
      <c r="U163">
        <f>1300*0.6</f>
        <v>780</v>
      </c>
      <c r="V163">
        <f>1300*0.6</f>
        <v>780</v>
      </c>
      <c r="Z163">
        <f t="shared" si="4"/>
        <v>124</v>
      </c>
      <c r="AA163">
        <f t="shared" si="3"/>
        <v>161.20000000000002</v>
      </c>
    </row>
    <row r="164" spans="9:27" x14ac:dyDescent="0.25">
      <c r="I164" t="s">
        <v>24</v>
      </c>
      <c r="K164">
        <v>1180</v>
      </c>
      <c r="M164">
        <v>1180</v>
      </c>
      <c r="N164">
        <v>600</v>
      </c>
      <c r="Q164" t="s">
        <v>24</v>
      </c>
      <c r="S164">
        <v>1195</v>
      </c>
      <c r="U164">
        <v>1195</v>
      </c>
      <c r="V164">
        <v>600</v>
      </c>
      <c r="Z164">
        <f t="shared" si="4"/>
        <v>125</v>
      </c>
      <c r="AA164">
        <f t="shared" si="3"/>
        <v>162.5</v>
      </c>
    </row>
    <row r="165" spans="9:27" x14ac:dyDescent="0.25">
      <c r="I165" t="s">
        <v>17</v>
      </c>
      <c r="K165">
        <v>245</v>
      </c>
      <c r="M165">
        <v>245</v>
      </c>
      <c r="Q165" t="s">
        <v>17</v>
      </c>
      <c r="S165">
        <v>480</v>
      </c>
      <c r="U165">
        <v>240</v>
      </c>
      <c r="V165">
        <f>480*2</f>
        <v>960</v>
      </c>
      <c r="Z165">
        <f t="shared" si="4"/>
        <v>126</v>
      </c>
      <c r="AA165">
        <f t="shared" si="3"/>
        <v>163.80000000000001</v>
      </c>
    </row>
    <row r="166" spans="9:27" x14ac:dyDescent="0.25">
      <c r="I166" t="s">
        <v>56</v>
      </c>
      <c r="M166">
        <v>1375</v>
      </c>
      <c r="Q166" t="s">
        <v>56</v>
      </c>
      <c r="U166">
        <v>1375</v>
      </c>
      <c r="Z166">
        <f t="shared" si="4"/>
        <v>127</v>
      </c>
      <c r="AA166">
        <f t="shared" si="3"/>
        <v>165.1</v>
      </c>
    </row>
    <row r="167" spans="9:27" x14ac:dyDescent="0.25">
      <c r="I167" t="s">
        <v>56</v>
      </c>
      <c r="K167">
        <v>1375</v>
      </c>
      <c r="Q167" t="s">
        <v>56</v>
      </c>
      <c r="S167">
        <v>1375</v>
      </c>
      <c r="Z167">
        <f t="shared" si="4"/>
        <v>128</v>
      </c>
      <c r="AA167">
        <f t="shared" si="3"/>
        <v>166.4</v>
      </c>
    </row>
    <row r="168" spans="9:27" x14ac:dyDescent="0.25">
      <c r="J168">
        <f>SUM(J158:J167)</f>
        <v>4552</v>
      </c>
      <c r="K168">
        <f>SUM(K158:K167)</f>
        <v>4786</v>
      </c>
      <c r="L168">
        <f>SUM(L158:L167)</f>
        <v>3335</v>
      </c>
      <c r="M168">
        <f>SUM(M158:M167)</f>
        <v>4786</v>
      </c>
      <c r="N168">
        <f>SUM(N158:N167)</f>
        <v>5892</v>
      </c>
      <c r="R168">
        <f>SUM(R158:R167)</f>
        <v>4944</v>
      </c>
      <c r="S168">
        <f>SUM(S158:S167)</f>
        <v>5143</v>
      </c>
      <c r="T168">
        <f>SUM(T158:T167)</f>
        <v>3335</v>
      </c>
      <c r="U168">
        <f>SUM(U158:U167)</f>
        <v>4803</v>
      </c>
      <c r="V168">
        <f>SUM(V158:V167)</f>
        <v>6338</v>
      </c>
      <c r="Z168">
        <f t="shared" si="4"/>
        <v>129</v>
      </c>
      <c r="AA168">
        <f t="shared" si="3"/>
        <v>167.70000000000002</v>
      </c>
    </row>
    <row r="169" spans="9:27" x14ac:dyDescent="0.25">
      <c r="Z169">
        <f t="shared" si="4"/>
        <v>130</v>
      </c>
      <c r="AA169">
        <f t="shared" si="3"/>
        <v>169</v>
      </c>
    </row>
    <row r="179" spans="10:28" x14ac:dyDescent="0.25">
      <c r="J179">
        <v>1</v>
      </c>
      <c r="K179">
        <f>J179+1</f>
        <v>2</v>
      </c>
      <c r="L179">
        <f t="shared" ref="L179:AA179" si="5">K179+1</f>
        <v>3</v>
      </c>
      <c r="M179">
        <f t="shared" si="5"/>
        <v>4</v>
      </c>
      <c r="N179">
        <f t="shared" si="5"/>
        <v>5</v>
      </c>
      <c r="O179">
        <f t="shared" si="5"/>
        <v>6</v>
      </c>
      <c r="P179">
        <f t="shared" si="5"/>
        <v>7</v>
      </c>
      <c r="Q179">
        <f t="shared" si="5"/>
        <v>8</v>
      </c>
      <c r="R179">
        <f t="shared" si="5"/>
        <v>9</v>
      </c>
      <c r="S179">
        <f t="shared" si="5"/>
        <v>10</v>
      </c>
      <c r="T179">
        <f t="shared" si="5"/>
        <v>11</v>
      </c>
      <c r="U179">
        <f t="shared" si="5"/>
        <v>12</v>
      </c>
      <c r="V179">
        <f t="shared" si="5"/>
        <v>13</v>
      </c>
      <c r="W179">
        <f t="shared" si="5"/>
        <v>14</v>
      </c>
      <c r="X179">
        <f t="shared" si="5"/>
        <v>15</v>
      </c>
      <c r="Y179">
        <f t="shared" si="5"/>
        <v>16</v>
      </c>
      <c r="Z179">
        <f t="shared" si="5"/>
        <v>17</v>
      </c>
      <c r="AA179">
        <f t="shared" si="5"/>
        <v>18</v>
      </c>
    </row>
    <row r="180" spans="10:28" x14ac:dyDescent="0.25">
      <c r="J180" t="s">
        <v>421</v>
      </c>
      <c r="K180" t="s">
        <v>414</v>
      </c>
      <c r="L180" t="s">
        <v>416</v>
      </c>
      <c r="M180" t="s">
        <v>421</v>
      </c>
      <c r="N180" t="s">
        <v>421</v>
      </c>
      <c r="O180" t="s">
        <v>422</v>
      </c>
      <c r="P180" t="s">
        <v>423</v>
      </c>
      <c r="Q180" t="s">
        <v>423</v>
      </c>
      <c r="R180" t="s">
        <v>421</v>
      </c>
      <c r="S180" t="s">
        <v>421</v>
      </c>
      <c r="T180" t="s">
        <v>421</v>
      </c>
      <c r="U180" t="s">
        <v>423</v>
      </c>
      <c r="V180" t="s">
        <v>421</v>
      </c>
      <c r="W180" t="s">
        <v>423</v>
      </c>
      <c r="X180" t="s">
        <v>423</v>
      </c>
      <c r="Y180" t="s">
        <v>421</v>
      </c>
      <c r="Z180" t="s">
        <v>423</v>
      </c>
      <c r="AA180" t="s">
        <v>414</v>
      </c>
      <c r="AB180" t="s">
        <v>414</v>
      </c>
    </row>
    <row r="181" spans="10:28" x14ac:dyDescent="0.25">
      <c r="J181" t="s">
        <v>422</v>
      </c>
      <c r="K181" t="s">
        <v>415</v>
      </c>
      <c r="L181" t="s">
        <v>415</v>
      </c>
      <c r="M181" t="s">
        <v>416</v>
      </c>
      <c r="N181" t="s">
        <v>416</v>
      </c>
      <c r="O181" t="s">
        <v>422</v>
      </c>
      <c r="R181" t="s">
        <v>422</v>
      </c>
      <c r="S181" t="s">
        <v>416</v>
      </c>
      <c r="T181" t="s">
        <v>422</v>
      </c>
      <c r="V181" t="s">
        <v>422</v>
      </c>
      <c r="Y181" t="s">
        <v>414</v>
      </c>
      <c r="AA181" t="s">
        <v>422</v>
      </c>
      <c r="AB181" t="s">
        <v>422</v>
      </c>
    </row>
    <row r="182" spans="10:28" x14ac:dyDescent="0.25">
      <c r="J182" t="s">
        <v>415</v>
      </c>
      <c r="K182" t="s">
        <v>422</v>
      </c>
      <c r="L182" t="s">
        <v>422</v>
      </c>
      <c r="M182" t="s">
        <v>415</v>
      </c>
      <c r="N182" t="s">
        <v>415</v>
      </c>
      <c r="O182" t="s">
        <v>415</v>
      </c>
      <c r="R182" t="s">
        <v>422</v>
      </c>
      <c r="S182" t="s">
        <v>415</v>
      </c>
      <c r="T182" t="s">
        <v>415</v>
      </c>
      <c r="V182" t="s">
        <v>415</v>
      </c>
      <c r="Y182" t="s">
        <v>422</v>
      </c>
      <c r="AA182" t="s">
        <v>422</v>
      </c>
      <c r="AB182" t="s">
        <v>415</v>
      </c>
    </row>
    <row r="192" spans="10:28" x14ac:dyDescent="0.25">
      <c r="O192">
        <f>6/18</f>
        <v>0.33333333333333331</v>
      </c>
    </row>
    <row r="194" spans="8:26" x14ac:dyDescent="0.25">
      <c r="J194">
        <v>355</v>
      </c>
    </row>
    <row r="195" spans="8:26" x14ac:dyDescent="0.25">
      <c r="J195">
        <v>76</v>
      </c>
      <c r="K195">
        <f>J194-J195</f>
        <v>279</v>
      </c>
    </row>
    <row r="196" spans="8:26" x14ac:dyDescent="0.25">
      <c r="J196">
        <v>28</v>
      </c>
      <c r="K196">
        <f>K195-J196</f>
        <v>251</v>
      </c>
    </row>
    <row r="197" spans="8:26" x14ac:dyDescent="0.25">
      <c r="J197">
        <v>136</v>
      </c>
      <c r="K197">
        <f t="shared" ref="K197:K199" si="6">K196-J197</f>
        <v>115</v>
      </c>
    </row>
    <row r="198" spans="8:26" x14ac:dyDescent="0.25">
      <c r="J198">
        <v>70</v>
      </c>
      <c r="K198">
        <f t="shared" si="6"/>
        <v>45</v>
      </c>
    </row>
    <row r="199" spans="8:26" x14ac:dyDescent="0.25">
      <c r="K199">
        <f t="shared" si="6"/>
        <v>45</v>
      </c>
      <c r="R199" t="s">
        <v>397</v>
      </c>
      <c r="S199" t="s">
        <v>87</v>
      </c>
      <c r="T199" t="s">
        <v>409</v>
      </c>
      <c r="U199" t="s">
        <v>17</v>
      </c>
      <c r="V199" t="s">
        <v>424</v>
      </c>
      <c r="Z199" t="s">
        <v>425</v>
      </c>
    </row>
    <row r="200" spans="8:26" x14ac:dyDescent="0.25">
      <c r="Q200">
        <v>1</v>
      </c>
      <c r="R200">
        <v>15</v>
      </c>
      <c r="S200">
        <v>27</v>
      </c>
      <c r="T200">
        <v>22</v>
      </c>
      <c r="U200">
        <v>14</v>
      </c>
      <c r="V200">
        <v>32</v>
      </c>
      <c r="Z200">
        <v>152</v>
      </c>
    </row>
    <row r="201" spans="8:26" x14ac:dyDescent="0.25">
      <c r="Q201">
        <v>2</v>
      </c>
      <c r="R201">
        <v>16</v>
      </c>
      <c r="S201">
        <v>23</v>
      </c>
      <c r="T201">
        <v>19</v>
      </c>
      <c r="U201">
        <v>19</v>
      </c>
      <c r="V201">
        <v>27</v>
      </c>
      <c r="Z201">
        <v>140</v>
      </c>
    </row>
    <row r="202" spans="8:26" x14ac:dyDescent="0.25">
      <c r="H202" t="s">
        <v>397</v>
      </c>
      <c r="I202">
        <v>76</v>
      </c>
      <c r="J202">
        <f>I202</f>
        <v>76</v>
      </c>
      <c r="Q202">
        <v>3</v>
      </c>
      <c r="R202">
        <v>15</v>
      </c>
      <c r="S202">
        <v>23</v>
      </c>
      <c r="T202">
        <v>15</v>
      </c>
      <c r="U202">
        <v>15</v>
      </c>
      <c r="V202">
        <v>30</v>
      </c>
      <c r="Z202">
        <v>154</v>
      </c>
    </row>
    <row r="203" spans="8:26" x14ac:dyDescent="0.25">
      <c r="H203" t="s">
        <v>87</v>
      </c>
      <c r="I203">
        <v>193</v>
      </c>
      <c r="J203">
        <f>J202+I203</f>
        <v>269</v>
      </c>
      <c r="Q203">
        <v>4</v>
      </c>
      <c r="R203">
        <v>19</v>
      </c>
      <c r="S203">
        <v>24</v>
      </c>
      <c r="T203">
        <v>24</v>
      </c>
      <c r="U203">
        <v>16</v>
      </c>
      <c r="V203">
        <v>25</v>
      </c>
      <c r="Z203">
        <v>142</v>
      </c>
    </row>
    <row r="204" spans="8:26" x14ac:dyDescent="0.25">
      <c r="H204" t="s">
        <v>409</v>
      </c>
      <c r="I204">
        <v>136</v>
      </c>
      <c r="J204">
        <f t="shared" ref="J204:J209" si="7">J203+I204</f>
        <v>405</v>
      </c>
      <c r="Q204">
        <v>5</v>
      </c>
      <c r="R204">
        <v>23</v>
      </c>
      <c r="U204">
        <v>19</v>
      </c>
      <c r="V204">
        <v>33</v>
      </c>
      <c r="Z204">
        <v>148</v>
      </c>
    </row>
    <row r="205" spans="8:26" x14ac:dyDescent="0.25">
      <c r="H205" t="s">
        <v>17</v>
      </c>
      <c r="I205">
        <v>12</v>
      </c>
      <c r="J205">
        <f t="shared" si="7"/>
        <v>417</v>
      </c>
      <c r="Q205">
        <v>6</v>
      </c>
      <c r="R205">
        <v>15</v>
      </c>
      <c r="S205">
        <v>30</v>
      </c>
      <c r="T205">
        <v>17</v>
      </c>
      <c r="U205">
        <v>19</v>
      </c>
      <c r="V205">
        <v>32</v>
      </c>
      <c r="Z205">
        <v>146</v>
      </c>
    </row>
    <row r="206" spans="8:26" x14ac:dyDescent="0.25">
      <c r="H206" t="s">
        <v>424</v>
      </c>
      <c r="I206">
        <v>31</v>
      </c>
      <c r="J206">
        <f t="shared" si="7"/>
        <v>448</v>
      </c>
      <c r="L206">
        <v>343</v>
      </c>
      <c r="Q206">
        <v>7</v>
      </c>
      <c r="R206">
        <v>17</v>
      </c>
      <c r="S206">
        <v>25</v>
      </c>
      <c r="T206">
        <v>23</v>
      </c>
      <c r="U206">
        <v>14</v>
      </c>
      <c r="V206">
        <v>26</v>
      </c>
      <c r="Z206">
        <v>154</v>
      </c>
    </row>
    <row r="207" spans="8:26" x14ac:dyDescent="0.25">
      <c r="H207" t="s">
        <v>425</v>
      </c>
      <c r="I207">
        <v>150</v>
      </c>
      <c r="J207">
        <f t="shared" si="7"/>
        <v>598</v>
      </c>
      <c r="Q207">
        <v>8</v>
      </c>
      <c r="R207">
        <v>16</v>
      </c>
      <c r="T207">
        <v>20</v>
      </c>
      <c r="V207">
        <v>26</v>
      </c>
      <c r="Z207">
        <v>140</v>
      </c>
    </row>
    <row r="208" spans="8:26" x14ac:dyDescent="0.25">
      <c r="H208" t="s">
        <v>17</v>
      </c>
      <c r="I208">
        <v>70</v>
      </c>
      <c r="J208">
        <f t="shared" si="7"/>
        <v>668</v>
      </c>
      <c r="Q208">
        <v>9</v>
      </c>
      <c r="T208">
        <v>16</v>
      </c>
      <c r="U208">
        <v>14</v>
      </c>
      <c r="V208">
        <v>30</v>
      </c>
      <c r="Z208">
        <v>162</v>
      </c>
    </row>
    <row r="209" spans="5:29" x14ac:dyDescent="0.25">
      <c r="H209" t="s">
        <v>409</v>
      </c>
      <c r="I209">
        <v>136</v>
      </c>
      <c r="J209">
        <f t="shared" si="7"/>
        <v>804</v>
      </c>
      <c r="Q209">
        <v>10</v>
      </c>
      <c r="R209">
        <v>15</v>
      </c>
      <c r="S209">
        <v>27</v>
      </c>
      <c r="T209">
        <v>23</v>
      </c>
      <c r="U209">
        <v>13</v>
      </c>
      <c r="V209">
        <v>32</v>
      </c>
      <c r="Z209">
        <v>158</v>
      </c>
    </row>
    <row r="210" spans="5:29" x14ac:dyDescent="0.25">
      <c r="Q210">
        <v>11</v>
      </c>
      <c r="R210">
        <v>15</v>
      </c>
      <c r="S210">
        <v>23</v>
      </c>
      <c r="T210">
        <v>15</v>
      </c>
      <c r="U210">
        <v>15</v>
      </c>
      <c r="V210">
        <v>30</v>
      </c>
      <c r="Z210">
        <v>150</v>
      </c>
    </row>
    <row r="211" spans="5:29" x14ac:dyDescent="0.25">
      <c r="E211" t="s">
        <v>427</v>
      </c>
      <c r="H211" t="s">
        <v>426</v>
      </c>
      <c r="I211">
        <v>60</v>
      </c>
      <c r="Q211">
        <v>12</v>
      </c>
      <c r="R211">
        <v>16</v>
      </c>
      <c r="T211">
        <v>22</v>
      </c>
      <c r="U211">
        <v>16</v>
      </c>
      <c r="V211">
        <v>26</v>
      </c>
      <c r="Z211">
        <v>138</v>
      </c>
    </row>
    <row r="212" spans="5:29" x14ac:dyDescent="0.25">
      <c r="Q212">
        <v>13</v>
      </c>
      <c r="R212">
        <v>17</v>
      </c>
      <c r="S212">
        <v>28</v>
      </c>
      <c r="T212">
        <v>15</v>
      </c>
      <c r="U212">
        <v>14</v>
      </c>
      <c r="V212">
        <v>25</v>
      </c>
      <c r="Z212">
        <v>146</v>
      </c>
    </row>
    <row r="213" spans="5:29" x14ac:dyDescent="0.25">
      <c r="Q213">
        <v>14</v>
      </c>
      <c r="R213">
        <v>16</v>
      </c>
      <c r="S213">
        <v>24</v>
      </c>
      <c r="T213">
        <v>21</v>
      </c>
      <c r="U213">
        <v>12</v>
      </c>
      <c r="V213">
        <v>30</v>
      </c>
      <c r="Z213">
        <v>140</v>
      </c>
      <c r="AA213">
        <f>17+25+28</f>
        <v>70</v>
      </c>
      <c r="AC213">
        <f>20+25+28</f>
        <v>73</v>
      </c>
    </row>
    <row r="214" spans="5:29" x14ac:dyDescent="0.25">
      <c r="Q214">
        <v>15</v>
      </c>
      <c r="R214">
        <v>22</v>
      </c>
      <c r="S214">
        <v>27</v>
      </c>
      <c r="T214">
        <v>19</v>
      </c>
      <c r="U214">
        <v>17</v>
      </c>
      <c r="V214">
        <v>27</v>
      </c>
      <c r="Z214">
        <v>152</v>
      </c>
      <c r="AA214">
        <f>AA213*2</f>
        <v>140</v>
      </c>
      <c r="AC214">
        <f>AC213*2</f>
        <v>146</v>
      </c>
    </row>
    <row r="215" spans="5:29" x14ac:dyDescent="0.25">
      <c r="Q215">
        <v>16</v>
      </c>
      <c r="R215">
        <v>16</v>
      </c>
      <c r="S215">
        <v>29</v>
      </c>
      <c r="T215">
        <v>15</v>
      </c>
      <c r="U215">
        <v>16</v>
      </c>
      <c r="V215">
        <v>28</v>
      </c>
      <c r="Z215">
        <v>132</v>
      </c>
    </row>
    <row r="216" spans="5:29" x14ac:dyDescent="0.25">
      <c r="Q216">
        <v>17</v>
      </c>
      <c r="R216">
        <v>18</v>
      </c>
      <c r="S216">
        <v>28</v>
      </c>
      <c r="T216">
        <v>21</v>
      </c>
      <c r="U216">
        <v>15</v>
      </c>
      <c r="V216">
        <v>33</v>
      </c>
    </row>
    <row r="217" spans="5:29" x14ac:dyDescent="0.25">
      <c r="Q217">
        <v>18</v>
      </c>
      <c r="R217">
        <v>16</v>
      </c>
      <c r="S217">
        <v>27</v>
      </c>
      <c r="T217">
        <v>18</v>
      </c>
      <c r="U217">
        <v>17</v>
      </c>
      <c r="V217">
        <v>25</v>
      </c>
    </row>
    <row r="218" spans="5:29" x14ac:dyDescent="0.25">
      <c r="G218" t="s">
        <v>432</v>
      </c>
      <c r="H218">
        <v>136</v>
      </c>
      <c r="J218">
        <v>15</v>
      </c>
      <c r="Q218">
        <v>19</v>
      </c>
      <c r="R218">
        <v>17</v>
      </c>
      <c r="S218">
        <v>23</v>
      </c>
      <c r="T218">
        <v>23</v>
      </c>
      <c r="U218">
        <v>14</v>
      </c>
      <c r="V218">
        <v>27</v>
      </c>
    </row>
    <row r="219" spans="5:29" x14ac:dyDescent="0.25">
      <c r="G219" t="s">
        <v>432</v>
      </c>
      <c r="H219">
        <v>136</v>
      </c>
      <c r="J219">
        <v>28</v>
      </c>
      <c r="Q219">
        <v>20</v>
      </c>
      <c r="R219">
        <v>22</v>
      </c>
      <c r="S219">
        <v>24</v>
      </c>
      <c r="T219">
        <v>23</v>
      </c>
      <c r="U219">
        <v>12</v>
      </c>
      <c r="V219">
        <v>27</v>
      </c>
    </row>
    <row r="220" spans="5:29" x14ac:dyDescent="0.25">
      <c r="G220" t="s">
        <v>397</v>
      </c>
      <c r="H220">
        <v>76</v>
      </c>
      <c r="J220">
        <v>140</v>
      </c>
      <c r="Q220" t="s">
        <v>428</v>
      </c>
      <c r="R220">
        <f>MAX(R200:R219)</f>
        <v>23</v>
      </c>
      <c r="S220">
        <f t="shared" ref="S220:V220" si="8">MAX(S200:S219)</f>
        <v>30</v>
      </c>
      <c r="T220">
        <f t="shared" si="8"/>
        <v>24</v>
      </c>
      <c r="U220">
        <f t="shared" si="8"/>
        <v>19</v>
      </c>
      <c r="V220">
        <f t="shared" si="8"/>
        <v>33</v>
      </c>
      <c r="Y220" t="s">
        <v>428</v>
      </c>
      <c r="Z220">
        <f t="shared" ref="Z220" si="9">MAX(Z200:Z219)</f>
        <v>162</v>
      </c>
      <c r="AA220">
        <f>Z220+6</f>
        <v>168</v>
      </c>
      <c r="AB220">
        <f>AA220+6</f>
        <v>174</v>
      </c>
    </row>
    <row r="221" spans="5:29" x14ac:dyDescent="0.25">
      <c r="G221" t="s">
        <v>87</v>
      </c>
      <c r="H221">
        <v>193</v>
      </c>
      <c r="Q221" t="s">
        <v>429</v>
      </c>
      <c r="R221">
        <f>MIN(R200:R219)</f>
        <v>15</v>
      </c>
      <c r="S221">
        <f t="shared" ref="S221:V221" si="10">MIN(S200:S219)</f>
        <v>23</v>
      </c>
      <c r="T221">
        <f t="shared" si="10"/>
        <v>15</v>
      </c>
      <c r="U221">
        <f t="shared" si="10"/>
        <v>12</v>
      </c>
      <c r="V221">
        <f t="shared" si="10"/>
        <v>25</v>
      </c>
      <c r="Y221" t="s">
        <v>429</v>
      </c>
      <c r="Z221">
        <f t="shared" ref="Z221" si="11">MIN(Z200:Z219)</f>
        <v>132</v>
      </c>
      <c r="AA221">
        <f>Z221+6</f>
        <v>138</v>
      </c>
      <c r="AB221">
        <f>AA221+6</f>
        <v>144</v>
      </c>
    </row>
    <row r="222" spans="5:29" x14ac:dyDescent="0.25">
      <c r="G222" t="s">
        <v>17</v>
      </c>
      <c r="H222">
        <v>70</v>
      </c>
      <c r="Q222" t="s">
        <v>430</v>
      </c>
      <c r="R222">
        <f>R220-R221</f>
        <v>8</v>
      </c>
      <c r="S222">
        <f t="shared" ref="S222:V222" si="12">S220-S221</f>
        <v>7</v>
      </c>
      <c r="T222">
        <f t="shared" si="12"/>
        <v>9</v>
      </c>
      <c r="U222">
        <f t="shared" si="12"/>
        <v>7</v>
      </c>
      <c r="V222">
        <f t="shared" si="12"/>
        <v>8</v>
      </c>
      <c r="Y222" t="s">
        <v>430</v>
      </c>
      <c r="Z222">
        <f t="shared" ref="Z222" si="13">Z220-Z221</f>
        <v>30</v>
      </c>
    </row>
    <row r="223" spans="5:29" x14ac:dyDescent="0.25">
      <c r="Q223" t="s">
        <v>431</v>
      </c>
      <c r="R223">
        <f>AVERAGE(R200:R219)</f>
        <v>17.157894736842106</v>
      </c>
      <c r="S223">
        <f t="shared" ref="S223:V223" si="14">AVERAGE(S200:S219)</f>
        <v>25.75</v>
      </c>
      <c r="T223">
        <f t="shared" si="14"/>
        <v>19.526315789473685</v>
      </c>
      <c r="U223">
        <f t="shared" si="14"/>
        <v>15.315789473684211</v>
      </c>
      <c r="V223">
        <f t="shared" si="14"/>
        <v>28.55</v>
      </c>
      <c r="Y223" t="s">
        <v>431</v>
      </c>
      <c r="Z223">
        <f t="shared" ref="Z223" si="15">AVERAGE(Z200:Z219)</f>
        <v>147.125</v>
      </c>
      <c r="AA223">
        <f>AA221+15</f>
        <v>153</v>
      </c>
      <c r="AB223">
        <f>AB221+15</f>
        <v>159</v>
      </c>
    </row>
    <row r="224" spans="5:29" x14ac:dyDescent="0.25">
      <c r="H224">
        <f>SUM(H218:H222)</f>
        <v>611</v>
      </c>
      <c r="J224">
        <f>SUM(J218:J222)</f>
        <v>183</v>
      </c>
      <c r="K224">
        <f>SUM(H224:J224)</f>
        <v>794</v>
      </c>
    </row>
    <row r="229" spans="6:19" x14ac:dyDescent="0.25">
      <c r="F229">
        <v>76</v>
      </c>
    </row>
    <row r="230" spans="6:19" x14ac:dyDescent="0.25">
      <c r="F230">
        <v>193</v>
      </c>
    </row>
    <row r="231" spans="6:19" x14ac:dyDescent="0.25">
      <c r="F231">
        <v>136</v>
      </c>
    </row>
    <row r="232" spans="6:19" x14ac:dyDescent="0.25">
      <c r="F232">
        <v>12</v>
      </c>
    </row>
    <row r="233" spans="6:19" x14ac:dyDescent="0.25">
      <c r="F233">
        <v>56</v>
      </c>
    </row>
    <row r="234" spans="6:19" x14ac:dyDescent="0.25">
      <c r="F234">
        <v>70</v>
      </c>
    </row>
    <row r="235" spans="6:19" x14ac:dyDescent="0.25">
      <c r="F235">
        <v>136</v>
      </c>
      <c r="R235">
        <v>60243</v>
      </c>
    </row>
    <row r="236" spans="6:19" x14ac:dyDescent="0.25">
      <c r="F236">
        <v>76</v>
      </c>
      <c r="N236">
        <v>61635</v>
      </c>
      <c r="R236">
        <v>61235</v>
      </c>
    </row>
    <row r="237" spans="6:19" x14ac:dyDescent="0.25">
      <c r="F237">
        <v>25</v>
      </c>
      <c r="N237">
        <v>60324</v>
      </c>
      <c r="R237">
        <f>R236-R235</f>
        <v>992</v>
      </c>
      <c r="S237">
        <f>R237/60</f>
        <v>16.533333333333335</v>
      </c>
    </row>
    <row r="238" spans="6:19" x14ac:dyDescent="0.25">
      <c r="F238">
        <f>SUM(F229:F237)</f>
        <v>780</v>
      </c>
      <c r="N238">
        <f>N236-N237</f>
        <v>1311</v>
      </c>
      <c r="O238">
        <f>N238/60</f>
        <v>21.85</v>
      </c>
    </row>
    <row r="251" spans="12:17" x14ac:dyDescent="0.25">
      <c r="L251">
        <v>1200</v>
      </c>
      <c r="M251">
        <v>780</v>
      </c>
      <c r="P251">
        <v>1326</v>
      </c>
      <c r="Q251">
        <v>1354</v>
      </c>
    </row>
    <row r="252" spans="12:17" x14ac:dyDescent="0.25">
      <c r="L252">
        <v>1200</v>
      </c>
      <c r="M252">
        <v>780</v>
      </c>
    </row>
    <row r="253" spans="12:17" x14ac:dyDescent="0.25">
      <c r="L253">
        <f>1300*0.6</f>
        <v>780</v>
      </c>
      <c r="M253">
        <v>1300</v>
      </c>
    </row>
    <row r="254" spans="12:17" x14ac:dyDescent="0.25">
      <c r="L254">
        <v>1326</v>
      </c>
      <c r="M254">
        <v>1354</v>
      </c>
    </row>
    <row r="256" spans="12:17" x14ac:dyDescent="0.25">
      <c r="L256">
        <f>SUM(L251:L255)</f>
        <v>4506</v>
      </c>
      <c r="M256">
        <f>SUM(M251:M255)</f>
        <v>4214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C187"/>
  <sheetViews>
    <sheetView topLeftCell="B1" workbookViewId="0">
      <selection activeCell="R168" sqref="R168"/>
    </sheetView>
  </sheetViews>
  <sheetFormatPr defaultRowHeight="15" x14ac:dyDescent="0.25"/>
  <cols>
    <col min="22" max="22" width="15.42578125" customWidth="1"/>
  </cols>
  <sheetData>
    <row r="4" spans="2:25" x14ac:dyDescent="0.25">
      <c r="B4">
        <v>612</v>
      </c>
      <c r="G4">
        <v>625</v>
      </c>
    </row>
    <row r="5" spans="2:25" x14ac:dyDescent="0.25">
      <c r="B5" t="s">
        <v>433</v>
      </c>
    </row>
    <row r="7" spans="2:25" x14ac:dyDescent="0.25">
      <c r="B7" t="s">
        <v>17</v>
      </c>
      <c r="C7" t="s">
        <v>70</v>
      </c>
      <c r="D7" t="s">
        <v>441</v>
      </c>
      <c r="E7" t="s">
        <v>40</v>
      </c>
      <c r="G7" t="s">
        <v>17</v>
      </c>
      <c r="H7" t="s">
        <v>70</v>
      </c>
      <c r="I7" t="s">
        <v>441</v>
      </c>
      <c r="J7" t="s">
        <v>40</v>
      </c>
      <c r="Q7">
        <v>866163</v>
      </c>
    </row>
    <row r="8" spans="2:25" x14ac:dyDescent="0.25">
      <c r="B8" t="s">
        <v>434</v>
      </c>
      <c r="C8" t="s">
        <v>438</v>
      </c>
      <c r="D8" t="s">
        <v>442</v>
      </c>
      <c r="E8" t="s">
        <v>56</v>
      </c>
      <c r="G8" t="s">
        <v>434</v>
      </c>
      <c r="H8" t="s">
        <v>445</v>
      </c>
      <c r="I8" t="s">
        <v>435</v>
      </c>
      <c r="J8" t="s">
        <v>16</v>
      </c>
      <c r="Q8">
        <v>866299</v>
      </c>
    </row>
    <row r="9" spans="2:25" x14ac:dyDescent="0.25">
      <c r="B9" t="s">
        <v>435</v>
      </c>
      <c r="C9" t="s">
        <v>439</v>
      </c>
      <c r="D9" t="s">
        <v>443</v>
      </c>
      <c r="E9" t="s">
        <v>444</v>
      </c>
      <c r="G9" t="s">
        <v>96</v>
      </c>
      <c r="H9" t="s">
        <v>439</v>
      </c>
      <c r="I9" t="s">
        <v>442</v>
      </c>
      <c r="J9" t="s">
        <v>56</v>
      </c>
      <c r="Y9">
        <v>900</v>
      </c>
    </row>
    <row r="10" spans="2:25" x14ac:dyDescent="0.25">
      <c r="Y10">
        <v>2202</v>
      </c>
    </row>
    <row r="11" spans="2:25" x14ac:dyDescent="0.25">
      <c r="B11" t="s">
        <v>436</v>
      </c>
      <c r="C11" t="s">
        <v>24</v>
      </c>
      <c r="G11" t="s">
        <v>436</v>
      </c>
      <c r="H11" t="s">
        <v>24</v>
      </c>
      <c r="Y11">
        <v>1662</v>
      </c>
    </row>
    <row r="12" spans="2:25" x14ac:dyDescent="0.25">
      <c r="B12" t="s">
        <v>437</v>
      </c>
      <c r="C12" t="s">
        <v>16</v>
      </c>
      <c r="G12" t="s">
        <v>437</v>
      </c>
      <c r="H12" t="s">
        <v>16</v>
      </c>
      <c r="I12" t="s">
        <v>444</v>
      </c>
      <c r="N12">
        <v>1294</v>
      </c>
      <c r="P12">
        <v>1294</v>
      </c>
      <c r="Y12">
        <v>1826</v>
      </c>
    </row>
    <row r="13" spans="2:25" x14ac:dyDescent="0.25">
      <c r="B13" t="s">
        <v>29</v>
      </c>
      <c r="C13" t="s">
        <v>440</v>
      </c>
      <c r="G13" t="s">
        <v>29</v>
      </c>
      <c r="H13" t="s">
        <v>440</v>
      </c>
      <c r="N13">
        <v>1066</v>
      </c>
      <c r="P13">
        <v>1294</v>
      </c>
      <c r="Y13">
        <v>900</v>
      </c>
    </row>
    <row r="14" spans="2:25" x14ac:dyDescent="0.25">
      <c r="N14">
        <v>794</v>
      </c>
      <c r="P14">
        <v>1066</v>
      </c>
    </row>
    <row r="15" spans="2:25" x14ac:dyDescent="0.25">
      <c r="N15">
        <v>180</v>
      </c>
      <c r="P15">
        <v>794</v>
      </c>
      <c r="V15">
        <f>4600*2</f>
        <v>9200</v>
      </c>
      <c r="Y15">
        <f>SUM(Y9:Y14)</f>
        <v>7490</v>
      </c>
    </row>
    <row r="16" spans="2:25" x14ac:dyDescent="0.25">
      <c r="P16">
        <v>180</v>
      </c>
      <c r="V16">
        <f>360*2*2</f>
        <v>1440</v>
      </c>
    </row>
    <row r="17" spans="5:28" x14ac:dyDescent="0.25">
      <c r="V17">
        <f>1330</f>
        <v>1330</v>
      </c>
    </row>
    <row r="18" spans="5:28" x14ac:dyDescent="0.25">
      <c r="P18">
        <f>SUM(P12:P17)</f>
        <v>4628</v>
      </c>
      <c r="V18">
        <f>1018</f>
        <v>1018</v>
      </c>
    </row>
    <row r="19" spans="5:28" x14ac:dyDescent="0.25">
      <c r="V19">
        <f>SUM(V15:V18)</f>
        <v>12988</v>
      </c>
    </row>
    <row r="23" spans="5:28" x14ac:dyDescent="0.25">
      <c r="AB23">
        <v>900</v>
      </c>
    </row>
    <row r="24" spans="5:28" x14ac:dyDescent="0.25">
      <c r="N24" t="s">
        <v>451</v>
      </c>
      <c r="AB24">
        <v>1002</v>
      </c>
    </row>
    <row r="25" spans="5:28" x14ac:dyDescent="0.25">
      <c r="AB25">
        <v>1245</v>
      </c>
    </row>
    <row r="26" spans="5:28" x14ac:dyDescent="0.25">
      <c r="AB26">
        <v>527</v>
      </c>
    </row>
    <row r="27" spans="5:28" x14ac:dyDescent="0.25">
      <c r="E27">
        <v>43</v>
      </c>
      <c r="F27" t="s">
        <v>455</v>
      </c>
      <c r="G27">
        <v>133</v>
      </c>
      <c r="H27">
        <v>133</v>
      </c>
      <c r="J27">
        <v>43</v>
      </c>
      <c r="AB27">
        <v>837</v>
      </c>
    </row>
    <row r="28" spans="5:28" x14ac:dyDescent="0.25">
      <c r="E28">
        <v>44</v>
      </c>
      <c r="F28" t="s">
        <v>450</v>
      </c>
      <c r="G28">
        <v>615</v>
      </c>
      <c r="H28">
        <v>615</v>
      </c>
      <c r="I28">
        <v>615</v>
      </c>
      <c r="J28">
        <v>615</v>
      </c>
      <c r="M28" t="s">
        <v>456</v>
      </c>
    </row>
    <row r="29" spans="5:28" x14ac:dyDescent="0.25">
      <c r="F29" t="s">
        <v>24</v>
      </c>
      <c r="G29">
        <v>667</v>
      </c>
      <c r="H29">
        <v>667</v>
      </c>
      <c r="I29">
        <v>667</v>
      </c>
      <c r="J29">
        <v>667</v>
      </c>
      <c r="V29" t="s">
        <v>99</v>
      </c>
    </row>
    <row r="30" spans="5:28" x14ac:dyDescent="0.25">
      <c r="F30" t="s">
        <v>452</v>
      </c>
      <c r="G30">
        <v>527</v>
      </c>
      <c r="H30">
        <v>527</v>
      </c>
      <c r="J30">
        <v>527</v>
      </c>
      <c r="V30" t="s">
        <v>105</v>
      </c>
      <c r="W30">
        <v>17.5</v>
      </c>
      <c r="AB30">
        <f>SUM(AB23:AB29)</f>
        <v>4511</v>
      </c>
    </row>
    <row r="31" spans="5:28" x14ac:dyDescent="0.25">
      <c r="F31" t="s">
        <v>453</v>
      </c>
      <c r="G31">
        <f>361*2</f>
        <v>722</v>
      </c>
      <c r="I31">
        <v>722</v>
      </c>
      <c r="V31" t="s">
        <v>112</v>
      </c>
      <c r="W31">
        <v>14.8</v>
      </c>
    </row>
    <row r="32" spans="5:28" x14ac:dyDescent="0.25">
      <c r="F32" t="s">
        <v>454</v>
      </c>
      <c r="G32">
        <v>4571</v>
      </c>
      <c r="H32">
        <v>4571</v>
      </c>
      <c r="I32">
        <v>4571</v>
      </c>
      <c r="J32">
        <v>4571</v>
      </c>
      <c r="V32" t="s">
        <v>113</v>
      </c>
      <c r="W32">
        <v>8.1</v>
      </c>
    </row>
    <row r="33" spans="4:23" x14ac:dyDescent="0.25">
      <c r="G33">
        <f>SUM(G27:G32)</f>
        <v>7235</v>
      </c>
      <c r="H33">
        <f>SUM(H27:H32)</f>
        <v>6513</v>
      </c>
      <c r="I33">
        <f>SUM(I27:I32)</f>
        <v>6575</v>
      </c>
      <c r="J33">
        <f>SUM(J27:J32)</f>
        <v>6423</v>
      </c>
      <c r="V33" t="s">
        <v>114</v>
      </c>
      <c r="W33">
        <v>7.3</v>
      </c>
    </row>
    <row r="34" spans="4:23" x14ac:dyDescent="0.25">
      <c r="V34" t="s">
        <v>115</v>
      </c>
      <c r="W34">
        <v>9.1</v>
      </c>
    </row>
    <row r="35" spans="4:23" x14ac:dyDescent="0.25">
      <c r="V35" t="s">
        <v>116</v>
      </c>
      <c r="W35">
        <v>12.3</v>
      </c>
    </row>
    <row r="36" spans="4:23" x14ac:dyDescent="0.25">
      <c r="V36" t="s">
        <v>117</v>
      </c>
      <c r="W36">
        <v>13.1</v>
      </c>
    </row>
    <row r="37" spans="4:23" x14ac:dyDescent="0.25">
      <c r="V37" t="s">
        <v>118</v>
      </c>
      <c r="W37">
        <v>8.3000000000000007</v>
      </c>
    </row>
    <row r="38" spans="4:23" x14ac:dyDescent="0.25">
      <c r="V38" t="s">
        <v>119</v>
      </c>
      <c r="W38">
        <v>13.3</v>
      </c>
    </row>
    <row r="39" spans="4:23" x14ac:dyDescent="0.25">
      <c r="V39" t="s">
        <v>120</v>
      </c>
      <c r="W39">
        <v>7.7</v>
      </c>
    </row>
    <row r="40" spans="4:23" x14ac:dyDescent="0.25">
      <c r="J40" t="s">
        <v>475</v>
      </c>
      <c r="V40" t="s">
        <v>121</v>
      </c>
      <c r="W40">
        <v>13.1</v>
      </c>
    </row>
    <row r="41" spans="4:23" x14ac:dyDescent="0.25">
      <c r="V41" t="s">
        <v>122</v>
      </c>
      <c r="W41">
        <v>8.1</v>
      </c>
    </row>
    <row r="42" spans="4:23" x14ac:dyDescent="0.25">
      <c r="V42" t="s">
        <v>123</v>
      </c>
      <c r="W42">
        <v>12</v>
      </c>
    </row>
    <row r="43" spans="4:23" x14ac:dyDescent="0.25">
      <c r="V43" t="s">
        <v>124</v>
      </c>
      <c r="W43">
        <v>10.4</v>
      </c>
    </row>
    <row r="44" spans="4:23" x14ac:dyDescent="0.25">
      <c r="V44" t="s">
        <v>127</v>
      </c>
      <c r="W44">
        <v>11.3</v>
      </c>
    </row>
    <row r="45" spans="4:23" x14ac:dyDescent="0.25">
      <c r="E45" t="s">
        <v>477</v>
      </c>
      <c r="I45" t="s">
        <v>44</v>
      </c>
      <c r="N45" t="s">
        <v>477</v>
      </c>
      <c r="R45" t="s">
        <v>44</v>
      </c>
      <c r="V45" t="s">
        <v>128</v>
      </c>
      <c r="W45">
        <v>12.8</v>
      </c>
    </row>
    <row r="46" spans="4:23" x14ac:dyDescent="0.25">
      <c r="E46" t="s">
        <v>476</v>
      </c>
      <c r="F46" t="s">
        <v>478</v>
      </c>
      <c r="H46" t="s">
        <v>479</v>
      </c>
      <c r="I46" t="s">
        <v>480</v>
      </c>
      <c r="N46" t="s">
        <v>476</v>
      </c>
      <c r="O46" t="s">
        <v>478</v>
      </c>
      <c r="Q46" t="s">
        <v>479</v>
      </c>
      <c r="R46" t="s">
        <v>480</v>
      </c>
      <c r="V46" t="s">
        <v>134</v>
      </c>
      <c r="W46">
        <v>8.1999999999999993</v>
      </c>
    </row>
    <row r="47" spans="4:23" x14ac:dyDescent="0.25">
      <c r="E47" t="s">
        <v>47</v>
      </c>
      <c r="F47" t="s">
        <v>45</v>
      </c>
      <c r="G47" t="s">
        <v>415</v>
      </c>
      <c r="H47" t="s">
        <v>46</v>
      </c>
      <c r="I47" t="s">
        <v>48</v>
      </c>
      <c r="N47" t="s">
        <v>47</v>
      </c>
      <c r="O47" t="s">
        <v>45</v>
      </c>
      <c r="P47" t="s">
        <v>415</v>
      </c>
      <c r="Q47" t="s">
        <v>46</v>
      </c>
      <c r="R47" t="s">
        <v>48</v>
      </c>
      <c r="V47" t="s">
        <v>135</v>
      </c>
      <c r="W47">
        <v>9.3000000000000007</v>
      </c>
    </row>
    <row r="48" spans="4:23" x14ac:dyDescent="0.25">
      <c r="D48" t="s">
        <v>24</v>
      </c>
      <c r="E48">
        <v>414</v>
      </c>
      <c r="G48">
        <v>2042</v>
      </c>
      <c r="I48">
        <v>1380</v>
      </c>
      <c r="J48">
        <v>8.1</v>
      </c>
      <c r="M48" t="s">
        <v>24</v>
      </c>
      <c r="N48">
        <v>414</v>
      </c>
      <c r="P48">
        <v>2042</v>
      </c>
      <c r="R48">
        <v>1380</v>
      </c>
      <c r="S48">
        <v>8.1</v>
      </c>
      <c r="V48" t="s">
        <v>136</v>
      </c>
      <c r="W48">
        <v>10.8</v>
      </c>
    </row>
    <row r="49" spans="4:23" x14ac:dyDescent="0.25">
      <c r="D49" t="s">
        <v>17</v>
      </c>
      <c r="E49">
        <v>604</v>
      </c>
      <c r="G49">
        <v>1293</v>
      </c>
      <c r="I49">
        <v>1304</v>
      </c>
      <c r="J49">
        <v>8.1</v>
      </c>
      <c r="M49" t="s">
        <v>17</v>
      </c>
      <c r="N49">
        <v>604</v>
      </c>
      <c r="P49">
        <v>1293</v>
      </c>
      <c r="R49">
        <v>1304</v>
      </c>
      <c r="S49">
        <v>8.1</v>
      </c>
      <c r="V49" t="s">
        <v>140</v>
      </c>
      <c r="W49">
        <v>7.7</v>
      </c>
    </row>
    <row r="50" spans="4:23" x14ac:dyDescent="0.25">
      <c r="D50" t="s">
        <v>56</v>
      </c>
      <c r="E50">
        <v>1371</v>
      </c>
      <c r="J50">
        <v>2</v>
      </c>
      <c r="M50" t="s">
        <v>56</v>
      </c>
      <c r="N50">
        <v>900</v>
      </c>
      <c r="S50">
        <v>2</v>
      </c>
      <c r="V50" t="s">
        <v>205</v>
      </c>
      <c r="W50">
        <v>8.4</v>
      </c>
    </row>
    <row r="51" spans="4:23" x14ac:dyDescent="0.25">
      <c r="D51" t="s">
        <v>56</v>
      </c>
      <c r="E51">
        <v>1377</v>
      </c>
      <c r="J51">
        <v>2</v>
      </c>
      <c r="M51" t="s">
        <v>56</v>
      </c>
      <c r="N51">
        <v>900</v>
      </c>
      <c r="S51">
        <v>2</v>
      </c>
      <c r="V51" t="s">
        <v>470</v>
      </c>
      <c r="W51">
        <v>9.5</v>
      </c>
    </row>
    <row r="52" spans="4:23" x14ac:dyDescent="0.25">
      <c r="D52" t="s">
        <v>40</v>
      </c>
      <c r="E52">
        <v>398</v>
      </c>
      <c r="F52">
        <v>793</v>
      </c>
      <c r="H52">
        <v>1213</v>
      </c>
      <c r="I52">
        <v>1314</v>
      </c>
      <c r="J52">
        <v>8.1</v>
      </c>
      <c r="M52" t="s">
        <v>40</v>
      </c>
      <c r="N52">
        <v>390</v>
      </c>
      <c r="O52">
        <v>1213</v>
      </c>
      <c r="Q52">
        <v>793</v>
      </c>
      <c r="R52">
        <v>1314</v>
      </c>
      <c r="S52">
        <v>8.1</v>
      </c>
      <c r="V52" t="s">
        <v>473</v>
      </c>
      <c r="W52">
        <v>6.3</v>
      </c>
    </row>
    <row r="53" spans="4:23" x14ac:dyDescent="0.25">
      <c r="D53" t="s">
        <v>87</v>
      </c>
      <c r="E53">
        <v>388</v>
      </c>
      <c r="F53">
        <v>773</v>
      </c>
      <c r="H53">
        <v>1193</v>
      </c>
      <c r="I53">
        <v>1294</v>
      </c>
      <c r="J53">
        <v>8.1</v>
      </c>
      <c r="M53" t="s">
        <v>87</v>
      </c>
      <c r="N53">
        <v>1400</v>
      </c>
      <c r="O53">
        <v>350</v>
      </c>
      <c r="Q53">
        <v>700</v>
      </c>
      <c r="R53">
        <v>350</v>
      </c>
      <c r="S53">
        <v>8.1999999999999993</v>
      </c>
      <c r="V53" t="s">
        <v>474</v>
      </c>
      <c r="W53">
        <v>4.5999999999999996</v>
      </c>
    </row>
    <row r="54" spans="4:23" x14ac:dyDescent="0.25">
      <c r="D54" t="s">
        <v>24</v>
      </c>
      <c r="H54">
        <v>1200</v>
      </c>
      <c r="I54">
        <v>600</v>
      </c>
      <c r="J54">
        <v>7.7</v>
      </c>
      <c r="M54" t="s">
        <v>24</v>
      </c>
      <c r="O54">
        <v>1330</v>
      </c>
      <c r="Q54">
        <v>1330</v>
      </c>
      <c r="R54">
        <v>1330</v>
      </c>
      <c r="S54">
        <v>17.5</v>
      </c>
    </row>
    <row r="55" spans="4:23" x14ac:dyDescent="0.25">
      <c r="D55" t="s">
        <v>17</v>
      </c>
      <c r="H55">
        <v>600</v>
      </c>
      <c r="J55">
        <v>7.3</v>
      </c>
      <c r="M55" t="s">
        <v>17</v>
      </c>
      <c r="Q55">
        <v>600</v>
      </c>
      <c r="S55">
        <v>7.3</v>
      </c>
    </row>
    <row r="56" spans="4:23" x14ac:dyDescent="0.25">
      <c r="D56" t="s">
        <v>56</v>
      </c>
      <c r="F56">
        <v>1375</v>
      </c>
      <c r="H56">
        <v>720</v>
      </c>
      <c r="J56">
        <v>2</v>
      </c>
      <c r="M56" t="s">
        <v>56</v>
      </c>
      <c r="O56">
        <v>900</v>
      </c>
      <c r="S56">
        <v>2</v>
      </c>
    </row>
    <row r="57" spans="4:23" x14ac:dyDescent="0.25">
      <c r="D57" t="s">
        <v>56</v>
      </c>
      <c r="F57">
        <v>1375</v>
      </c>
      <c r="J57">
        <v>2</v>
      </c>
      <c r="M57" t="s">
        <v>56</v>
      </c>
      <c r="O57">
        <v>900</v>
      </c>
      <c r="S57">
        <v>2</v>
      </c>
    </row>
    <row r="58" spans="4:23" x14ac:dyDescent="0.25">
      <c r="E58">
        <f>SUM(E48:E57)</f>
        <v>4552</v>
      </c>
      <c r="F58">
        <f>SUM(F48:F57)</f>
        <v>4316</v>
      </c>
      <c r="G58">
        <f>SUM(G48:G57)</f>
        <v>3335</v>
      </c>
      <c r="H58">
        <f>SUM(H48:H57)</f>
        <v>4926</v>
      </c>
      <c r="I58">
        <f>SUM(I48:I57)</f>
        <v>5892</v>
      </c>
      <c r="M58" t="s">
        <v>40</v>
      </c>
      <c r="Q58">
        <v>720</v>
      </c>
      <c r="S58">
        <v>7.3</v>
      </c>
    </row>
    <row r="59" spans="4:23" x14ac:dyDescent="0.25">
      <c r="J59">
        <f>SUM(J48:J58)</f>
        <v>55.4</v>
      </c>
      <c r="K59">
        <v>65.2</v>
      </c>
      <c r="M59" t="s">
        <v>28</v>
      </c>
      <c r="O59">
        <v>350</v>
      </c>
      <c r="Q59">
        <v>700</v>
      </c>
      <c r="S59">
        <v>8.1999999999999993</v>
      </c>
    </row>
    <row r="60" spans="4:23" x14ac:dyDescent="0.25">
      <c r="N60">
        <f>SUM(N48:N57)</f>
        <v>4608</v>
      </c>
      <c r="O60">
        <f>SUM(O48:O59)</f>
        <v>5043</v>
      </c>
      <c r="P60">
        <f>SUM(P48:P57)</f>
        <v>3335</v>
      </c>
      <c r="Q60">
        <f>SUM(Q48:Q59)</f>
        <v>4843</v>
      </c>
      <c r="R60">
        <f>SUM(R48:R57)</f>
        <v>5678</v>
      </c>
    </row>
    <row r="61" spans="4:23" x14ac:dyDescent="0.25">
      <c r="S61">
        <f>SUM(S48:S60)</f>
        <v>80.8</v>
      </c>
    </row>
    <row r="71" spans="4:25" x14ac:dyDescent="0.25">
      <c r="D71" t="s">
        <v>38</v>
      </c>
      <c r="E71" t="s">
        <v>39</v>
      </c>
    </row>
    <row r="72" spans="4:25" x14ac:dyDescent="0.25">
      <c r="D72">
        <v>1200</v>
      </c>
      <c r="E72">
        <v>780</v>
      </c>
    </row>
    <row r="73" spans="4:25" x14ac:dyDescent="0.25">
      <c r="D73">
        <v>1200</v>
      </c>
      <c r="E73">
        <v>780</v>
      </c>
    </row>
    <row r="74" spans="4:25" x14ac:dyDescent="0.25">
      <c r="D74">
        <v>780</v>
      </c>
      <c r="E74">
        <v>1200</v>
      </c>
    </row>
    <row r="75" spans="4:25" x14ac:dyDescent="0.25">
      <c r="D75">
        <v>1350</v>
      </c>
      <c r="E75">
        <v>1350</v>
      </c>
    </row>
    <row r="76" spans="4:25" x14ac:dyDescent="0.25">
      <c r="Y76">
        <f>155*1.1</f>
        <v>170.5</v>
      </c>
    </row>
    <row r="79" spans="4:25" x14ac:dyDescent="0.25">
      <c r="D79">
        <f>SUM(D72:D78)</f>
        <v>4530</v>
      </c>
      <c r="E79">
        <f>SUM(E72:E78)</f>
        <v>4110</v>
      </c>
    </row>
    <row r="82" spans="10:25" x14ac:dyDescent="0.25">
      <c r="T82">
        <f>999-U82</f>
        <v>874</v>
      </c>
      <c r="U82">
        <v>125</v>
      </c>
    </row>
    <row r="83" spans="10:25" x14ac:dyDescent="0.25">
      <c r="T83">
        <f>T82*3</f>
        <v>2622</v>
      </c>
    </row>
    <row r="85" spans="10:25" x14ac:dyDescent="0.25">
      <c r="T85">
        <v>2642</v>
      </c>
      <c r="U85">
        <v>2630</v>
      </c>
      <c r="V85">
        <v>2634</v>
      </c>
      <c r="W85">
        <v>2648</v>
      </c>
      <c r="X85">
        <v>2628</v>
      </c>
      <c r="Y85">
        <v>2634</v>
      </c>
    </row>
    <row r="89" spans="10:25" x14ac:dyDescent="0.25">
      <c r="J89" t="s">
        <v>28</v>
      </c>
    </row>
    <row r="90" spans="10:25" x14ac:dyDescent="0.25">
      <c r="J90">
        <v>1800</v>
      </c>
    </row>
    <row r="91" spans="10:25" x14ac:dyDescent="0.25">
      <c r="J91">
        <v>950</v>
      </c>
    </row>
    <row r="93" spans="10:25" x14ac:dyDescent="0.25">
      <c r="J93">
        <f>SUM(J90:J92)</f>
        <v>2750</v>
      </c>
      <c r="U93">
        <f>MAX(T85:AC85)-MIN(T85:AC85)</f>
        <v>20</v>
      </c>
    </row>
    <row r="97" spans="10:25" x14ac:dyDescent="0.25">
      <c r="J97" t="s">
        <v>30</v>
      </c>
    </row>
    <row r="98" spans="10:25" x14ac:dyDescent="0.25">
      <c r="J98">
        <v>1800</v>
      </c>
      <c r="P98" t="s">
        <v>482</v>
      </c>
    </row>
    <row r="99" spans="10:25" x14ac:dyDescent="0.25">
      <c r="J99">
        <v>2200</v>
      </c>
    </row>
    <row r="100" spans="10:25" x14ac:dyDescent="0.25">
      <c r="J100">
        <v>2600</v>
      </c>
      <c r="O100" t="s">
        <v>110</v>
      </c>
      <c r="P100">
        <v>11000</v>
      </c>
      <c r="R100">
        <v>11000</v>
      </c>
    </row>
    <row r="101" spans="10:25" x14ac:dyDescent="0.25">
      <c r="J101">
        <v>1000</v>
      </c>
      <c r="O101" t="s">
        <v>483</v>
      </c>
      <c r="P101">
        <v>24800</v>
      </c>
    </row>
    <row r="102" spans="10:25" x14ac:dyDescent="0.25">
      <c r="N102" t="s">
        <v>486</v>
      </c>
      <c r="O102" t="s">
        <v>484</v>
      </c>
      <c r="P102">
        <f>P101+(10000*5)/6</f>
        <v>33133.333333333336</v>
      </c>
      <c r="R102">
        <f>R100+(10000*5)/6</f>
        <v>19333.333333333336</v>
      </c>
    </row>
    <row r="103" spans="10:25" x14ac:dyDescent="0.25">
      <c r="N103" t="s">
        <v>487</v>
      </c>
      <c r="O103" t="s">
        <v>485</v>
      </c>
      <c r="P103">
        <f>P102+(5100*6)/6</f>
        <v>38233.333333333336</v>
      </c>
      <c r="R103">
        <f>R102+60000/5</f>
        <v>31333.333333333336</v>
      </c>
    </row>
    <row r="104" spans="10:25" x14ac:dyDescent="0.25">
      <c r="J104">
        <f>SUM(J98:J103)</f>
        <v>7600</v>
      </c>
      <c r="N104" t="s">
        <v>493</v>
      </c>
      <c r="O104" t="s">
        <v>281</v>
      </c>
      <c r="Q104">
        <f>P103+(6*1600)/3</f>
        <v>41433.333333333336</v>
      </c>
    </row>
    <row r="105" spans="10:25" x14ac:dyDescent="0.25">
      <c r="N105" t="s">
        <v>491</v>
      </c>
      <c r="O105" t="s">
        <v>488</v>
      </c>
      <c r="P105">
        <f>P103+(7500*5+8500)/6</f>
        <v>45900</v>
      </c>
      <c r="R105">
        <f>R103+10000</f>
        <v>41333.333333333336</v>
      </c>
    </row>
    <row r="106" spans="10:25" x14ac:dyDescent="0.25">
      <c r="N106" t="s">
        <v>491</v>
      </c>
      <c r="O106" t="s">
        <v>489</v>
      </c>
      <c r="P106">
        <f>P105+(900*5+2500)/6</f>
        <v>47066.666666666664</v>
      </c>
      <c r="R106">
        <f>R105+(5100*5+6900)/6</f>
        <v>46733.333333333336</v>
      </c>
    </row>
    <row r="107" spans="10:25" x14ac:dyDescent="0.25">
      <c r="N107" t="s">
        <v>492</v>
      </c>
      <c r="O107" t="s">
        <v>490</v>
      </c>
      <c r="P107">
        <f>(900*3+6900)/6+P106</f>
        <v>48666.666666666664</v>
      </c>
      <c r="R107">
        <f>R106+(1600*5+3900)/6</f>
        <v>48716.666666666672</v>
      </c>
      <c r="X107">
        <v>319000</v>
      </c>
      <c r="Y107">
        <v>321290</v>
      </c>
    </row>
    <row r="108" spans="10:25" x14ac:dyDescent="0.25">
      <c r="X108">
        <v>324840</v>
      </c>
    </row>
    <row r="109" spans="10:25" x14ac:dyDescent="0.25">
      <c r="X109">
        <f>X108-X107</f>
        <v>5840</v>
      </c>
      <c r="Y109">
        <f>Y107-X107</f>
        <v>2290</v>
      </c>
    </row>
    <row r="110" spans="10:25" x14ac:dyDescent="0.25">
      <c r="X110">
        <f>X109/3600</f>
        <v>1.6222222222222222</v>
      </c>
      <c r="Y110">
        <f>Y109/3600</f>
        <v>0.63611111111111107</v>
      </c>
    </row>
    <row r="115" spans="5:29" x14ac:dyDescent="0.25">
      <c r="T115">
        <v>4500</v>
      </c>
    </row>
    <row r="117" spans="5:29" x14ac:dyDescent="0.25">
      <c r="E117" t="s">
        <v>495</v>
      </c>
      <c r="F117" t="s">
        <v>494</v>
      </c>
      <c r="M117" t="s">
        <v>494</v>
      </c>
      <c r="N117" t="s">
        <v>495</v>
      </c>
      <c r="S117" t="s">
        <v>17</v>
      </c>
      <c r="T117">
        <v>1600</v>
      </c>
    </row>
    <row r="118" spans="5:29" x14ac:dyDescent="0.25">
      <c r="E118">
        <v>47</v>
      </c>
      <c r="F118">
        <v>90</v>
      </c>
      <c r="G118">
        <v>241</v>
      </c>
      <c r="M118">
        <v>98</v>
      </c>
      <c r="N118">
        <v>86</v>
      </c>
      <c r="S118" t="s">
        <v>360</v>
      </c>
      <c r="T118">
        <v>1200</v>
      </c>
    </row>
    <row r="119" spans="5:29" x14ac:dyDescent="0.25">
      <c r="F119">
        <f>G118/F118</f>
        <v>2.6777777777777776</v>
      </c>
      <c r="M119">
        <v>92</v>
      </c>
      <c r="N119">
        <v>78</v>
      </c>
      <c r="S119" t="s">
        <v>70</v>
      </c>
      <c r="T119">
        <v>120</v>
      </c>
    </row>
    <row r="120" spans="5:29" x14ac:dyDescent="0.25">
      <c r="E120">
        <v>72</v>
      </c>
      <c r="F120">
        <v>83</v>
      </c>
      <c r="G120">
        <v>257</v>
      </c>
      <c r="S120" t="s">
        <v>16</v>
      </c>
      <c r="T120">
        <v>160</v>
      </c>
    </row>
    <row r="121" spans="5:29" x14ac:dyDescent="0.25">
      <c r="F121">
        <f>G120/F120</f>
        <v>3.0963855421686746</v>
      </c>
      <c r="S121" t="s">
        <v>87</v>
      </c>
      <c r="T121">
        <v>380</v>
      </c>
    </row>
    <row r="122" spans="5:29" x14ac:dyDescent="0.25">
      <c r="S122" t="s">
        <v>367</v>
      </c>
      <c r="T122">
        <v>380</v>
      </c>
    </row>
    <row r="123" spans="5:29" x14ac:dyDescent="0.25">
      <c r="Y123">
        <v>528500</v>
      </c>
      <c r="AA123">
        <v>535300</v>
      </c>
      <c r="AC123">
        <v>560133</v>
      </c>
    </row>
    <row r="124" spans="5:29" x14ac:dyDescent="0.25">
      <c r="S124" t="s">
        <v>17</v>
      </c>
      <c r="T124">
        <v>800</v>
      </c>
      <c r="U124">
        <v>7.3</v>
      </c>
      <c r="Y124">
        <v>537500</v>
      </c>
      <c r="AA124">
        <v>555200</v>
      </c>
      <c r="AC124">
        <v>560918</v>
      </c>
    </row>
    <row r="125" spans="5:29" x14ac:dyDescent="0.25">
      <c r="S125" t="s">
        <v>360</v>
      </c>
      <c r="T125">
        <v>0</v>
      </c>
      <c r="U125">
        <v>2</v>
      </c>
      <c r="Y125">
        <f>Y124-Y123</f>
        <v>9000</v>
      </c>
      <c r="AC125">
        <v>560877</v>
      </c>
    </row>
    <row r="126" spans="5:29" x14ac:dyDescent="0.25">
      <c r="S126" t="s">
        <v>16</v>
      </c>
      <c r="U126">
        <v>2.7</v>
      </c>
      <c r="Y126">
        <f>Y125/3600</f>
        <v>2.5</v>
      </c>
      <c r="AA126">
        <f>AA124-AA123</f>
        <v>19900</v>
      </c>
    </row>
    <row r="127" spans="5:29" x14ac:dyDescent="0.25">
      <c r="K127">
        <v>561071</v>
      </c>
      <c r="S127" t="s">
        <v>70</v>
      </c>
      <c r="T127">
        <v>0</v>
      </c>
      <c r="U127">
        <v>2</v>
      </c>
      <c r="AA127">
        <f>AA126/3600</f>
        <v>5.5277777777777777</v>
      </c>
    </row>
    <row r="128" spans="5:29" x14ac:dyDescent="0.25">
      <c r="K128">
        <v>562314</v>
      </c>
      <c r="N128">
        <v>576245</v>
      </c>
      <c r="S128" t="s">
        <v>367</v>
      </c>
      <c r="U128">
        <v>8.4</v>
      </c>
    </row>
    <row r="129" spans="11:21" x14ac:dyDescent="0.25">
      <c r="K129">
        <v>562178</v>
      </c>
      <c r="N129">
        <v>575757</v>
      </c>
      <c r="S129" t="s">
        <v>87</v>
      </c>
      <c r="T129">
        <v>0</v>
      </c>
      <c r="U129">
        <v>2</v>
      </c>
    </row>
    <row r="130" spans="11:21" x14ac:dyDescent="0.25">
      <c r="T130">
        <f>SUM(T117:T129)</f>
        <v>4640</v>
      </c>
      <c r="U130">
        <f>SUM(U125:U129)</f>
        <v>17.100000000000001</v>
      </c>
    </row>
    <row r="140" spans="11:21" x14ac:dyDescent="0.25">
      <c r="S140">
        <v>23.8</v>
      </c>
    </row>
    <row r="141" spans="11:21" x14ac:dyDescent="0.25">
      <c r="S141">
        <v>19.2</v>
      </c>
    </row>
    <row r="151" spans="10:15" x14ac:dyDescent="0.25">
      <c r="J151" t="s">
        <v>496</v>
      </c>
    </row>
    <row r="153" spans="10:15" x14ac:dyDescent="0.25">
      <c r="J153" t="s">
        <v>497</v>
      </c>
      <c r="L153">
        <v>-12</v>
      </c>
    </row>
    <row r="154" spans="10:15" x14ac:dyDescent="0.25">
      <c r="J154" t="s">
        <v>498</v>
      </c>
      <c r="L154">
        <v>-17</v>
      </c>
    </row>
    <row r="155" spans="10:15" x14ac:dyDescent="0.25">
      <c r="J155" t="s">
        <v>499</v>
      </c>
      <c r="L155">
        <v>-4</v>
      </c>
    </row>
    <row r="156" spans="10:15" x14ac:dyDescent="0.25">
      <c r="J156" t="s">
        <v>34</v>
      </c>
      <c r="L156">
        <v>4</v>
      </c>
      <c r="O156">
        <f>1405*2</f>
        <v>2810</v>
      </c>
    </row>
    <row r="157" spans="10:15" x14ac:dyDescent="0.25">
      <c r="J157" t="s">
        <v>500</v>
      </c>
      <c r="L157">
        <v>4</v>
      </c>
    </row>
    <row r="158" spans="10:15" x14ac:dyDescent="0.25">
      <c r="J158" t="s">
        <v>501</v>
      </c>
      <c r="L158">
        <v>8</v>
      </c>
    </row>
    <row r="159" spans="10:15" x14ac:dyDescent="0.25">
      <c r="J159" t="s">
        <v>502</v>
      </c>
      <c r="L159">
        <v>16</v>
      </c>
    </row>
    <row r="160" spans="10:15" x14ac:dyDescent="0.25">
      <c r="L160">
        <f>SUM(L153:L159)</f>
        <v>-1</v>
      </c>
    </row>
    <row r="171" spans="7:13" x14ac:dyDescent="0.25">
      <c r="H171" t="s">
        <v>477</v>
      </c>
      <c r="L171" t="s">
        <v>44</v>
      </c>
    </row>
    <row r="172" spans="7:13" x14ac:dyDescent="0.25">
      <c r="H172" t="s">
        <v>476</v>
      </c>
      <c r="I172" t="s">
        <v>478</v>
      </c>
      <c r="K172" t="s">
        <v>479</v>
      </c>
      <c r="L172" t="s">
        <v>480</v>
      </c>
    </row>
    <row r="173" spans="7:13" x14ac:dyDescent="0.25">
      <c r="H173" t="s">
        <v>47</v>
      </c>
      <c r="I173" t="s">
        <v>45</v>
      </c>
      <c r="J173" t="s">
        <v>415</v>
      </c>
      <c r="K173" t="s">
        <v>46</v>
      </c>
      <c r="L173" t="s">
        <v>48</v>
      </c>
    </row>
    <row r="174" spans="7:13" x14ac:dyDescent="0.25">
      <c r="G174" t="s">
        <v>24</v>
      </c>
      <c r="H174">
        <v>414</v>
      </c>
      <c r="J174">
        <v>2042</v>
      </c>
      <c r="L174">
        <v>1380</v>
      </c>
      <c r="M174">
        <v>8.1</v>
      </c>
    </row>
    <row r="175" spans="7:13" x14ac:dyDescent="0.25">
      <c r="G175" t="s">
        <v>17</v>
      </c>
      <c r="H175">
        <v>604</v>
      </c>
      <c r="J175">
        <v>1293</v>
      </c>
      <c r="L175">
        <v>1304</v>
      </c>
      <c r="M175">
        <v>8.1</v>
      </c>
    </row>
    <row r="176" spans="7:13" x14ac:dyDescent="0.25">
      <c r="G176" t="s">
        <v>29</v>
      </c>
      <c r="H176">
        <v>2700</v>
      </c>
      <c r="M176">
        <v>2</v>
      </c>
    </row>
    <row r="177" spans="4:13" x14ac:dyDescent="0.25">
      <c r="M177">
        <v>2</v>
      </c>
    </row>
    <row r="178" spans="4:13" x14ac:dyDescent="0.25">
      <c r="D178">
        <f>2000*0.3</f>
        <v>600</v>
      </c>
      <c r="G178" t="s">
        <v>40</v>
      </c>
      <c r="H178">
        <v>390</v>
      </c>
      <c r="I178">
        <v>1213</v>
      </c>
      <c r="K178">
        <v>793</v>
      </c>
      <c r="L178">
        <v>1314</v>
      </c>
      <c r="M178">
        <v>8.1</v>
      </c>
    </row>
    <row r="179" spans="4:13" x14ac:dyDescent="0.25">
      <c r="G179" t="s">
        <v>87</v>
      </c>
      <c r="H179">
        <v>370</v>
      </c>
      <c r="I179">
        <v>1193</v>
      </c>
      <c r="K179">
        <v>773</v>
      </c>
      <c r="L179">
        <v>1294</v>
      </c>
      <c r="M179">
        <v>8.1999999999999993</v>
      </c>
    </row>
    <row r="180" spans="4:13" x14ac:dyDescent="0.25">
      <c r="G180" t="s">
        <v>24</v>
      </c>
      <c r="I180">
        <v>1330</v>
      </c>
      <c r="K180">
        <v>1330</v>
      </c>
      <c r="L180">
        <v>1330</v>
      </c>
      <c r="M180">
        <v>17.5</v>
      </c>
    </row>
    <row r="181" spans="4:13" x14ac:dyDescent="0.25">
      <c r="G181" t="s">
        <v>17</v>
      </c>
      <c r="K181">
        <v>600</v>
      </c>
      <c r="M181">
        <v>7.3</v>
      </c>
    </row>
    <row r="182" spans="4:13" x14ac:dyDescent="0.25">
      <c r="G182" t="s">
        <v>29</v>
      </c>
      <c r="I182">
        <v>900</v>
      </c>
      <c r="M182">
        <v>2</v>
      </c>
    </row>
    <row r="183" spans="4:13" x14ac:dyDescent="0.25">
      <c r="M183">
        <v>2</v>
      </c>
    </row>
    <row r="184" spans="4:13" x14ac:dyDescent="0.25">
      <c r="G184" t="s">
        <v>40</v>
      </c>
      <c r="K184">
        <v>720</v>
      </c>
      <c r="M184">
        <v>7.3</v>
      </c>
    </row>
    <row r="185" spans="4:13" x14ac:dyDescent="0.25">
      <c r="G185" t="s">
        <v>87</v>
      </c>
      <c r="K185">
        <v>600</v>
      </c>
      <c r="M185">
        <v>8.1999999999999993</v>
      </c>
    </row>
    <row r="186" spans="4:13" x14ac:dyDescent="0.25">
      <c r="H186">
        <f>SUM(H174:H183)</f>
        <v>4478</v>
      </c>
      <c r="I186">
        <f>SUM(I174:I185)</f>
        <v>4636</v>
      </c>
      <c r="J186">
        <f>SUM(J174:J183)</f>
        <v>3335</v>
      </c>
      <c r="K186">
        <f>SUM(K174:K185)</f>
        <v>4816</v>
      </c>
      <c r="L186">
        <f>SUM(L174:L183)</f>
        <v>6622</v>
      </c>
    </row>
    <row r="187" spans="4:13" x14ac:dyDescent="0.25">
      <c r="M187">
        <f>SUM(M174:M186)</f>
        <v>80.8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4"/>
  <sheetViews>
    <sheetView workbookViewId="0">
      <selection activeCell="C3" sqref="C3:D24"/>
    </sheetView>
  </sheetViews>
  <sheetFormatPr defaultRowHeight="15" x14ac:dyDescent="0.25"/>
  <cols>
    <col min="3" max="3" width="31" customWidth="1"/>
  </cols>
  <sheetData>
    <row r="3" spans="3:4" x14ac:dyDescent="0.25">
      <c r="C3" t="s">
        <v>504</v>
      </c>
      <c r="D3" t="s">
        <v>503</v>
      </c>
    </row>
    <row r="4" spans="3:4" x14ac:dyDescent="0.25">
      <c r="C4" t="s">
        <v>505</v>
      </c>
      <c r="D4">
        <v>30</v>
      </c>
    </row>
    <row r="5" spans="3:4" x14ac:dyDescent="0.25">
      <c r="C5" t="s">
        <v>506</v>
      </c>
      <c r="D5">
        <v>50</v>
      </c>
    </row>
    <row r="6" spans="3:4" x14ac:dyDescent="0.25">
      <c r="C6" t="s">
        <v>507</v>
      </c>
      <c r="D6">
        <v>30</v>
      </c>
    </row>
    <row r="7" spans="3:4" x14ac:dyDescent="0.25">
      <c r="C7" t="s">
        <v>508</v>
      </c>
      <c r="D7">
        <v>50</v>
      </c>
    </row>
    <row r="8" spans="3:4" x14ac:dyDescent="0.25">
      <c r="C8" t="s">
        <v>509</v>
      </c>
      <c r="D8">
        <v>50</v>
      </c>
    </row>
    <row r="9" spans="3:4" x14ac:dyDescent="0.25">
      <c r="C9" t="s">
        <v>510</v>
      </c>
      <c r="D9">
        <v>90</v>
      </c>
    </row>
    <row r="10" spans="3:4" x14ac:dyDescent="0.25">
      <c r="C10" t="s">
        <v>511</v>
      </c>
      <c r="D10">
        <v>30</v>
      </c>
    </row>
    <row r="11" spans="3:4" x14ac:dyDescent="0.25">
      <c r="C11" t="s">
        <v>512</v>
      </c>
      <c r="D11">
        <v>30</v>
      </c>
    </row>
    <row r="12" spans="3:4" x14ac:dyDescent="0.25">
      <c r="C12" t="s">
        <v>513</v>
      </c>
      <c r="D12">
        <v>80</v>
      </c>
    </row>
    <row r="13" spans="3:4" x14ac:dyDescent="0.25">
      <c r="C13" t="s">
        <v>514</v>
      </c>
      <c r="D13">
        <v>70</v>
      </c>
    </row>
    <row r="14" spans="3:4" x14ac:dyDescent="0.25">
      <c r="C14" t="s">
        <v>515</v>
      </c>
      <c r="D14">
        <v>50</v>
      </c>
    </row>
    <row r="15" spans="3:4" x14ac:dyDescent="0.25">
      <c r="C15" t="s">
        <v>519</v>
      </c>
      <c r="D15">
        <v>50</v>
      </c>
    </row>
    <row r="16" spans="3:4" x14ac:dyDescent="0.25">
      <c r="C16" t="s">
        <v>516</v>
      </c>
      <c r="D16">
        <v>60</v>
      </c>
    </row>
    <row r="17" spans="3:5" x14ac:dyDescent="0.25">
      <c r="C17" t="s">
        <v>517</v>
      </c>
      <c r="D17">
        <v>80</v>
      </c>
      <c r="E17" t="s">
        <v>518</v>
      </c>
    </row>
    <row r="18" spans="3:5" x14ac:dyDescent="0.25">
      <c r="C18" t="s">
        <v>489</v>
      </c>
      <c r="D18">
        <v>70</v>
      </c>
    </row>
    <row r="19" spans="3:5" x14ac:dyDescent="0.25">
      <c r="C19" t="s">
        <v>520</v>
      </c>
      <c r="D19">
        <v>15</v>
      </c>
    </row>
    <row r="20" spans="3:5" x14ac:dyDescent="0.25">
      <c r="C20" t="s">
        <v>301</v>
      </c>
      <c r="D20">
        <v>70</v>
      </c>
    </row>
    <row r="21" spans="3:5" x14ac:dyDescent="0.25">
      <c r="C21" t="s">
        <v>521</v>
      </c>
      <c r="D21">
        <v>50</v>
      </c>
    </row>
    <row r="22" spans="3:5" x14ac:dyDescent="0.25">
      <c r="C22" t="s">
        <v>522</v>
      </c>
      <c r="D22">
        <v>70</v>
      </c>
    </row>
    <row r="23" spans="3:5" x14ac:dyDescent="0.25">
      <c r="C23" t="s">
        <v>523</v>
      </c>
      <c r="D23">
        <v>50</v>
      </c>
    </row>
    <row r="24" spans="3:5" x14ac:dyDescent="0.25">
      <c r="C24" t="s">
        <v>524</v>
      </c>
      <c r="D24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52"/>
  <sheetViews>
    <sheetView workbookViewId="0">
      <selection activeCell="H31" sqref="H31"/>
    </sheetView>
  </sheetViews>
  <sheetFormatPr defaultRowHeight="15" x14ac:dyDescent="0.25"/>
  <cols>
    <col min="2" max="2" width="15.140625" customWidth="1"/>
    <col min="6" max="6" width="15.28515625" customWidth="1"/>
  </cols>
  <sheetData>
    <row r="2" spans="2:21" x14ac:dyDescent="0.25">
      <c r="B2" t="s">
        <v>110</v>
      </c>
      <c r="C2" t="s">
        <v>109</v>
      </c>
      <c r="F2" t="s">
        <v>106</v>
      </c>
      <c r="G2" t="s">
        <v>109</v>
      </c>
    </row>
    <row r="3" spans="2:21" x14ac:dyDescent="0.25">
      <c r="B3" t="s">
        <v>107</v>
      </c>
      <c r="C3" t="s">
        <v>111</v>
      </c>
      <c r="F3" t="s">
        <v>107</v>
      </c>
      <c r="G3" t="s">
        <v>108</v>
      </c>
    </row>
    <row r="5" spans="2:21" x14ac:dyDescent="0.25">
      <c r="B5" t="s">
        <v>99</v>
      </c>
      <c r="F5" t="s">
        <v>100</v>
      </c>
    </row>
    <row r="6" spans="2:21" x14ac:dyDescent="0.25">
      <c r="B6" t="s">
        <v>105</v>
      </c>
      <c r="C6">
        <v>17.5</v>
      </c>
      <c r="F6" t="s">
        <v>101</v>
      </c>
      <c r="G6">
        <v>4</v>
      </c>
    </row>
    <row r="7" spans="2:21" x14ac:dyDescent="0.25">
      <c r="B7" t="s">
        <v>112</v>
      </c>
      <c r="C7">
        <v>14.8</v>
      </c>
      <c r="F7" t="s">
        <v>102</v>
      </c>
      <c r="G7">
        <v>11.7</v>
      </c>
    </row>
    <row r="8" spans="2:21" x14ac:dyDescent="0.25">
      <c r="B8" t="s">
        <v>113</v>
      </c>
      <c r="C8">
        <v>8.1</v>
      </c>
      <c r="F8" t="s">
        <v>103</v>
      </c>
      <c r="G8">
        <v>5</v>
      </c>
      <c r="O8" t="s">
        <v>138</v>
      </c>
      <c r="R8" t="s">
        <v>142</v>
      </c>
      <c r="U8" t="s">
        <v>149</v>
      </c>
    </row>
    <row r="9" spans="2:21" x14ac:dyDescent="0.25">
      <c r="B9" t="s">
        <v>114</v>
      </c>
      <c r="C9">
        <v>7.3</v>
      </c>
      <c r="F9" t="s">
        <v>104</v>
      </c>
      <c r="G9">
        <v>9.5</v>
      </c>
      <c r="N9" t="s">
        <v>139</v>
      </c>
      <c r="O9">
        <f>C17*4</f>
        <v>32.4</v>
      </c>
      <c r="Q9" t="s">
        <v>144</v>
      </c>
      <c r="R9">
        <f>3*C17</f>
        <v>24.299999999999997</v>
      </c>
      <c r="T9" t="s">
        <v>150</v>
      </c>
      <c r="U9">
        <f>C20*3</f>
        <v>33.900000000000006</v>
      </c>
    </row>
    <row r="10" spans="2:21" x14ac:dyDescent="0.25">
      <c r="B10" t="s">
        <v>115</v>
      </c>
      <c r="C10">
        <v>9.1</v>
      </c>
      <c r="F10" t="s">
        <v>125</v>
      </c>
      <c r="G10">
        <v>4.9000000000000004</v>
      </c>
      <c r="N10" t="s">
        <v>131</v>
      </c>
      <c r="O10">
        <v>4.5999999999999996</v>
      </c>
      <c r="Q10" t="s">
        <v>145</v>
      </c>
      <c r="R10">
        <f>C19</f>
        <v>10.4</v>
      </c>
      <c r="T10" t="s">
        <v>125</v>
      </c>
      <c r="U10">
        <f>G10</f>
        <v>4.9000000000000004</v>
      </c>
    </row>
    <row r="11" spans="2:21" x14ac:dyDescent="0.25">
      <c r="B11" t="s">
        <v>116</v>
      </c>
      <c r="C11">
        <v>12.3</v>
      </c>
      <c r="F11" t="s">
        <v>126</v>
      </c>
      <c r="G11">
        <v>7.9</v>
      </c>
      <c r="N11" t="s">
        <v>141</v>
      </c>
      <c r="O11">
        <v>7.7</v>
      </c>
      <c r="Q11" t="s">
        <v>126</v>
      </c>
      <c r="R11">
        <f>G17</f>
        <v>15.7</v>
      </c>
      <c r="T11" t="s">
        <v>141</v>
      </c>
      <c r="U11">
        <v>7.7</v>
      </c>
    </row>
    <row r="12" spans="2:21" x14ac:dyDescent="0.25">
      <c r="B12" t="s">
        <v>117</v>
      </c>
      <c r="C12">
        <v>13.1</v>
      </c>
      <c r="F12" t="s">
        <v>129</v>
      </c>
      <c r="G12">
        <v>4.5</v>
      </c>
      <c r="N12" t="s">
        <v>118</v>
      </c>
      <c r="O12">
        <v>8.3000000000000007</v>
      </c>
      <c r="Q12" t="s">
        <v>146</v>
      </c>
      <c r="R12">
        <f>G17</f>
        <v>15.7</v>
      </c>
      <c r="T12" t="s">
        <v>115</v>
      </c>
      <c r="U12">
        <v>9.1</v>
      </c>
    </row>
    <row r="13" spans="2:21" x14ac:dyDescent="0.25">
      <c r="B13" t="s">
        <v>118</v>
      </c>
      <c r="C13">
        <v>8.3000000000000007</v>
      </c>
      <c r="F13" t="s">
        <v>130</v>
      </c>
      <c r="G13">
        <v>3.6</v>
      </c>
      <c r="N13" t="s">
        <v>131</v>
      </c>
      <c r="O13">
        <v>4.5999999999999996</v>
      </c>
      <c r="Q13" t="s">
        <v>141</v>
      </c>
      <c r="R13">
        <f>C25</f>
        <v>7.7</v>
      </c>
      <c r="T13" t="s">
        <v>148</v>
      </c>
      <c r="U13">
        <v>2.5</v>
      </c>
    </row>
    <row r="14" spans="2:21" x14ac:dyDescent="0.25">
      <c r="B14" t="s">
        <v>119</v>
      </c>
      <c r="C14">
        <v>13.3</v>
      </c>
      <c r="F14" t="s">
        <v>131</v>
      </c>
      <c r="G14">
        <v>4.5999999999999996</v>
      </c>
      <c r="O14">
        <f>SUM(O9:O13)</f>
        <v>57.6</v>
      </c>
      <c r="Q14" t="s">
        <v>147</v>
      </c>
      <c r="R14">
        <f>C9</f>
        <v>7.3</v>
      </c>
      <c r="T14" t="s">
        <v>151</v>
      </c>
      <c r="U14">
        <v>7.3</v>
      </c>
    </row>
    <row r="15" spans="2:21" x14ac:dyDescent="0.25">
      <c r="B15" t="s">
        <v>120</v>
      </c>
      <c r="C15">
        <v>7.7</v>
      </c>
      <c r="F15" t="s">
        <v>132</v>
      </c>
      <c r="G15">
        <v>4.3</v>
      </c>
      <c r="Q15" t="s">
        <v>148</v>
      </c>
      <c r="R15">
        <v>2.5</v>
      </c>
    </row>
    <row r="16" spans="2:21" x14ac:dyDescent="0.25">
      <c r="B16" t="s">
        <v>121</v>
      </c>
      <c r="C16">
        <v>13.1</v>
      </c>
      <c r="F16" t="s">
        <v>133</v>
      </c>
      <c r="G16">
        <v>2.7</v>
      </c>
      <c r="R16">
        <f>SUM(R9:R15)</f>
        <v>83.6</v>
      </c>
      <c r="U16">
        <f>SUM(U9:U15)</f>
        <v>65.400000000000006</v>
      </c>
    </row>
    <row r="17" spans="2:22" x14ac:dyDescent="0.25">
      <c r="B17" t="s">
        <v>122</v>
      </c>
      <c r="C17">
        <v>8.1</v>
      </c>
      <c r="F17" t="s">
        <v>143</v>
      </c>
      <c r="G17">
        <v>15.7</v>
      </c>
    </row>
    <row r="18" spans="2:22" x14ac:dyDescent="0.25">
      <c r="B18" t="s">
        <v>123</v>
      </c>
      <c r="C18">
        <v>12</v>
      </c>
      <c r="O18" t="s">
        <v>138</v>
      </c>
    </row>
    <row r="19" spans="2:22" x14ac:dyDescent="0.25">
      <c r="B19" t="s">
        <v>124</v>
      </c>
      <c r="C19">
        <v>10.4</v>
      </c>
      <c r="N19" t="s">
        <v>139</v>
      </c>
      <c r="O19">
        <v>32.4</v>
      </c>
    </row>
    <row r="20" spans="2:22" x14ac:dyDescent="0.25">
      <c r="B20" t="s">
        <v>127</v>
      </c>
      <c r="C20">
        <v>11.3</v>
      </c>
      <c r="N20" t="s">
        <v>131</v>
      </c>
      <c r="O20">
        <v>4.5999999999999996</v>
      </c>
    </row>
    <row r="21" spans="2:22" x14ac:dyDescent="0.25">
      <c r="B21" t="s">
        <v>128</v>
      </c>
      <c r="C21">
        <v>12.8</v>
      </c>
      <c r="N21" t="s">
        <v>152</v>
      </c>
      <c r="O21">
        <v>17.5</v>
      </c>
    </row>
    <row r="22" spans="2:22" x14ac:dyDescent="0.25">
      <c r="B22" t="s">
        <v>134</v>
      </c>
      <c r="C22">
        <v>8.1999999999999993</v>
      </c>
      <c r="N22" t="s">
        <v>153</v>
      </c>
      <c r="O22">
        <v>7.7</v>
      </c>
    </row>
    <row r="23" spans="2:22" x14ac:dyDescent="0.25">
      <c r="B23" t="s">
        <v>135</v>
      </c>
      <c r="C23">
        <v>9.3000000000000007</v>
      </c>
      <c r="N23" t="s">
        <v>131</v>
      </c>
      <c r="O23">
        <v>4.5999999999999996</v>
      </c>
      <c r="U23">
        <f>2000+800</f>
        <v>2800</v>
      </c>
      <c r="V23">
        <f>U23+1500</f>
        <v>4300</v>
      </c>
    </row>
    <row r="24" spans="2:22" x14ac:dyDescent="0.25">
      <c r="B24" t="s">
        <v>136</v>
      </c>
      <c r="C24">
        <v>10.8</v>
      </c>
      <c r="O24">
        <f>SUM(O19:O23)</f>
        <v>66.8</v>
      </c>
    </row>
    <row r="25" spans="2:22" x14ac:dyDescent="0.25">
      <c r="B25" t="s">
        <v>140</v>
      </c>
      <c r="C25">
        <v>7.7</v>
      </c>
    </row>
    <row r="29" spans="2:22" x14ac:dyDescent="0.25">
      <c r="M29" t="s">
        <v>155</v>
      </c>
      <c r="P29" t="s">
        <v>158</v>
      </c>
    </row>
    <row r="30" spans="2:22" x14ac:dyDescent="0.25">
      <c r="L30" t="s">
        <v>156</v>
      </c>
      <c r="M30">
        <f>8.3*2</f>
        <v>16.600000000000001</v>
      </c>
      <c r="O30" t="s">
        <v>159</v>
      </c>
      <c r="P30">
        <f>C20*2</f>
        <v>22.6</v>
      </c>
    </row>
    <row r="31" spans="2:22" x14ac:dyDescent="0.25">
      <c r="L31" t="s">
        <v>157</v>
      </c>
      <c r="M31">
        <f>4.6*2</f>
        <v>9.1999999999999993</v>
      </c>
      <c r="O31" t="s">
        <v>125</v>
      </c>
      <c r="P31">
        <f>G10</f>
        <v>4.9000000000000004</v>
      </c>
    </row>
    <row r="32" spans="2:22" x14ac:dyDescent="0.25">
      <c r="L32" t="s">
        <v>133</v>
      </c>
      <c r="M32">
        <v>2.7</v>
      </c>
      <c r="O32" t="s">
        <v>133</v>
      </c>
      <c r="P32">
        <f>G16</f>
        <v>2.7</v>
      </c>
    </row>
    <row r="33" spans="5:17" x14ac:dyDescent="0.25">
      <c r="M33">
        <f>SUM(M30:M32)</f>
        <v>28.5</v>
      </c>
    </row>
    <row r="34" spans="5:17" x14ac:dyDescent="0.25">
      <c r="P34">
        <f>SUM(P30:P33)</f>
        <v>30.2</v>
      </c>
    </row>
    <row r="43" spans="5:17" x14ac:dyDescent="0.25">
      <c r="F43" t="s">
        <v>28</v>
      </c>
      <c r="I43" t="s">
        <v>30</v>
      </c>
      <c r="L43" t="s">
        <v>31</v>
      </c>
      <c r="O43" t="s">
        <v>35</v>
      </c>
      <c r="Q43" t="s">
        <v>91</v>
      </c>
    </row>
    <row r="44" spans="5:17" x14ac:dyDescent="0.25">
      <c r="E44" t="s">
        <v>166</v>
      </c>
      <c r="F44">
        <v>4</v>
      </c>
      <c r="H44" t="s">
        <v>166</v>
      </c>
      <c r="I44">
        <v>4</v>
      </c>
      <c r="K44" t="s">
        <v>40</v>
      </c>
      <c r="L44">
        <v>9.1</v>
      </c>
      <c r="N44" t="s">
        <v>166</v>
      </c>
      <c r="O44">
        <v>2000</v>
      </c>
      <c r="P44">
        <v>4</v>
      </c>
      <c r="Q44" t="s">
        <v>40</v>
      </c>
    </row>
    <row r="45" spans="5:17" x14ac:dyDescent="0.25">
      <c r="E45" t="s">
        <v>17</v>
      </c>
      <c r="F45">
        <v>2.7</v>
      </c>
      <c r="H45" t="s">
        <v>24</v>
      </c>
      <c r="I45">
        <v>9.1</v>
      </c>
      <c r="K45" t="s">
        <v>24</v>
      </c>
      <c r="L45">
        <v>9.1</v>
      </c>
      <c r="N45" t="s">
        <v>17</v>
      </c>
      <c r="O45">
        <f>525*2</f>
        <v>1050</v>
      </c>
      <c r="P45">
        <v>8.3000000000000007</v>
      </c>
      <c r="Q45" t="s">
        <v>162</v>
      </c>
    </row>
    <row r="46" spans="5:17" x14ac:dyDescent="0.25">
      <c r="E46" t="s">
        <v>24</v>
      </c>
      <c r="F46">
        <v>8.3000000000000007</v>
      </c>
      <c r="H46" t="s">
        <v>17</v>
      </c>
      <c r="I46">
        <v>7.3</v>
      </c>
      <c r="K46" t="s">
        <v>166</v>
      </c>
      <c r="L46">
        <v>4</v>
      </c>
      <c r="N46" t="s">
        <v>24</v>
      </c>
      <c r="O46">
        <f>450*1.4*2+200</f>
        <v>1460</v>
      </c>
      <c r="P46">
        <v>8.3000000000000007</v>
      </c>
      <c r="Q46" t="s">
        <v>56</v>
      </c>
    </row>
    <row r="47" spans="5:17" x14ac:dyDescent="0.25">
      <c r="H47" t="s">
        <v>40</v>
      </c>
      <c r="I47">
        <v>7.3</v>
      </c>
      <c r="N47" t="s">
        <v>28</v>
      </c>
      <c r="O47">
        <f>500*1.2*2</f>
        <v>1200</v>
      </c>
      <c r="P47">
        <v>8.3000000000000007</v>
      </c>
      <c r="Q47" t="s">
        <v>17</v>
      </c>
    </row>
    <row r="48" spans="5:17" x14ac:dyDescent="0.25">
      <c r="N48" t="s">
        <v>24</v>
      </c>
      <c r="O48">
        <v>1460</v>
      </c>
      <c r="P48">
        <v>8.3000000000000007</v>
      </c>
      <c r="Q48" t="s">
        <v>164</v>
      </c>
    </row>
    <row r="49" spans="6:17" x14ac:dyDescent="0.25">
      <c r="N49" t="s">
        <v>17</v>
      </c>
      <c r="O49">
        <v>1050</v>
      </c>
      <c r="P49">
        <v>8.3000000000000007</v>
      </c>
      <c r="Q49" t="s">
        <v>24</v>
      </c>
    </row>
    <row r="50" spans="6:17" x14ac:dyDescent="0.25">
      <c r="F50">
        <f>SUM(F44:F49)</f>
        <v>15</v>
      </c>
      <c r="I50">
        <f>SUM(I44:I49)</f>
        <v>27.7</v>
      </c>
      <c r="L50">
        <f>SUM(L44:L49)</f>
        <v>22.2</v>
      </c>
      <c r="N50" t="s">
        <v>28</v>
      </c>
      <c r="O50">
        <f>500*1.2*2</f>
        <v>1200</v>
      </c>
      <c r="P50">
        <v>8.3000000000000007</v>
      </c>
    </row>
    <row r="51" spans="6:17" x14ac:dyDescent="0.25">
      <c r="O51">
        <f>SUM(O44:O50)</f>
        <v>9420</v>
      </c>
      <c r="P51">
        <f>SUM(P44:P50)</f>
        <v>53.8</v>
      </c>
    </row>
    <row r="52" spans="6:17" x14ac:dyDescent="0.25">
      <c r="P52">
        <f>P51+15</f>
        <v>68.8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0"/>
  <sheetViews>
    <sheetView workbookViewId="0">
      <selection activeCell="J31" sqref="J31"/>
    </sheetView>
  </sheetViews>
  <sheetFormatPr defaultRowHeight="15" x14ac:dyDescent="0.25"/>
  <sheetData>
    <row r="6" spans="2:7" x14ac:dyDescent="0.25">
      <c r="C6" t="s">
        <v>55</v>
      </c>
    </row>
    <row r="7" spans="2:7" x14ac:dyDescent="0.25">
      <c r="B7" t="s">
        <v>16</v>
      </c>
      <c r="C7">
        <v>5400</v>
      </c>
      <c r="D7">
        <f>C7+G10*6/3</f>
        <v>24800</v>
      </c>
    </row>
    <row r="8" spans="2:7" x14ac:dyDescent="0.25">
      <c r="B8" t="s">
        <v>56</v>
      </c>
      <c r="C8">
        <v>11000</v>
      </c>
      <c r="D8">
        <f>C8+G11*6/3</f>
        <v>24800</v>
      </c>
    </row>
    <row r="10" spans="2:7" x14ac:dyDescent="0.25">
      <c r="F10">
        <v>5</v>
      </c>
      <c r="G10">
        <v>9700</v>
      </c>
    </row>
    <row r="11" spans="2:7" x14ac:dyDescent="0.25">
      <c r="F11">
        <v>11</v>
      </c>
      <c r="G11">
        <v>6900</v>
      </c>
    </row>
    <row r="12" spans="2:7" x14ac:dyDescent="0.25">
      <c r="C12" t="s">
        <v>66</v>
      </c>
    </row>
    <row r="13" spans="2:7" x14ac:dyDescent="0.25">
      <c r="B13" t="s">
        <v>56</v>
      </c>
      <c r="C13">
        <f>10000*5</f>
        <v>50000</v>
      </c>
      <c r="D13">
        <f>C13/2</f>
        <v>25000</v>
      </c>
      <c r="E13">
        <f>C13/3</f>
        <v>16666.666666666668</v>
      </c>
    </row>
    <row r="14" spans="2:7" x14ac:dyDescent="0.25">
      <c r="D14">
        <f>D13+D8</f>
        <v>49800</v>
      </c>
      <c r="E14">
        <f>E13+D8</f>
        <v>41466.666666666672</v>
      </c>
    </row>
    <row r="19" spans="4:5" x14ac:dyDescent="0.25">
      <c r="D19">
        <f>9000*5/2</f>
        <v>22500</v>
      </c>
      <c r="E19">
        <f>9000*5/3</f>
        <v>15000</v>
      </c>
    </row>
    <row r="20" spans="4:5" x14ac:dyDescent="0.25">
      <c r="D20">
        <f>D19+D8</f>
        <v>47300</v>
      </c>
      <c r="E20">
        <f>E19+D8</f>
        <v>39800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AG153"/>
  <sheetViews>
    <sheetView topLeftCell="A116" workbookViewId="0">
      <selection activeCell="AB147" sqref="AB147"/>
    </sheetView>
  </sheetViews>
  <sheetFormatPr defaultRowHeight="15" x14ac:dyDescent="0.25"/>
  <cols>
    <col min="28" max="28" width="14.42578125" customWidth="1"/>
    <col min="32" max="32" width="14.42578125" customWidth="1"/>
  </cols>
  <sheetData>
    <row r="14" spans="1:33" x14ac:dyDescent="0.25">
      <c r="B14" t="s">
        <v>173</v>
      </c>
      <c r="E14" t="s">
        <v>167</v>
      </c>
      <c r="F14" t="s">
        <v>168</v>
      </c>
      <c r="I14" t="s">
        <v>169</v>
      </c>
      <c r="L14" t="s">
        <v>170</v>
      </c>
      <c r="O14" t="s">
        <v>26</v>
      </c>
      <c r="R14" t="s">
        <v>28</v>
      </c>
      <c r="U14" t="s">
        <v>30</v>
      </c>
      <c r="X14" t="s">
        <v>31</v>
      </c>
    </row>
    <row r="15" spans="1:33" x14ac:dyDescent="0.25">
      <c r="A15" t="s">
        <v>16</v>
      </c>
      <c r="B15">
        <v>1900</v>
      </c>
      <c r="D15" t="s">
        <v>16</v>
      </c>
      <c r="E15">
        <v>1900</v>
      </c>
      <c r="F15">
        <v>1900</v>
      </c>
      <c r="H15" t="s">
        <v>17</v>
      </c>
      <c r="I15">
        <v>1000</v>
      </c>
      <c r="K15" t="s">
        <v>16</v>
      </c>
      <c r="L15">
        <v>1900</v>
      </c>
      <c r="N15" t="s">
        <v>17</v>
      </c>
      <c r="O15">
        <v>1000</v>
      </c>
      <c r="Q15" t="s">
        <v>16</v>
      </c>
      <c r="R15">
        <v>1900</v>
      </c>
      <c r="T15" t="s">
        <v>16</v>
      </c>
      <c r="U15" t="s">
        <v>171</v>
      </c>
      <c r="W15" t="s">
        <v>16</v>
      </c>
      <c r="X15">
        <v>1800</v>
      </c>
      <c r="AB15" t="s">
        <v>99</v>
      </c>
      <c r="AF15" t="s">
        <v>100</v>
      </c>
    </row>
    <row r="16" spans="1:33" x14ac:dyDescent="0.25">
      <c r="A16" t="s">
        <v>17</v>
      </c>
      <c r="B16">
        <v>600</v>
      </c>
      <c r="D16" t="s">
        <v>17</v>
      </c>
      <c r="E16">
        <v>1500</v>
      </c>
      <c r="F16">
        <v>1000</v>
      </c>
      <c r="H16" t="s">
        <v>16</v>
      </c>
      <c r="I16">
        <v>1900</v>
      </c>
      <c r="K16" t="s">
        <v>16</v>
      </c>
      <c r="L16">
        <v>1900</v>
      </c>
      <c r="N16" t="s">
        <v>24</v>
      </c>
      <c r="O16">
        <v>1300</v>
      </c>
      <c r="Q16" t="s">
        <v>24</v>
      </c>
      <c r="R16">
        <f>450*1.4</f>
        <v>630</v>
      </c>
      <c r="T16" t="s">
        <v>16</v>
      </c>
      <c r="U16">
        <f>1800*4.5</f>
        <v>8100</v>
      </c>
      <c r="W16" t="s">
        <v>16</v>
      </c>
      <c r="X16">
        <v>8100</v>
      </c>
      <c r="AB16" t="s">
        <v>105</v>
      </c>
      <c r="AC16">
        <v>17.5</v>
      </c>
      <c r="AF16" t="s">
        <v>101</v>
      </c>
      <c r="AG16">
        <v>4</v>
      </c>
    </row>
    <row r="17" spans="4:33" x14ac:dyDescent="0.25">
      <c r="D17" t="s">
        <v>18</v>
      </c>
      <c r="E17">
        <f>400*1.4*2</f>
        <v>1120</v>
      </c>
      <c r="F17">
        <v>1120</v>
      </c>
      <c r="H17" t="s">
        <v>17</v>
      </c>
      <c r="I17">
        <v>600</v>
      </c>
      <c r="K17" t="s">
        <v>17</v>
      </c>
      <c r="L17">
        <v>600</v>
      </c>
      <c r="N17" t="s">
        <v>27</v>
      </c>
      <c r="O17">
        <f>1600*3*2</f>
        <v>9600</v>
      </c>
      <c r="Q17" t="s">
        <v>17</v>
      </c>
      <c r="R17">
        <v>200</v>
      </c>
      <c r="AB17" t="s">
        <v>112</v>
      </c>
      <c r="AC17">
        <v>14.8</v>
      </c>
      <c r="AF17" t="s">
        <v>102</v>
      </c>
      <c r="AG17">
        <v>11.7</v>
      </c>
    </row>
    <row r="18" spans="4:33" x14ac:dyDescent="0.25">
      <c r="D18" t="s">
        <v>16</v>
      </c>
      <c r="F18">
        <v>400</v>
      </c>
      <c r="H18" t="s">
        <v>16</v>
      </c>
      <c r="I18">
        <v>1900</v>
      </c>
      <c r="N18" t="s">
        <v>24</v>
      </c>
      <c r="O18">
        <v>1000</v>
      </c>
      <c r="AB18" t="s">
        <v>113</v>
      </c>
      <c r="AC18">
        <v>8.1</v>
      </c>
      <c r="AF18" t="s">
        <v>103</v>
      </c>
      <c r="AG18">
        <v>5</v>
      </c>
    </row>
    <row r="19" spans="4:33" x14ac:dyDescent="0.25">
      <c r="D19" t="s">
        <v>17</v>
      </c>
      <c r="AB19" t="s">
        <v>114</v>
      </c>
      <c r="AC19">
        <v>7.3</v>
      </c>
      <c r="AF19" t="s">
        <v>104</v>
      </c>
      <c r="AG19">
        <v>9.5</v>
      </c>
    </row>
    <row r="20" spans="4:33" x14ac:dyDescent="0.25">
      <c r="AB20" t="s">
        <v>115</v>
      </c>
      <c r="AC20">
        <v>9.1</v>
      </c>
      <c r="AF20" t="s">
        <v>125</v>
      </c>
      <c r="AG20">
        <v>4.9000000000000004</v>
      </c>
    </row>
    <row r="21" spans="4:33" x14ac:dyDescent="0.25">
      <c r="E21">
        <f>SUM(E15:E20)</f>
        <v>4520</v>
      </c>
      <c r="F21">
        <f>SUM(F15:F20)</f>
        <v>4420</v>
      </c>
      <c r="I21">
        <f>SUM(I15:I20)</f>
        <v>5400</v>
      </c>
      <c r="L21">
        <f>SUM(L15:L20)</f>
        <v>4400</v>
      </c>
      <c r="O21">
        <f>SUM(O15:O20)</f>
        <v>12900</v>
      </c>
      <c r="R21">
        <f>SUM(R15:R20)</f>
        <v>2730</v>
      </c>
      <c r="U21">
        <f>SUM(U15:U20)</f>
        <v>8100</v>
      </c>
      <c r="X21">
        <f>SUM(X15:X20)</f>
        <v>9900</v>
      </c>
      <c r="AB21" t="s">
        <v>116</v>
      </c>
      <c r="AC21">
        <v>12.3</v>
      </c>
      <c r="AF21" t="s">
        <v>126</v>
      </c>
      <c r="AG21">
        <v>7.9</v>
      </c>
    </row>
    <row r="22" spans="4:33" x14ac:dyDescent="0.25">
      <c r="AB22" t="s">
        <v>117</v>
      </c>
      <c r="AC22">
        <v>13.1</v>
      </c>
      <c r="AF22" t="s">
        <v>129</v>
      </c>
      <c r="AG22">
        <v>4.5</v>
      </c>
    </row>
    <row r="23" spans="4:33" x14ac:dyDescent="0.25">
      <c r="W23" t="s">
        <v>32</v>
      </c>
      <c r="AB23" t="s">
        <v>118</v>
      </c>
      <c r="AC23">
        <v>8.3000000000000007</v>
      </c>
      <c r="AF23" t="s">
        <v>130</v>
      </c>
      <c r="AG23">
        <v>3.6</v>
      </c>
    </row>
    <row r="24" spans="4:33" x14ac:dyDescent="0.25">
      <c r="E24" t="s">
        <v>34</v>
      </c>
      <c r="H24" t="s">
        <v>33</v>
      </c>
      <c r="K24" t="s">
        <v>35</v>
      </c>
      <c r="N24" t="s">
        <v>37</v>
      </c>
      <c r="Q24" t="s">
        <v>38</v>
      </c>
      <c r="R24" t="s">
        <v>39</v>
      </c>
      <c r="U24" t="s">
        <v>45</v>
      </c>
      <c r="V24" t="s">
        <v>46</v>
      </c>
      <c r="W24" t="s">
        <v>44</v>
      </c>
      <c r="X24" t="s">
        <v>47</v>
      </c>
      <c r="Y24" t="s">
        <v>48</v>
      </c>
      <c r="AB24" t="s">
        <v>119</v>
      </c>
      <c r="AC24">
        <v>13.3</v>
      </c>
      <c r="AF24" t="s">
        <v>131</v>
      </c>
      <c r="AG24">
        <v>4.5999999999999996</v>
      </c>
    </row>
    <row r="25" spans="4:33" x14ac:dyDescent="0.25">
      <c r="D25" t="s">
        <v>16</v>
      </c>
      <c r="E25">
        <f>(999-66)*3</f>
        <v>2799</v>
      </c>
      <c r="G25" t="s">
        <v>56</v>
      </c>
      <c r="H25">
        <v>2800</v>
      </c>
      <c r="J25" t="s">
        <v>56</v>
      </c>
      <c r="K25">
        <v>2800</v>
      </c>
      <c r="M25" t="s">
        <v>24</v>
      </c>
      <c r="N25">
        <v>2000</v>
      </c>
      <c r="P25" t="s">
        <v>24</v>
      </c>
      <c r="Q25">
        <v>630</v>
      </c>
      <c r="R25">
        <v>630</v>
      </c>
      <c r="T25" t="s">
        <v>24</v>
      </c>
      <c r="W25">
        <v>2000</v>
      </c>
      <c r="X25">
        <f>1300*0.3</f>
        <v>390</v>
      </c>
      <c r="Y25">
        <v>1300</v>
      </c>
      <c r="AB25" t="s">
        <v>120</v>
      </c>
      <c r="AC25">
        <v>7.7</v>
      </c>
      <c r="AF25" t="s">
        <v>132</v>
      </c>
      <c r="AG25">
        <v>4.3</v>
      </c>
    </row>
    <row r="26" spans="4:33" x14ac:dyDescent="0.25">
      <c r="D26" t="s">
        <v>24</v>
      </c>
      <c r="E26">
        <f>1200/2</f>
        <v>600</v>
      </c>
      <c r="G26" t="s">
        <v>24</v>
      </c>
      <c r="H26">
        <v>2000</v>
      </c>
      <c r="J26" t="s">
        <v>24</v>
      </c>
      <c r="K26">
        <v>1450</v>
      </c>
      <c r="M26" t="s">
        <v>17</v>
      </c>
      <c r="N26">
        <v>2000</v>
      </c>
      <c r="P26" t="s">
        <v>17</v>
      </c>
      <c r="Q26">
        <v>450</v>
      </c>
      <c r="R26">
        <v>450</v>
      </c>
      <c r="T26" t="s">
        <v>17</v>
      </c>
      <c r="W26">
        <v>1300</v>
      </c>
      <c r="X26">
        <f>2000*0.3</f>
        <v>600</v>
      </c>
      <c r="Y26">
        <v>1300</v>
      </c>
      <c r="AB26" t="s">
        <v>121</v>
      </c>
      <c r="AC26">
        <v>13.1</v>
      </c>
      <c r="AF26" t="s">
        <v>133</v>
      </c>
      <c r="AG26">
        <v>2.7</v>
      </c>
    </row>
    <row r="27" spans="4:33" x14ac:dyDescent="0.25">
      <c r="D27" t="s">
        <v>17</v>
      </c>
      <c r="E27">
        <v>101</v>
      </c>
      <c r="J27" t="s">
        <v>24</v>
      </c>
      <c r="K27">
        <v>1450</v>
      </c>
      <c r="M27" t="s">
        <v>56</v>
      </c>
      <c r="N27">
        <v>2800</v>
      </c>
      <c r="P27" t="s">
        <v>56</v>
      </c>
      <c r="R27">
        <v>2800</v>
      </c>
      <c r="T27" t="s">
        <v>40</v>
      </c>
      <c r="U27">
        <f>1300*0.6</f>
        <v>780</v>
      </c>
      <c r="V27">
        <f>1200</f>
        <v>1200</v>
      </c>
      <c r="X27">
        <v>390</v>
      </c>
      <c r="Y27">
        <v>1300</v>
      </c>
      <c r="AB27" t="s">
        <v>122</v>
      </c>
      <c r="AC27">
        <v>8.1</v>
      </c>
      <c r="AF27" t="s">
        <v>143</v>
      </c>
      <c r="AG27">
        <v>15.7</v>
      </c>
    </row>
    <row r="28" spans="4:33" x14ac:dyDescent="0.25">
      <c r="J28" t="s">
        <v>56</v>
      </c>
      <c r="K28">
        <v>2800</v>
      </c>
      <c r="P28" t="s">
        <v>17</v>
      </c>
      <c r="Q28">
        <v>250</v>
      </c>
      <c r="T28" t="s">
        <v>56</v>
      </c>
      <c r="X28">
        <v>2800</v>
      </c>
      <c r="AB28" t="s">
        <v>123</v>
      </c>
      <c r="AC28">
        <v>12</v>
      </c>
    </row>
    <row r="29" spans="4:33" x14ac:dyDescent="0.25">
      <c r="J29" t="s">
        <v>17</v>
      </c>
      <c r="K29">
        <v>1050</v>
      </c>
      <c r="P29" t="s">
        <v>56</v>
      </c>
      <c r="Q29">
        <v>2800</v>
      </c>
      <c r="T29" t="s">
        <v>87</v>
      </c>
      <c r="U29">
        <v>1200</v>
      </c>
      <c r="V29">
        <f>1300*0.6</f>
        <v>780</v>
      </c>
      <c r="X29">
        <v>390</v>
      </c>
      <c r="Y29">
        <v>780</v>
      </c>
      <c r="AB29" t="s">
        <v>124</v>
      </c>
      <c r="AC29">
        <v>10.4</v>
      </c>
    </row>
    <row r="30" spans="4:33" x14ac:dyDescent="0.25">
      <c r="E30">
        <f>SUM(E25:E29)</f>
        <v>3500</v>
      </c>
      <c r="H30">
        <f>SUM(H25:H29)</f>
        <v>4800</v>
      </c>
      <c r="T30" t="s">
        <v>24</v>
      </c>
      <c r="U30">
        <v>1300</v>
      </c>
      <c r="V30">
        <v>1300</v>
      </c>
      <c r="Y30">
        <v>1300</v>
      </c>
      <c r="AB30" t="s">
        <v>127</v>
      </c>
      <c r="AC30">
        <v>11.3</v>
      </c>
    </row>
    <row r="31" spans="4:33" x14ac:dyDescent="0.25">
      <c r="Q31">
        <f>SUM(Q25:Q30)</f>
        <v>4130</v>
      </c>
      <c r="R31">
        <f>SUM(R25:R30)</f>
        <v>3880</v>
      </c>
      <c r="T31" t="s">
        <v>17</v>
      </c>
      <c r="U31">
        <v>120</v>
      </c>
      <c r="V31">
        <v>60</v>
      </c>
      <c r="Y31">
        <f>400</f>
        <v>400</v>
      </c>
      <c r="AB31" t="s">
        <v>128</v>
      </c>
      <c r="AC31">
        <v>12.8</v>
      </c>
    </row>
    <row r="32" spans="4:33" x14ac:dyDescent="0.25">
      <c r="K32">
        <f>SUM(K25:K31)</f>
        <v>9550</v>
      </c>
      <c r="N32">
        <f>SUM(N25:N31)</f>
        <v>6800</v>
      </c>
      <c r="T32" t="s">
        <v>56</v>
      </c>
      <c r="U32">
        <v>1400</v>
      </c>
      <c r="V32">
        <v>1400</v>
      </c>
      <c r="AB32" t="s">
        <v>134</v>
      </c>
      <c r="AC32">
        <v>8.1999999999999993</v>
      </c>
    </row>
    <row r="33" spans="1:29" x14ac:dyDescent="0.25">
      <c r="AB33" t="s">
        <v>135</v>
      </c>
      <c r="AC33">
        <v>9.3000000000000007</v>
      </c>
    </row>
    <row r="34" spans="1:29" x14ac:dyDescent="0.25">
      <c r="U34">
        <f>SUM(U25:U33)</f>
        <v>4800</v>
      </c>
      <c r="V34">
        <f>SUM(V25:V33)</f>
        <v>4740</v>
      </c>
      <c r="W34">
        <f>SUM(W25:W33)</f>
        <v>3300</v>
      </c>
      <c r="X34">
        <f>SUM(X25:X33)</f>
        <v>4570</v>
      </c>
      <c r="Y34">
        <f>SUM(Y25:Y33)</f>
        <v>6380</v>
      </c>
      <c r="AB34" t="s">
        <v>136</v>
      </c>
      <c r="AC34">
        <v>10.8</v>
      </c>
    </row>
    <row r="35" spans="1:29" x14ac:dyDescent="0.25">
      <c r="AB35" t="s">
        <v>140</v>
      </c>
      <c r="AC35">
        <v>7.7</v>
      </c>
    </row>
    <row r="39" spans="1:29" x14ac:dyDescent="0.25">
      <c r="B39" t="s">
        <v>173</v>
      </c>
      <c r="E39" t="s">
        <v>167</v>
      </c>
      <c r="F39" t="s">
        <v>168</v>
      </c>
      <c r="I39" t="s">
        <v>169</v>
      </c>
      <c r="L39" t="s">
        <v>170</v>
      </c>
      <c r="O39" t="s">
        <v>26</v>
      </c>
      <c r="R39" t="s">
        <v>28</v>
      </c>
      <c r="U39" t="s">
        <v>30</v>
      </c>
      <c r="X39" t="s">
        <v>31</v>
      </c>
    </row>
    <row r="40" spans="1:29" x14ac:dyDescent="0.25">
      <c r="A40" t="s">
        <v>16</v>
      </c>
      <c r="B40">
        <v>4.5</v>
      </c>
      <c r="D40" t="s">
        <v>16</v>
      </c>
      <c r="E40">
        <v>4.5</v>
      </c>
      <c r="F40">
        <v>4.5</v>
      </c>
      <c r="H40" t="s">
        <v>17</v>
      </c>
      <c r="I40">
        <v>9.1</v>
      </c>
      <c r="K40" t="s">
        <v>16</v>
      </c>
      <c r="L40">
        <v>4.5</v>
      </c>
      <c r="N40" t="s">
        <v>17</v>
      </c>
      <c r="O40">
        <v>9.1</v>
      </c>
      <c r="Q40" t="s">
        <v>16</v>
      </c>
      <c r="R40">
        <v>4.5</v>
      </c>
      <c r="T40" t="s">
        <v>16</v>
      </c>
      <c r="U40" t="s">
        <v>171</v>
      </c>
      <c r="W40" t="s">
        <v>16</v>
      </c>
      <c r="X40">
        <v>4.5</v>
      </c>
    </row>
    <row r="41" spans="1:29" x14ac:dyDescent="0.25">
      <c r="A41" t="s">
        <v>17</v>
      </c>
      <c r="B41">
        <v>7.3</v>
      </c>
      <c r="D41" t="s">
        <v>17</v>
      </c>
      <c r="E41">
        <v>13.1</v>
      </c>
      <c r="F41">
        <v>9.1</v>
      </c>
      <c r="H41" t="s">
        <v>16</v>
      </c>
      <c r="I41">
        <v>4.5</v>
      </c>
      <c r="K41" t="s">
        <v>16</v>
      </c>
      <c r="L41">
        <v>4.5</v>
      </c>
      <c r="N41" t="s">
        <v>24</v>
      </c>
      <c r="O41">
        <v>17.5</v>
      </c>
      <c r="Q41" t="s">
        <v>24</v>
      </c>
      <c r="R41">
        <v>8.3000000000000007</v>
      </c>
      <c r="T41" t="s">
        <v>16</v>
      </c>
      <c r="U41">
        <v>4.5</v>
      </c>
      <c r="W41" t="s">
        <v>16</v>
      </c>
      <c r="X41">
        <v>4.5</v>
      </c>
    </row>
    <row r="42" spans="1:29" x14ac:dyDescent="0.25">
      <c r="D42" t="s">
        <v>18</v>
      </c>
      <c r="E42">
        <v>10.8</v>
      </c>
      <c r="F42">
        <v>10.8</v>
      </c>
      <c r="H42" t="s">
        <v>17</v>
      </c>
      <c r="I42">
        <v>7.3</v>
      </c>
      <c r="K42" t="s">
        <v>17</v>
      </c>
      <c r="L42">
        <v>7.3</v>
      </c>
      <c r="N42" t="s">
        <v>27</v>
      </c>
      <c r="O42">
        <v>9.5</v>
      </c>
      <c r="Q42" t="s">
        <v>17</v>
      </c>
      <c r="R42">
        <v>2.7</v>
      </c>
      <c r="T42" t="s">
        <v>172</v>
      </c>
      <c r="U42">
        <v>15</v>
      </c>
      <c r="W42" t="s">
        <v>172</v>
      </c>
      <c r="X42">
        <v>15</v>
      </c>
    </row>
    <row r="43" spans="1:29" x14ac:dyDescent="0.25">
      <c r="D43" t="s">
        <v>70</v>
      </c>
      <c r="F43">
        <v>6.5</v>
      </c>
      <c r="H43" t="s">
        <v>16</v>
      </c>
      <c r="I43">
        <v>4.5</v>
      </c>
      <c r="K43" t="s">
        <v>172</v>
      </c>
      <c r="L43">
        <v>10</v>
      </c>
      <c r="N43" t="s">
        <v>24</v>
      </c>
      <c r="O43">
        <v>9.1</v>
      </c>
    </row>
    <row r="44" spans="1:29" x14ac:dyDescent="0.25">
      <c r="D44" t="s">
        <v>17</v>
      </c>
      <c r="H44" t="s">
        <v>172</v>
      </c>
      <c r="I44">
        <v>15</v>
      </c>
    </row>
    <row r="46" spans="1:29" x14ac:dyDescent="0.25">
      <c r="B46">
        <f>SUM(B40:B41)</f>
        <v>11.8</v>
      </c>
      <c r="E46">
        <f>SUM(E40:E45)</f>
        <v>28.400000000000002</v>
      </c>
      <c r="F46">
        <f>SUM(F40:F45)</f>
        <v>30.9</v>
      </c>
      <c r="I46">
        <f>SUM(I40:I45)</f>
        <v>40.4</v>
      </c>
      <c r="L46">
        <f>SUM(L40:L45)</f>
        <v>26.3</v>
      </c>
      <c r="O46">
        <f>SUM(O40:O45)</f>
        <v>45.2</v>
      </c>
      <c r="R46">
        <f>SUM(R40:R45)</f>
        <v>15.5</v>
      </c>
      <c r="U46">
        <f>SUM(U40:U45)</f>
        <v>19.5</v>
      </c>
      <c r="X46">
        <f>SUM(X40:X45)</f>
        <v>24</v>
      </c>
    </row>
    <row r="47" spans="1:29" x14ac:dyDescent="0.25">
      <c r="AB47">
        <f>SUM(B46,E46,I46,L46,O46,R46,U46,X46,Y59,O56,L57,I57,F55,C55,F65)</f>
        <v>508.5</v>
      </c>
    </row>
    <row r="48" spans="1:29" x14ac:dyDescent="0.25">
      <c r="U48" t="s">
        <v>32</v>
      </c>
    </row>
    <row r="49" spans="2:25" x14ac:dyDescent="0.25">
      <c r="C49" t="s">
        <v>34</v>
      </c>
      <c r="F49" t="s">
        <v>33</v>
      </c>
      <c r="I49" t="s">
        <v>35</v>
      </c>
      <c r="L49" t="s">
        <v>37</v>
      </c>
      <c r="O49" t="s">
        <v>38</v>
      </c>
      <c r="P49" t="s">
        <v>39</v>
      </c>
      <c r="S49" t="s">
        <v>45</v>
      </c>
      <c r="T49" t="s">
        <v>46</v>
      </c>
      <c r="U49" t="s">
        <v>44</v>
      </c>
      <c r="V49" t="s">
        <v>47</v>
      </c>
      <c r="W49" t="s">
        <v>48</v>
      </c>
    </row>
    <row r="50" spans="2:25" x14ac:dyDescent="0.25">
      <c r="B50" t="s">
        <v>16</v>
      </c>
      <c r="C50">
        <v>4.5</v>
      </c>
      <c r="E50" t="s">
        <v>56</v>
      </c>
      <c r="F50">
        <v>4.5999999999999996</v>
      </c>
      <c r="H50" t="s">
        <v>56</v>
      </c>
      <c r="I50">
        <v>4.5999999999999996</v>
      </c>
      <c r="K50" t="s">
        <v>24</v>
      </c>
      <c r="L50">
        <v>8.1</v>
      </c>
      <c r="N50" t="s">
        <v>24</v>
      </c>
      <c r="O50">
        <v>8.3000000000000007</v>
      </c>
      <c r="R50" t="s">
        <v>24</v>
      </c>
      <c r="U50">
        <v>2000</v>
      </c>
      <c r="V50">
        <f>1300*0.3</f>
        <v>390</v>
      </c>
      <c r="W50">
        <v>1300</v>
      </c>
      <c r="Y50">
        <v>8.1</v>
      </c>
    </row>
    <row r="51" spans="2:25" x14ac:dyDescent="0.25">
      <c r="B51" t="s">
        <v>24</v>
      </c>
      <c r="C51">
        <v>7.3</v>
      </c>
      <c r="E51" t="s">
        <v>24</v>
      </c>
      <c r="F51">
        <v>8.1</v>
      </c>
      <c r="H51" t="s">
        <v>56</v>
      </c>
      <c r="I51">
        <v>4.5999999999999996</v>
      </c>
      <c r="K51" t="s">
        <v>17</v>
      </c>
      <c r="L51">
        <v>8.1</v>
      </c>
      <c r="N51" t="s">
        <v>17</v>
      </c>
      <c r="O51">
        <v>8.3000000000000007</v>
      </c>
      <c r="R51" t="s">
        <v>17</v>
      </c>
      <c r="U51">
        <v>1300</v>
      </c>
      <c r="V51">
        <f>2000*0.3</f>
        <v>600</v>
      </c>
      <c r="W51">
        <v>1300</v>
      </c>
      <c r="Y51">
        <v>8.1</v>
      </c>
    </row>
    <row r="52" spans="2:25" x14ac:dyDescent="0.25">
      <c r="B52" t="s">
        <v>17</v>
      </c>
      <c r="C52">
        <v>2.7</v>
      </c>
      <c r="H52" t="s">
        <v>24</v>
      </c>
      <c r="I52">
        <v>8.3000000000000007</v>
      </c>
      <c r="K52" t="s">
        <v>56</v>
      </c>
      <c r="L52">
        <v>4.5999999999999996</v>
      </c>
      <c r="N52" t="s">
        <v>56</v>
      </c>
      <c r="O52">
        <v>4.5999999999999996</v>
      </c>
      <c r="R52" t="s">
        <v>40</v>
      </c>
      <c r="S52">
        <f>1300*0.6</f>
        <v>780</v>
      </c>
      <c r="T52">
        <f>1200</f>
        <v>1200</v>
      </c>
      <c r="V52">
        <v>390</v>
      </c>
      <c r="W52">
        <v>1300</v>
      </c>
      <c r="Y52">
        <v>8.1</v>
      </c>
    </row>
    <row r="53" spans="2:25" x14ac:dyDescent="0.25">
      <c r="H53" t="s">
        <v>24</v>
      </c>
      <c r="I53">
        <v>8.3000000000000007</v>
      </c>
      <c r="N53" t="s">
        <v>17</v>
      </c>
      <c r="O53">
        <v>2.7</v>
      </c>
      <c r="R53" t="s">
        <v>56</v>
      </c>
      <c r="V53">
        <v>2800</v>
      </c>
      <c r="Y53">
        <v>4.5999999999999996</v>
      </c>
    </row>
    <row r="54" spans="2:25" x14ac:dyDescent="0.25">
      <c r="H54" t="s">
        <v>17</v>
      </c>
      <c r="I54">
        <v>8.3000000000000007</v>
      </c>
      <c r="N54" t="s">
        <v>56</v>
      </c>
      <c r="O54">
        <v>4.5999999999999996</v>
      </c>
      <c r="R54" t="s">
        <v>87</v>
      </c>
      <c r="S54">
        <v>1200</v>
      </c>
      <c r="T54">
        <f>1300*0.6</f>
        <v>780</v>
      </c>
      <c r="V54">
        <v>390</v>
      </c>
      <c r="W54">
        <v>780</v>
      </c>
      <c r="Y54">
        <v>8.1</v>
      </c>
    </row>
    <row r="55" spans="2:25" x14ac:dyDescent="0.25">
      <c r="C55">
        <f>SUM(C50:C54)</f>
        <v>14.5</v>
      </c>
      <c r="F55">
        <f>SUM(F50:F54)</f>
        <v>12.7</v>
      </c>
      <c r="H55" t="s">
        <v>172</v>
      </c>
      <c r="I55">
        <v>15</v>
      </c>
      <c r="N55" t="s">
        <v>172</v>
      </c>
      <c r="O55">
        <v>15</v>
      </c>
      <c r="R55" t="s">
        <v>24</v>
      </c>
      <c r="S55">
        <v>1300</v>
      </c>
      <c r="T55">
        <v>1300</v>
      </c>
      <c r="W55">
        <v>1300</v>
      </c>
      <c r="Y55">
        <v>17.5</v>
      </c>
    </row>
    <row r="56" spans="2:25" x14ac:dyDescent="0.25">
      <c r="O56">
        <f>SUM(O50:O55)</f>
        <v>43.5</v>
      </c>
      <c r="P56">
        <f>SUM(P50:P55)</f>
        <v>0</v>
      </c>
      <c r="R56" t="s">
        <v>17</v>
      </c>
      <c r="S56">
        <v>120</v>
      </c>
      <c r="T56">
        <v>60</v>
      </c>
      <c r="W56">
        <f>400</f>
        <v>400</v>
      </c>
      <c r="Y56">
        <v>7.7</v>
      </c>
    </row>
    <row r="57" spans="2:25" x14ac:dyDescent="0.25">
      <c r="I57">
        <f>SUM(I50:I56)</f>
        <v>49.1</v>
      </c>
      <c r="L57">
        <f>SUM(L50:L56)</f>
        <v>20.799999999999997</v>
      </c>
      <c r="R57" t="s">
        <v>56</v>
      </c>
      <c r="S57">
        <v>1400</v>
      </c>
      <c r="T57">
        <v>1400</v>
      </c>
      <c r="Y57">
        <v>4.5999999999999996</v>
      </c>
    </row>
    <row r="59" spans="2:25" x14ac:dyDescent="0.25">
      <c r="S59">
        <f>SUM(S50:S58)</f>
        <v>4800</v>
      </c>
      <c r="T59">
        <f>SUM(T50:T58)</f>
        <v>4740</v>
      </c>
      <c r="U59">
        <f>SUM(U50:U58)</f>
        <v>3300</v>
      </c>
      <c r="V59">
        <f>SUM(V50:V58)</f>
        <v>4570</v>
      </c>
      <c r="W59">
        <f>SUM(W50:W58)</f>
        <v>6380</v>
      </c>
      <c r="Y59">
        <f>SUM(Y50:Y58)</f>
        <v>66.8</v>
      </c>
    </row>
    <row r="64" spans="2:25" x14ac:dyDescent="0.25">
      <c r="E64" t="s">
        <v>174</v>
      </c>
    </row>
    <row r="65" spans="5:19" x14ac:dyDescent="0.25">
      <c r="E65" t="s">
        <v>175</v>
      </c>
      <c r="F65">
        <v>90</v>
      </c>
      <c r="O65" t="s">
        <v>32</v>
      </c>
    </row>
    <row r="66" spans="5:19" x14ac:dyDescent="0.25">
      <c r="E66" t="s">
        <v>178</v>
      </c>
      <c r="F66">
        <v>30</v>
      </c>
      <c r="M66" t="s">
        <v>45</v>
      </c>
      <c r="N66" t="s">
        <v>46</v>
      </c>
      <c r="O66" t="s">
        <v>44</v>
      </c>
      <c r="P66" t="s">
        <v>47</v>
      </c>
      <c r="Q66" t="s">
        <v>48</v>
      </c>
    </row>
    <row r="67" spans="5:19" x14ac:dyDescent="0.25">
      <c r="L67" t="s">
        <v>24</v>
      </c>
      <c r="O67">
        <v>2000</v>
      </c>
      <c r="P67">
        <f>1300*0.3</f>
        <v>390</v>
      </c>
      <c r="Q67">
        <v>1300</v>
      </c>
      <c r="S67">
        <v>8.1</v>
      </c>
    </row>
    <row r="68" spans="5:19" x14ac:dyDescent="0.25">
      <c r="L68" t="s">
        <v>17</v>
      </c>
      <c r="O68">
        <v>1300</v>
      </c>
      <c r="P68">
        <f>2000*0.3</f>
        <v>600</v>
      </c>
      <c r="Q68">
        <v>1300</v>
      </c>
      <c r="S68">
        <v>8.1</v>
      </c>
    </row>
    <row r="69" spans="5:19" x14ac:dyDescent="0.25">
      <c r="L69" t="s">
        <v>40</v>
      </c>
      <c r="M69">
        <v>1200</v>
      </c>
      <c r="N69">
        <v>780</v>
      </c>
      <c r="P69">
        <v>390</v>
      </c>
      <c r="Q69">
        <v>1300</v>
      </c>
      <c r="S69">
        <v>8.1</v>
      </c>
    </row>
    <row r="70" spans="5:19" x14ac:dyDescent="0.25">
      <c r="L70" t="s">
        <v>56</v>
      </c>
      <c r="P70">
        <v>2800</v>
      </c>
      <c r="S70">
        <v>4.5999999999999996</v>
      </c>
    </row>
    <row r="71" spans="5:19" x14ac:dyDescent="0.25">
      <c r="L71" t="s">
        <v>87</v>
      </c>
      <c r="M71">
        <v>1200</v>
      </c>
      <c r="N71">
        <v>780</v>
      </c>
      <c r="P71">
        <v>390</v>
      </c>
      <c r="Q71">
        <v>780</v>
      </c>
      <c r="S71">
        <v>8.1</v>
      </c>
    </row>
    <row r="72" spans="5:19" x14ac:dyDescent="0.25">
      <c r="L72" t="s">
        <v>24</v>
      </c>
      <c r="M72">
        <v>1300</v>
      </c>
      <c r="N72">
        <v>1300</v>
      </c>
      <c r="Q72">
        <v>1300</v>
      </c>
      <c r="S72">
        <v>17.5</v>
      </c>
    </row>
    <row r="73" spans="5:19" x14ac:dyDescent="0.25">
      <c r="L73" t="s">
        <v>17</v>
      </c>
      <c r="N73">
        <v>600</v>
      </c>
      <c r="S73">
        <v>7.3</v>
      </c>
    </row>
    <row r="74" spans="5:19" x14ac:dyDescent="0.25">
      <c r="L74" t="s">
        <v>56</v>
      </c>
      <c r="M74">
        <v>1370</v>
      </c>
      <c r="N74">
        <v>1370</v>
      </c>
      <c r="S74">
        <v>4.5999999999999996</v>
      </c>
    </row>
    <row r="76" spans="5:19" x14ac:dyDescent="0.25">
      <c r="M76">
        <f>SUM(M67:M75)</f>
        <v>5070</v>
      </c>
      <c r="N76">
        <f>SUM(N67:N75)</f>
        <v>4830</v>
      </c>
      <c r="O76">
        <f>SUM(O67:O75)</f>
        <v>3300</v>
      </c>
      <c r="P76">
        <f>SUM(P67:P75)</f>
        <v>4570</v>
      </c>
      <c r="Q76">
        <f>SUM(Q67:Q75)</f>
        <v>5980</v>
      </c>
      <c r="S76">
        <f>SUM(S67:S75)</f>
        <v>66.399999999999991</v>
      </c>
    </row>
    <row r="81" spans="9:27" x14ac:dyDescent="0.25">
      <c r="AA81">
        <v>1600</v>
      </c>
    </row>
    <row r="82" spans="9:27" x14ac:dyDescent="0.25">
      <c r="AA82">
        <v>1200</v>
      </c>
    </row>
    <row r="83" spans="9:27" x14ac:dyDescent="0.25">
      <c r="AA83">
        <v>600</v>
      </c>
    </row>
    <row r="84" spans="9:27" x14ac:dyDescent="0.25">
      <c r="AA84">
        <v>370</v>
      </c>
    </row>
    <row r="85" spans="9:27" x14ac:dyDescent="0.25">
      <c r="O85" t="s">
        <v>38</v>
      </c>
      <c r="P85" t="s">
        <v>39</v>
      </c>
      <c r="AA85">
        <v>370</v>
      </c>
    </row>
    <row r="86" spans="9:27" x14ac:dyDescent="0.25">
      <c r="I86">
        <f>148+15</f>
        <v>163</v>
      </c>
      <c r="M86" t="s">
        <v>17</v>
      </c>
      <c r="N86" t="s">
        <v>457</v>
      </c>
      <c r="O86">
        <v>2000</v>
      </c>
      <c r="R86">
        <v>1226</v>
      </c>
      <c r="AA86">
        <v>370</v>
      </c>
    </row>
    <row r="87" spans="9:27" x14ac:dyDescent="0.25">
      <c r="O87">
        <v>1200</v>
      </c>
      <c r="P87">
        <v>800</v>
      </c>
      <c r="R87">
        <v>1261</v>
      </c>
      <c r="S87">
        <v>819</v>
      </c>
      <c r="AA87">
        <f>SUM(AA81:AA86)</f>
        <v>4510</v>
      </c>
    </row>
    <row r="88" spans="9:27" x14ac:dyDescent="0.25">
      <c r="O88">
        <v>1329</v>
      </c>
      <c r="P88">
        <v>1347</v>
      </c>
      <c r="R88">
        <v>1335</v>
      </c>
      <c r="S88">
        <v>1347</v>
      </c>
    </row>
    <row r="89" spans="9:27" x14ac:dyDescent="0.25">
      <c r="P89">
        <v>1347</v>
      </c>
      <c r="S89">
        <v>1353</v>
      </c>
    </row>
    <row r="91" spans="9:27" x14ac:dyDescent="0.25">
      <c r="O91">
        <f>SUM(O86:O90)</f>
        <v>4529</v>
      </c>
      <c r="P91">
        <f>SUM(P86:P90)</f>
        <v>3494</v>
      </c>
    </row>
    <row r="94" spans="9:27" x14ac:dyDescent="0.25">
      <c r="P94">
        <f>900*1.2</f>
        <v>1080</v>
      </c>
    </row>
    <row r="100" spans="8:24" x14ac:dyDescent="0.25">
      <c r="T100" t="s">
        <v>46</v>
      </c>
      <c r="U100" t="s">
        <v>45</v>
      </c>
      <c r="V100" t="s">
        <v>44</v>
      </c>
      <c r="W100" t="s">
        <v>48</v>
      </c>
      <c r="X100" t="s">
        <v>47</v>
      </c>
    </row>
    <row r="101" spans="8:24" x14ac:dyDescent="0.25">
      <c r="T101">
        <v>0</v>
      </c>
      <c r="U101">
        <v>0</v>
      </c>
      <c r="V101">
        <v>1991</v>
      </c>
      <c r="W101">
        <v>1314</v>
      </c>
      <c r="X101">
        <v>394</v>
      </c>
    </row>
    <row r="102" spans="8:24" x14ac:dyDescent="0.25">
      <c r="H102" t="s">
        <v>458</v>
      </c>
      <c r="T102">
        <v>0</v>
      </c>
      <c r="U102">
        <v>0</v>
      </c>
      <c r="V102">
        <v>1354</v>
      </c>
      <c r="W102">
        <v>1377</v>
      </c>
      <c r="X102">
        <v>623</v>
      </c>
    </row>
    <row r="103" spans="8:24" x14ac:dyDescent="0.25">
      <c r="H103" t="s">
        <v>459</v>
      </c>
      <c r="X103">
        <v>1371</v>
      </c>
    </row>
    <row r="104" spans="8:24" x14ac:dyDescent="0.25">
      <c r="H104" t="s">
        <v>460</v>
      </c>
      <c r="X104">
        <v>1374</v>
      </c>
    </row>
    <row r="105" spans="8:24" x14ac:dyDescent="0.25">
      <c r="H105" t="s">
        <v>461</v>
      </c>
      <c r="T105">
        <v>796</v>
      </c>
      <c r="U105">
        <v>1216</v>
      </c>
      <c r="W105">
        <v>1332</v>
      </c>
      <c r="X105">
        <v>399</v>
      </c>
    </row>
    <row r="106" spans="8:24" x14ac:dyDescent="0.25">
      <c r="H106" t="s">
        <v>462</v>
      </c>
      <c r="T106">
        <v>771</v>
      </c>
      <c r="U106">
        <v>1191</v>
      </c>
      <c r="W106">
        <v>1291</v>
      </c>
      <c r="X106">
        <v>387</v>
      </c>
    </row>
    <row r="107" spans="8:24" x14ac:dyDescent="0.25">
      <c r="T107">
        <v>1332</v>
      </c>
      <c r="U107">
        <v>1332</v>
      </c>
      <c r="W107">
        <v>1337</v>
      </c>
    </row>
    <row r="108" spans="8:24" x14ac:dyDescent="0.25">
      <c r="T108">
        <v>609</v>
      </c>
    </row>
    <row r="109" spans="8:24" x14ac:dyDescent="0.25">
      <c r="T109">
        <v>1372</v>
      </c>
      <c r="U109">
        <v>1374</v>
      </c>
    </row>
    <row r="111" spans="8:24" x14ac:dyDescent="0.25">
      <c r="T111">
        <f>SUM(T101:T110)</f>
        <v>4880</v>
      </c>
      <c r="U111">
        <f>SUM(U101:U110)</f>
        <v>5113</v>
      </c>
      <c r="V111">
        <f>SUM(V101:V110)</f>
        <v>3345</v>
      </c>
      <c r="W111">
        <f>SUM(W101:W110)</f>
        <v>6651</v>
      </c>
      <c r="X111">
        <f>SUM(X101:X110)</f>
        <v>4548</v>
      </c>
    </row>
    <row r="124" spans="5:15" x14ac:dyDescent="0.25">
      <c r="E124">
        <v>972</v>
      </c>
    </row>
    <row r="125" spans="5:15" x14ac:dyDescent="0.25">
      <c r="E125">
        <f>453*2</f>
        <v>906</v>
      </c>
    </row>
    <row r="126" spans="5:15" x14ac:dyDescent="0.25">
      <c r="E126">
        <v>1242</v>
      </c>
    </row>
    <row r="127" spans="5:15" x14ac:dyDescent="0.25">
      <c r="E127">
        <v>529</v>
      </c>
    </row>
    <row r="128" spans="5:15" x14ac:dyDescent="0.25">
      <c r="E128">
        <v>836</v>
      </c>
      <c r="O128">
        <v>946</v>
      </c>
    </row>
    <row r="129" spans="5:28" x14ac:dyDescent="0.25">
      <c r="O129">
        <f>454*2</f>
        <v>908</v>
      </c>
      <c r="S129">
        <v>2172</v>
      </c>
      <c r="U129">
        <v>2172</v>
      </c>
    </row>
    <row r="130" spans="5:28" x14ac:dyDescent="0.25">
      <c r="E130">
        <f>SUM(E124:E129)</f>
        <v>4485</v>
      </c>
      <c r="G130" t="s">
        <v>466</v>
      </c>
      <c r="O130">
        <v>1070</v>
      </c>
      <c r="S130">
        <f>451*2</f>
        <v>902</v>
      </c>
      <c r="U130">
        <v>902</v>
      </c>
      <c r="W130" t="s">
        <v>463</v>
      </c>
    </row>
    <row r="131" spans="5:28" x14ac:dyDescent="0.25">
      <c r="G131" t="s">
        <v>467</v>
      </c>
      <c r="S131">
        <f>65*2</f>
        <v>130</v>
      </c>
      <c r="U131">
        <v>902</v>
      </c>
      <c r="W131" t="s">
        <v>464</v>
      </c>
    </row>
    <row r="132" spans="5:28" x14ac:dyDescent="0.25">
      <c r="O132">
        <f>SUM(O128:O131)</f>
        <v>2924</v>
      </c>
      <c r="S132">
        <f>2198*2</f>
        <v>4396</v>
      </c>
      <c r="U132">
        <v>1672</v>
      </c>
      <c r="W132" t="s">
        <v>465</v>
      </c>
    </row>
    <row r="133" spans="5:28" x14ac:dyDescent="0.25">
      <c r="U133">
        <v>1824</v>
      </c>
    </row>
    <row r="135" spans="5:28" x14ac:dyDescent="0.25">
      <c r="S135">
        <f>SUM(S129:S134)</f>
        <v>7600</v>
      </c>
      <c r="U135">
        <f>SUM(U129:U134)</f>
        <v>7472</v>
      </c>
    </row>
    <row r="143" spans="5:28" x14ac:dyDescent="0.25">
      <c r="I143" t="s">
        <v>469</v>
      </c>
      <c r="J143">
        <v>1596</v>
      </c>
      <c r="M143">
        <v>125</v>
      </c>
      <c r="N143">
        <v>2.7</v>
      </c>
      <c r="W143">
        <v>1100</v>
      </c>
      <c r="X143">
        <v>8.1</v>
      </c>
      <c r="AA143">
        <v>1100</v>
      </c>
      <c r="AB143">
        <v>8.1</v>
      </c>
    </row>
    <row r="144" spans="5:28" x14ac:dyDescent="0.25">
      <c r="I144" t="s">
        <v>360</v>
      </c>
      <c r="J144">
        <v>1196</v>
      </c>
      <c r="M144">
        <v>1200</v>
      </c>
      <c r="N144">
        <v>10.8</v>
      </c>
      <c r="W144">
        <v>700</v>
      </c>
      <c r="X144">
        <v>7.3</v>
      </c>
      <c r="AA144">
        <v>700</v>
      </c>
      <c r="AB144">
        <v>7.3</v>
      </c>
    </row>
    <row r="145" spans="9:28" x14ac:dyDescent="0.25">
      <c r="I145" t="s">
        <v>87</v>
      </c>
      <c r="J145">
        <v>404</v>
      </c>
      <c r="M145">
        <v>400</v>
      </c>
      <c r="N145">
        <v>2</v>
      </c>
      <c r="Q145">
        <v>1100</v>
      </c>
      <c r="R145">
        <v>8.1</v>
      </c>
      <c r="W145">
        <v>1200</v>
      </c>
      <c r="X145">
        <v>10.8</v>
      </c>
      <c r="AA145">
        <v>1200</v>
      </c>
      <c r="AB145">
        <v>10.8</v>
      </c>
    </row>
    <row r="146" spans="9:28" x14ac:dyDescent="0.25">
      <c r="I146" t="s">
        <v>367</v>
      </c>
      <c r="J146">
        <v>68</v>
      </c>
      <c r="M146">
        <v>400</v>
      </c>
      <c r="N146">
        <v>8.4</v>
      </c>
      <c r="Q146">
        <v>700</v>
      </c>
      <c r="R146">
        <v>7.3</v>
      </c>
      <c r="W146">
        <v>600</v>
      </c>
      <c r="X146">
        <v>7.3</v>
      </c>
      <c r="AA146">
        <v>700</v>
      </c>
      <c r="AB146">
        <v>7.3</v>
      </c>
    </row>
    <row r="147" spans="9:28" x14ac:dyDescent="0.25">
      <c r="I147" t="s">
        <v>70</v>
      </c>
      <c r="J147">
        <v>123</v>
      </c>
      <c r="M147">
        <v>400</v>
      </c>
      <c r="N147">
        <v>8.4</v>
      </c>
      <c r="Q147">
        <v>700</v>
      </c>
      <c r="R147">
        <v>7.3</v>
      </c>
      <c r="W147">
        <v>370</v>
      </c>
      <c r="X147">
        <v>8.3000000000000007</v>
      </c>
      <c r="AA147">
        <v>370</v>
      </c>
      <c r="AB147">
        <v>8.3000000000000007</v>
      </c>
    </row>
    <row r="148" spans="9:28" x14ac:dyDescent="0.25">
      <c r="I148" t="s">
        <v>468</v>
      </c>
      <c r="J148">
        <v>796</v>
      </c>
      <c r="M148">
        <v>300</v>
      </c>
      <c r="N148">
        <v>8.4</v>
      </c>
      <c r="Q148">
        <v>1200</v>
      </c>
      <c r="R148">
        <v>10.8</v>
      </c>
      <c r="W148">
        <v>370</v>
      </c>
      <c r="X148">
        <v>8.3000000000000007</v>
      </c>
      <c r="AA148">
        <v>370</v>
      </c>
      <c r="AB148">
        <v>8.3000000000000007</v>
      </c>
    </row>
    <row r="149" spans="9:28" x14ac:dyDescent="0.25">
      <c r="M149">
        <v>1100</v>
      </c>
      <c r="N149">
        <v>8.1</v>
      </c>
      <c r="Q149">
        <v>800</v>
      </c>
      <c r="R149">
        <v>16.600000000000001</v>
      </c>
      <c r="W149">
        <v>120</v>
      </c>
      <c r="X149">
        <v>2</v>
      </c>
      <c r="AA149">
        <v>120</v>
      </c>
      <c r="AB149">
        <v>2</v>
      </c>
    </row>
    <row r="150" spans="9:28" x14ac:dyDescent="0.25">
      <c r="M150">
        <v>700</v>
      </c>
      <c r="N150">
        <v>7.3</v>
      </c>
      <c r="R150">
        <v>44</v>
      </c>
      <c r="W150">
        <v>60</v>
      </c>
      <c r="X150">
        <v>2</v>
      </c>
    </row>
    <row r="151" spans="9:28" x14ac:dyDescent="0.25">
      <c r="J151">
        <f>SUM(J143:J150)</f>
        <v>4183</v>
      </c>
      <c r="N151">
        <v>44</v>
      </c>
      <c r="X151">
        <v>22</v>
      </c>
      <c r="AB151">
        <v>44</v>
      </c>
    </row>
    <row r="152" spans="9:28" x14ac:dyDescent="0.25">
      <c r="Q152">
        <f>SUM(Q145:Q151)</f>
        <v>4500</v>
      </c>
      <c r="R152">
        <f>SUM(R145:R151)</f>
        <v>94.1</v>
      </c>
      <c r="W152">
        <f>SUM(W143:W151)</f>
        <v>4520</v>
      </c>
      <c r="X152">
        <f>SUM(X143:X151)</f>
        <v>76.099999999999994</v>
      </c>
      <c r="AA152">
        <f>SUM(AA143:AA151)</f>
        <v>4560</v>
      </c>
      <c r="AB152">
        <f>SUM(AB143:AB151)</f>
        <v>96.1</v>
      </c>
    </row>
    <row r="153" spans="9:28" x14ac:dyDescent="0.25">
      <c r="M153">
        <f>SUM(M143:M152)</f>
        <v>4625</v>
      </c>
      <c r="N153">
        <f>SUM(N143:N152)</f>
        <v>100.1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H57"/>
  <sheetViews>
    <sheetView workbookViewId="0">
      <selection activeCell="G46" sqref="G46"/>
    </sheetView>
  </sheetViews>
  <sheetFormatPr defaultRowHeight="15" x14ac:dyDescent="0.25"/>
  <sheetData>
    <row r="4" spans="2:34" x14ac:dyDescent="0.25">
      <c r="C4" t="s">
        <v>173</v>
      </c>
      <c r="F4" t="s">
        <v>167</v>
      </c>
      <c r="G4" t="s">
        <v>168</v>
      </c>
      <c r="J4" t="s">
        <v>169</v>
      </c>
      <c r="M4" t="s">
        <v>170</v>
      </c>
      <c r="P4" t="s">
        <v>26</v>
      </c>
      <c r="S4" t="s">
        <v>28</v>
      </c>
      <c r="V4" t="s">
        <v>30</v>
      </c>
      <c r="Y4" t="s">
        <v>31</v>
      </c>
    </row>
    <row r="5" spans="2:34" x14ac:dyDescent="0.25">
      <c r="B5" t="s">
        <v>16</v>
      </c>
      <c r="C5">
        <v>1450</v>
      </c>
      <c r="E5" t="s">
        <v>16</v>
      </c>
      <c r="F5">
        <v>1450</v>
      </c>
      <c r="I5" t="s">
        <v>17</v>
      </c>
      <c r="J5">
        <v>1000</v>
      </c>
      <c r="O5" t="s">
        <v>16</v>
      </c>
      <c r="P5">
        <v>1400</v>
      </c>
      <c r="R5" t="s">
        <v>16</v>
      </c>
      <c r="S5">
        <v>2800</v>
      </c>
      <c r="U5" t="s">
        <v>56</v>
      </c>
      <c r="V5">
        <v>2800</v>
      </c>
      <c r="X5" t="s">
        <v>31</v>
      </c>
      <c r="Y5">
        <v>2800</v>
      </c>
      <c r="AC5" t="s">
        <v>99</v>
      </c>
      <c r="AG5" t="s">
        <v>100</v>
      </c>
    </row>
    <row r="6" spans="2:34" x14ac:dyDescent="0.25">
      <c r="B6" t="s">
        <v>17</v>
      </c>
      <c r="C6">
        <v>1000</v>
      </c>
      <c r="E6" t="s">
        <v>17</v>
      </c>
      <c r="F6">
        <v>600</v>
      </c>
      <c r="I6" t="s">
        <v>16</v>
      </c>
      <c r="J6">
        <v>1400</v>
      </c>
      <c r="L6" t="s">
        <v>16</v>
      </c>
      <c r="M6">
        <v>2800</v>
      </c>
      <c r="O6" t="s">
        <v>24</v>
      </c>
      <c r="P6">
        <v>1300</v>
      </c>
      <c r="R6" t="s">
        <v>17</v>
      </c>
      <c r="S6">
        <v>200</v>
      </c>
      <c r="U6" t="s">
        <v>17</v>
      </c>
      <c r="V6">
        <v>2100</v>
      </c>
      <c r="X6" t="s">
        <v>31</v>
      </c>
      <c r="Y6">
        <v>2800</v>
      </c>
      <c r="AC6" t="s">
        <v>105</v>
      </c>
      <c r="AD6">
        <v>17.5</v>
      </c>
      <c r="AG6" t="s">
        <v>101</v>
      </c>
      <c r="AH6">
        <v>4</v>
      </c>
    </row>
    <row r="7" spans="2:34" x14ac:dyDescent="0.25">
      <c r="E7" t="s">
        <v>18</v>
      </c>
      <c r="F7">
        <f>400*1.4*2</f>
        <v>1120</v>
      </c>
      <c r="I7" t="s">
        <v>17</v>
      </c>
      <c r="L7" t="s">
        <v>16</v>
      </c>
      <c r="M7">
        <v>2800</v>
      </c>
      <c r="O7" t="s">
        <v>27</v>
      </c>
      <c r="P7">
        <f>1500*3*2</f>
        <v>9000</v>
      </c>
      <c r="U7" t="s">
        <v>24</v>
      </c>
      <c r="V7">
        <v>2600</v>
      </c>
      <c r="AC7" t="s">
        <v>112</v>
      </c>
      <c r="AD7">
        <v>14.8</v>
      </c>
      <c r="AG7" t="s">
        <v>102</v>
      </c>
      <c r="AH7">
        <v>11.7</v>
      </c>
    </row>
    <row r="8" spans="2:34" x14ac:dyDescent="0.25">
      <c r="E8" t="s">
        <v>16</v>
      </c>
      <c r="F8">
        <v>1450</v>
      </c>
      <c r="I8" t="s">
        <v>16</v>
      </c>
      <c r="J8">
        <v>1400</v>
      </c>
      <c r="O8" t="s">
        <v>17</v>
      </c>
      <c r="P8">
        <v>1000</v>
      </c>
      <c r="AC8" t="s">
        <v>113</v>
      </c>
      <c r="AD8">
        <v>8.1</v>
      </c>
      <c r="AG8" t="s">
        <v>103</v>
      </c>
      <c r="AH8">
        <v>5</v>
      </c>
    </row>
    <row r="9" spans="2:34" x14ac:dyDescent="0.25">
      <c r="AC9" t="s">
        <v>114</v>
      </c>
      <c r="AD9">
        <v>7.3</v>
      </c>
      <c r="AG9" t="s">
        <v>104</v>
      </c>
      <c r="AH9">
        <v>9.5</v>
      </c>
    </row>
    <row r="10" spans="2:34" x14ac:dyDescent="0.25">
      <c r="AC10" t="s">
        <v>115</v>
      </c>
      <c r="AD10">
        <v>9.1</v>
      </c>
      <c r="AG10" t="s">
        <v>125</v>
      </c>
      <c r="AH10">
        <v>4.9000000000000004</v>
      </c>
    </row>
    <row r="11" spans="2:34" x14ac:dyDescent="0.25">
      <c r="C11">
        <f>SUM(C5:C10)</f>
        <v>2450</v>
      </c>
      <c r="F11">
        <f>SUM(F5:F10)</f>
        <v>4620</v>
      </c>
      <c r="J11">
        <f>SUM(J5:J10)</f>
        <v>3800</v>
      </c>
      <c r="M11">
        <f>SUM(M5:M10)</f>
        <v>5600</v>
      </c>
      <c r="P11">
        <f>SUM(P5:P10)</f>
        <v>12700</v>
      </c>
      <c r="S11">
        <f>SUM(S5:S10)</f>
        <v>3000</v>
      </c>
      <c r="V11">
        <f>SUM(V5:V10)</f>
        <v>7500</v>
      </c>
      <c r="Y11">
        <f>SUM(Y5:Y10)</f>
        <v>5600</v>
      </c>
      <c r="AC11" t="s">
        <v>116</v>
      </c>
      <c r="AD11">
        <v>12.3</v>
      </c>
      <c r="AG11" t="s">
        <v>126</v>
      </c>
      <c r="AH11">
        <v>7.9</v>
      </c>
    </row>
    <row r="12" spans="2:34" x14ac:dyDescent="0.25">
      <c r="AC12" t="s">
        <v>117</v>
      </c>
      <c r="AD12">
        <v>13.1</v>
      </c>
      <c r="AG12" t="s">
        <v>129</v>
      </c>
      <c r="AH12">
        <v>4.5</v>
      </c>
    </row>
    <row r="13" spans="2:34" x14ac:dyDescent="0.25">
      <c r="X13" t="s">
        <v>32</v>
      </c>
      <c r="AC13" t="s">
        <v>118</v>
      </c>
      <c r="AD13">
        <v>8.3000000000000007</v>
      </c>
      <c r="AG13" t="s">
        <v>130</v>
      </c>
      <c r="AH13">
        <v>3.6</v>
      </c>
    </row>
    <row r="14" spans="2:34" x14ac:dyDescent="0.25">
      <c r="F14" t="s">
        <v>34</v>
      </c>
      <c r="I14" t="s">
        <v>33</v>
      </c>
      <c r="L14" t="s">
        <v>35</v>
      </c>
      <c r="O14" t="s">
        <v>37</v>
      </c>
      <c r="R14" t="s">
        <v>38</v>
      </c>
      <c r="S14" t="s">
        <v>39</v>
      </c>
      <c r="V14" t="s">
        <v>45</v>
      </c>
      <c r="W14" t="s">
        <v>46</v>
      </c>
      <c r="X14" t="s">
        <v>44</v>
      </c>
      <c r="Y14" t="s">
        <v>47</v>
      </c>
      <c r="Z14" t="s">
        <v>48</v>
      </c>
      <c r="AC14" t="s">
        <v>119</v>
      </c>
      <c r="AD14">
        <v>13.3</v>
      </c>
      <c r="AG14" t="s">
        <v>131</v>
      </c>
      <c r="AH14">
        <v>4.5999999999999996</v>
      </c>
    </row>
    <row r="15" spans="2:34" x14ac:dyDescent="0.25">
      <c r="E15" t="s">
        <v>16</v>
      </c>
      <c r="F15">
        <f>(999-66)*3</f>
        <v>2799</v>
      </c>
      <c r="H15" t="s">
        <v>16</v>
      </c>
      <c r="I15">
        <v>2800</v>
      </c>
      <c r="K15" t="s">
        <v>16</v>
      </c>
      <c r="L15">
        <v>2800</v>
      </c>
      <c r="N15" t="s">
        <v>24</v>
      </c>
      <c r="O15">
        <v>2000</v>
      </c>
      <c r="Q15" t="s">
        <v>24</v>
      </c>
      <c r="R15">
        <v>630</v>
      </c>
      <c r="S15">
        <v>630</v>
      </c>
      <c r="U15" t="s">
        <v>24</v>
      </c>
      <c r="X15">
        <v>2000</v>
      </c>
      <c r="Y15">
        <f>1300*0.3</f>
        <v>390</v>
      </c>
      <c r="Z15">
        <v>1300</v>
      </c>
      <c r="AC15" t="s">
        <v>120</v>
      </c>
      <c r="AD15">
        <v>7.7</v>
      </c>
      <c r="AG15" t="s">
        <v>132</v>
      </c>
      <c r="AH15">
        <v>4.3</v>
      </c>
    </row>
    <row r="16" spans="2:34" x14ac:dyDescent="0.25">
      <c r="E16" t="s">
        <v>24</v>
      </c>
      <c r="F16">
        <f>1200/2</f>
        <v>600</v>
      </c>
      <c r="H16" t="s">
        <v>24</v>
      </c>
      <c r="I16">
        <v>2000</v>
      </c>
      <c r="K16" t="s">
        <v>24</v>
      </c>
      <c r="L16">
        <v>1450</v>
      </c>
      <c r="N16" t="s">
        <v>17</v>
      </c>
      <c r="O16">
        <v>2000</v>
      </c>
      <c r="Q16" t="s">
        <v>17</v>
      </c>
      <c r="R16">
        <v>450</v>
      </c>
      <c r="S16">
        <v>450</v>
      </c>
      <c r="U16" t="s">
        <v>17</v>
      </c>
      <c r="X16">
        <v>1300</v>
      </c>
      <c r="Y16">
        <f>2000*0.3</f>
        <v>600</v>
      </c>
      <c r="Z16">
        <v>1300</v>
      </c>
      <c r="AC16" t="s">
        <v>121</v>
      </c>
      <c r="AD16">
        <v>13.1</v>
      </c>
      <c r="AG16" t="s">
        <v>133</v>
      </c>
      <c r="AH16">
        <v>2.7</v>
      </c>
    </row>
    <row r="17" spans="2:34" x14ac:dyDescent="0.25">
      <c r="E17" t="s">
        <v>17</v>
      </c>
      <c r="F17">
        <v>101</v>
      </c>
      <c r="K17" t="s">
        <v>24</v>
      </c>
      <c r="L17">
        <v>1450</v>
      </c>
      <c r="N17" t="s">
        <v>56</v>
      </c>
      <c r="O17">
        <v>2800</v>
      </c>
      <c r="Q17" t="s">
        <v>56</v>
      </c>
      <c r="S17">
        <v>2800</v>
      </c>
      <c r="U17" t="s">
        <v>40</v>
      </c>
      <c r="V17">
        <f>1300*0.6</f>
        <v>780</v>
      </c>
      <c r="W17">
        <f>1200</f>
        <v>1200</v>
      </c>
      <c r="Y17">
        <v>390</v>
      </c>
      <c r="Z17">
        <v>1300</v>
      </c>
      <c r="AC17" t="s">
        <v>122</v>
      </c>
      <c r="AD17">
        <v>8.1</v>
      </c>
      <c r="AG17" t="s">
        <v>143</v>
      </c>
      <c r="AH17">
        <v>15.7</v>
      </c>
    </row>
    <row r="18" spans="2:34" x14ac:dyDescent="0.25">
      <c r="K18" t="s">
        <v>16</v>
      </c>
      <c r="L18">
        <v>2800</v>
      </c>
      <c r="Q18" t="s">
        <v>17</v>
      </c>
      <c r="R18">
        <v>250</v>
      </c>
      <c r="U18" t="s">
        <v>56</v>
      </c>
      <c r="Y18">
        <v>2800</v>
      </c>
      <c r="AC18" t="s">
        <v>123</v>
      </c>
      <c r="AD18">
        <v>12</v>
      </c>
    </row>
    <row r="19" spans="2:34" x14ac:dyDescent="0.25">
      <c r="K19" t="s">
        <v>17</v>
      </c>
      <c r="L19">
        <v>1050</v>
      </c>
      <c r="Q19" t="s">
        <v>56</v>
      </c>
      <c r="R19">
        <v>2800</v>
      </c>
      <c r="U19" t="s">
        <v>87</v>
      </c>
      <c r="V19">
        <v>1200</v>
      </c>
      <c r="W19">
        <f>1300*0.6</f>
        <v>780</v>
      </c>
      <c r="Y19">
        <v>390</v>
      </c>
      <c r="Z19">
        <v>780</v>
      </c>
      <c r="AC19" t="s">
        <v>124</v>
      </c>
      <c r="AD19">
        <v>10.4</v>
      </c>
    </row>
    <row r="20" spans="2:34" x14ac:dyDescent="0.25">
      <c r="F20">
        <f>SUM(F15:F19)</f>
        <v>3500</v>
      </c>
      <c r="I20">
        <f>SUM(I15:I19)</f>
        <v>4800</v>
      </c>
      <c r="U20" t="s">
        <v>24</v>
      </c>
      <c r="V20">
        <v>1300</v>
      </c>
      <c r="W20">
        <v>1300</v>
      </c>
      <c r="Z20">
        <v>1300</v>
      </c>
      <c r="AC20" t="s">
        <v>127</v>
      </c>
      <c r="AD20">
        <v>11.3</v>
      </c>
    </row>
    <row r="21" spans="2:34" x14ac:dyDescent="0.25">
      <c r="R21">
        <f>SUM(R15:R20)</f>
        <v>4130</v>
      </c>
      <c r="S21">
        <f>SUM(S15:S20)</f>
        <v>3880</v>
      </c>
      <c r="U21" t="s">
        <v>17</v>
      </c>
      <c r="V21">
        <v>120</v>
      </c>
      <c r="W21">
        <v>60</v>
      </c>
      <c r="Z21">
        <f>400</f>
        <v>400</v>
      </c>
      <c r="AC21" t="s">
        <v>128</v>
      </c>
      <c r="AD21">
        <v>12.8</v>
      </c>
    </row>
    <row r="22" spans="2:34" x14ac:dyDescent="0.25">
      <c r="L22">
        <f>SUM(L15:L21)</f>
        <v>9550</v>
      </c>
      <c r="O22">
        <f>SUM(O15:O21)</f>
        <v>6800</v>
      </c>
      <c r="U22" t="s">
        <v>56</v>
      </c>
      <c r="V22">
        <v>1400</v>
      </c>
      <c r="W22">
        <v>1400</v>
      </c>
      <c r="AC22" t="s">
        <v>134</v>
      </c>
      <c r="AD22">
        <v>8.1999999999999993</v>
      </c>
    </row>
    <row r="23" spans="2:34" x14ac:dyDescent="0.25">
      <c r="AC23" t="s">
        <v>135</v>
      </c>
      <c r="AD23">
        <v>9.3000000000000007</v>
      </c>
    </row>
    <row r="24" spans="2:34" x14ac:dyDescent="0.25">
      <c r="V24">
        <f>SUM(V15:V23)</f>
        <v>4800</v>
      </c>
      <c r="W24">
        <f>SUM(W15:W23)</f>
        <v>4740</v>
      </c>
      <c r="X24">
        <f>SUM(X15:X23)</f>
        <v>3300</v>
      </c>
      <c r="Y24">
        <f>SUM(Y15:Y23)</f>
        <v>4570</v>
      </c>
      <c r="Z24">
        <f>SUM(Z15:Z23)</f>
        <v>6380</v>
      </c>
      <c r="AC24" t="s">
        <v>136</v>
      </c>
      <c r="AD24">
        <v>10.8</v>
      </c>
    </row>
    <row r="25" spans="2:34" x14ac:dyDescent="0.25">
      <c r="AC25" t="s">
        <v>140</v>
      </c>
      <c r="AD25">
        <v>7.7</v>
      </c>
    </row>
    <row r="29" spans="2:34" x14ac:dyDescent="0.25">
      <c r="C29" t="s">
        <v>173</v>
      </c>
      <c r="F29" t="s">
        <v>167</v>
      </c>
      <c r="G29" t="s">
        <v>168</v>
      </c>
      <c r="J29" t="s">
        <v>169</v>
      </c>
      <c r="M29" t="s">
        <v>170</v>
      </c>
      <c r="P29" t="s">
        <v>26</v>
      </c>
      <c r="S29" t="s">
        <v>28</v>
      </c>
      <c r="V29" t="s">
        <v>30</v>
      </c>
      <c r="Y29" t="s">
        <v>31</v>
      </c>
    </row>
    <row r="30" spans="2:34" x14ac:dyDescent="0.25">
      <c r="B30" t="s">
        <v>16</v>
      </c>
      <c r="C30">
        <v>4.5</v>
      </c>
      <c r="E30" t="s">
        <v>16</v>
      </c>
      <c r="F30">
        <v>4.5</v>
      </c>
      <c r="G30">
        <v>4.5</v>
      </c>
      <c r="I30" t="s">
        <v>17</v>
      </c>
      <c r="O30" t="s">
        <v>17</v>
      </c>
      <c r="P30">
        <v>9.1</v>
      </c>
      <c r="R30" t="s">
        <v>16</v>
      </c>
      <c r="S30">
        <v>4.5</v>
      </c>
      <c r="U30" t="s">
        <v>56</v>
      </c>
      <c r="V30">
        <v>4.5999999999999996</v>
      </c>
      <c r="X30" t="s">
        <v>56</v>
      </c>
      <c r="Y30">
        <v>4.5</v>
      </c>
    </row>
    <row r="31" spans="2:34" x14ac:dyDescent="0.25">
      <c r="B31" t="s">
        <v>17</v>
      </c>
      <c r="C31">
        <v>7.3</v>
      </c>
      <c r="E31" t="s">
        <v>17</v>
      </c>
      <c r="F31">
        <v>13.1</v>
      </c>
      <c r="G31">
        <v>9.1</v>
      </c>
      <c r="I31" t="s">
        <v>16</v>
      </c>
      <c r="J31">
        <v>4.5</v>
      </c>
      <c r="L31" t="s">
        <v>16</v>
      </c>
      <c r="M31">
        <v>4.5</v>
      </c>
      <c r="O31" t="s">
        <v>24</v>
      </c>
      <c r="P31">
        <v>17.5</v>
      </c>
      <c r="U31" t="s">
        <v>17</v>
      </c>
      <c r="V31">
        <v>9.1</v>
      </c>
      <c r="X31" t="s">
        <v>56</v>
      </c>
      <c r="Y31">
        <v>4.5</v>
      </c>
    </row>
    <row r="32" spans="2:34" x14ac:dyDescent="0.25">
      <c r="E32" t="s">
        <v>18</v>
      </c>
      <c r="F32">
        <v>10.8</v>
      </c>
      <c r="G32">
        <v>10.8</v>
      </c>
      <c r="I32" t="s">
        <v>17</v>
      </c>
      <c r="L32" t="s">
        <v>16</v>
      </c>
      <c r="M32">
        <v>4.5</v>
      </c>
      <c r="O32" t="s">
        <v>27</v>
      </c>
      <c r="P32">
        <v>9.5</v>
      </c>
      <c r="R32" t="s">
        <v>17</v>
      </c>
      <c r="S32">
        <v>2.7</v>
      </c>
      <c r="U32" t="s">
        <v>24</v>
      </c>
      <c r="V32">
        <v>9.1</v>
      </c>
      <c r="X32" t="s">
        <v>172</v>
      </c>
      <c r="Y32">
        <v>15</v>
      </c>
    </row>
    <row r="33" spans="3:26" x14ac:dyDescent="0.25">
      <c r="E33" t="s">
        <v>70</v>
      </c>
      <c r="G33">
        <v>6.5</v>
      </c>
      <c r="I33" t="s">
        <v>16</v>
      </c>
      <c r="J33">
        <v>4.5</v>
      </c>
      <c r="L33" t="s">
        <v>172</v>
      </c>
      <c r="M33">
        <v>10</v>
      </c>
      <c r="O33" t="s">
        <v>16</v>
      </c>
      <c r="P33">
        <v>4.5</v>
      </c>
    </row>
    <row r="34" spans="3:26" x14ac:dyDescent="0.25">
      <c r="E34" t="s">
        <v>17</v>
      </c>
      <c r="I34" t="s">
        <v>172</v>
      </c>
      <c r="J34">
        <v>15</v>
      </c>
    </row>
    <row r="36" spans="3:26" x14ac:dyDescent="0.25">
      <c r="C36">
        <f>SUM(C30:C31)</f>
        <v>11.8</v>
      </c>
      <c r="F36">
        <f>SUM(F30:F35)</f>
        <v>28.400000000000002</v>
      </c>
      <c r="G36">
        <f>SUM(G30:G35)</f>
        <v>30.9</v>
      </c>
      <c r="J36">
        <f>SUM(J30:J35)</f>
        <v>24</v>
      </c>
      <c r="M36">
        <f>SUM(M30:M35)</f>
        <v>19</v>
      </c>
      <c r="P36">
        <f>SUM(P30:P35)</f>
        <v>40.6</v>
      </c>
      <c r="S36">
        <f>SUM(S30:S35)</f>
        <v>7.2</v>
      </c>
      <c r="V36">
        <f>SUM(V30:V35)</f>
        <v>22.799999999999997</v>
      </c>
      <c r="Y36">
        <f>SUM(Y30:Y35)</f>
        <v>24</v>
      </c>
    </row>
    <row r="38" spans="3:26" x14ac:dyDescent="0.25">
      <c r="V38" t="s">
        <v>32</v>
      </c>
    </row>
    <row r="39" spans="3:26" x14ac:dyDescent="0.25">
      <c r="D39" t="s">
        <v>34</v>
      </c>
      <c r="G39" t="s">
        <v>33</v>
      </c>
      <c r="J39" t="s">
        <v>35</v>
      </c>
      <c r="M39" t="s">
        <v>37</v>
      </c>
      <c r="P39" t="s">
        <v>38</v>
      </c>
      <c r="Q39" t="s">
        <v>39</v>
      </c>
      <c r="T39" t="s">
        <v>45</v>
      </c>
      <c r="U39" t="s">
        <v>46</v>
      </c>
      <c r="V39" t="s">
        <v>44</v>
      </c>
      <c r="W39" t="s">
        <v>47</v>
      </c>
      <c r="X39" t="s">
        <v>48</v>
      </c>
    </row>
    <row r="40" spans="3:26" x14ac:dyDescent="0.25">
      <c r="C40" t="s">
        <v>56</v>
      </c>
      <c r="D40">
        <v>4.5</v>
      </c>
      <c r="F40" t="s">
        <v>56</v>
      </c>
      <c r="G40">
        <v>4.5999999999999996</v>
      </c>
      <c r="I40" t="s">
        <v>56</v>
      </c>
      <c r="J40">
        <v>4.5999999999999996</v>
      </c>
      <c r="L40" t="s">
        <v>24</v>
      </c>
      <c r="M40">
        <v>8.1</v>
      </c>
      <c r="O40" t="s">
        <v>24</v>
      </c>
      <c r="P40">
        <v>8.3000000000000007</v>
      </c>
      <c r="S40" t="s">
        <v>24</v>
      </c>
      <c r="V40">
        <v>2000</v>
      </c>
      <c r="W40">
        <f>1300*0.3</f>
        <v>390</v>
      </c>
      <c r="X40">
        <v>1300</v>
      </c>
      <c r="Z40">
        <v>8.1</v>
      </c>
    </row>
    <row r="41" spans="3:26" x14ac:dyDescent="0.25">
      <c r="C41" t="s">
        <v>24</v>
      </c>
      <c r="D41">
        <v>7.3</v>
      </c>
      <c r="F41" t="s">
        <v>24</v>
      </c>
      <c r="G41">
        <v>8.1</v>
      </c>
      <c r="I41" t="s">
        <v>56</v>
      </c>
      <c r="J41">
        <v>4.5999999999999996</v>
      </c>
      <c r="L41" t="s">
        <v>17</v>
      </c>
      <c r="M41">
        <v>8.1</v>
      </c>
      <c r="O41" t="s">
        <v>17</v>
      </c>
      <c r="P41">
        <v>8.3000000000000007</v>
      </c>
      <c r="S41" t="s">
        <v>17</v>
      </c>
      <c r="V41">
        <v>1300</v>
      </c>
      <c r="W41">
        <f>2000*0.3</f>
        <v>600</v>
      </c>
      <c r="X41">
        <v>1300</v>
      </c>
      <c r="Z41">
        <v>8.1</v>
      </c>
    </row>
    <row r="42" spans="3:26" x14ac:dyDescent="0.25">
      <c r="C42" t="s">
        <v>17</v>
      </c>
      <c r="D42">
        <v>2.7</v>
      </c>
      <c r="I42" t="s">
        <v>172</v>
      </c>
      <c r="J42">
        <v>15</v>
      </c>
      <c r="L42" t="s">
        <v>56</v>
      </c>
      <c r="M42">
        <v>4.5999999999999996</v>
      </c>
      <c r="O42" t="s">
        <v>56</v>
      </c>
      <c r="P42">
        <v>4.5999999999999996</v>
      </c>
      <c r="S42" t="s">
        <v>40</v>
      </c>
      <c r="T42">
        <f>1300*0.6</f>
        <v>780</v>
      </c>
      <c r="U42">
        <f>1200</f>
        <v>1200</v>
      </c>
      <c r="W42">
        <v>390</v>
      </c>
      <c r="X42">
        <v>1300</v>
      </c>
      <c r="Z42">
        <v>8.1</v>
      </c>
    </row>
    <row r="43" spans="3:26" x14ac:dyDescent="0.25">
      <c r="O43" t="s">
        <v>17</v>
      </c>
      <c r="P43">
        <v>2.7</v>
      </c>
      <c r="S43" t="s">
        <v>56</v>
      </c>
      <c r="W43">
        <v>2800</v>
      </c>
      <c r="Z43">
        <v>4.5999999999999996</v>
      </c>
    </row>
    <row r="44" spans="3:26" x14ac:dyDescent="0.25">
      <c r="O44" t="s">
        <v>56</v>
      </c>
      <c r="P44">
        <v>4.5999999999999996</v>
      </c>
      <c r="S44" t="s">
        <v>87</v>
      </c>
      <c r="T44">
        <v>1200</v>
      </c>
      <c r="U44">
        <f>1300*0.6</f>
        <v>780</v>
      </c>
      <c r="W44">
        <v>390</v>
      </c>
      <c r="X44">
        <v>780</v>
      </c>
      <c r="Z44">
        <v>8.1</v>
      </c>
    </row>
    <row r="45" spans="3:26" x14ac:dyDescent="0.25">
      <c r="D45">
        <f>SUM(D40:D44)</f>
        <v>14.5</v>
      </c>
      <c r="G45">
        <f>SUM(G40:G44)</f>
        <v>12.7</v>
      </c>
      <c r="O45" t="s">
        <v>172</v>
      </c>
      <c r="P45">
        <v>15</v>
      </c>
      <c r="S45" t="s">
        <v>24</v>
      </c>
      <c r="T45">
        <v>1300</v>
      </c>
      <c r="U45">
        <v>1300</v>
      </c>
      <c r="X45">
        <v>1300</v>
      </c>
      <c r="Z45">
        <v>17.5</v>
      </c>
    </row>
    <row r="46" spans="3:26" x14ac:dyDescent="0.25">
      <c r="P46">
        <f>SUM(P40:P45)</f>
        <v>43.5</v>
      </c>
      <c r="Q46">
        <f>SUM(Q40:Q45)</f>
        <v>0</v>
      </c>
      <c r="S46" t="s">
        <v>17</v>
      </c>
      <c r="T46">
        <v>120</v>
      </c>
      <c r="U46">
        <v>60</v>
      </c>
      <c r="X46">
        <f>400</f>
        <v>400</v>
      </c>
      <c r="Z46">
        <v>7.7</v>
      </c>
    </row>
    <row r="47" spans="3:26" x14ac:dyDescent="0.25">
      <c r="J47">
        <f>SUM(J40:J46)</f>
        <v>24.2</v>
      </c>
      <c r="M47">
        <f>SUM(M40:M46)</f>
        <v>20.799999999999997</v>
      </c>
      <c r="S47" t="s">
        <v>56</v>
      </c>
      <c r="T47">
        <v>1400</v>
      </c>
      <c r="U47">
        <v>1400</v>
      </c>
      <c r="Z47">
        <v>4.5999999999999996</v>
      </c>
    </row>
    <row r="49" spans="6:26" x14ac:dyDescent="0.25">
      <c r="T49">
        <f>SUM(T40:T48)</f>
        <v>4800</v>
      </c>
      <c r="U49">
        <f>SUM(U40:U48)</f>
        <v>4740</v>
      </c>
      <c r="V49">
        <f>SUM(V40:V48)</f>
        <v>3300</v>
      </c>
      <c r="W49">
        <f>SUM(W40:W48)</f>
        <v>4570</v>
      </c>
      <c r="X49">
        <f>SUM(X40:X48)</f>
        <v>6380</v>
      </c>
      <c r="Z49">
        <f>SUM(Z40:Z48)</f>
        <v>66.8</v>
      </c>
    </row>
    <row r="53" spans="6:26" x14ac:dyDescent="0.25">
      <c r="F53" t="s">
        <v>174</v>
      </c>
    </row>
    <row r="54" spans="6:26" x14ac:dyDescent="0.25">
      <c r="F54" t="s">
        <v>175</v>
      </c>
      <c r="G54">
        <v>90</v>
      </c>
    </row>
    <row r="55" spans="6:26" x14ac:dyDescent="0.25">
      <c r="F55" t="s">
        <v>176</v>
      </c>
      <c r="G55">
        <v>30</v>
      </c>
    </row>
    <row r="56" spans="6:26" x14ac:dyDescent="0.25">
      <c r="F56" t="s">
        <v>177</v>
      </c>
      <c r="G56">
        <v>60</v>
      </c>
    </row>
    <row r="57" spans="6:26" x14ac:dyDescent="0.25">
      <c r="F57" t="s"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H56"/>
  <sheetViews>
    <sheetView workbookViewId="0">
      <selection activeCell="AB29" sqref="AB29"/>
    </sheetView>
  </sheetViews>
  <sheetFormatPr defaultRowHeight="15" x14ac:dyDescent="0.25"/>
  <sheetData>
    <row r="4" spans="2:34" x14ac:dyDescent="0.25">
      <c r="C4" t="s">
        <v>173</v>
      </c>
      <c r="F4" t="s">
        <v>167</v>
      </c>
      <c r="G4" t="s">
        <v>168</v>
      </c>
      <c r="J4" t="s">
        <v>169</v>
      </c>
      <c r="M4" t="s">
        <v>170</v>
      </c>
      <c r="P4" t="s">
        <v>26</v>
      </c>
      <c r="S4" t="s">
        <v>28</v>
      </c>
      <c r="V4" t="s">
        <v>30</v>
      </c>
      <c r="Y4" t="s">
        <v>31</v>
      </c>
    </row>
    <row r="5" spans="2:34" x14ac:dyDescent="0.25">
      <c r="B5" t="s">
        <v>16</v>
      </c>
      <c r="C5">
        <v>2800</v>
      </c>
      <c r="E5" t="s">
        <v>16</v>
      </c>
      <c r="F5">
        <v>2800</v>
      </c>
      <c r="I5" t="s">
        <v>17</v>
      </c>
      <c r="O5" t="s">
        <v>16</v>
      </c>
      <c r="P5">
        <v>1400</v>
      </c>
      <c r="R5" t="s">
        <v>16</v>
      </c>
      <c r="S5">
        <v>2800</v>
      </c>
      <c r="U5" t="s">
        <v>56</v>
      </c>
      <c r="V5">
        <v>2800</v>
      </c>
      <c r="X5" t="s">
        <v>31</v>
      </c>
      <c r="Y5">
        <v>2800</v>
      </c>
      <c r="AC5" t="s">
        <v>99</v>
      </c>
      <c r="AG5" t="s">
        <v>100</v>
      </c>
    </row>
    <row r="6" spans="2:34" x14ac:dyDescent="0.25">
      <c r="E6" t="s">
        <v>17</v>
      </c>
      <c r="F6">
        <v>1500</v>
      </c>
      <c r="I6" t="s">
        <v>16</v>
      </c>
      <c r="J6">
        <v>2800</v>
      </c>
      <c r="L6" t="s">
        <v>16</v>
      </c>
      <c r="M6">
        <v>2800</v>
      </c>
      <c r="O6" t="s">
        <v>24</v>
      </c>
      <c r="P6">
        <v>1300</v>
      </c>
      <c r="R6" t="s">
        <v>17</v>
      </c>
      <c r="S6">
        <v>200</v>
      </c>
      <c r="U6" t="s">
        <v>17</v>
      </c>
      <c r="V6">
        <v>2100</v>
      </c>
      <c r="X6" t="s">
        <v>31</v>
      </c>
      <c r="Y6">
        <v>2800</v>
      </c>
      <c r="AC6" t="s">
        <v>105</v>
      </c>
      <c r="AD6">
        <v>17.5</v>
      </c>
      <c r="AG6" t="s">
        <v>101</v>
      </c>
      <c r="AH6">
        <v>4</v>
      </c>
    </row>
    <row r="7" spans="2:34" x14ac:dyDescent="0.25">
      <c r="E7" t="s">
        <v>18</v>
      </c>
      <c r="F7">
        <v>400</v>
      </c>
      <c r="I7" t="s">
        <v>17</v>
      </c>
      <c r="L7" t="s">
        <v>16</v>
      </c>
      <c r="M7">
        <v>2800</v>
      </c>
      <c r="O7" t="s">
        <v>27</v>
      </c>
      <c r="P7">
        <f>1500*3*2</f>
        <v>9000</v>
      </c>
      <c r="U7" t="s">
        <v>24</v>
      </c>
      <c r="V7">
        <v>2600</v>
      </c>
      <c r="AC7" t="s">
        <v>112</v>
      </c>
      <c r="AD7">
        <v>14.8</v>
      </c>
      <c r="AG7" t="s">
        <v>102</v>
      </c>
      <c r="AH7">
        <v>11.7</v>
      </c>
    </row>
    <row r="8" spans="2:34" x14ac:dyDescent="0.25">
      <c r="I8" t="s">
        <v>16</v>
      </c>
      <c r="J8">
        <v>2800</v>
      </c>
      <c r="O8" t="s">
        <v>17</v>
      </c>
      <c r="P8">
        <v>1000</v>
      </c>
      <c r="AC8" t="s">
        <v>113</v>
      </c>
      <c r="AD8">
        <v>8.1</v>
      </c>
      <c r="AG8" t="s">
        <v>103</v>
      </c>
      <c r="AH8">
        <v>5</v>
      </c>
    </row>
    <row r="9" spans="2:34" x14ac:dyDescent="0.25">
      <c r="AC9" t="s">
        <v>114</v>
      </c>
      <c r="AD9">
        <v>7.3</v>
      </c>
      <c r="AG9" t="s">
        <v>104</v>
      </c>
      <c r="AH9">
        <v>9.5</v>
      </c>
    </row>
    <row r="10" spans="2:34" x14ac:dyDescent="0.25">
      <c r="AC10" t="s">
        <v>115</v>
      </c>
      <c r="AD10">
        <v>9.1</v>
      </c>
      <c r="AG10" t="s">
        <v>125</v>
      </c>
      <c r="AH10">
        <v>4.9000000000000004</v>
      </c>
    </row>
    <row r="11" spans="2:34" x14ac:dyDescent="0.25">
      <c r="C11">
        <f>SUM(C5:C10)</f>
        <v>2800</v>
      </c>
      <c r="F11">
        <f>SUM(F5:F10)</f>
        <v>4700</v>
      </c>
      <c r="J11">
        <f>SUM(J5:J10)</f>
        <v>5600</v>
      </c>
      <c r="M11">
        <f>SUM(M5:M10)</f>
        <v>5600</v>
      </c>
      <c r="P11">
        <f>SUM(P5:P10)</f>
        <v>12700</v>
      </c>
      <c r="S11">
        <f>SUM(S5:S10)</f>
        <v>3000</v>
      </c>
      <c r="V11">
        <f>SUM(V5:V10)</f>
        <v>7500</v>
      </c>
      <c r="Y11">
        <f>SUM(Y5:Y10)</f>
        <v>5600</v>
      </c>
      <c r="AC11" t="s">
        <v>116</v>
      </c>
      <c r="AD11">
        <v>12.3</v>
      </c>
      <c r="AG11" t="s">
        <v>126</v>
      </c>
      <c r="AH11">
        <v>7.9</v>
      </c>
    </row>
    <row r="12" spans="2:34" x14ac:dyDescent="0.25">
      <c r="AC12" t="s">
        <v>117</v>
      </c>
      <c r="AD12">
        <v>13.1</v>
      </c>
      <c r="AG12" t="s">
        <v>129</v>
      </c>
      <c r="AH12">
        <v>4.5</v>
      </c>
    </row>
    <row r="13" spans="2:34" x14ac:dyDescent="0.25">
      <c r="X13" t="s">
        <v>32</v>
      </c>
      <c r="AC13" t="s">
        <v>118</v>
      </c>
      <c r="AD13">
        <v>8.3000000000000007</v>
      </c>
      <c r="AG13" t="s">
        <v>130</v>
      </c>
      <c r="AH13">
        <v>3.6</v>
      </c>
    </row>
    <row r="14" spans="2:34" x14ac:dyDescent="0.25">
      <c r="F14" t="s">
        <v>34</v>
      </c>
      <c r="I14" t="s">
        <v>33</v>
      </c>
      <c r="L14" t="s">
        <v>35</v>
      </c>
      <c r="O14" t="s">
        <v>37</v>
      </c>
      <c r="R14" t="s">
        <v>38</v>
      </c>
      <c r="S14" t="s">
        <v>39</v>
      </c>
      <c r="V14" t="s">
        <v>45</v>
      </c>
      <c r="W14" t="s">
        <v>46</v>
      </c>
      <c r="X14" t="s">
        <v>44</v>
      </c>
      <c r="Y14" t="s">
        <v>47</v>
      </c>
      <c r="Z14" t="s">
        <v>48</v>
      </c>
      <c r="AC14" t="s">
        <v>119</v>
      </c>
      <c r="AD14">
        <v>13.3</v>
      </c>
      <c r="AG14" t="s">
        <v>131</v>
      </c>
      <c r="AH14">
        <v>4.5999999999999996</v>
      </c>
    </row>
    <row r="15" spans="2:34" x14ac:dyDescent="0.25">
      <c r="E15" t="s">
        <v>16</v>
      </c>
      <c r="F15">
        <f>(999-66)*3</f>
        <v>2799</v>
      </c>
      <c r="H15" t="s">
        <v>16</v>
      </c>
      <c r="I15">
        <v>2800</v>
      </c>
      <c r="K15" t="s">
        <v>16</v>
      </c>
      <c r="L15">
        <v>2800</v>
      </c>
      <c r="N15" t="s">
        <v>24</v>
      </c>
      <c r="O15">
        <v>2000</v>
      </c>
      <c r="Q15" t="s">
        <v>24</v>
      </c>
      <c r="R15">
        <v>630</v>
      </c>
      <c r="S15">
        <v>630</v>
      </c>
      <c r="U15" t="s">
        <v>24</v>
      </c>
      <c r="X15">
        <v>2000</v>
      </c>
      <c r="Y15">
        <f>1300*0.3</f>
        <v>390</v>
      </c>
      <c r="Z15">
        <v>1300</v>
      </c>
      <c r="AC15" t="s">
        <v>120</v>
      </c>
      <c r="AD15">
        <v>7.7</v>
      </c>
      <c r="AG15" t="s">
        <v>132</v>
      </c>
      <c r="AH15">
        <v>4.3</v>
      </c>
    </row>
    <row r="16" spans="2:34" x14ac:dyDescent="0.25">
      <c r="E16" t="s">
        <v>24</v>
      </c>
      <c r="F16">
        <f>1200/2</f>
        <v>600</v>
      </c>
      <c r="H16" t="s">
        <v>24</v>
      </c>
      <c r="I16">
        <v>2000</v>
      </c>
      <c r="K16" t="s">
        <v>24</v>
      </c>
      <c r="L16">
        <v>1450</v>
      </c>
      <c r="N16" t="s">
        <v>17</v>
      </c>
      <c r="O16">
        <v>2000</v>
      </c>
      <c r="Q16" t="s">
        <v>17</v>
      </c>
      <c r="R16">
        <v>450</v>
      </c>
      <c r="S16">
        <v>450</v>
      </c>
      <c r="U16" t="s">
        <v>17</v>
      </c>
      <c r="X16">
        <v>1300</v>
      </c>
      <c r="Y16">
        <f>2000*0.3</f>
        <v>600</v>
      </c>
      <c r="Z16">
        <v>1300</v>
      </c>
      <c r="AC16" t="s">
        <v>121</v>
      </c>
      <c r="AD16">
        <v>13.1</v>
      </c>
      <c r="AG16" t="s">
        <v>133</v>
      </c>
      <c r="AH16">
        <v>2.7</v>
      </c>
    </row>
    <row r="17" spans="2:34" x14ac:dyDescent="0.25">
      <c r="E17" t="s">
        <v>17</v>
      </c>
      <c r="F17">
        <v>101</v>
      </c>
      <c r="K17" t="s">
        <v>24</v>
      </c>
      <c r="L17">
        <v>1450</v>
      </c>
      <c r="N17" t="s">
        <v>56</v>
      </c>
      <c r="O17">
        <v>2800</v>
      </c>
      <c r="Q17" t="s">
        <v>56</v>
      </c>
      <c r="S17">
        <v>2800</v>
      </c>
      <c r="U17" t="s">
        <v>40</v>
      </c>
      <c r="V17">
        <f>1300*0.6</f>
        <v>780</v>
      </c>
      <c r="W17">
        <f>1200</f>
        <v>1200</v>
      </c>
      <c r="Y17">
        <v>390</v>
      </c>
      <c r="Z17">
        <v>1300</v>
      </c>
      <c r="AC17" t="s">
        <v>122</v>
      </c>
      <c r="AD17">
        <v>8.1</v>
      </c>
      <c r="AG17" t="s">
        <v>143</v>
      </c>
      <c r="AH17">
        <v>15.7</v>
      </c>
    </row>
    <row r="18" spans="2:34" x14ac:dyDescent="0.25">
      <c r="K18" t="s">
        <v>16</v>
      </c>
      <c r="L18">
        <v>2800</v>
      </c>
      <c r="Q18" t="s">
        <v>17</v>
      </c>
      <c r="R18">
        <v>250</v>
      </c>
      <c r="U18" t="s">
        <v>56</v>
      </c>
      <c r="Y18">
        <v>2800</v>
      </c>
      <c r="AC18" t="s">
        <v>123</v>
      </c>
      <c r="AD18">
        <v>12</v>
      </c>
    </row>
    <row r="19" spans="2:34" x14ac:dyDescent="0.25">
      <c r="K19" t="s">
        <v>17</v>
      </c>
      <c r="L19">
        <v>1050</v>
      </c>
      <c r="Q19" t="s">
        <v>56</v>
      </c>
      <c r="R19">
        <v>2800</v>
      </c>
      <c r="U19" t="s">
        <v>87</v>
      </c>
      <c r="V19">
        <v>1200</v>
      </c>
      <c r="W19">
        <f>1300*0.6</f>
        <v>780</v>
      </c>
      <c r="Y19">
        <v>390</v>
      </c>
      <c r="Z19">
        <v>780</v>
      </c>
      <c r="AC19" t="s">
        <v>124</v>
      </c>
      <c r="AD19">
        <v>10.4</v>
      </c>
    </row>
    <row r="20" spans="2:34" x14ac:dyDescent="0.25">
      <c r="F20">
        <f>SUM(F15:F19)</f>
        <v>3500</v>
      </c>
      <c r="I20">
        <f>SUM(I15:I19)</f>
        <v>4800</v>
      </c>
      <c r="U20" t="s">
        <v>24</v>
      </c>
      <c r="V20">
        <v>1300</v>
      </c>
      <c r="W20">
        <v>1300</v>
      </c>
      <c r="Z20">
        <v>1300</v>
      </c>
      <c r="AC20" t="s">
        <v>127</v>
      </c>
      <c r="AD20">
        <v>11.3</v>
      </c>
    </row>
    <row r="21" spans="2:34" x14ac:dyDescent="0.25">
      <c r="R21">
        <f>SUM(R15:R20)</f>
        <v>4130</v>
      </c>
      <c r="S21">
        <f>SUM(S15:S20)</f>
        <v>3880</v>
      </c>
      <c r="U21" t="s">
        <v>17</v>
      </c>
      <c r="V21">
        <v>120</v>
      </c>
      <c r="W21">
        <v>60</v>
      </c>
      <c r="Z21">
        <f>400</f>
        <v>400</v>
      </c>
      <c r="AC21" t="s">
        <v>128</v>
      </c>
      <c r="AD21">
        <v>12.8</v>
      </c>
    </row>
    <row r="22" spans="2:34" x14ac:dyDescent="0.25">
      <c r="L22">
        <f>SUM(L15:L21)</f>
        <v>9550</v>
      </c>
      <c r="O22">
        <f>SUM(O15:O21)</f>
        <v>6800</v>
      </c>
      <c r="U22" t="s">
        <v>56</v>
      </c>
      <c r="V22">
        <v>1400</v>
      </c>
      <c r="W22">
        <v>1400</v>
      </c>
      <c r="AC22" t="s">
        <v>134</v>
      </c>
      <c r="AD22">
        <v>8.1999999999999993</v>
      </c>
    </row>
    <row r="23" spans="2:34" x14ac:dyDescent="0.25">
      <c r="AC23" t="s">
        <v>135</v>
      </c>
      <c r="AD23">
        <v>9.3000000000000007</v>
      </c>
    </row>
    <row r="24" spans="2:34" x14ac:dyDescent="0.25">
      <c r="V24">
        <f>SUM(V15:V23)</f>
        <v>4800</v>
      </c>
      <c r="W24">
        <f>SUM(W15:W23)</f>
        <v>4740</v>
      </c>
      <c r="X24">
        <f>SUM(X15:X23)</f>
        <v>3300</v>
      </c>
      <c r="Y24">
        <f>SUM(Y15:Y23)</f>
        <v>4570</v>
      </c>
      <c r="Z24">
        <f>SUM(Z15:Z23)</f>
        <v>6380</v>
      </c>
      <c r="AC24" t="s">
        <v>136</v>
      </c>
      <c r="AD24">
        <v>10.8</v>
      </c>
    </row>
    <row r="25" spans="2:34" x14ac:dyDescent="0.25">
      <c r="AC25" t="s">
        <v>140</v>
      </c>
      <c r="AD25">
        <v>7.7</v>
      </c>
    </row>
    <row r="29" spans="2:34" x14ac:dyDescent="0.25">
      <c r="C29" t="s">
        <v>173</v>
      </c>
      <c r="F29" t="s">
        <v>167</v>
      </c>
      <c r="G29" t="s">
        <v>168</v>
      </c>
      <c r="J29" t="s">
        <v>169</v>
      </c>
      <c r="M29" t="s">
        <v>170</v>
      </c>
      <c r="P29" t="s">
        <v>26</v>
      </c>
      <c r="S29" t="s">
        <v>28</v>
      </c>
      <c r="V29" t="s">
        <v>30</v>
      </c>
      <c r="Y29" t="s">
        <v>31</v>
      </c>
    </row>
    <row r="30" spans="2:34" x14ac:dyDescent="0.25">
      <c r="B30" t="s">
        <v>16</v>
      </c>
      <c r="C30">
        <v>4.5</v>
      </c>
      <c r="E30" t="s">
        <v>16</v>
      </c>
      <c r="F30">
        <v>4.5</v>
      </c>
      <c r="G30">
        <v>4.5</v>
      </c>
      <c r="I30" t="s">
        <v>17</v>
      </c>
      <c r="O30" t="s">
        <v>17</v>
      </c>
      <c r="P30">
        <v>9.1</v>
      </c>
      <c r="R30" t="s">
        <v>16</v>
      </c>
      <c r="S30">
        <v>4.5</v>
      </c>
      <c r="U30" t="s">
        <v>56</v>
      </c>
      <c r="V30">
        <v>4.5999999999999996</v>
      </c>
      <c r="X30" t="s">
        <v>56</v>
      </c>
      <c r="Y30">
        <v>4.5</v>
      </c>
    </row>
    <row r="31" spans="2:34" x14ac:dyDescent="0.25">
      <c r="B31" t="s">
        <v>17</v>
      </c>
      <c r="C31">
        <v>7.3</v>
      </c>
      <c r="E31" t="s">
        <v>17</v>
      </c>
      <c r="F31">
        <v>13.1</v>
      </c>
      <c r="G31">
        <v>9.1</v>
      </c>
      <c r="I31" t="s">
        <v>16</v>
      </c>
      <c r="J31">
        <v>4.5</v>
      </c>
      <c r="L31" t="s">
        <v>16</v>
      </c>
      <c r="M31">
        <v>4.5</v>
      </c>
      <c r="O31" t="s">
        <v>24</v>
      </c>
      <c r="P31">
        <v>17.5</v>
      </c>
      <c r="U31" t="s">
        <v>17</v>
      </c>
      <c r="V31">
        <v>9.1</v>
      </c>
      <c r="X31" t="s">
        <v>56</v>
      </c>
      <c r="Y31">
        <v>4.5</v>
      </c>
    </row>
    <row r="32" spans="2:34" x14ac:dyDescent="0.25">
      <c r="E32" t="s">
        <v>18</v>
      </c>
      <c r="F32">
        <v>10.8</v>
      </c>
      <c r="G32">
        <v>10.8</v>
      </c>
      <c r="I32" t="s">
        <v>17</v>
      </c>
      <c r="L32" t="s">
        <v>16</v>
      </c>
      <c r="M32">
        <v>4.5</v>
      </c>
      <c r="O32" t="s">
        <v>27</v>
      </c>
      <c r="P32">
        <v>9.5</v>
      </c>
      <c r="R32" t="s">
        <v>17</v>
      </c>
      <c r="S32">
        <v>2.7</v>
      </c>
      <c r="U32" t="s">
        <v>24</v>
      </c>
      <c r="V32">
        <v>9.1</v>
      </c>
      <c r="X32" t="s">
        <v>172</v>
      </c>
      <c r="Y32">
        <v>15</v>
      </c>
    </row>
    <row r="33" spans="3:31" x14ac:dyDescent="0.25">
      <c r="E33" t="s">
        <v>70</v>
      </c>
      <c r="G33">
        <v>6.5</v>
      </c>
      <c r="I33" t="s">
        <v>16</v>
      </c>
      <c r="J33">
        <v>4.5</v>
      </c>
      <c r="L33" t="s">
        <v>172</v>
      </c>
      <c r="M33">
        <v>10</v>
      </c>
      <c r="O33" t="s">
        <v>16</v>
      </c>
      <c r="P33">
        <v>4.5</v>
      </c>
    </row>
    <row r="34" spans="3:31" x14ac:dyDescent="0.25">
      <c r="E34" t="s">
        <v>17</v>
      </c>
      <c r="I34" t="s">
        <v>172</v>
      </c>
      <c r="J34">
        <v>15</v>
      </c>
    </row>
    <row r="36" spans="3:31" x14ac:dyDescent="0.25">
      <c r="C36">
        <f>SUM(C30:C31)</f>
        <v>11.8</v>
      </c>
      <c r="F36">
        <f>SUM(F30:F35)</f>
        <v>28.400000000000002</v>
      </c>
      <c r="G36">
        <f>SUM(G30:G35)</f>
        <v>30.9</v>
      </c>
      <c r="J36">
        <f>SUM(J30:J35)</f>
        <v>24</v>
      </c>
      <c r="M36">
        <f>SUM(M30:M35)</f>
        <v>19</v>
      </c>
      <c r="P36">
        <f>SUM(P30:P35)</f>
        <v>40.6</v>
      </c>
      <c r="S36">
        <f>SUM(S30:S35)</f>
        <v>7.2</v>
      </c>
      <c r="V36">
        <f>SUM(V30:V35)</f>
        <v>22.799999999999997</v>
      </c>
      <c r="Y36">
        <f>SUM(Y30:Y35)</f>
        <v>24</v>
      </c>
      <c r="AE36">
        <f>SUM(C36,G36,J36,M36,P36,S36,V36,Y36,D45,G45,J47,M47,P46,Z49,G54:G56)</f>
        <v>542.79999999999995</v>
      </c>
    </row>
    <row r="38" spans="3:31" x14ac:dyDescent="0.25">
      <c r="V38" t="s">
        <v>32</v>
      </c>
    </row>
    <row r="39" spans="3:31" x14ac:dyDescent="0.25">
      <c r="D39" t="s">
        <v>34</v>
      </c>
      <c r="G39" t="s">
        <v>33</v>
      </c>
      <c r="J39" t="s">
        <v>35</v>
      </c>
      <c r="M39" t="s">
        <v>37</v>
      </c>
      <c r="P39" t="s">
        <v>38</v>
      </c>
      <c r="Q39" t="s">
        <v>39</v>
      </c>
      <c r="T39" t="s">
        <v>45</v>
      </c>
      <c r="U39" t="s">
        <v>46</v>
      </c>
      <c r="V39" t="s">
        <v>44</v>
      </c>
      <c r="W39" t="s">
        <v>47</v>
      </c>
      <c r="X39" t="s">
        <v>48</v>
      </c>
    </row>
    <row r="40" spans="3:31" x14ac:dyDescent="0.25">
      <c r="C40" t="s">
        <v>56</v>
      </c>
      <c r="D40">
        <v>4.5</v>
      </c>
      <c r="F40" t="s">
        <v>56</v>
      </c>
      <c r="G40">
        <v>4.5999999999999996</v>
      </c>
      <c r="I40" t="s">
        <v>56</v>
      </c>
      <c r="J40">
        <v>4.5999999999999996</v>
      </c>
      <c r="L40" t="s">
        <v>24</v>
      </c>
      <c r="M40">
        <v>8.1</v>
      </c>
      <c r="O40" t="s">
        <v>24</v>
      </c>
      <c r="P40">
        <v>8.3000000000000007</v>
      </c>
      <c r="S40" t="s">
        <v>24</v>
      </c>
      <c r="V40">
        <v>2000</v>
      </c>
      <c r="W40">
        <f>1300*0.3</f>
        <v>390</v>
      </c>
      <c r="X40">
        <v>1300</v>
      </c>
      <c r="Z40">
        <v>8.1</v>
      </c>
    </row>
    <row r="41" spans="3:31" x14ac:dyDescent="0.25">
      <c r="C41" t="s">
        <v>24</v>
      </c>
      <c r="D41">
        <v>7.3</v>
      </c>
      <c r="F41" t="s">
        <v>24</v>
      </c>
      <c r="G41">
        <v>8.1</v>
      </c>
      <c r="I41" t="s">
        <v>56</v>
      </c>
      <c r="J41">
        <v>4.5999999999999996</v>
      </c>
      <c r="L41" t="s">
        <v>17</v>
      </c>
      <c r="M41">
        <v>8.1</v>
      </c>
      <c r="O41" t="s">
        <v>17</v>
      </c>
      <c r="P41">
        <v>8.3000000000000007</v>
      </c>
      <c r="S41" t="s">
        <v>17</v>
      </c>
      <c r="V41">
        <v>1300</v>
      </c>
      <c r="W41">
        <f>2000*0.3</f>
        <v>600</v>
      </c>
      <c r="X41">
        <v>1300</v>
      </c>
      <c r="Z41">
        <v>8.1</v>
      </c>
    </row>
    <row r="42" spans="3:31" x14ac:dyDescent="0.25">
      <c r="C42" t="s">
        <v>17</v>
      </c>
      <c r="D42">
        <v>2.7</v>
      </c>
      <c r="I42" t="s">
        <v>172</v>
      </c>
      <c r="J42">
        <v>15</v>
      </c>
      <c r="L42" t="s">
        <v>56</v>
      </c>
      <c r="M42">
        <v>4.5999999999999996</v>
      </c>
      <c r="O42" t="s">
        <v>56</v>
      </c>
      <c r="P42">
        <v>4.5999999999999996</v>
      </c>
      <c r="S42" t="s">
        <v>40</v>
      </c>
      <c r="T42">
        <f>1300*0.6</f>
        <v>780</v>
      </c>
      <c r="U42">
        <f>1200</f>
        <v>1200</v>
      </c>
      <c r="W42">
        <v>390</v>
      </c>
      <c r="X42">
        <v>1300</v>
      </c>
      <c r="Z42">
        <v>8.1</v>
      </c>
    </row>
    <row r="43" spans="3:31" x14ac:dyDescent="0.25">
      <c r="O43" t="s">
        <v>17</v>
      </c>
      <c r="P43">
        <v>2.7</v>
      </c>
      <c r="S43" t="s">
        <v>56</v>
      </c>
      <c r="W43">
        <v>2800</v>
      </c>
      <c r="Z43">
        <v>4.5999999999999996</v>
      </c>
    </row>
    <row r="44" spans="3:31" x14ac:dyDescent="0.25">
      <c r="O44" t="s">
        <v>56</v>
      </c>
      <c r="P44">
        <v>4.5999999999999996</v>
      </c>
      <c r="S44" t="s">
        <v>87</v>
      </c>
      <c r="T44">
        <v>1200</v>
      </c>
      <c r="U44">
        <f>1300*0.6</f>
        <v>780</v>
      </c>
      <c r="W44">
        <v>390</v>
      </c>
      <c r="X44">
        <v>780</v>
      </c>
      <c r="Z44">
        <v>8.1</v>
      </c>
    </row>
    <row r="45" spans="3:31" x14ac:dyDescent="0.25">
      <c r="D45">
        <f>SUM(D40:D44)</f>
        <v>14.5</v>
      </c>
      <c r="G45">
        <f>SUM(G40:G44)</f>
        <v>12.7</v>
      </c>
      <c r="O45" t="s">
        <v>172</v>
      </c>
      <c r="P45">
        <v>15</v>
      </c>
      <c r="S45" t="s">
        <v>24</v>
      </c>
      <c r="T45">
        <v>1300</v>
      </c>
      <c r="U45">
        <v>1300</v>
      </c>
      <c r="X45">
        <v>1300</v>
      </c>
      <c r="Z45">
        <v>17.5</v>
      </c>
    </row>
    <row r="46" spans="3:31" x14ac:dyDescent="0.25">
      <c r="P46">
        <f>SUM(P40:P45)</f>
        <v>43.5</v>
      </c>
      <c r="Q46">
        <f>SUM(Q40:Q45)</f>
        <v>0</v>
      </c>
      <c r="S46" t="s">
        <v>17</v>
      </c>
      <c r="T46">
        <v>120</v>
      </c>
      <c r="U46">
        <v>60</v>
      </c>
      <c r="X46">
        <f>400</f>
        <v>400</v>
      </c>
      <c r="Z46">
        <v>7.7</v>
      </c>
    </row>
    <row r="47" spans="3:31" x14ac:dyDescent="0.25">
      <c r="J47">
        <f>SUM(J40:J46)</f>
        <v>24.2</v>
      </c>
      <c r="M47">
        <f>SUM(M40:M46)</f>
        <v>20.799999999999997</v>
      </c>
      <c r="S47" t="s">
        <v>56</v>
      </c>
      <c r="T47">
        <v>1400</v>
      </c>
      <c r="U47">
        <v>1400</v>
      </c>
      <c r="Z47">
        <v>4.5999999999999996</v>
      </c>
    </row>
    <row r="49" spans="6:26" x14ac:dyDescent="0.25">
      <c r="T49">
        <f>SUM(T40:T48)</f>
        <v>4800</v>
      </c>
      <c r="U49">
        <f>SUM(U40:U48)</f>
        <v>4740</v>
      </c>
      <c r="V49">
        <f>SUM(V40:V48)</f>
        <v>3300</v>
      </c>
      <c r="W49">
        <f>SUM(W40:W48)</f>
        <v>4570</v>
      </c>
      <c r="X49">
        <f>SUM(X40:X48)</f>
        <v>6380</v>
      </c>
      <c r="Z49">
        <f>SUM(Z40:Z48)</f>
        <v>66.8</v>
      </c>
    </row>
    <row r="53" spans="6:26" x14ac:dyDescent="0.25">
      <c r="F53" t="s">
        <v>174</v>
      </c>
    </row>
    <row r="54" spans="6:26" x14ac:dyDescent="0.25">
      <c r="F54" t="s">
        <v>175</v>
      </c>
      <c r="G54">
        <v>90</v>
      </c>
    </row>
    <row r="55" spans="6:26" x14ac:dyDescent="0.25">
      <c r="F55" t="s">
        <v>176</v>
      </c>
      <c r="G55">
        <v>30</v>
      </c>
    </row>
    <row r="56" spans="6:26" x14ac:dyDescent="0.25">
      <c r="F56" t="s">
        <v>177</v>
      </c>
      <c r="G56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X26"/>
  <sheetViews>
    <sheetView workbookViewId="0">
      <selection activeCell="R31" sqref="R31"/>
    </sheetView>
  </sheetViews>
  <sheetFormatPr defaultRowHeight="15" x14ac:dyDescent="0.25"/>
  <sheetData>
    <row r="6" spans="3:24" x14ac:dyDescent="0.25">
      <c r="D6" t="s">
        <v>15</v>
      </c>
      <c r="E6" t="s">
        <v>19</v>
      </c>
      <c r="H6" t="s">
        <v>23</v>
      </c>
      <c r="M6" t="s">
        <v>26</v>
      </c>
      <c r="P6" t="s">
        <v>28</v>
      </c>
      <c r="S6" t="s">
        <v>30</v>
      </c>
      <c r="V6" t="s">
        <v>31</v>
      </c>
    </row>
    <row r="7" spans="3:24" x14ac:dyDescent="0.25">
      <c r="C7" t="s">
        <v>16</v>
      </c>
      <c r="D7">
        <v>950</v>
      </c>
      <c r="E7">
        <v>950</v>
      </c>
      <c r="G7" t="s">
        <v>17</v>
      </c>
      <c r="H7">
        <v>1000</v>
      </c>
      <c r="J7">
        <v>2000</v>
      </c>
      <c r="L7" t="s">
        <v>17</v>
      </c>
      <c r="M7">
        <v>1000</v>
      </c>
      <c r="O7" t="s">
        <v>29</v>
      </c>
      <c r="P7">
        <v>2700</v>
      </c>
      <c r="R7" t="s">
        <v>17</v>
      </c>
      <c r="S7">
        <f>1050*2</f>
        <v>2100</v>
      </c>
      <c r="U7" t="s">
        <v>17</v>
      </c>
      <c r="V7">
        <v>600</v>
      </c>
    </row>
    <row r="8" spans="3:24" x14ac:dyDescent="0.25">
      <c r="C8" t="s">
        <v>17</v>
      </c>
      <c r="D8">
        <v>1000</v>
      </c>
      <c r="E8">
        <v>1500</v>
      </c>
      <c r="G8" t="s">
        <v>16</v>
      </c>
      <c r="H8">
        <v>950</v>
      </c>
      <c r="J8">
        <v>950</v>
      </c>
      <c r="L8" t="s">
        <v>24</v>
      </c>
      <c r="M8">
        <v>1300</v>
      </c>
      <c r="O8" t="s">
        <v>17</v>
      </c>
      <c r="P8">
        <v>150</v>
      </c>
      <c r="R8" t="s">
        <v>24</v>
      </c>
      <c r="S8">
        <f>1250*2</f>
        <v>2500</v>
      </c>
      <c r="U8" t="s">
        <v>24</v>
      </c>
      <c r="V8">
        <v>1200</v>
      </c>
    </row>
    <row r="9" spans="3:24" x14ac:dyDescent="0.25">
      <c r="C9" t="s">
        <v>18</v>
      </c>
      <c r="G9" t="s">
        <v>24</v>
      </c>
      <c r="H9">
        <v>1200</v>
      </c>
      <c r="I9">
        <v>1300</v>
      </c>
      <c r="J9">
        <v>0</v>
      </c>
      <c r="L9" t="s">
        <v>16</v>
      </c>
      <c r="M9">
        <v>1400</v>
      </c>
      <c r="R9" t="s">
        <v>29</v>
      </c>
      <c r="S9">
        <v>2750</v>
      </c>
      <c r="U9" t="s">
        <v>29</v>
      </c>
      <c r="V9">
        <v>2700</v>
      </c>
    </row>
    <row r="10" spans="3:24" x14ac:dyDescent="0.25">
      <c r="C10" t="s">
        <v>16</v>
      </c>
      <c r="D10">
        <v>2850</v>
      </c>
      <c r="E10">
        <v>950</v>
      </c>
      <c r="G10" t="s">
        <v>17</v>
      </c>
      <c r="H10">
        <v>600</v>
      </c>
      <c r="J10">
        <v>600</v>
      </c>
      <c r="L10" t="s">
        <v>27</v>
      </c>
      <c r="M10">
        <f>1600*3*2</f>
        <v>9600</v>
      </c>
    </row>
    <row r="11" spans="3:24" x14ac:dyDescent="0.25">
      <c r="C11" t="s">
        <v>17</v>
      </c>
      <c r="E11">
        <v>600</v>
      </c>
      <c r="G11" t="s">
        <v>16</v>
      </c>
      <c r="H11">
        <v>1450</v>
      </c>
      <c r="I11">
        <f>H11*3</f>
        <v>4350</v>
      </c>
      <c r="J11">
        <v>950</v>
      </c>
    </row>
    <row r="12" spans="3:24" x14ac:dyDescent="0.25">
      <c r="J12">
        <v>600</v>
      </c>
    </row>
    <row r="13" spans="3:24" x14ac:dyDescent="0.25">
      <c r="D13">
        <f>SUM(D7:D12)</f>
        <v>4800</v>
      </c>
      <c r="E13">
        <f>SUM(E7:E12)</f>
        <v>4000</v>
      </c>
      <c r="H13">
        <f>SUM(H7:H12)</f>
        <v>5200</v>
      </c>
      <c r="I13">
        <f>SUM(I7:I12)</f>
        <v>5650</v>
      </c>
      <c r="J13">
        <f>SUM(J7:J12)</f>
        <v>5100</v>
      </c>
      <c r="M13">
        <f>SUM(M7:M12)</f>
        <v>13300</v>
      </c>
      <c r="P13">
        <f>SUM(P7:P12)</f>
        <v>2850</v>
      </c>
      <c r="S13">
        <f>SUM(S7:S12)</f>
        <v>7350</v>
      </c>
      <c r="V13">
        <f>SUM(V7:V12)</f>
        <v>4500</v>
      </c>
    </row>
    <row r="15" spans="3:24" x14ac:dyDescent="0.25">
      <c r="V15" t="s">
        <v>32</v>
      </c>
    </row>
    <row r="16" spans="3:24" x14ac:dyDescent="0.25">
      <c r="D16" t="s">
        <v>34</v>
      </c>
      <c r="G16" t="s">
        <v>33</v>
      </c>
      <c r="J16" t="s">
        <v>35</v>
      </c>
      <c r="M16" t="s">
        <v>37</v>
      </c>
      <c r="P16" t="s">
        <v>38</v>
      </c>
      <c r="Q16" t="s">
        <v>39</v>
      </c>
      <c r="T16" t="s">
        <v>45</v>
      </c>
      <c r="U16" t="s">
        <v>46</v>
      </c>
      <c r="V16" t="s">
        <v>44</v>
      </c>
      <c r="W16" t="s">
        <v>47</v>
      </c>
      <c r="X16" t="s">
        <v>48</v>
      </c>
    </row>
    <row r="17" spans="3:24" x14ac:dyDescent="0.25">
      <c r="C17" t="s">
        <v>29</v>
      </c>
      <c r="D17">
        <f>(999-66)*3</f>
        <v>2799</v>
      </c>
      <c r="F17" t="s">
        <v>29</v>
      </c>
      <c r="G17">
        <v>2700</v>
      </c>
      <c r="I17" t="s">
        <v>29</v>
      </c>
      <c r="J17">
        <v>2760</v>
      </c>
      <c r="L17" t="s">
        <v>24</v>
      </c>
      <c r="M17">
        <v>2000</v>
      </c>
      <c r="O17" t="s">
        <v>24</v>
      </c>
      <c r="P17">
        <v>630</v>
      </c>
      <c r="Q17">
        <v>630</v>
      </c>
      <c r="S17" t="s">
        <v>24</v>
      </c>
      <c r="V17">
        <v>2000</v>
      </c>
      <c r="W17">
        <f>1300*0.3</f>
        <v>390</v>
      </c>
      <c r="X17">
        <v>1300</v>
      </c>
    </row>
    <row r="18" spans="3:24" x14ac:dyDescent="0.25">
      <c r="C18" t="s">
        <v>24</v>
      </c>
      <c r="D18">
        <f>1200/2</f>
        <v>600</v>
      </c>
      <c r="F18" t="s">
        <v>24</v>
      </c>
      <c r="G18">
        <v>2000</v>
      </c>
      <c r="I18" t="s">
        <v>17</v>
      </c>
      <c r="J18">
        <f>525*2</f>
        <v>1050</v>
      </c>
      <c r="L18" t="s">
        <v>17</v>
      </c>
      <c r="M18">
        <v>2000</v>
      </c>
      <c r="O18" t="s">
        <v>17</v>
      </c>
      <c r="P18">
        <v>450</v>
      </c>
      <c r="Q18">
        <v>450</v>
      </c>
      <c r="S18" t="s">
        <v>17</v>
      </c>
      <c r="V18">
        <v>1300</v>
      </c>
      <c r="W18">
        <f>2000*0.3</f>
        <v>600</v>
      </c>
      <c r="X18">
        <v>1300</v>
      </c>
    </row>
    <row r="19" spans="3:24" x14ac:dyDescent="0.25">
      <c r="C19" t="s">
        <v>17</v>
      </c>
      <c r="D19">
        <v>101</v>
      </c>
      <c r="I19" t="s">
        <v>24</v>
      </c>
      <c r="J19">
        <f>450*1.4*2+200</f>
        <v>1460</v>
      </c>
      <c r="L19" t="s">
        <v>29</v>
      </c>
      <c r="M19">
        <v>2700</v>
      </c>
      <c r="O19" t="s">
        <v>56</v>
      </c>
      <c r="Q19">
        <v>2800</v>
      </c>
      <c r="S19" t="s">
        <v>40</v>
      </c>
      <c r="T19">
        <f>1300*0.6</f>
        <v>780</v>
      </c>
      <c r="U19">
        <f>1200</f>
        <v>1200</v>
      </c>
      <c r="W19">
        <v>390</v>
      </c>
      <c r="X19">
        <v>1300</v>
      </c>
    </row>
    <row r="20" spans="3:24" x14ac:dyDescent="0.25">
      <c r="I20" t="s">
        <v>29</v>
      </c>
      <c r="J20">
        <v>920</v>
      </c>
      <c r="O20" t="s">
        <v>17</v>
      </c>
      <c r="P20">
        <v>250</v>
      </c>
      <c r="S20" t="s">
        <v>56</v>
      </c>
      <c r="W20">
        <v>2800</v>
      </c>
    </row>
    <row r="21" spans="3:24" x14ac:dyDescent="0.25">
      <c r="I21" t="s">
        <v>24</v>
      </c>
      <c r="J21">
        <v>1460</v>
      </c>
      <c r="O21" t="s">
        <v>56</v>
      </c>
      <c r="P21">
        <v>2800</v>
      </c>
      <c r="S21" t="s">
        <v>87</v>
      </c>
      <c r="T21">
        <v>1200</v>
      </c>
      <c r="U21">
        <f>1300*0.6</f>
        <v>780</v>
      </c>
      <c r="W21">
        <v>390</v>
      </c>
      <c r="X21">
        <v>780</v>
      </c>
    </row>
    <row r="22" spans="3:24" x14ac:dyDescent="0.25">
      <c r="D22">
        <f>SUM(D17:D21)</f>
        <v>3500</v>
      </c>
      <c r="G22">
        <f>SUM(G17:G21)</f>
        <v>4700</v>
      </c>
      <c r="I22" t="s">
        <v>17</v>
      </c>
      <c r="J22">
        <v>1050</v>
      </c>
      <c r="S22" t="s">
        <v>24</v>
      </c>
      <c r="T22">
        <v>1300</v>
      </c>
      <c r="U22">
        <v>1300</v>
      </c>
      <c r="X22">
        <v>1300</v>
      </c>
    </row>
    <row r="23" spans="3:24" x14ac:dyDescent="0.25">
      <c r="I23" t="s">
        <v>36</v>
      </c>
      <c r="J23">
        <v>200</v>
      </c>
      <c r="P23">
        <f>SUM(P17:P22)</f>
        <v>4130</v>
      </c>
      <c r="Q23">
        <f>SUM(Q17:Q22)</f>
        <v>3880</v>
      </c>
      <c r="S23" t="s">
        <v>17</v>
      </c>
      <c r="T23">
        <v>120</v>
      </c>
      <c r="U23">
        <v>60</v>
      </c>
      <c r="X23">
        <f>400</f>
        <v>400</v>
      </c>
    </row>
    <row r="24" spans="3:24" x14ac:dyDescent="0.25">
      <c r="J24">
        <f>SUM(J17:J23)</f>
        <v>8900</v>
      </c>
      <c r="M24">
        <f>SUM(M17:M23)</f>
        <v>6700</v>
      </c>
      <c r="S24" t="s">
        <v>56</v>
      </c>
      <c r="T24">
        <v>1400</v>
      </c>
      <c r="U24">
        <v>1400</v>
      </c>
    </row>
    <row r="26" spans="3:24" x14ac:dyDescent="0.25">
      <c r="P26" t="s">
        <v>43</v>
      </c>
      <c r="T26">
        <f>SUM(T17:T25)</f>
        <v>4800</v>
      </c>
      <c r="U26">
        <f>SUM(U17:U25)</f>
        <v>4740</v>
      </c>
      <c r="V26">
        <f>SUM(V17:V25)</f>
        <v>3300</v>
      </c>
      <c r="W26">
        <f>SUM(W17:W25)</f>
        <v>4570</v>
      </c>
      <c r="X26">
        <f>SUM(X17:X25)</f>
        <v>6380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68"/>
  <sheetViews>
    <sheetView tabSelected="1" topLeftCell="D49" workbookViewId="0">
      <selection activeCell="AC23" sqref="AC23"/>
    </sheetView>
  </sheetViews>
  <sheetFormatPr defaultRowHeight="15" x14ac:dyDescent="0.25"/>
  <cols>
    <col min="5" max="5" width="13.7109375" customWidth="1"/>
    <col min="24" max="24" width="14.85546875" customWidth="1"/>
    <col min="28" max="28" width="15.28515625" customWidth="1"/>
  </cols>
  <sheetData>
    <row r="2" spans="2:29" x14ac:dyDescent="0.25">
      <c r="X2" t="s">
        <v>110</v>
      </c>
      <c r="Y2" t="s">
        <v>109</v>
      </c>
      <c r="AB2" t="s">
        <v>106</v>
      </c>
      <c r="AC2" t="s">
        <v>109</v>
      </c>
    </row>
    <row r="3" spans="2:29" x14ac:dyDescent="0.25">
      <c r="X3" t="s">
        <v>107</v>
      </c>
      <c r="Y3" t="s">
        <v>111</v>
      </c>
      <c r="AB3" t="s">
        <v>107</v>
      </c>
      <c r="AC3" t="s">
        <v>108</v>
      </c>
    </row>
    <row r="5" spans="2:29" x14ac:dyDescent="0.25">
      <c r="X5" t="s">
        <v>99</v>
      </c>
      <c r="AB5" t="s">
        <v>100</v>
      </c>
    </row>
    <row r="6" spans="2:29" x14ac:dyDescent="0.25">
      <c r="D6" s="2" t="s">
        <v>180</v>
      </c>
      <c r="E6" s="2" t="s">
        <v>173</v>
      </c>
      <c r="F6" s="2" t="s">
        <v>167</v>
      </c>
      <c r="G6" s="2" t="s">
        <v>181</v>
      </c>
      <c r="H6" s="2" t="s">
        <v>170</v>
      </c>
      <c r="I6" s="2" t="s">
        <v>26</v>
      </c>
      <c r="J6" s="2" t="s">
        <v>28</v>
      </c>
      <c r="K6" s="2" t="s">
        <v>30</v>
      </c>
      <c r="L6" s="2" t="s">
        <v>31</v>
      </c>
      <c r="M6" s="2" t="s">
        <v>33</v>
      </c>
      <c r="N6" s="2" t="s">
        <v>182</v>
      </c>
      <c r="O6" s="2" t="s">
        <v>34</v>
      </c>
      <c r="P6" s="2" t="s">
        <v>37</v>
      </c>
      <c r="Q6" s="2" t="s">
        <v>183</v>
      </c>
      <c r="R6" s="2" t="s">
        <v>184</v>
      </c>
      <c r="S6" s="2" t="s">
        <v>187</v>
      </c>
      <c r="T6" s="2" t="s">
        <v>189</v>
      </c>
      <c r="X6" t="s">
        <v>105</v>
      </c>
      <c r="Y6">
        <v>17.5</v>
      </c>
      <c r="AB6" t="s">
        <v>101</v>
      </c>
      <c r="AC6">
        <v>4</v>
      </c>
    </row>
    <row r="7" spans="2:29" x14ac:dyDescent="0.25">
      <c r="D7" t="s">
        <v>185</v>
      </c>
      <c r="E7">
        <v>27.7</v>
      </c>
      <c r="F7">
        <v>33.5</v>
      </c>
      <c r="G7">
        <v>36.799999999999997</v>
      </c>
      <c r="H7">
        <v>30.2</v>
      </c>
      <c r="I7">
        <v>38.799999999999997</v>
      </c>
      <c r="J7">
        <v>10.6</v>
      </c>
      <c r="K7">
        <v>26.1</v>
      </c>
      <c r="L7">
        <v>24.3</v>
      </c>
      <c r="M7">
        <v>16</v>
      </c>
      <c r="N7">
        <v>61.5</v>
      </c>
      <c r="O7">
        <v>19.7</v>
      </c>
      <c r="P7">
        <v>24.1</v>
      </c>
      <c r="Q7">
        <v>34.9</v>
      </c>
      <c r="R7">
        <v>75.5</v>
      </c>
      <c r="S7">
        <v>70</v>
      </c>
      <c r="T7" s="2">
        <f t="shared" ref="T7:T14" si="0">SUM(E7:S7)</f>
        <v>529.70000000000005</v>
      </c>
      <c r="X7" t="s">
        <v>112</v>
      </c>
      <c r="Y7">
        <v>14.8</v>
      </c>
      <c r="AB7" t="s">
        <v>102</v>
      </c>
      <c r="AC7">
        <v>11.7</v>
      </c>
    </row>
    <row r="8" spans="2:29" x14ac:dyDescent="0.25">
      <c r="D8" t="s">
        <v>186</v>
      </c>
      <c r="E8">
        <v>27.7</v>
      </c>
      <c r="F8">
        <v>44.3</v>
      </c>
      <c r="G8">
        <v>36.799999999999997</v>
      </c>
      <c r="H8">
        <v>30.2</v>
      </c>
      <c r="I8">
        <v>38.799999999999997</v>
      </c>
      <c r="J8">
        <v>4.9000000000000004</v>
      </c>
      <c r="K8">
        <v>23.1</v>
      </c>
      <c r="L8">
        <v>21.3</v>
      </c>
      <c r="M8">
        <v>13.2</v>
      </c>
      <c r="N8">
        <v>38.1</v>
      </c>
      <c r="O8">
        <v>4.9000000000000004</v>
      </c>
      <c r="P8">
        <v>23.5</v>
      </c>
      <c r="Q8">
        <v>30.2</v>
      </c>
      <c r="R8">
        <v>58.6</v>
      </c>
      <c r="S8">
        <v>218</v>
      </c>
      <c r="T8" s="2">
        <f t="shared" si="0"/>
        <v>613.6</v>
      </c>
      <c r="X8" t="s">
        <v>113</v>
      </c>
      <c r="Y8">
        <v>8.1</v>
      </c>
      <c r="AB8" t="s">
        <v>103</v>
      </c>
      <c r="AC8">
        <v>5</v>
      </c>
    </row>
    <row r="9" spans="2:29" x14ac:dyDescent="0.25">
      <c r="D9" t="s">
        <v>236</v>
      </c>
      <c r="E9">
        <v>17.7</v>
      </c>
      <c r="F9">
        <v>33.5</v>
      </c>
      <c r="G9">
        <v>36.799999999999997</v>
      </c>
      <c r="H9">
        <v>30.2</v>
      </c>
      <c r="I9">
        <v>38.799999999999997</v>
      </c>
      <c r="J9">
        <v>10.6</v>
      </c>
      <c r="K9">
        <v>26.1</v>
      </c>
      <c r="L9">
        <v>24.3</v>
      </c>
      <c r="M9">
        <v>18.899999999999999</v>
      </c>
      <c r="N9">
        <v>24</v>
      </c>
      <c r="O9">
        <v>16.399999999999999</v>
      </c>
      <c r="P9">
        <v>20.8</v>
      </c>
      <c r="Q9">
        <v>43.5</v>
      </c>
      <c r="R9">
        <v>66.8</v>
      </c>
      <c r="S9">
        <v>38</v>
      </c>
      <c r="T9" s="2">
        <f t="shared" si="0"/>
        <v>446.4</v>
      </c>
      <c r="X9" t="s">
        <v>114</v>
      </c>
      <c r="Y9">
        <v>7.3</v>
      </c>
      <c r="AB9" t="s">
        <v>104</v>
      </c>
      <c r="AC9">
        <v>9.5</v>
      </c>
    </row>
    <row r="10" spans="2:29" x14ac:dyDescent="0.25">
      <c r="C10" t="s">
        <v>221</v>
      </c>
      <c r="D10" t="s">
        <v>206</v>
      </c>
      <c r="E10">
        <v>17.7</v>
      </c>
      <c r="F10">
        <v>33.5</v>
      </c>
      <c r="G10">
        <v>36.799999999999997</v>
      </c>
      <c r="H10">
        <v>30.2</v>
      </c>
      <c r="I10">
        <v>38.799999999999997</v>
      </c>
      <c r="J10">
        <v>10.6</v>
      </c>
      <c r="K10">
        <v>26.1</v>
      </c>
      <c r="L10">
        <v>24.3</v>
      </c>
      <c r="M10">
        <v>18.899999999999999</v>
      </c>
      <c r="N10">
        <v>24</v>
      </c>
      <c r="O10">
        <v>16.399999999999999</v>
      </c>
      <c r="P10">
        <v>20.8</v>
      </c>
      <c r="Q10">
        <v>43.5</v>
      </c>
      <c r="R10">
        <v>66.8</v>
      </c>
      <c r="S10">
        <v>58</v>
      </c>
      <c r="T10" s="2">
        <f t="shared" si="0"/>
        <v>466.4</v>
      </c>
      <c r="X10" t="s">
        <v>115</v>
      </c>
      <c r="Y10">
        <v>9.1</v>
      </c>
      <c r="AB10" t="s">
        <v>125</v>
      </c>
      <c r="AC10">
        <v>4.9000000000000004</v>
      </c>
    </row>
    <row r="11" spans="2:29" x14ac:dyDescent="0.25">
      <c r="C11" t="s">
        <v>221</v>
      </c>
      <c r="D11" t="s">
        <v>207</v>
      </c>
      <c r="E11">
        <v>17.7</v>
      </c>
      <c r="F11">
        <v>33.5</v>
      </c>
      <c r="G11">
        <v>36.799999999999997</v>
      </c>
      <c r="H11">
        <v>30.2</v>
      </c>
      <c r="I11">
        <v>38.799999999999997</v>
      </c>
      <c r="J11">
        <v>10.6</v>
      </c>
      <c r="K11">
        <v>26.1</v>
      </c>
      <c r="L11">
        <v>24.3</v>
      </c>
      <c r="M11">
        <v>18.899999999999999</v>
      </c>
      <c r="N11">
        <v>24</v>
      </c>
      <c r="O11">
        <v>16.399999999999999</v>
      </c>
      <c r="P11">
        <v>20.8</v>
      </c>
      <c r="Q11">
        <v>43.5</v>
      </c>
      <c r="R11">
        <v>66.8</v>
      </c>
      <c r="S11">
        <v>38</v>
      </c>
      <c r="T11" s="2">
        <f t="shared" si="0"/>
        <v>446.4</v>
      </c>
      <c r="X11" t="s">
        <v>116</v>
      </c>
      <c r="Y11">
        <v>12.3</v>
      </c>
      <c r="AB11" t="s">
        <v>126</v>
      </c>
      <c r="AC11">
        <v>7.9</v>
      </c>
    </row>
    <row r="12" spans="2:29" x14ac:dyDescent="0.25">
      <c r="D12" t="s">
        <v>75</v>
      </c>
      <c r="E12">
        <v>11.8</v>
      </c>
      <c r="F12">
        <v>28.4</v>
      </c>
      <c r="G12">
        <v>40.4</v>
      </c>
      <c r="H12">
        <v>22</v>
      </c>
      <c r="I12">
        <v>38.799999999999997</v>
      </c>
      <c r="J12">
        <v>15.5</v>
      </c>
      <c r="K12">
        <v>19.899999999999999</v>
      </c>
      <c r="L12">
        <v>28.6</v>
      </c>
      <c r="M12">
        <v>12.7</v>
      </c>
      <c r="N12">
        <v>24</v>
      </c>
      <c r="O12">
        <v>16.399999999999999</v>
      </c>
      <c r="P12">
        <v>20.8</v>
      </c>
      <c r="Q12">
        <v>43.5</v>
      </c>
      <c r="R12">
        <v>66.8</v>
      </c>
      <c r="S12">
        <v>98</v>
      </c>
      <c r="T12" s="2">
        <f t="shared" si="0"/>
        <v>487.59999999999997</v>
      </c>
      <c r="X12" t="s">
        <v>117</v>
      </c>
      <c r="Y12">
        <v>13.1</v>
      </c>
      <c r="AB12" t="s">
        <v>129</v>
      </c>
      <c r="AC12">
        <v>4.5</v>
      </c>
    </row>
    <row r="13" spans="2:29" x14ac:dyDescent="0.25">
      <c r="D13" t="s">
        <v>176</v>
      </c>
      <c r="E13">
        <v>17.7</v>
      </c>
      <c r="F13">
        <v>35</v>
      </c>
      <c r="G13">
        <v>36.299999999999997</v>
      </c>
      <c r="H13">
        <v>30.2</v>
      </c>
      <c r="I13">
        <v>38.799999999999997</v>
      </c>
      <c r="J13">
        <v>10.6</v>
      </c>
      <c r="K13">
        <v>26.1</v>
      </c>
      <c r="L13">
        <v>24.3</v>
      </c>
      <c r="M13">
        <v>18.899999999999999</v>
      </c>
      <c r="N13">
        <v>24</v>
      </c>
      <c r="O13">
        <v>4.3</v>
      </c>
      <c r="P13">
        <v>20.8</v>
      </c>
      <c r="Q13">
        <v>43.5</v>
      </c>
      <c r="R13">
        <v>41</v>
      </c>
      <c r="S13">
        <v>58</v>
      </c>
      <c r="T13" s="2">
        <f t="shared" si="0"/>
        <v>429.5</v>
      </c>
      <c r="U13" t="s">
        <v>241</v>
      </c>
      <c r="X13" t="s">
        <v>118</v>
      </c>
      <c r="Y13">
        <v>8.3000000000000007</v>
      </c>
      <c r="AB13" t="s">
        <v>130</v>
      </c>
      <c r="AC13">
        <v>3.6</v>
      </c>
    </row>
    <row r="14" spans="2:29" x14ac:dyDescent="0.25">
      <c r="D14" t="s">
        <v>188</v>
      </c>
      <c r="E14">
        <v>4.5</v>
      </c>
      <c r="F14">
        <v>17.600000000000001</v>
      </c>
      <c r="G14">
        <v>24</v>
      </c>
      <c r="H14">
        <v>16.3</v>
      </c>
      <c r="I14">
        <v>38.799999999999997</v>
      </c>
      <c r="J14">
        <v>4.5</v>
      </c>
      <c r="K14">
        <v>22.7</v>
      </c>
      <c r="L14">
        <v>21.3</v>
      </c>
      <c r="M14">
        <v>12.6</v>
      </c>
      <c r="N14">
        <v>48.9</v>
      </c>
      <c r="O14">
        <v>4.5</v>
      </c>
      <c r="P14">
        <v>20.8</v>
      </c>
      <c r="Q14">
        <v>34.4</v>
      </c>
      <c r="R14">
        <v>41</v>
      </c>
      <c r="S14">
        <v>113</v>
      </c>
      <c r="T14" s="2">
        <f t="shared" si="0"/>
        <v>424.90000000000003</v>
      </c>
      <c r="X14" t="s">
        <v>119</v>
      </c>
      <c r="Y14">
        <v>13.3</v>
      </c>
      <c r="AB14" t="s">
        <v>131</v>
      </c>
      <c r="AC14">
        <v>4.5999999999999996</v>
      </c>
    </row>
    <row r="15" spans="2:29" x14ac:dyDescent="0.25">
      <c r="M15">
        <v>11.8</v>
      </c>
      <c r="N15">
        <v>37.700000000000003</v>
      </c>
      <c r="X15" t="s">
        <v>120</v>
      </c>
      <c r="Y15">
        <v>7.7</v>
      </c>
      <c r="AB15" t="s">
        <v>132</v>
      </c>
      <c r="AC15">
        <v>4.3</v>
      </c>
    </row>
    <row r="16" spans="2:29" x14ac:dyDescent="0.25">
      <c r="B16" t="s">
        <v>191</v>
      </c>
      <c r="E16" t="s">
        <v>195</v>
      </c>
      <c r="H16" t="s">
        <v>223</v>
      </c>
      <c r="K16" t="s">
        <v>230</v>
      </c>
      <c r="N16" t="s">
        <v>239</v>
      </c>
      <c r="Q16" t="s">
        <v>242</v>
      </c>
      <c r="X16" t="s">
        <v>121</v>
      </c>
      <c r="Y16">
        <v>13.1</v>
      </c>
      <c r="AB16" t="s">
        <v>133</v>
      </c>
      <c r="AC16">
        <v>2.7</v>
      </c>
    </row>
    <row r="17" spans="2:32" x14ac:dyDescent="0.25">
      <c r="B17" t="s">
        <v>192</v>
      </c>
      <c r="C17">
        <v>20</v>
      </c>
      <c r="E17" t="s">
        <v>196</v>
      </c>
      <c r="F17">
        <v>90</v>
      </c>
      <c r="H17" t="s">
        <v>75</v>
      </c>
      <c r="I17">
        <v>90</v>
      </c>
      <c r="K17" t="s">
        <v>226</v>
      </c>
      <c r="L17">
        <v>18</v>
      </c>
      <c r="N17" t="s">
        <v>224</v>
      </c>
      <c r="O17">
        <v>-40</v>
      </c>
      <c r="Q17" t="s">
        <v>240</v>
      </c>
      <c r="R17">
        <v>18</v>
      </c>
      <c r="X17" t="s">
        <v>122</v>
      </c>
      <c r="Y17">
        <v>8.1</v>
      </c>
      <c r="AB17" t="s">
        <v>143</v>
      </c>
      <c r="AC17">
        <v>15.7</v>
      </c>
    </row>
    <row r="18" spans="2:32" x14ac:dyDescent="0.25">
      <c r="B18" t="s">
        <v>193</v>
      </c>
      <c r="C18">
        <v>20</v>
      </c>
      <c r="E18" t="s">
        <v>197</v>
      </c>
      <c r="F18">
        <v>30</v>
      </c>
      <c r="H18" t="s">
        <v>224</v>
      </c>
      <c r="I18">
        <v>-40</v>
      </c>
      <c r="K18" t="s">
        <v>234</v>
      </c>
      <c r="L18">
        <v>20</v>
      </c>
      <c r="N18" t="s">
        <v>75</v>
      </c>
      <c r="O18">
        <v>90</v>
      </c>
      <c r="Q18" t="s">
        <v>238</v>
      </c>
      <c r="R18">
        <v>20</v>
      </c>
      <c r="X18" t="s">
        <v>123</v>
      </c>
      <c r="Y18">
        <v>12</v>
      </c>
      <c r="AB18" t="s">
        <v>203</v>
      </c>
      <c r="AC18">
        <v>6.8</v>
      </c>
    </row>
    <row r="19" spans="2:32" x14ac:dyDescent="0.25">
      <c r="B19" t="s">
        <v>194</v>
      </c>
      <c r="C19">
        <v>30</v>
      </c>
      <c r="E19" t="s">
        <v>198</v>
      </c>
      <c r="F19">
        <v>15</v>
      </c>
      <c r="H19" t="s">
        <v>229</v>
      </c>
      <c r="I19">
        <v>30</v>
      </c>
      <c r="K19" t="s">
        <v>238</v>
      </c>
      <c r="L19">
        <v>20</v>
      </c>
      <c r="N19" t="s">
        <v>240</v>
      </c>
      <c r="O19">
        <v>18</v>
      </c>
      <c r="X19" t="s">
        <v>124</v>
      </c>
      <c r="Y19">
        <v>10.4</v>
      </c>
      <c r="AB19" t="s">
        <v>204</v>
      </c>
      <c r="AC19">
        <v>2</v>
      </c>
    </row>
    <row r="20" spans="2:32" x14ac:dyDescent="0.25">
      <c r="E20" t="s">
        <v>199</v>
      </c>
      <c r="F20">
        <v>20</v>
      </c>
      <c r="H20" t="s">
        <v>225</v>
      </c>
      <c r="I20">
        <v>18</v>
      </c>
      <c r="N20" t="s">
        <v>238</v>
      </c>
      <c r="O20">
        <v>45</v>
      </c>
      <c r="X20" t="s">
        <v>127</v>
      </c>
      <c r="Y20">
        <v>11.3</v>
      </c>
      <c r="AB20" t="s">
        <v>471</v>
      </c>
      <c r="AC20">
        <v>10.199999999999999</v>
      </c>
    </row>
    <row r="21" spans="2:32" x14ac:dyDescent="0.25">
      <c r="E21" t="s">
        <v>200</v>
      </c>
      <c r="F21">
        <v>25</v>
      </c>
      <c r="O21">
        <f>SUM(O17:O20)</f>
        <v>113</v>
      </c>
      <c r="X21" t="s">
        <v>128</v>
      </c>
      <c r="Y21">
        <v>12.8</v>
      </c>
      <c r="AB21" t="s">
        <v>472</v>
      </c>
      <c r="AC21">
        <v>8.5</v>
      </c>
    </row>
    <row r="22" spans="2:32" x14ac:dyDescent="0.25">
      <c r="E22" t="s">
        <v>209</v>
      </c>
      <c r="F22">
        <v>20</v>
      </c>
      <c r="X22" t="s">
        <v>134</v>
      </c>
      <c r="Y22">
        <v>8.1999999999999993</v>
      </c>
      <c r="AB22" t="s">
        <v>481</v>
      </c>
      <c r="AC22">
        <v>5.7</v>
      </c>
    </row>
    <row r="23" spans="2:32" x14ac:dyDescent="0.25">
      <c r="E23" t="s">
        <v>226</v>
      </c>
      <c r="F23">
        <v>18</v>
      </c>
      <c r="I23">
        <f>SUM(I17:I22)</f>
        <v>98</v>
      </c>
      <c r="X23" t="s">
        <v>135</v>
      </c>
      <c r="Y23">
        <v>9.3000000000000007</v>
      </c>
    </row>
    <row r="24" spans="2:32" x14ac:dyDescent="0.25">
      <c r="F24">
        <f>SUM(F17:F23)</f>
        <v>218</v>
      </c>
      <c r="X24" t="s">
        <v>136</v>
      </c>
      <c r="Y24">
        <v>10.8</v>
      </c>
    </row>
    <row r="25" spans="2:32" x14ac:dyDescent="0.25">
      <c r="K25" t="s">
        <v>231</v>
      </c>
      <c r="X25" t="s">
        <v>140</v>
      </c>
      <c r="Y25">
        <v>7.7</v>
      </c>
    </row>
    <row r="26" spans="2:32" x14ac:dyDescent="0.25">
      <c r="K26" t="s">
        <v>232</v>
      </c>
      <c r="X26" t="s">
        <v>205</v>
      </c>
      <c r="Y26">
        <v>8.4</v>
      </c>
    </row>
    <row r="27" spans="2:32" x14ac:dyDescent="0.25">
      <c r="K27" t="s">
        <v>233</v>
      </c>
      <c r="X27" t="s">
        <v>470</v>
      </c>
      <c r="Y27">
        <v>9.5</v>
      </c>
    </row>
    <row r="28" spans="2:32" x14ac:dyDescent="0.25">
      <c r="X28" t="s">
        <v>473</v>
      </c>
      <c r="Y28">
        <v>6.3</v>
      </c>
    </row>
    <row r="29" spans="2:32" x14ac:dyDescent="0.25">
      <c r="X29" t="s">
        <v>474</v>
      </c>
      <c r="Y29">
        <v>4.5999999999999996</v>
      </c>
    </row>
    <row r="30" spans="2:32" x14ac:dyDescent="0.25">
      <c r="C30" t="s">
        <v>173</v>
      </c>
      <c r="G30" t="s">
        <v>167</v>
      </c>
      <c r="K30" t="s">
        <v>190</v>
      </c>
      <c r="O30" t="s">
        <v>170</v>
      </c>
      <c r="S30" t="s">
        <v>26</v>
      </c>
      <c r="W30" t="s">
        <v>28</v>
      </c>
      <c r="AA30" t="s">
        <v>30</v>
      </c>
      <c r="AE30" t="s">
        <v>31</v>
      </c>
    </row>
    <row r="31" spans="2:32" x14ac:dyDescent="0.25">
      <c r="B31" t="s">
        <v>16</v>
      </c>
      <c r="C31">
        <v>1900</v>
      </c>
      <c r="D31">
        <v>2.7</v>
      </c>
      <c r="F31" t="s">
        <v>16</v>
      </c>
      <c r="H31">
        <v>2.7</v>
      </c>
      <c r="J31" t="s">
        <v>17</v>
      </c>
      <c r="N31" t="s">
        <v>24</v>
      </c>
      <c r="O31">
        <v>1200</v>
      </c>
      <c r="P31">
        <v>9.1</v>
      </c>
      <c r="R31" t="s">
        <v>17</v>
      </c>
      <c r="S31">
        <v>1000</v>
      </c>
      <c r="T31">
        <v>9.1</v>
      </c>
      <c r="V31" t="s">
        <v>56</v>
      </c>
      <c r="W31">
        <v>1900</v>
      </c>
      <c r="X31">
        <v>4.5</v>
      </c>
      <c r="Z31" t="s">
        <v>17</v>
      </c>
      <c r="AA31">
        <f>1050*2</f>
        <v>2100</v>
      </c>
      <c r="AB31">
        <v>9.1</v>
      </c>
      <c r="AD31" t="s">
        <v>17</v>
      </c>
      <c r="AE31">
        <v>600</v>
      </c>
      <c r="AF31">
        <v>7.3</v>
      </c>
    </row>
    <row r="32" spans="2:32" x14ac:dyDescent="0.25">
      <c r="B32" t="s">
        <v>17</v>
      </c>
      <c r="C32">
        <v>600</v>
      </c>
      <c r="D32">
        <v>2.7</v>
      </c>
      <c r="F32" t="s">
        <v>17</v>
      </c>
      <c r="G32">
        <v>1500</v>
      </c>
      <c r="H32">
        <v>13.1</v>
      </c>
      <c r="J32" t="s">
        <v>16</v>
      </c>
      <c r="K32">
        <v>2800</v>
      </c>
      <c r="L32">
        <v>4.5</v>
      </c>
      <c r="N32" t="s">
        <v>16</v>
      </c>
      <c r="O32">
        <v>2800</v>
      </c>
      <c r="P32">
        <v>4.5</v>
      </c>
      <c r="R32" t="s">
        <v>24</v>
      </c>
      <c r="S32">
        <v>1300</v>
      </c>
      <c r="T32">
        <v>17.5</v>
      </c>
      <c r="V32" t="s">
        <v>24</v>
      </c>
      <c r="W32">
        <f>450*1.4</f>
        <v>630</v>
      </c>
      <c r="X32">
        <v>8.3000000000000007</v>
      </c>
      <c r="Z32" t="s">
        <v>24</v>
      </c>
      <c r="AA32">
        <f>1250*2</f>
        <v>2500</v>
      </c>
      <c r="AB32">
        <v>9.1</v>
      </c>
      <c r="AD32" t="s">
        <v>24</v>
      </c>
      <c r="AE32">
        <v>1200</v>
      </c>
      <c r="AF32">
        <v>9.1</v>
      </c>
    </row>
    <row r="33" spans="2:32" x14ac:dyDescent="0.25">
      <c r="B33" t="s">
        <v>16</v>
      </c>
      <c r="F33" t="s">
        <v>222</v>
      </c>
      <c r="J33" t="s">
        <v>24</v>
      </c>
      <c r="N33" t="s">
        <v>17</v>
      </c>
      <c r="O33">
        <v>200</v>
      </c>
      <c r="P33">
        <v>2.7</v>
      </c>
      <c r="R33" t="s">
        <v>16</v>
      </c>
      <c r="S33">
        <v>1400</v>
      </c>
      <c r="T33">
        <v>2.7</v>
      </c>
      <c r="V33" t="s">
        <v>17</v>
      </c>
      <c r="X33">
        <v>2.7</v>
      </c>
      <c r="Z33" t="s">
        <v>206</v>
      </c>
      <c r="AA33">
        <v>2800</v>
      </c>
      <c r="AB33">
        <v>4.5</v>
      </c>
      <c r="AD33" t="s">
        <v>16</v>
      </c>
      <c r="AE33">
        <v>2800</v>
      </c>
      <c r="AF33">
        <v>4.9000000000000004</v>
      </c>
    </row>
    <row r="34" spans="2:32" x14ac:dyDescent="0.25">
      <c r="B34" t="s">
        <v>172</v>
      </c>
      <c r="D34">
        <v>15</v>
      </c>
      <c r="F34" t="s">
        <v>87</v>
      </c>
      <c r="J34" t="s">
        <v>17</v>
      </c>
      <c r="K34">
        <v>2800</v>
      </c>
      <c r="L34">
        <v>4.5</v>
      </c>
      <c r="R34" t="s">
        <v>27</v>
      </c>
      <c r="S34">
        <f>1600*3*2</f>
        <v>9600</v>
      </c>
      <c r="T34">
        <v>9.5</v>
      </c>
      <c r="Z34" t="s">
        <v>70</v>
      </c>
      <c r="AD34" t="s">
        <v>70</v>
      </c>
    </row>
    <row r="35" spans="2:32" x14ac:dyDescent="0.25">
      <c r="J35" t="s">
        <v>27</v>
      </c>
      <c r="AD35" t="s">
        <v>208</v>
      </c>
    </row>
    <row r="36" spans="2:32" x14ac:dyDescent="0.25">
      <c r="H36">
        <v>15</v>
      </c>
      <c r="J36" t="s">
        <v>172</v>
      </c>
      <c r="L36">
        <v>15</v>
      </c>
    </row>
    <row r="37" spans="2:32" x14ac:dyDescent="0.25">
      <c r="C37">
        <f>SUM(C31:C36)</f>
        <v>2500</v>
      </c>
      <c r="D37">
        <f>SUM(D31:D34)</f>
        <v>20.399999999999999</v>
      </c>
      <c r="G37">
        <f>SUM(G31:G36)</f>
        <v>1500</v>
      </c>
      <c r="H37">
        <f>SUM(H31:H36)</f>
        <v>30.8</v>
      </c>
      <c r="K37">
        <f>SUM(K31:K36)</f>
        <v>5600</v>
      </c>
      <c r="L37">
        <f>SUM(L31:L36)</f>
        <v>24</v>
      </c>
      <c r="O37">
        <f>SUM(O31:O36)</f>
        <v>4200</v>
      </c>
      <c r="P37">
        <f>SUM(P31:P36)</f>
        <v>16.3</v>
      </c>
      <c r="S37">
        <f>SUM(S31:S36)</f>
        <v>13300</v>
      </c>
      <c r="T37">
        <f>SUM(T31:T36)</f>
        <v>38.799999999999997</v>
      </c>
      <c r="W37">
        <f>SUM(W31:W36)</f>
        <v>2530</v>
      </c>
      <c r="X37">
        <f>SUM(X31:X36)</f>
        <v>15.5</v>
      </c>
      <c r="AA37">
        <f>SUM(AA31:AA36)</f>
        <v>7400</v>
      </c>
      <c r="AB37">
        <f>SUM(AB31:AB36)</f>
        <v>22.7</v>
      </c>
      <c r="AE37">
        <f>SUM(AE31:AE36)</f>
        <v>4600</v>
      </c>
      <c r="AF37">
        <f>SUM(AF31:AF36)</f>
        <v>21.299999999999997</v>
      </c>
    </row>
    <row r="40" spans="2:32" x14ac:dyDescent="0.25">
      <c r="C40" t="s">
        <v>33</v>
      </c>
      <c r="G40" t="s">
        <v>35</v>
      </c>
      <c r="K40" t="s">
        <v>34</v>
      </c>
      <c r="O40" t="s">
        <v>37</v>
      </c>
      <c r="S40" t="s">
        <v>38</v>
      </c>
      <c r="T40" t="s">
        <v>39</v>
      </c>
      <c r="X40" t="s">
        <v>45</v>
      </c>
      <c r="Y40" t="s">
        <v>46</v>
      </c>
      <c r="Z40" t="s">
        <v>44</v>
      </c>
      <c r="AA40" t="s">
        <v>47</v>
      </c>
      <c r="AB40" t="s">
        <v>48</v>
      </c>
    </row>
    <row r="41" spans="2:32" x14ac:dyDescent="0.25">
      <c r="B41" t="s">
        <v>56</v>
      </c>
      <c r="C41">
        <f>1950*2</f>
        <v>3900</v>
      </c>
      <c r="D41">
        <v>4.5</v>
      </c>
      <c r="F41" t="s">
        <v>206</v>
      </c>
      <c r="G41">
        <f>3900</f>
        <v>3900</v>
      </c>
      <c r="H41">
        <v>4.5</v>
      </c>
      <c r="J41" t="s">
        <v>56</v>
      </c>
      <c r="K41">
        <f>(999-66)*3</f>
        <v>2799</v>
      </c>
      <c r="L41">
        <v>4.5999999999999996</v>
      </c>
      <c r="N41" t="s">
        <v>24</v>
      </c>
      <c r="O41">
        <v>2000</v>
      </c>
      <c r="P41">
        <v>8.1</v>
      </c>
      <c r="R41" t="s">
        <v>24</v>
      </c>
      <c r="S41">
        <v>1120</v>
      </c>
      <c r="T41">
        <v>1120</v>
      </c>
      <c r="U41">
        <v>13.3</v>
      </c>
      <c r="W41" t="s">
        <v>24</v>
      </c>
      <c r="Z41">
        <v>2000</v>
      </c>
      <c r="AA41">
        <f>1300*0.3</f>
        <v>390</v>
      </c>
      <c r="AB41">
        <v>1300</v>
      </c>
      <c r="AC41">
        <v>8.1</v>
      </c>
      <c r="AD41">
        <v>4.9000000000000004</v>
      </c>
      <c r="AE41">
        <v>8.1</v>
      </c>
    </row>
    <row r="42" spans="2:32" x14ac:dyDescent="0.25">
      <c r="B42" t="s">
        <v>24</v>
      </c>
      <c r="C42">
        <v>720</v>
      </c>
      <c r="D42">
        <v>7.3</v>
      </c>
      <c r="F42" t="s">
        <v>17</v>
      </c>
      <c r="G42">
        <v>1050</v>
      </c>
      <c r="H42">
        <v>8.3000000000000007</v>
      </c>
      <c r="J42" t="s">
        <v>24</v>
      </c>
      <c r="K42">
        <f>1200/2</f>
        <v>600</v>
      </c>
      <c r="L42">
        <v>9.1</v>
      </c>
      <c r="N42" t="s">
        <v>17</v>
      </c>
      <c r="O42">
        <v>2000</v>
      </c>
      <c r="P42">
        <v>4.5999999999999996</v>
      </c>
      <c r="R42" t="s">
        <v>17</v>
      </c>
      <c r="S42">
        <v>450</v>
      </c>
      <c r="T42">
        <v>450</v>
      </c>
      <c r="U42">
        <v>8.3000000000000007</v>
      </c>
      <c r="W42" t="s">
        <v>17</v>
      </c>
      <c r="Z42">
        <v>1300</v>
      </c>
      <c r="AA42">
        <f>2000*0.3</f>
        <v>600</v>
      </c>
      <c r="AB42">
        <v>1300</v>
      </c>
      <c r="AC42">
        <v>8.1</v>
      </c>
      <c r="AD42">
        <v>3</v>
      </c>
      <c r="AE42">
        <v>8.1</v>
      </c>
    </row>
    <row r="43" spans="2:32" x14ac:dyDescent="0.25">
      <c r="B43" t="s">
        <v>17</v>
      </c>
      <c r="F43" t="s">
        <v>24</v>
      </c>
      <c r="G43">
        <v>1500</v>
      </c>
      <c r="H43">
        <v>8.3000000000000007</v>
      </c>
      <c r="J43" t="s">
        <v>17</v>
      </c>
      <c r="K43">
        <v>101</v>
      </c>
      <c r="L43">
        <v>2.7</v>
      </c>
      <c r="N43" t="s">
        <v>56</v>
      </c>
      <c r="O43">
        <v>2800</v>
      </c>
      <c r="P43">
        <v>8.1</v>
      </c>
      <c r="R43" t="s">
        <v>56</v>
      </c>
      <c r="S43">
        <v>2000</v>
      </c>
      <c r="T43">
        <v>2000</v>
      </c>
      <c r="U43">
        <v>4.5</v>
      </c>
      <c r="W43" t="s">
        <v>40</v>
      </c>
      <c r="X43">
        <f>1300*0.6</f>
        <v>780</v>
      </c>
      <c r="Y43">
        <f>1200</f>
        <v>1200</v>
      </c>
      <c r="AA43">
        <v>390</v>
      </c>
      <c r="AB43">
        <v>1300</v>
      </c>
      <c r="AC43">
        <v>8.1</v>
      </c>
      <c r="AD43">
        <v>11.3</v>
      </c>
      <c r="AE43">
        <v>8.1</v>
      </c>
    </row>
    <row r="44" spans="2:32" x14ac:dyDescent="0.25">
      <c r="F44" t="s">
        <v>56</v>
      </c>
      <c r="R44" t="s">
        <v>40</v>
      </c>
      <c r="S44">
        <v>450</v>
      </c>
      <c r="T44">
        <v>450</v>
      </c>
      <c r="U44">
        <v>8.3000000000000007</v>
      </c>
      <c r="W44" t="s">
        <v>56</v>
      </c>
      <c r="Y44">
        <v>3900</v>
      </c>
      <c r="AC44">
        <v>4.5999999999999996</v>
      </c>
      <c r="AD44">
        <v>11.3</v>
      </c>
      <c r="AE44">
        <v>8.1</v>
      </c>
    </row>
    <row r="45" spans="2:32" x14ac:dyDescent="0.25">
      <c r="F45" t="s">
        <v>24</v>
      </c>
      <c r="G45">
        <v>1500</v>
      </c>
      <c r="H45">
        <v>8.3000000000000007</v>
      </c>
      <c r="R45" t="s">
        <v>87</v>
      </c>
      <c r="W45" t="s">
        <v>87</v>
      </c>
      <c r="Y45">
        <v>2000</v>
      </c>
      <c r="AA45">
        <v>390</v>
      </c>
      <c r="AB45">
        <v>780</v>
      </c>
      <c r="AC45">
        <v>8.1</v>
      </c>
      <c r="AD45">
        <v>7.7</v>
      </c>
      <c r="AE45">
        <v>4.3</v>
      </c>
    </row>
    <row r="46" spans="2:32" x14ac:dyDescent="0.25">
      <c r="C46">
        <f>SUM(C41:C45)</f>
        <v>4620</v>
      </c>
      <c r="D46">
        <f>SUM(D41:D45)</f>
        <v>11.8</v>
      </c>
      <c r="F46" t="s">
        <v>17</v>
      </c>
      <c r="G46">
        <v>1050</v>
      </c>
      <c r="H46">
        <v>8.3000000000000007</v>
      </c>
      <c r="K46">
        <f>SUM(K41:K45)</f>
        <v>3500</v>
      </c>
      <c r="L46">
        <f>SUM(L41:L45)</f>
        <v>16.399999999999999</v>
      </c>
      <c r="R46" t="s">
        <v>172</v>
      </c>
      <c r="W46" t="s">
        <v>24</v>
      </c>
      <c r="X46">
        <v>1120</v>
      </c>
      <c r="Y46">
        <v>1120</v>
      </c>
      <c r="AB46">
        <f>1120/2</f>
        <v>560</v>
      </c>
      <c r="AC46">
        <v>17.5</v>
      </c>
      <c r="AD46">
        <v>11.3</v>
      </c>
      <c r="AE46">
        <v>4.3</v>
      </c>
    </row>
    <row r="47" spans="2:32" x14ac:dyDescent="0.25">
      <c r="F47" t="s">
        <v>56</v>
      </c>
      <c r="S47">
        <f>SUM(S41:S46)</f>
        <v>4020</v>
      </c>
      <c r="T47">
        <f>SUM(T41:T46)</f>
        <v>4020</v>
      </c>
      <c r="U47">
        <f>SUM(U41:U46)</f>
        <v>34.400000000000006</v>
      </c>
      <c r="W47" t="s">
        <v>17</v>
      </c>
      <c r="X47">
        <v>120</v>
      </c>
      <c r="Y47">
        <v>60</v>
      </c>
      <c r="AB47">
        <v>450</v>
      </c>
      <c r="AC47">
        <v>7.7</v>
      </c>
      <c r="AD47">
        <v>9.1</v>
      </c>
    </row>
    <row r="48" spans="2:32" x14ac:dyDescent="0.25">
      <c r="F48" t="s">
        <v>172</v>
      </c>
      <c r="O48">
        <f>SUM(O41:O47)</f>
        <v>6800</v>
      </c>
      <c r="P48">
        <f>SUM(P41:P47)</f>
        <v>20.799999999999997</v>
      </c>
      <c r="W48" t="s">
        <v>56</v>
      </c>
      <c r="X48">
        <v>1400</v>
      </c>
      <c r="Y48">
        <v>1400</v>
      </c>
      <c r="AC48">
        <v>4.5999999999999996</v>
      </c>
    </row>
    <row r="50" spans="3:31" x14ac:dyDescent="0.25">
      <c r="G50">
        <f>SUM(G41:G47)</f>
        <v>9000</v>
      </c>
      <c r="H50">
        <f>SUM(H41:H48)</f>
        <v>37.700000000000003</v>
      </c>
      <c r="X50">
        <f t="shared" ref="X50:AC50" si="1">SUM(X41:X49)</f>
        <v>3420</v>
      </c>
      <c r="Y50">
        <f t="shared" si="1"/>
        <v>9680</v>
      </c>
      <c r="Z50">
        <f t="shared" si="1"/>
        <v>3300</v>
      </c>
      <c r="AA50">
        <f t="shared" si="1"/>
        <v>1770</v>
      </c>
      <c r="AB50">
        <f t="shared" si="1"/>
        <v>5690</v>
      </c>
      <c r="AC50">
        <f t="shared" si="1"/>
        <v>66.8</v>
      </c>
      <c r="AD50">
        <f>SUM(AD41:AD49)</f>
        <v>58.6</v>
      </c>
      <c r="AE50">
        <f>SUM(AE41:AE49)</f>
        <v>40.999999999999993</v>
      </c>
    </row>
    <row r="53" spans="3:31" x14ac:dyDescent="0.25">
      <c r="E53">
        <f>900*4.5*2</f>
        <v>8100</v>
      </c>
      <c r="J53">
        <f>1600*2</f>
        <v>3200</v>
      </c>
    </row>
    <row r="58" spans="3:31" x14ac:dyDescent="0.25">
      <c r="D58" s="2" t="s">
        <v>342</v>
      </c>
      <c r="G58" s="2" t="s">
        <v>201</v>
      </c>
    </row>
    <row r="59" spans="3:31" x14ac:dyDescent="0.25">
      <c r="C59" s="2" t="s">
        <v>173</v>
      </c>
      <c r="D59">
        <v>16</v>
      </c>
      <c r="G59" s="2" t="s">
        <v>202</v>
      </c>
      <c r="I59">
        <v>38</v>
      </c>
    </row>
    <row r="60" spans="3:31" x14ac:dyDescent="0.25">
      <c r="C60" s="2" t="s">
        <v>167</v>
      </c>
      <c r="D60">
        <v>21.933333333333334</v>
      </c>
      <c r="G60" s="2" t="s">
        <v>227</v>
      </c>
      <c r="I60">
        <v>10</v>
      </c>
      <c r="O60" t="s">
        <v>235</v>
      </c>
    </row>
    <row r="61" spans="3:31" x14ac:dyDescent="0.25">
      <c r="C61" s="2" t="s">
        <v>181</v>
      </c>
      <c r="D61">
        <v>17.666666666666664</v>
      </c>
      <c r="G61" s="2" t="s">
        <v>179</v>
      </c>
      <c r="I61">
        <v>40</v>
      </c>
      <c r="O61" t="s">
        <v>17</v>
      </c>
      <c r="Y61" t="s">
        <v>249</v>
      </c>
      <c r="AB61" t="s">
        <v>250</v>
      </c>
    </row>
    <row r="62" spans="3:31" x14ac:dyDescent="0.25">
      <c r="C62" s="2" t="s">
        <v>170</v>
      </c>
      <c r="D62">
        <v>11.15</v>
      </c>
      <c r="G62" s="2" t="s">
        <v>194</v>
      </c>
      <c r="I62">
        <v>30</v>
      </c>
      <c r="O62" t="s">
        <v>16</v>
      </c>
      <c r="V62" s="4">
        <v>2.0833333333333332E-2</v>
      </c>
      <c r="W62" t="s">
        <v>243</v>
      </c>
      <c r="Y62" t="s">
        <v>78</v>
      </c>
      <c r="AB62" t="s">
        <v>56</v>
      </c>
    </row>
    <row r="63" spans="3:31" x14ac:dyDescent="0.25">
      <c r="C63" s="2" t="s">
        <v>30</v>
      </c>
      <c r="D63">
        <v>12.9</v>
      </c>
      <c r="G63" s="2" t="s">
        <v>267</v>
      </c>
      <c r="I63">
        <v>30</v>
      </c>
      <c r="O63" t="s">
        <v>24</v>
      </c>
      <c r="U63">
        <v>-4</v>
      </c>
      <c r="V63" s="4">
        <v>6.25E-2</v>
      </c>
      <c r="W63" t="s">
        <v>244</v>
      </c>
      <c r="Y63" t="s">
        <v>78</v>
      </c>
      <c r="AB63" t="s">
        <v>16</v>
      </c>
    </row>
    <row r="64" spans="3:31" x14ac:dyDescent="0.25">
      <c r="C64" s="2" t="s">
        <v>31</v>
      </c>
      <c r="D64">
        <v>19.8</v>
      </c>
      <c r="G64" s="2" t="s">
        <v>303</v>
      </c>
      <c r="I64">
        <v>14</v>
      </c>
      <c r="O64" t="s">
        <v>164</v>
      </c>
      <c r="U64">
        <v>-3</v>
      </c>
      <c r="V64" s="4">
        <v>0.10416666666666667</v>
      </c>
      <c r="W64" t="s">
        <v>245</v>
      </c>
      <c r="Y64" t="s">
        <v>16</v>
      </c>
      <c r="AD64" t="s">
        <v>260</v>
      </c>
    </row>
    <row r="65" spans="3:30" x14ac:dyDescent="0.25">
      <c r="C65" s="2" t="s">
        <v>91</v>
      </c>
      <c r="D65">
        <v>12.5</v>
      </c>
      <c r="G65" s="2" t="s">
        <v>339</v>
      </c>
      <c r="I65">
        <v>35</v>
      </c>
      <c r="O65" t="s">
        <v>56</v>
      </c>
      <c r="U65">
        <v>-2</v>
      </c>
      <c r="V65" s="4">
        <v>0.14583333333333334</v>
      </c>
      <c r="W65" t="s">
        <v>246</v>
      </c>
      <c r="Y65" t="s">
        <v>16</v>
      </c>
      <c r="AD65" t="s">
        <v>261</v>
      </c>
    </row>
    <row r="66" spans="3:30" x14ac:dyDescent="0.25">
      <c r="C66" s="2" t="s">
        <v>34</v>
      </c>
      <c r="D66">
        <v>11.4</v>
      </c>
      <c r="G66" s="2" t="s">
        <v>340</v>
      </c>
      <c r="I66">
        <v>20</v>
      </c>
      <c r="O66" t="s">
        <v>42</v>
      </c>
      <c r="P66" t="s">
        <v>237</v>
      </c>
      <c r="U66">
        <v>-1</v>
      </c>
      <c r="V66" s="4">
        <v>0.1875</v>
      </c>
      <c r="W66" t="s">
        <v>247</v>
      </c>
      <c r="Y66" t="s">
        <v>16</v>
      </c>
      <c r="Z66" t="s">
        <v>29</v>
      </c>
      <c r="AB66" t="s">
        <v>259</v>
      </c>
      <c r="AD66" t="s">
        <v>262</v>
      </c>
    </row>
    <row r="67" spans="3:30" x14ac:dyDescent="0.25">
      <c r="C67" s="2" t="s">
        <v>333</v>
      </c>
      <c r="D67">
        <v>18.049999999999997</v>
      </c>
      <c r="U67">
        <v>0</v>
      </c>
      <c r="V67" s="4">
        <v>0.22916666666666666</v>
      </c>
      <c r="W67" t="s">
        <v>248</v>
      </c>
      <c r="Y67" t="s">
        <v>16</v>
      </c>
      <c r="AB67" t="s">
        <v>259</v>
      </c>
      <c r="AD67" t="s">
        <v>263</v>
      </c>
    </row>
    <row r="68" spans="3:30" x14ac:dyDescent="0.25">
      <c r="AD68" t="s">
        <v>264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J52"/>
  <sheetViews>
    <sheetView topLeftCell="A16" workbookViewId="0">
      <selection activeCell="D38" sqref="D38"/>
    </sheetView>
  </sheetViews>
  <sheetFormatPr defaultRowHeight="15" x14ac:dyDescent="0.25"/>
  <sheetData>
    <row r="5" spans="3:36" x14ac:dyDescent="0.25">
      <c r="R5" t="s">
        <v>268</v>
      </c>
      <c r="U5" t="s">
        <v>271</v>
      </c>
    </row>
    <row r="6" spans="3:36" x14ac:dyDescent="0.25">
      <c r="C6" t="s">
        <v>201</v>
      </c>
      <c r="H6" t="s">
        <v>251</v>
      </c>
      <c r="R6" t="s">
        <v>269</v>
      </c>
      <c r="U6" s="5" t="s">
        <v>307</v>
      </c>
    </row>
    <row r="7" spans="3:36" x14ac:dyDescent="0.25">
      <c r="C7" t="s">
        <v>202</v>
      </c>
      <c r="E7">
        <v>38</v>
      </c>
      <c r="H7" t="s">
        <v>252</v>
      </c>
      <c r="R7" t="s">
        <v>270</v>
      </c>
      <c r="U7" t="s">
        <v>272</v>
      </c>
    </row>
    <row r="8" spans="3:36" x14ac:dyDescent="0.25">
      <c r="C8" t="s">
        <v>227</v>
      </c>
      <c r="E8">
        <v>10</v>
      </c>
      <c r="H8" t="s">
        <v>253</v>
      </c>
      <c r="R8" t="s">
        <v>273</v>
      </c>
    </row>
    <row r="9" spans="3:36" x14ac:dyDescent="0.25">
      <c r="C9" t="s">
        <v>179</v>
      </c>
      <c r="E9">
        <v>40</v>
      </c>
      <c r="H9" t="s">
        <v>254</v>
      </c>
      <c r="R9" t="s">
        <v>173</v>
      </c>
    </row>
    <row r="10" spans="3:36" x14ac:dyDescent="0.25">
      <c r="C10" t="s">
        <v>194</v>
      </c>
      <c r="E10">
        <v>30</v>
      </c>
      <c r="H10" t="s">
        <v>255</v>
      </c>
      <c r="R10" t="s">
        <v>167</v>
      </c>
    </row>
    <row r="11" spans="3:36" x14ac:dyDescent="0.25">
      <c r="C11" t="s">
        <v>267</v>
      </c>
      <c r="E11">
        <v>30</v>
      </c>
      <c r="H11" t="s">
        <v>256</v>
      </c>
      <c r="R11" t="s">
        <v>274</v>
      </c>
    </row>
    <row r="12" spans="3:36" x14ac:dyDescent="0.25">
      <c r="C12" t="s">
        <v>303</v>
      </c>
      <c r="E12">
        <v>14</v>
      </c>
      <c r="H12" t="s">
        <v>257</v>
      </c>
      <c r="R12" t="s">
        <v>169</v>
      </c>
    </row>
    <row r="13" spans="3:36" x14ac:dyDescent="0.25">
      <c r="C13" t="s">
        <v>339</v>
      </c>
      <c r="E13">
        <v>35</v>
      </c>
      <c r="H13" t="s">
        <v>258</v>
      </c>
      <c r="R13" t="s">
        <v>275</v>
      </c>
    </row>
    <row r="14" spans="3:36" x14ac:dyDescent="0.25">
      <c r="C14" t="s">
        <v>340</v>
      </c>
      <c r="E14">
        <v>20</v>
      </c>
      <c r="H14" t="s">
        <v>265</v>
      </c>
      <c r="R14" t="s">
        <v>246</v>
      </c>
      <c r="U14" t="s">
        <v>276</v>
      </c>
      <c r="V14" t="s">
        <v>308</v>
      </c>
    </row>
    <row r="15" spans="3:36" x14ac:dyDescent="0.25">
      <c r="H15" t="s">
        <v>306</v>
      </c>
      <c r="R15" t="s">
        <v>277</v>
      </c>
    </row>
    <row r="16" spans="3:36" x14ac:dyDescent="0.25">
      <c r="R16" t="s">
        <v>278</v>
      </c>
      <c r="U16" t="s">
        <v>279</v>
      </c>
      <c r="AF16" t="s">
        <v>294</v>
      </c>
      <c r="AI16">
        <v>25</v>
      </c>
      <c r="AJ16" t="s">
        <v>295</v>
      </c>
    </row>
    <row r="17" spans="6:36" x14ac:dyDescent="0.25">
      <c r="R17" t="s">
        <v>26</v>
      </c>
      <c r="U17" t="s">
        <v>280</v>
      </c>
      <c r="AI17">
        <v>15</v>
      </c>
      <c r="AJ17" t="s">
        <v>296</v>
      </c>
    </row>
    <row r="18" spans="6:36" x14ac:dyDescent="0.25">
      <c r="R18" t="s">
        <v>281</v>
      </c>
      <c r="U18" t="s">
        <v>282</v>
      </c>
      <c r="AI18">
        <v>3</v>
      </c>
      <c r="AJ18" t="s">
        <v>297</v>
      </c>
    </row>
    <row r="19" spans="6:36" x14ac:dyDescent="0.25">
      <c r="R19" t="s">
        <v>283</v>
      </c>
      <c r="U19" t="s">
        <v>285</v>
      </c>
      <c r="AI19">
        <f>SUM(AI16:AI18)</f>
        <v>43</v>
      </c>
    </row>
    <row r="20" spans="6:36" x14ac:dyDescent="0.25">
      <c r="R20" t="s">
        <v>28</v>
      </c>
      <c r="AI20">
        <f>AI19+120</f>
        <v>163</v>
      </c>
    </row>
    <row r="21" spans="6:36" x14ac:dyDescent="0.25">
      <c r="R21" t="s">
        <v>30</v>
      </c>
      <c r="U21" t="s">
        <v>292</v>
      </c>
    </row>
    <row r="22" spans="6:36" x14ac:dyDescent="0.25">
      <c r="R22" t="s">
        <v>31</v>
      </c>
    </row>
    <row r="23" spans="6:36" x14ac:dyDescent="0.25">
      <c r="F23" t="s">
        <v>309</v>
      </c>
      <c r="R23" t="s">
        <v>284</v>
      </c>
      <c r="U23" t="s">
        <v>286</v>
      </c>
      <c r="Y23" t="s">
        <v>287</v>
      </c>
      <c r="Z23" t="s">
        <v>176</v>
      </c>
    </row>
    <row r="24" spans="6:36" x14ac:dyDescent="0.25">
      <c r="R24" t="s">
        <v>288</v>
      </c>
      <c r="U24" t="s">
        <v>289</v>
      </c>
      <c r="Z24" t="s">
        <v>266</v>
      </c>
    </row>
    <row r="25" spans="6:36" x14ac:dyDescent="0.25">
      <c r="F25" t="s">
        <v>269</v>
      </c>
      <c r="I25" s="5" t="s">
        <v>307</v>
      </c>
      <c r="R25" t="s">
        <v>91</v>
      </c>
    </row>
    <row r="26" spans="6:36" x14ac:dyDescent="0.25">
      <c r="F26" t="s">
        <v>273</v>
      </c>
      <c r="R26" t="s">
        <v>290</v>
      </c>
      <c r="U26" t="s">
        <v>291</v>
      </c>
    </row>
    <row r="27" spans="6:36" x14ac:dyDescent="0.25">
      <c r="F27" t="s">
        <v>173</v>
      </c>
      <c r="R27" t="s">
        <v>281</v>
      </c>
      <c r="U27" t="s">
        <v>293</v>
      </c>
    </row>
    <row r="28" spans="6:36" x14ac:dyDescent="0.25">
      <c r="F28" t="s">
        <v>167</v>
      </c>
      <c r="R28" t="s">
        <v>34</v>
      </c>
    </row>
    <row r="29" spans="6:36" x14ac:dyDescent="0.25">
      <c r="F29" t="s">
        <v>274</v>
      </c>
      <c r="R29" t="s">
        <v>248</v>
      </c>
      <c r="U29" t="s">
        <v>298</v>
      </c>
    </row>
    <row r="30" spans="6:36" x14ac:dyDescent="0.25">
      <c r="F30" t="s">
        <v>169</v>
      </c>
      <c r="R30" t="s">
        <v>299</v>
      </c>
      <c r="U30" t="s">
        <v>300</v>
      </c>
    </row>
    <row r="31" spans="6:36" x14ac:dyDescent="0.25">
      <c r="F31" t="s">
        <v>275</v>
      </c>
      <c r="R31" t="s">
        <v>301</v>
      </c>
      <c r="U31" t="s">
        <v>302</v>
      </c>
    </row>
    <row r="32" spans="6:36" x14ac:dyDescent="0.25">
      <c r="F32" t="s">
        <v>246</v>
      </c>
      <c r="I32" t="s">
        <v>276</v>
      </c>
      <c r="R32" t="s">
        <v>37</v>
      </c>
      <c r="U32" t="s">
        <v>304</v>
      </c>
    </row>
    <row r="33" spans="6:21" x14ac:dyDescent="0.25">
      <c r="F33" t="s">
        <v>277</v>
      </c>
      <c r="R33" t="s">
        <v>183</v>
      </c>
      <c r="U33" t="s">
        <v>305</v>
      </c>
    </row>
    <row r="34" spans="6:21" x14ac:dyDescent="0.25">
      <c r="F34" t="s">
        <v>278</v>
      </c>
      <c r="I34" t="s">
        <v>279</v>
      </c>
      <c r="R34" t="s">
        <v>184</v>
      </c>
      <c r="U34" t="s">
        <v>304</v>
      </c>
    </row>
    <row r="35" spans="6:21" x14ac:dyDescent="0.25">
      <c r="F35" t="s">
        <v>26</v>
      </c>
      <c r="I35" t="s">
        <v>280</v>
      </c>
    </row>
    <row r="36" spans="6:21" x14ac:dyDescent="0.25">
      <c r="F36" t="s">
        <v>281</v>
      </c>
      <c r="I36" t="s">
        <v>282</v>
      </c>
    </row>
    <row r="37" spans="6:21" x14ac:dyDescent="0.25">
      <c r="F37" t="s">
        <v>283</v>
      </c>
      <c r="I37" t="s">
        <v>285</v>
      </c>
    </row>
    <row r="38" spans="6:21" x14ac:dyDescent="0.25">
      <c r="F38" t="s">
        <v>28</v>
      </c>
    </row>
    <row r="39" spans="6:21" x14ac:dyDescent="0.25">
      <c r="F39" t="s">
        <v>30</v>
      </c>
      <c r="I39" t="s">
        <v>292</v>
      </c>
    </row>
    <row r="40" spans="6:21" x14ac:dyDescent="0.25">
      <c r="F40" t="s">
        <v>31</v>
      </c>
    </row>
    <row r="41" spans="6:21" x14ac:dyDescent="0.25">
      <c r="F41" t="s">
        <v>284</v>
      </c>
      <c r="I41" t="s">
        <v>286</v>
      </c>
    </row>
    <row r="42" spans="6:21" x14ac:dyDescent="0.25">
      <c r="F42" t="s">
        <v>288</v>
      </c>
      <c r="I42" t="s">
        <v>289</v>
      </c>
    </row>
    <row r="43" spans="6:21" x14ac:dyDescent="0.25">
      <c r="F43" t="s">
        <v>91</v>
      </c>
    </row>
    <row r="44" spans="6:21" x14ac:dyDescent="0.25">
      <c r="F44" t="s">
        <v>290</v>
      </c>
      <c r="I44" t="s">
        <v>291</v>
      </c>
    </row>
    <row r="45" spans="6:21" x14ac:dyDescent="0.25">
      <c r="F45" t="s">
        <v>281</v>
      </c>
      <c r="I45" t="s">
        <v>293</v>
      </c>
    </row>
    <row r="46" spans="6:21" x14ac:dyDescent="0.25">
      <c r="F46" t="s">
        <v>34</v>
      </c>
    </row>
    <row r="47" spans="6:21" x14ac:dyDescent="0.25">
      <c r="F47" t="s">
        <v>248</v>
      </c>
      <c r="I47" t="s">
        <v>298</v>
      </c>
    </row>
    <row r="48" spans="6:21" x14ac:dyDescent="0.25">
      <c r="F48" t="s">
        <v>299</v>
      </c>
      <c r="I48" t="s">
        <v>300</v>
      </c>
    </row>
    <row r="49" spans="6:9" x14ac:dyDescent="0.25">
      <c r="F49" t="s">
        <v>301</v>
      </c>
      <c r="I49" t="s">
        <v>302</v>
      </c>
    </row>
    <row r="50" spans="6:9" x14ac:dyDescent="0.25">
      <c r="F50" t="s">
        <v>37</v>
      </c>
      <c r="I50" t="s">
        <v>304</v>
      </c>
    </row>
    <row r="51" spans="6:9" x14ac:dyDescent="0.25">
      <c r="F51" t="s">
        <v>183</v>
      </c>
      <c r="I51" t="s">
        <v>305</v>
      </c>
    </row>
    <row r="52" spans="6:9" x14ac:dyDescent="0.25">
      <c r="F52" t="s">
        <v>184</v>
      </c>
      <c r="I52" t="s">
        <v>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Scratchpad</vt:lpstr>
      <vt:lpstr>Spell Timing</vt:lpstr>
      <vt:lpstr>Level strats</vt:lpstr>
      <vt:lpstr>Double Beat</vt:lpstr>
      <vt:lpstr>Fury</vt:lpstr>
      <vt:lpstr>DB+Fury</vt:lpstr>
      <vt:lpstr>Current</vt:lpstr>
      <vt:lpstr>Sheet5</vt:lpstr>
      <vt:lpstr>Sheet1</vt:lpstr>
      <vt:lpstr>Sheet2</vt:lpstr>
      <vt:lpstr>Sheet3</vt:lpstr>
      <vt:lpstr>Sheet4</vt:lpstr>
      <vt:lpstr>Sheet6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Koziel</dc:creator>
  <cp:lastModifiedBy>Eric Koziel</cp:lastModifiedBy>
  <dcterms:created xsi:type="dcterms:W3CDTF">2015-08-10T03:27:18Z</dcterms:created>
  <dcterms:modified xsi:type="dcterms:W3CDTF">2016-01-02T04:16:32Z</dcterms:modified>
</cp:coreProperties>
</file>