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5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</sheets>
  <definedNames>
    <definedName name="_xlnm._FilterDatabase" localSheetId="3" hidden="1">Sheet5!$B$2:$C$32</definedName>
  </definedNames>
  <calcPr calcId="152511"/>
</workbook>
</file>

<file path=xl/calcChain.xml><?xml version="1.0" encoding="utf-8"?>
<calcChain xmlns="http://schemas.openxmlformats.org/spreadsheetml/2006/main">
  <c r="AD32" i="7" l="1"/>
  <c r="AH38" i="7"/>
  <c r="AG38" i="7"/>
  <c r="AE35" i="7"/>
  <c r="AE38" i="7" s="1"/>
  <c r="AF34" i="7"/>
  <c r="AF38" i="7" s="1"/>
  <c r="AD31" i="7"/>
  <c r="AH28" i="7"/>
  <c r="AD28" i="7"/>
  <c r="AD27" i="7"/>
  <c r="AD38" i="7" s="1"/>
  <c r="F135" i="7"/>
  <c r="F134" i="7"/>
  <c r="F133" i="7"/>
  <c r="F132" i="7"/>
  <c r="F131" i="7"/>
  <c r="F130" i="7"/>
  <c r="F129" i="7"/>
  <c r="F128" i="7"/>
  <c r="F127" i="7"/>
  <c r="F126" i="7"/>
  <c r="F125" i="7"/>
  <c r="X34" i="7"/>
  <c r="V32" i="7"/>
  <c r="V15" i="7"/>
  <c r="Z28" i="7"/>
  <c r="V28" i="7"/>
  <c r="V27" i="7"/>
  <c r="V31" i="7"/>
  <c r="Z38" i="7"/>
  <c r="Y38" i="7"/>
  <c r="X38" i="7"/>
  <c r="W38" i="7"/>
  <c r="V38" i="7"/>
  <c r="W35" i="7"/>
  <c r="T117" i="7"/>
  <c r="O117" i="7"/>
  <c r="E117" i="7"/>
  <c r="E116" i="7"/>
  <c r="E115" i="7"/>
  <c r="T115" i="7"/>
  <c r="T116" i="7"/>
  <c r="O115" i="7"/>
  <c r="O116" i="7"/>
  <c r="M91" i="7"/>
  <c r="M90" i="7"/>
  <c r="L91" i="7"/>
  <c r="L90" i="7"/>
  <c r="K91" i="7"/>
  <c r="J117" i="7"/>
  <c r="J115" i="7"/>
  <c r="J116" i="7"/>
  <c r="L77" i="7"/>
  <c r="N77" i="7"/>
  <c r="M77" i="7"/>
  <c r="K77" i="7"/>
  <c r="J43" i="7"/>
  <c r="T112" i="7"/>
  <c r="S112" i="7"/>
  <c r="O112" i="7"/>
  <c r="N112" i="7"/>
  <c r="J112" i="7"/>
  <c r="I112" i="7"/>
  <c r="E112" i="7"/>
  <c r="D112" i="7"/>
  <c r="G92" i="7"/>
  <c r="H92" i="7"/>
  <c r="H69" i="7" l="1"/>
  <c r="H74" i="7"/>
  <c r="H73" i="7"/>
  <c r="H72" i="7"/>
  <c r="H70" i="7"/>
  <c r="H75" i="7" s="1"/>
  <c r="H68" i="7"/>
  <c r="D75" i="7"/>
  <c r="D74" i="7"/>
  <c r="D73" i="7"/>
  <c r="D72" i="7"/>
  <c r="D70" i="7"/>
  <c r="D69" i="7"/>
  <c r="D68" i="7"/>
  <c r="G41" i="7"/>
  <c r="M58" i="7"/>
  <c r="K60" i="7"/>
  <c r="K58" i="7"/>
  <c r="K57" i="7"/>
  <c r="K56" i="7"/>
  <c r="K59" i="7"/>
  <c r="G49" i="7"/>
  <c r="G50" i="7"/>
  <c r="O32" i="7" l="1"/>
  <c r="C26" i="6" l="1"/>
  <c r="N32" i="6"/>
  <c r="M33" i="6"/>
  <c r="J34" i="6"/>
  <c r="J33" i="6"/>
  <c r="D24" i="6"/>
  <c r="C24" i="6"/>
  <c r="D23" i="6"/>
  <c r="O19" i="7"/>
  <c r="N19" i="7"/>
  <c r="N23" i="7" s="1"/>
  <c r="J14" i="7"/>
  <c r="O23" i="7"/>
  <c r="S8" i="7" l="1"/>
  <c r="M32" i="7"/>
  <c r="B39" i="7"/>
  <c r="B38" i="7"/>
  <c r="M27" i="7"/>
  <c r="Q31" i="7"/>
  <c r="N38" i="7"/>
  <c r="M31" i="7"/>
  <c r="Q38" i="7"/>
  <c r="P38" i="7"/>
  <c r="O38" i="7"/>
  <c r="D29" i="7"/>
  <c r="G32" i="7"/>
  <c r="F32" i="7"/>
  <c r="E32" i="7"/>
  <c r="D32" i="7"/>
  <c r="C32" i="7"/>
  <c r="K5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M38" i="7" l="1"/>
  <c r="G14" i="6"/>
  <c r="F14" i="6"/>
  <c r="P9" i="1" l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10" i="1"/>
  <c r="G9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11" i="1"/>
  <c r="C10" i="1"/>
  <c r="C9" i="1"/>
  <c r="Q49" i="2"/>
  <c r="R45" i="2"/>
  <c r="R44" i="2"/>
  <c r="H51" i="2"/>
  <c r="I48" i="2"/>
  <c r="H45" i="2"/>
  <c r="R17" i="2"/>
  <c r="R25" i="2"/>
  <c r="N41" i="2"/>
  <c r="M43" i="2"/>
  <c r="N43" i="2"/>
  <c r="M47" i="2"/>
  <c r="N45" i="2"/>
  <c r="L47" i="2"/>
  <c r="F47" i="2"/>
  <c r="E47" i="2"/>
  <c r="G47" i="2"/>
  <c r="F16" i="2"/>
  <c r="F13" i="2"/>
  <c r="F12" i="2"/>
  <c r="S34" i="2"/>
  <c r="R34" i="2"/>
  <c r="E20" i="2"/>
  <c r="D20" i="2"/>
  <c r="F18" i="2"/>
  <c r="K12" i="2"/>
  <c r="K13" i="2"/>
  <c r="K17" i="2"/>
  <c r="H34" i="1"/>
  <c r="J44" i="1"/>
  <c r="F44" i="1"/>
</calcChain>
</file>

<file path=xl/sharedStrings.xml><?xml version="1.0" encoding="utf-8"?>
<sst xmlns="http://schemas.openxmlformats.org/spreadsheetml/2006/main" count="669" uniqueCount="281">
  <si>
    <t>Sheena Route A:</t>
  </si>
  <si>
    <t>Sheena Route B:</t>
  </si>
  <si>
    <t>Shin &amp; Sheena Route:</t>
  </si>
  <si>
    <t>Kill off vs Worm</t>
  </si>
  <si>
    <t>Kill off vs Luca</t>
  </si>
  <si>
    <t>Nanami vs Sierra</t>
  </si>
  <si>
    <t>Recruit Jeane</t>
  </si>
  <si>
    <t>Swap to Shin @ Coronet</t>
  </si>
  <si>
    <t>Pick up Double-strike</t>
  </si>
  <si>
    <t>Recruit Jeane, remove Violence</t>
  </si>
  <si>
    <t>Nanami vs Golem</t>
  </si>
  <si>
    <t>Shin vs Sierra</t>
  </si>
  <si>
    <t>Nanami vs Neclord</t>
  </si>
  <si>
    <t>Shin vs Golem</t>
  </si>
  <si>
    <t>Nanami vs Lucia</t>
  </si>
  <si>
    <t>Shin vs Neclord</t>
  </si>
  <si>
    <t>Nanami vs Bone Dragon</t>
  </si>
  <si>
    <t>Swap to Sheena @ Tinto, Castle</t>
  </si>
  <si>
    <t>Shin vs Lucia</t>
  </si>
  <si>
    <t>Swap to Sheena @ GH</t>
  </si>
  <si>
    <t>Sheena vs Lucia</t>
  </si>
  <si>
    <t>Shin vs Bone Dragon</t>
  </si>
  <si>
    <t>Pick up Earth Shield</t>
  </si>
  <si>
    <t>Sheena vs Bone Dragon</t>
  </si>
  <si>
    <t>Shin vs S&amp;C</t>
  </si>
  <si>
    <t>Sheena vs S&amp;C</t>
  </si>
  <si>
    <t>Shin vs BR</t>
  </si>
  <si>
    <t>Sheena vs BR</t>
  </si>
  <si>
    <t>Shin Route B:</t>
  </si>
  <si>
    <t>Shin Route A:</t>
  </si>
  <si>
    <t>Swap to Shin @ Tinto</t>
  </si>
  <si>
    <t>1:15?</t>
  </si>
  <si>
    <t>Mother Earth</t>
  </si>
  <si>
    <t>Shin w/ Flik</t>
  </si>
  <si>
    <t>Sheena w/ Vik</t>
  </si>
  <si>
    <t>Flik Alone</t>
  </si>
  <si>
    <t>Vik Alone</t>
  </si>
  <si>
    <t>Flik W/Both</t>
  </si>
  <si>
    <t>Vik w/ Both</t>
  </si>
  <si>
    <t>Leknaat skip:</t>
  </si>
  <si>
    <t>Punches</t>
  </si>
  <si>
    <t>Chest Laser</t>
  </si>
  <si>
    <t>Lvl 63…</t>
  </si>
  <si>
    <t>129 DEF</t>
  </si>
  <si>
    <t>143 MDEF</t>
  </si>
  <si>
    <t>517 HP</t>
  </si>
  <si>
    <t>Golem</t>
  </si>
  <si>
    <t>Bat</t>
  </si>
  <si>
    <t>Neclord</t>
  </si>
  <si>
    <t>Meteor</t>
  </si>
  <si>
    <t>Breath</t>
  </si>
  <si>
    <t>Kill Left Leg Strats</t>
  </si>
  <si>
    <t>LH</t>
  </si>
  <si>
    <t>RH</t>
  </si>
  <si>
    <t>LL</t>
  </si>
  <si>
    <t>Rune</t>
  </si>
  <si>
    <t>RL</t>
  </si>
  <si>
    <t>WLD</t>
  </si>
  <si>
    <t>FWn</t>
  </si>
  <si>
    <t>FLWn(D)</t>
  </si>
  <si>
    <t>WED</t>
  </si>
  <si>
    <t>Camp</t>
  </si>
  <si>
    <t>Scorched</t>
  </si>
  <si>
    <t>Rina</t>
  </si>
  <si>
    <t>Blue Gate</t>
  </si>
  <si>
    <t>Water</t>
  </si>
  <si>
    <t>Luc</t>
  </si>
  <si>
    <t>Riou</t>
  </si>
  <si>
    <t>Shin</t>
  </si>
  <si>
    <t>Sierra</t>
  </si>
  <si>
    <t>1x Camp</t>
  </si>
  <si>
    <t>1x Scorched</t>
  </si>
  <si>
    <t>1x EQ</t>
  </si>
  <si>
    <t>1x BG</t>
  </si>
  <si>
    <t>1x Thor</t>
  </si>
  <si>
    <t>Grab Wind Hat in Tinto Mines?</t>
  </si>
  <si>
    <t>Winged Boots in Greenhill Forest</t>
  </si>
  <si>
    <t>Wind Amulet in L'Ren</t>
  </si>
  <si>
    <t>Flik</t>
  </si>
  <si>
    <t>LVL 3 EQ?</t>
  </si>
  <si>
    <t>Lightning</t>
  </si>
  <si>
    <t>Earth</t>
  </si>
  <si>
    <t>Kindness</t>
  </si>
  <si>
    <t>Fire</t>
  </si>
  <si>
    <t>EQ</t>
  </si>
  <si>
    <t>BG</t>
  </si>
  <si>
    <t>H</t>
  </si>
  <si>
    <t>*</t>
  </si>
  <si>
    <t>-</t>
  </si>
  <si>
    <t>w</t>
  </si>
  <si>
    <t>Darkness</t>
  </si>
  <si>
    <t>Rage</t>
  </si>
  <si>
    <t>Fast Spells</t>
  </si>
  <si>
    <t>Kindness Drops</t>
  </si>
  <si>
    <t>Protect Mist</t>
  </si>
  <si>
    <t>Kindness Rain</t>
  </si>
  <si>
    <t>Silent Lake</t>
  </si>
  <si>
    <t>Empty World</t>
  </si>
  <si>
    <t>Healing Wind</t>
  </si>
  <si>
    <t>Storm Warning</t>
  </si>
  <si>
    <t>Shining Wind</t>
  </si>
  <si>
    <t>Mother Ocean</t>
  </si>
  <si>
    <t>Revenge Earth</t>
  </si>
  <si>
    <t>Canopy Defense</t>
  </si>
  <si>
    <t>Guardian Earth</t>
  </si>
  <si>
    <t>Scream</t>
  </si>
  <si>
    <t>Yell</t>
  </si>
  <si>
    <t>Great Blessing</t>
  </si>
  <si>
    <t>Battle Oath</t>
  </si>
  <si>
    <t>Burning Camp</t>
  </si>
  <si>
    <t>Thor</t>
  </si>
  <si>
    <t>White Saint</t>
  </si>
  <si>
    <t>Thunderstorm</t>
  </si>
  <si>
    <t>Forgiver Sign</t>
  </si>
  <si>
    <t>Attack</t>
  </si>
  <si>
    <t>Defend</t>
  </si>
  <si>
    <t>Wild</t>
  </si>
  <si>
    <t xml:space="preserve">Hey, be careful how you swing that thing!                                </t>
  </si>
  <si>
    <t xml:space="preserve">Nice try. I'll go next.                                                  </t>
  </si>
  <si>
    <t xml:space="preserve">Okay, let's see what you've got.                                         </t>
  </si>
  <si>
    <t xml:space="preserve">Oops, I might have put too much into that one.                           </t>
  </si>
  <si>
    <t xml:space="preserve">That's how to attack. Got it?                                            </t>
  </si>
  <si>
    <t xml:space="preserve">That's the spirit!                                                       </t>
  </si>
  <si>
    <t xml:space="preserve">This is just a waste of time.                                            </t>
  </si>
  <si>
    <t xml:space="preserve">Whoa. Better be careful. Someone's gonna get hurt.                       </t>
  </si>
  <si>
    <t xml:space="preserve">Whoa, nice stroke. That's the way.                                       </t>
  </si>
  <si>
    <t xml:space="preserve">Yes, good. What'll you do next?                                          </t>
  </si>
  <si>
    <t xml:space="preserve">Better be more careful. You'll get yourself hurt.                        </t>
  </si>
  <si>
    <t xml:space="preserve">C'mon take a swing at me.                                                </t>
  </si>
  <si>
    <t xml:space="preserve">Don't get too confident or you'll get yourself killed.                   </t>
  </si>
  <si>
    <t xml:space="preserve">Hey, that was a surprise.                                                </t>
  </si>
  <si>
    <t xml:space="preserve">Hey, wanna try that again?                                               </t>
  </si>
  <si>
    <t xml:space="preserve">In combat, caution is the best weapon.                                   </t>
  </si>
  <si>
    <t xml:space="preserve">Okay, it's your turn. Let's see what you've got.                         </t>
  </si>
  <si>
    <t xml:space="preserve">One more time. Don't mess up.                                            </t>
  </si>
  <si>
    <t xml:space="preserve">That's how to attack. Try it yourself.                                   </t>
  </si>
  <si>
    <t xml:space="preserve">Here goes! Hope you can handle this!!!                                   </t>
  </si>
  <si>
    <t xml:space="preserve">Here it comes. Better get out of the way.                                </t>
  </si>
  <si>
    <t xml:space="preserve">I'm going again. Don't mess up this time.                                </t>
  </si>
  <si>
    <t xml:space="preserve">Now it's my turn. Don't faint on me.                                     </t>
  </si>
  <si>
    <t xml:space="preserve">Okay, maybe I should show you what I've really got.                      </t>
  </si>
  <si>
    <t xml:space="preserve">One of us is going to have to finish this.                               </t>
  </si>
  <si>
    <t xml:space="preserve">The next one's going to hurt.                                            </t>
  </si>
  <si>
    <t xml:space="preserve">This is how to you deliver a deadly attack.....                          </t>
  </si>
  <si>
    <t xml:space="preserve">You dodged my sword, the kid gloves are coming off... </t>
  </si>
  <si>
    <t xml:space="preserve">Want to try that again?                                                              </t>
  </si>
  <si>
    <t>Action</t>
  </si>
  <si>
    <t xml:space="preserve">Ha ha ha! You're something else. Wanna try that again?                   </t>
  </si>
  <si>
    <t>Dialog</t>
  </si>
  <si>
    <t>Luca</t>
  </si>
  <si>
    <t xml:space="preserve">Hah hah hah hah!!! Die! Die!!! Die!!!!                                   </t>
  </si>
  <si>
    <t xml:space="preserve">Hah...... A draw..........                                               </t>
  </si>
  <si>
    <t xml:space="preserve">Hahaha!!! Yes! I'll disgrace your head under the sun!!!                  </t>
  </si>
  <si>
    <t xml:space="preserve">I'll get you!! You insect!!!!!!                                          </t>
  </si>
  <si>
    <t xml:space="preserve">Idiot!!!! Is that the best you can do!!!!                                </t>
  </si>
  <si>
    <t xml:space="preserve">Pretty tricky!!!! You punk!!!!!                                          </t>
  </si>
  <si>
    <t xml:space="preserve">That's nothing!                                                          </t>
  </si>
  <si>
    <t xml:space="preserve">That's right!!!!! Battle!!!! I just love a good fight!!!!!!!!!           </t>
  </si>
  <si>
    <t xml:space="preserve">You impertinent little pig!!!!!                                          </t>
  </si>
  <si>
    <t>You little punk!!!!</t>
  </si>
  <si>
    <t xml:space="preserve">Fool!!!! That can't stop me!!!!!!                                        </t>
  </si>
  <si>
    <t xml:space="preserve">Hahahahahahah!!!!                                                        </t>
  </si>
  <si>
    <t xml:space="preserve">Hah...hah hah hah... Fighting is my life.....                            </t>
  </si>
  <si>
    <t xml:space="preserve">I won't let an insect like you get in my way!!!                          </t>
  </si>
  <si>
    <t xml:space="preserve">Kill!!! I'll kill you!!!!!!                                              </t>
  </si>
  <si>
    <t xml:space="preserve">Pathetic!!!! That's what you call power!!!!                              </t>
  </si>
  <si>
    <t xml:space="preserve">Ridiculous!!! You think a punk like you can stop me!!!!!                 </t>
  </si>
  <si>
    <t xml:space="preserve">You fool!!!!!!                                                           </t>
  </si>
  <si>
    <t xml:space="preserve">You little punk.....                                                     </t>
  </si>
  <si>
    <t xml:space="preserve">You're nothing!!! Nothing! Nothing!! Nothing!!!!! </t>
  </si>
  <si>
    <t xml:space="preserve">Feel my strength!!! Feel my sword!!!!!!!                                 </t>
  </si>
  <si>
    <t xml:space="preserve">Hah hah hah hah hah!!!!!!!!!!                                            </t>
  </si>
  <si>
    <t xml:space="preserve">Hah........ Are we still doing this....                                  </t>
  </si>
  <si>
    <t xml:space="preserve">I love it! I love it! Hero!!!!! Hah hah hah hah !!!!!                    </t>
  </si>
  <si>
    <t xml:space="preserve">I won't be be defeated by a mere blade!!!!!!                             </t>
  </si>
  <si>
    <t xml:space="preserve">Insect!!!! You really thought you could defeat me!!!!!!                  </t>
  </si>
  <si>
    <t xml:space="preserve">Pig!! Pig!!! Pig!!!! Pig!!!!! Piiiiiiiiiiig!!!!!!!!                      </t>
  </si>
  <si>
    <t xml:space="preserve">Pig!!!! Die!!!!!!!!!                                                     </t>
  </si>
  <si>
    <t xml:space="preserve">Pig!!!!! You dare wound me!!!!!                                          </t>
  </si>
  <si>
    <t xml:space="preserve">You can't take it forever!!! A pathetic insect like you!!! </t>
  </si>
  <si>
    <t>Han</t>
  </si>
  <si>
    <t xml:space="preserve">And now it's my turn.                                                    </t>
  </si>
  <si>
    <t xml:space="preserve">Foolish boy!!!                                                           </t>
  </si>
  <si>
    <t xml:space="preserve">Ho ho ho.... You taught him well, Genkaku my friend....                  </t>
  </si>
  <si>
    <t xml:space="preserve">I can't let you past here, son.                                          </t>
  </si>
  <si>
    <t xml:space="preserve">I may be old, but I haven't lost my sword arm.                           </t>
  </si>
  <si>
    <t xml:space="preserve">Unf..... Your father would have been proud to see you today...           </t>
  </si>
  <si>
    <t xml:space="preserve">Very good, boy.                                                          </t>
  </si>
  <si>
    <t xml:space="preserve">You can't defend yourself forever.                                       </t>
  </si>
  <si>
    <t xml:space="preserve">You can't win like that, boy.                                            </t>
  </si>
  <si>
    <t xml:space="preserve">You're a tough one....    </t>
  </si>
  <si>
    <t xml:space="preserve">Genkaku............. You raised a good son....                           </t>
  </si>
  <si>
    <t xml:space="preserve">I should have avoided that cheap little shot...                          </t>
  </si>
  <si>
    <t xml:space="preserve">Let me see your power, Genkaku's son!!!                                  </t>
  </si>
  <si>
    <t xml:space="preserve">The leader of the (_____) Army is cautious I see....                     </t>
  </si>
  <si>
    <t xml:space="preserve">Try that again, boy.                                                     </t>
  </si>
  <si>
    <t xml:space="preserve">Unf...you like to take risks, eh.                                        </t>
  </si>
  <si>
    <t xml:space="preserve">Well struck.... It seems I should be more careful....                    </t>
  </si>
  <si>
    <t xml:space="preserve">What will you do now, boy?                                               </t>
  </si>
  <si>
    <t xml:space="preserve">What's wrong? Want to try again?                                         </t>
  </si>
  <si>
    <t xml:space="preserve">You think you can beat me, boy?          </t>
  </si>
  <si>
    <t xml:space="preserve">Can you take this?                                                       </t>
  </si>
  <si>
    <t xml:space="preserve">Let's bury our past here, boy!!                                          </t>
  </si>
  <si>
    <t xml:space="preserve">Let's see if you can withstand another of my blows!                      </t>
  </si>
  <si>
    <t xml:space="preserve">Now feel my deadly sword.                                                </t>
  </si>
  <si>
    <t xml:space="preserve">Watch and learn, boy. Here's how to wield a sword!!!                     </t>
  </si>
  <si>
    <t xml:space="preserve">Watch closely, boy!!                                                     </t>
  </si>
  <si>
    <t xml:space="preserve">Yes, but can you defend against my sword!!!                              </t>
  </si>
  <si>
    <t xml:space="preserve">You think my sword has lost it's bite!!!                                 </t>
  </si>
  <si>
    <t xml:space="preserve">You'll have to do better than that.                                      </t>
  </si>
  <si>
    <t xml:space="preserve">You've got spirit...  </t>
  </si>
  <si>
    <t>LW</t>
  </si>
  <si>
    <t>SPD</t>
  </si>
  <si>
    <t>x1.1</t>
  </si>
  <si>
    <t>x1.2</t>
  </si>
  <si>
    <t>x1.3</t>
  </si>
  <si>
    <t>Bonus</t>
  </si>
  <si>
    <t>Total</t>
  </si>
  <si>
    <t>FLWn</t>
  </si>
  <si>
    <t>DWL</t>
  </si>
  <si>
    <t>WE</t>
  </si>
  <si>
    <t>Blazing</t>
  </si>
  <si>
    <t>Spider Slay</t>
  </si>
  <si>
    <t>Scorched Earth</t>
  </si>
  <si>
    <t>Shredding</t>
  </si>
  <si>
    <t>Wrath (as needed)</t>
  </si>
  <si>
    <t>S</t>
  </si>
  <si>
    <t>C</t>
  </si>
  <si>
    <t>F</t>
  </si>
  <si>
    <t>L</t>
  </si>
  <si>
    <t>take speed</t>
  </si>
  <si>
    <t>mult by 16</t>
  </si>
  <si>
    <t>subtract orig</t>
  </si>
  <si>
    <t>16a</t>
  </si>
  <si>
    <t>15a</t>
  </si>
  <si>
    <t>mult by 2</t>
  </si>
  <si>
    <t>30a</t>
  </si>
  <si>
    <t>51eb851f</t>
  </si>
  <si>
    <t>80145c20</t>
  </si>
  <si>
    <t>807fff30</t>
  </si>
  <si>
    <t>804ff00</t>
  </si>
  <si>
    <t>Sheena</t>
  </si>
  <si>
    <t>Wrath</t>
  </si>
  <si>
    <t>B+</t>
  </si>
  <si>
    <t>C+</t>
  </si>
  <si>
    <t>B</t>
  </si>
  <si>
    <t>Avg SPD</t>
  </si>
  <si>
    <t>Winged</t>
  </si>
  <si>
    <t>Ring</t>
  </si>
  <si>
    <t>Ninja</t>
  </si>
  <si>
    <t>Hat</t>
  </si>
  <si>
    <t>TOTAL</t>
  </si>
  <si>
    <t>NEEDED</t>
  </si>
  <si>
    <t>Stone</t>
  </si>
  <si>
    <t>BD</t>
  </si>
  <si>
    <t>Kahn</t>
  </si>
  <si>
    <t>Case 1</t>
  </si>
  <si>
    <t>Avg</t>
  </si>
  <si>
    <t>Situation 1</t>
  </si>
  <si>
    <t>No Buffs</t>
  </si>
  <si>
    <t>Situation 2</t>
  </si>
  <si>
    <t>Camp Buff</t>
  </si>
  <si>
    <t>Situation 3</t>
  </si>
  <si>
    <t>Scorched Buff</t>
  </si>
  <si>
    <t>Situation 4</t>
  </si>
  <si>
    <t>Both Buff</t>
  </si>
  <si>
    <t>Turn Order:</t>
  </si>
  <si>
    <t>Sheena/Shin</t>
  </si>
  <si>
    <t>Shin/Sheena</t>
  </si>
  <si>
    <t>Elves</t>
  </si>
  <si>
    <t>Phantoms</t>
  </si>
  <si>
    <t>Soldiers</t>
  </si>
  <si>
    <t>Ring, Ninja</t>
  </si>
  <si>
    <t>Bootsx2 + stone</t>
  </si>
  <si>
    <t>Boots, Ninja, Hat</t>
  </si>
  <si>
    <t>Boots, ring, stone</t>
  </si>
  <si>
    <t>none</t>
  </si>
  <si>
    <t>Ring, Boots, stone</t>
  </si>
  <si>
    <t>BR Options:</t>
  </si>
  <si>
    <t>2x Camp</t>
  </si>
  <si>
    <t>Camp &amp; Scorched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</si>
</sst>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20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C32" totalsRowShown="0" headerRowDxfId="5">
  <autoFilter ref="B2:C32"/>
  <tableColumns count="2">
    <tableColumn id="1" name="Action"/>
    <tableColumn id="2" name="Dialog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G32" totalsRowShown="0" headerRowDxfId="3">
  <autoFilter ref="F2:G32"/>
  <tableColumns count="2">
    <tableColumn id="1" name="Action"/>
    <tableColumn id="2" name="Dialog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K32" totalsRowShown="0" headerRowDxfId="1">
  <autoFilter ref="J2:K32"/>
  <tableColumns count="2">
    <tableColumn id="1" name="Action"/>
    <tableColumn id="2" name="Dialog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topLeftCell="C10" workbookViewId="0">
      <selection activeCell="G54" sqref="G54"/>
    </sheetView>
  </sheetViews>
  <sheetFormatPr defaultRowHeight="15" x14ac:dyDescent="0.25"/>
  <cols>
    <col min="1" max="1" width="22.140625" customWidth="1"/>
    <col min="5" max="5" width="20.28515625" customWidth="1"/>
    <col min="6" max="6" width="9.140625" style="2"/>
    <col min="8" max="8" width="24" customWidth="1"/>
    <col min="9" max="9" width="9.140625" style="2"/>
    <col min="11" max="11" width="29.7109375" customWidth="1"/>
    <col min="14" max="14" width="28.28515625" customWidth="1"/>
  </cols>
  <sheetData>
    <row r="2" spans="1:16" x14ac:dyDescent="0.25">
      <c r="H2">
        <v>0</v>
      </c>
    </row>
    <row r="7" spans="1:16" x14ac:dyDescent="0.25">
      <c r="A7" s="1" t="s">
        <v>0</v>
      </c>
      <c r="B7" s="1"/>
      <c r="C7" s="1"/>
      <c r="D7" s="1" t="s">
        <v>1</v>
      </c>
      <c r="E7" s="1"/>
      <c r="F7" s="1"/>
      <c r="G7" s="1"/>
      <c r="H7" s="1" t="s">
        <v>29</v>
      </c>
      <c r="I7" s="1"/>
      <c r="J7" s="1"/>
      <c r="K7" s="1" t="s">
        <v>28</v>
      </c>
      <c r="N7" s="1" t="s">
        <v>2</v>
      </c>
    </row>
    <row r="8" spans="1:16" x14ac:dyDescent="0.25">
      <c r="K8" s="2"/>
    </row>
    <row r="9" spans="1:16" x14ac:dyDescent="0.25">
      <c r="A9" s="2" t="s">
        <v>3</v>
      </c>
      <c r="B9" s="3">
        <v>4.1666666666666664E-2</v>
      </c>
      <c r="C9" s="3">
        <f>B9</f>
        <v>4.1666666666666664E-2</v>
      </c>
      <c r="D9" s="2" t="s">
        <v>3</v>
      </c>
      <c r="E9" s="2"/>
      <c r="F9" s="3">
        <v>4.1666666666666664E-2</v>
      </c>
      <c r="G9" s="3">
        <f>F9</f>
        <v>4.1666666666666664E-2</v>
      </c>
      <c r="H9" s="2" t="s">
        <v>3</v>
      </c>
      <c r="I9" s="3">
        <v>3.125E-2</v>
      </c>
      <c r="J9" s="3">
        <f>I9</f>
        <v>3.125E-2</v>
      </c>
      <c r="K9" s="2" t="s">
        <v>3</v>
      </c>
      <c r="L9" s="3">
        <v>3.125E-2</v>
      </c>
      <c r="M9" s="3">
        <f>L9</f>
        <v>3.125E-2</v>
      </c>
      <c r="N9" s="2" t="s">
        <v>3</v>
      </c>
      <c r="O9" s="3">
        <v>4.1666666666666664E-2</v>
      </c>
      <c r="P9" s="3">
        <f>O9</f>
        <v>4.1666666666666664E-2</v>
      </c>
    </row>
    <row r="10" spans="1:16" x14ac:dyDescent="0.25">
      <c r="A10" s="2" t="s">
        <v>4</v>
      </c>
      <c r="B10" s="3">
        <v>3.125E-2</v>
      </c>
      <c r="C10" s="3">
        <f>C9+B10</f>
        <v>7.2916666666666657E-2</v>
      </c>
      <c r="D10" s="2" t="s">
        <v>4</v>
      </c>
      <c r="E10" s="2"/>
      <c r="F10" s="3">
        <v>3.125E-2</v>
      </c>
      <c r="G10" s="3">
        <f>G9+F10</f>
        <v>7.2916666666666657E-2</v>
      </c>
      <c r="H10" s="2" t="s">
        <v>4</v>
      </c>
      <c r="I10" s="3">
        <v>2.7777777777777776E-2</v>
      </c>
      <c r="J10" s="3">
        <f>J9+I10</f>
        <v>5.9027777777777776E-2</v>
      </c>
      <c r="K10" s="2" t="s">
        <v>4</v>
      </c>
      <c r="L10" s="3">
        <v>2.7777777777777776E-2</v>
      </c>
      <c r="M10" s="3">
        <f>M9+L10</f>
        <v>5.9027777777777776E-2</v>
      </c>
      <c r="N10" s="2" t="s">
        <v>4</v>
      </c>
      <c r="O10" s="3">
        <v>4.1666666666666664E-2</v>
      </c>
      <c r="P10" s="3">
        <f>P9+O10</f>
        <v>8.3333333333333329E-2</v>
      </c>
    </row>
    <row r="11" spans="1:16" x14ac:dyDescent="0.25">
      <c r="A11" s="2" t="s">
        <v>5</v>
      </c>
      <c r="B11" s="3">
        <v>2.0833333333333332E-2</v>
      </c>
      <c r="C11" s="3">
        <f t="shared" ref="C11:C21" si="0">C10+B11</f>
        <v>9.3749999999999986E-2</v>
      </c>
      <c r="D11" s="2" t="s">
        <v>6</v>
      </c>
      <c r="E11" s="2"/>
      <c r="F11" s="3">
        <v>1.7361111111111112E-2</v>
      </c>
      <c r="G11" s="3">
        <f t="shared" ref="G11:G22" si="1">G10+F11</f>
        <v>9.0277777777777762E-2</v>
      </c>
      <c r="H11" s="2" t="s">
        <v>7</v>
      </c>
      <c r="I11" s="3">
        <v>1.7361111111111112E-2</v>
      </c>
      <c r="J11" s="3">
        <f t="shared" ref="J11:J22" si="2">J10+I11</f>
        <v>7.6388888888888895E-2</v>
      </c>
      <c r="K11" s="2" t="s">
        <v>7</v>
      </c>
      <c r="L11" s="3">
        <v>1.7361111111111112E-2</v>
      </c>
      <c r="M11" s="3">
        <f t="shared" ref="M11:M22" si="3">M10+L11</f>
        <v>7.6388888888888895E-2</v>
      </c>
      <c r="N11" s="2" t="s">
        <v>7</v>
      </c>
      <c r="O11" s="3">
        <v>1.7361111111111112E-2</v>
      </c>
      <c r="P11" s="3">
        <f t="shared" ref="P11:P22" si="4">P10+O11</f>
        <v>0.10069444444444445</v>
      </c>
    </row>
    <row r="12" spans="1:16" x14ac:dyDescent="0.25">
      <c r="A12" s="2" t="s">
        <v>8</v>
      </c>
      <c r="B12" s="3">
        <v>1.0416666666666666E-2</v>
      </c>
      <c r="C12" s="3">
        <f t="shared" si="0"/>
        <v>0.10416666666666666</v>
      </c>
      <c r="D12" s="2" t="s">
        <v>5</v>
      </c>
      <c r="E12" s="2"/>
      <c r="F12" s="3">
        <v>2.0833333333333332E-2</v>
      </c>
      <c r="G12" s="3">
        <f t="shared" si="1"/>
        <v>0.11111111111111109</v>
      </c>
      <c r="H12" s="2" t="s">
        <v>6</v>
      </c>
      <c r="I12" s="3">
        <v>1.7361111111111112E-2</v>
      </c>
      <c r="J12" s="3">
        <f t="shared" si="2"/>
        <v>9.375E-2</v>
      </c>
      <c r="K12" s="2" t="s">
        <v>6</v>
      </c>
      <c r="L12" s="3">
        <v>1.7361111111111112E-2</v>
      </c>
      <c r="M12" s="3">
        <f t="shared" si="3"/>
        <v>9.375E-2</v>
      </c>
      <c r="N12" s="2" t="s">
        <v>9</v>
      </c>
      <c r="O12" s="3">
        <v>2.6388888888888889E-2</v>
      </c>
      <c r="P12" s="3">
        <f t="shared" si="4"/>
        <v>0.12708333333333333</v>
      </c>
    </row>
    <row r="13" spans="1:16" x14ac:dyDescent="0.25">
      <c r="A13" s="2" t="s">
        <v>10</v>
      </c>
      <c r="B13" s="3">
        <v>3.4722222222222224E-2</v>
      </c>
      <c r="C13" s="3">
        <f t="shared" si="0"/>
        <v>0.1388888888888889</v>
      </c>
      <c r="D13" s="2" t="s">
        <v>8</v>
      </c>
      <c r="E13" s="2"/>
      <c r="F13" s="3">
        <v>1.0416666666666666E-2</v>
      </c>
      <c r="G13" s="3">
        <f t="shared" si="1"/>
        <v>0.12152777777777776</v>
      </c>
      <c r="H13" s="2" t="s">
        <v>11</v>
      </c>
      <c r="I13" s="3">
        <v>1.0416666666666666E-2</v>
      </c>
      <c r="J13" s="3">
        <f t="shared" si="2"/>
        <v>0.10416666666666667</v>
      </c>
      <c r="K13" s="2" t="s">
        <v>5</v>
      </c>
      <c r="L13" s="3">
        <v>2.0833333333333332E-2</v>
      </c>
      <c r="M13" s="3">
        <f t="shared" si="3"/>
        <v>0.11458333333333333</v>
      </c>
      <c r="N13" s="2" t="s">
        <v>11</v>
      </c>
      <c r="O13" s="3">
        <v>1.0416666666666666E-2</v>
      </c>
      <c r="P13" s="3">
        <f t="shared" si="4"/>
        <v>0.13749999999999998</v>
      </c>
    </row>
    <row r="14" spans="1:16" x14ac:dyDescent="0.25">
      <c r="A14" s="2" t="s">
        <v>12</v>
      </c>
      <c r="B14" s="3">
        <v>4.1666666666666664E-2</v>
      </c>
      <c r="C14" s="3">
        <f t="shared" si="0"/>
        <v>0.18055555555555555</v>
      </c>
      <c r="D14" s="2" t="s">
        <v>10</v>
      </c>
      <c r="E14" s="2"/>
      <c r="F14" s="3">
        <v>3.4722222222222224E-2</v>
      </c>
      <c r="G14" s="3">
        <f t="shared" si="1"/>
        <v>0.15625</v>
      </c>
      <c r="H14" s="2" t="s">
        <v>13</v>
      </c>
      <c r="I14" s="3">
        <v>3.125E-2</v>
      </c>
      <c r="J14" s="3">
        <f t="shared" si="2"/>
        <v>0.13541666666666669</v>
      </c>
      <c r="K14" s="2" t="s">
        <v>10</v>
      </c>
      <c r="L14" s="3">
        <v>3.4722222222222224E-2</v>
      </c>
      <c r="M14" s="3">
        <f t="shared" si="3"/>
        <v>0.14930555555555555</v>
      </c>
      <c r="N14" s="2" t="s">
        <v>8</v>
      </c>
      <c r="O14" s="3">
        <v>1.0416666666666666E-2</v>
      </c>
      <c r="P14" s="3">
        <f t="shared" si="4"/>
        <v>0.14791666666666664</v>
      </c>
    </row>
    <row r="15" spans="1:16" x14ac:dyDescent="0.25">
      <c r="A15" s="2" t="s">
        <v>14</v>
      </c>
      <c r="B15" s="3">
        <v>3.125E-2</v>
      </c>
      <c r="C15" s="3">
        <f t="shared" si="0"/>
        <v>0.21180555555555555</v>
      </c>
      <c r="D15" s="2" t="s">
        <v>12</v>
      </c>
      <c r="E15" s="2"/>
      <c r="F15" s="3">
        <v>4.1666666666666664E-2</v>
      </c>
      <c r="G15" s="3">
        <f t="shared" si="1"/>
        <v>0.19791666666666666</v>
      </c>
      <c r="H15" s="2" t="s">
        <v>15</v>
      </c>
      <c r="I15" s="3">
        <v>2.4305555555555556E-2</v>
      </c>
      <c r="J15" s="3">
        <f t="shared" si="2"/>
        <v>0.15972222222222224</v>
      </c>
      <c r="K15" s="2" t="s">
        <v>12</v>
      </c>
      <c r="L15" s="3">
        <v>4.1666666666666664E-2</v>
      </c>
      <c r="M15" s="3">
        <f t="shared" si="3"/>
        <v>0.19097222222222221</v>
      </c>
      <c r="N15" s="2" t="s">
        <v>13</v>
      </c>
      <c r="O15" s="3">
        <v>3.125E-2</v>
      </c>
      <c r="P15" s="3">
        <f t="shared" si="4"/>
        <v>0.17916666666666664</v>
      </c>
    </row>
    <row r="16" spans="1:16" x14ac:dyDescent="0.25">
      <c r="A16" s="2" t="s">
        <v>16</v>
      </c>
      <c r="B16" s="3">
        <v>4.8611111111111112E-2</v>
      </c>
      <c r="C16" s="3">
        <f t="shared" si="0"/>
        <v>0.26041666666666669</v>
      </c>
      <c r="D16" s="2" t="s">
        <v>17</v>
      </c>
      <c r="E16" s="2"/>
      <c r="G16" s="3">
        <f t="shared" si="1"/>
        <v>0.19791666666666666</v>
      </c>
      <c r="H16" s="2" t="s">
        <v>18</v>
      </c>
      <c r="I16" s="3">
        <v>2.2916666666666669E-2</v>
      </c>
      <c r="J16" s="3">
        <f t="shared" si="2"/>
        <v>0.18263888888888891</v>
      </c>
      <c r="K16" t="s">
        <v>30</v>
      </c>
      <c r="L16" s="3">
        <v>1.7361111111111112E-2</v>
      </c>
      <c r="M16" s="3">
        <f t="shared" si="3"/>
        <v>0.20833333333333331</v>
      </c>
      <c r="N16" s="2" t="s">
        <v>15</v>
      </c>
      <c r="O16" s="3">
        <v>2.4305555555555556E-2</v>
      </c>
      <c r="P16" s="3">
        <f t="shared" si="4"/>
        <v>0.20347222222222219</v>
      </c>
    </row>
    <row r="17" spans="1:16" x14ac:dyDescent="0.25">
      <c r="A17" s="2" t="s">
        <v>19</v>
      </c>
      <c r="B17" s="2"/>
      <c r="C17" s="3">
        <f t="shared" si="0"/>
        <v>0.26041666666666669</v>
      </c>
      <c r="D17" s="2" t="s">
        <v>20</v>
      </c>
      <c r="E17" s="2"/>
      <c r="G17" s="3">
        <f t="shared" si="1"/>
        <v>0.19791666666666666</v>
      </c>
      <c r="H17" s="2" t="s">
        <v>21</v>
      </c>
      <c r="I17" s="3">
        <v>7.1527777777777787E-2</v>
      </c>
      <c r="J17" s="3">
        <f t="shared" si="2"/>
        <v>0.25416666666666671</v>
      </c>
      <c r="K17" s="2" t="s">
        <v>18</v>
      </c>
      <c r="L17" s="3">
        <v>2.2916666666666669E-2</v>
      </c>
      <c r="M17" s="3">
        <f t="shared" si="3"/>
        <v>0.23124999999999998</v>
      </c>
      <c r="N17" s="2" t="s">
        <v>17</v>
      </c>
      <c r="P17" s="3">
        <f t="shared" si="4"/>
        <v>0.20347222222222219</v>
      </c>
    </row>
    <row r="18" spans="1:16" x14ac:dyDescent="0.25">
      <c r="A18" s="2" t="s">
        <v>22</v>
      </c>
      <c r="B18" s="2"/>
      <c r="C18" s="3">
        <f t="shared" si="0"/>
        <v>0.26041666666666669</v>
      </c>
      <c r="D18" s="2" t="s">
        <v>23</v>
      </c>
      <c r="E18" s="2"/>
      <c r="G18" s="3">
        <f t="shared" si="1"/>
        <v>0.19791666666666666</v>
      </c>
      <c r="H18" s="2" t="s">
        <v>18</v>
      </c>
      <c r="I18" s="3">
        <v>3.6111111111111115E-2</v>
      </c>
      <c r="J18" s="3">
        <f t="shared" si="2"/>
        <v>0.2902777777777778</v>
      </c>
      <c r="K18" s="2" t="s">
        <v>21</v>
      </c>
      <c r="L18" s="3">
        <v>7.1527777777777787E-2</v>
      </c>
      <c r="M18" s="3">
        <f t="shared" si="3"/>
        <v>0.30277777777777776</v>
      </c>
      <c r="N18" s="2" t="s">
        <v>20</v>
      </c>
      <c r="P18" s="3">
        <f t="shared" si="4"/>
        <v>0.20347222222222219</v>
      </c>
    </row>
    <row r="19" spans="1:16" x14ac:dyDescent="0.25">
      <c r="A19" s="2" t="s">
        <v>20</v>
      </c>
      <c r="B19" s="2"/>
      <c r="C19" s="3">
        <f t="shared" si="0"/>
        <v>0.26041666666666669</v>
      </c>
      <c r="D19" s="2" t="s">
        <v>22</v>
      </c>
      <c r="E19" s="2"/>
      <c r="G19" s="3">
        <f t="shared" si="1"/>
        <v>0.19791666666666666</v>
      </c>
      <c r="H19" s="2" t="s">
        <v>24</v>
      </c>
      <c r="I19" s="3">
        <v>5.2083333333333336E-2</v>
      </c>
      <c r="J19" s="3">
        <f t="shared" si="2"/>
        <v>0.34236111111111112</v>
      </c>
      <c r="K19" s="2" t="s">
        <v>18</v>
      </c>
      <c r="L19" s="3">
        <v>3.6111111111111115E-2</v>
      </c>
      <c r="M19" s="3">
        <f t="shared" si="3"/>
        <v>0.33888888888888885</v>
      </c>
      <c r="N19" s="2" t="s">
        <v>23</v>
      </c>
      <c r="P19" s="3">
        <f t="shared" si="4"/>
        <v>0.20347222222222219</v>
      </c>
    </row>
    <row r="20" spans="1:16" x14ac:dyDescent="0.25">
      <c r="A20" s="2" t="s">
        <v>25</v>
      </c>
      <c r="B20" s="2"/>
      <c r="C20" s="3">
        <f t="shared" si="0"/>
        <v>0.26041666666666669</v>
      </c>
      <c r="D20" s="2" t="s">
        <v>20</v>
      </c>
      <c r="E20" s="2"/>
      <c r="G20" s="3">
        <f t="shared" si="1"/>
        <v>0.19791666666666666</v>
      </c>
      <c r="H20" s="2" t="s">
        <v>26</v>
      </c>
      <c r="I20" s="3">
        <v>0.10416666666666667</v>
      </c>
      <c r="J20" s="3">
        <f t="shared" si="2"/>
        <v>0.4465277777777778</v>
      </c>
      <c r="K20" s="2" t="s">
        <v>24</v>
      </c>
      <c r="L20" s="3">
        <v>5.2083333333333336E-2</v>
      </c>
      <c r="M20" s="3">
        <f t="shared" si="3"/>
        <v>0.39097222222222217</v>
      </c>
      <c r="N20" s="2" t="s">
        <v>22</v>
      </c>
      <c r="P20" s="3">
        <f t="shared" si="4"/>
        <v>0.20347222222222219</v>
      </c>
    </row>
    <row r="21" spans="1:16" x14ac:dyDescent="0.25">
      <c r="A21" s="2" t="s">
        <v>27</v>
      </c>
      <c r="B21" s="2"/>
      <c r="C21" s="3">
        <f t="shared" si="0"/>
        <v>0.26041666666666669</v>
      </c>
      <c r="D21" s="2" t="s">
        <v>25</v>
      </c>
      <c r="E21" s="2"/>
      <c r="G21" s="3">
        <f t="shared" si="1"/>
        <v>0.19791666666666666</v>
      </c>
      <c r="H21" s="2"/>
      <c r="J21" s="3">
        <f t="shared" si="2"/>
        <v>0.4465277777777778</v>
      </c>
      <c r="K21" s="2" t="s">
        <v>26</v>
      </c>
      <c r="L21" s="3">
        <v>0.10416666666666667</v>
      </c>
      <c r="M21" s="3">
        <f t="shared" si="3"/>
        <v>0.49513888888888885</v>
      </c>
      <c r="N21" s="2" t="s">
        <v>20</v>
      </c>
      <c r="P21" s="3">
        <f t="shared" si="4"/>
        <v>0.20347222222222219</v>
      </c>
    </row>
    <row r="22" spans="1:16" x14ac:dyDescent="0.25">
      <c r="A22" s="2"/>
      <c r="B22" s="2"/>
      <c r="C22" s="2"/>
      <c r="D22" s="2" t="s">
        <v>27</v>
      </c>
      <c r="E22" s="2"/>
      <c r="G22" s="3">
        <f t="shared" si="1"/>
        <v>0.19791666666666666</v>
      </c>
      <c r="H22" s="2"/>
      <c r="J22" s="3">
        <f t="shared" si="2"/>
        <v>0.4465277777777778</v>
      </c>
      <c r="M22" s="3">
        <f t="shared" si="3"/>
        <v>0.49513888888888885</v>
      </c>
      <c r="N22" s="2" t="s">
        <v>25</v>
      </c>
      <c r="P22" s="3">
        <f t="shared" si="4"/>
        <v>0.20347222222222219</v>
      </c>
    </row>
    <row r="23" spans="1:16" x14ac:dyDescent="0.25">
      <c r="N23" s="2" t="s">
        <v>27</v>
      </c>
    </row>
    <row r="28" spans="1:16" x14ac:dyDescent="0.25">
      <c r="C28">
        <v>70</v>
      </c>
    </row>
    <row r="29" spans="1:16" x14ac:dyDescent="0.25">
      <c r="H29">
        <v>1600</v>
      </c>
    </row>
    <row r="30" spans="1:16" x14ac:dyDescent="0.25">
      <c r="H30">
        <v>1400</v>
      </c>
    </row>
    <row r="31" spans="1:16" x14ac:dyDescent="0.25">
      <c r="H31">
        <v>4300</v>
      </c>
    </row>
    <row r="32" spans="1:16" x14ac:dyDescent="0.25">
      <c r="H32">
        <v>1260</v>
      </c>
      <c r="N32" t="s">
        <v>32</v>
      </c>
      <c r="O32" s="3">
        <v>2.4305555555555556E-2</v>
      </c>
    </row>
    <row r="33" spans="1:16" x14ac:dyDescent="0.25">
      <c r="H33">
        <v>1300</v>
      </c>
      <c r="K33" s="3">
        <v>6.0416666666666667E-2</v>
      </c>
    </row>
    <row r="34" spans="1:16" x14ac:dyDescent="0.25">
      <c r="H34">
        <f>SUM(H29:H33)</f>
        <v>9860</v>
      </c>
      <c r="K34" t="s">
        <v>31</v>
      </c>
    </row>
    <row r="35" spans="1:16" x14ac:dyDescent="0.25">
      <c r="K35">
        <v>70</v>
      </c>
      <c r="N35" t="s">
        <v>39</v>
      </c>
      <c r="O35" s="3">
        <v>1.8749999999999999E-2</v>
      </c>
    </row>
    <row r="38" spans="1:16" x14ac:dyDescent="0.25">
      <c r="A38" t="s">
        <v>33</v>
      </c>
      <c r="B38" s="3">
        <v>3.125E-2</v>
      </c>
    </row>
    <row r="39" spans="1:16" x14ac:dyDescent="0.25">
      <c r="A39" t="s">
        <v>34</v>
      </c>
      <c r="B39" s="3">
        <v>2.7777777777777776E-2</v>
      </c>
      <c r="L39" t="s">
        <v>46</v>
      </c>
      <c r="M39" t="s">
        <v>45</v>
      </c>
      <c r="O39" t="s">
        <v>48</v>
      </c>
    </row>
    <row r="40" spans="1:16" x14ac:dyDescent="0.25">
      <c r="A40" t="s">
        <v>35</v>
      </c>
      <c r="B40" s="3">
        <v>1.3888888888888888E-2</v>
      </c>
      <c r="C40" s="3">
        <v>2.4305555555555556E-2</v>
      </c>
      <c r="D40" s="3">
        <v>2.4305555555555556E-2</v>
      </c>
      <c r="F40" s="2">
        <v>9000</v>
      </c>
      <c r="L40" t="s">
        <v>42</v>
      </c>
      <c r="M40" t="s">
        <v>43</v>
      </c>
      <c r="N40" t="s">
        <v>44</v>
      </c>
      <c r="O40" t="s">
        <v>47</v>
      </c>
      <c r="P40">
        <v>143</v>
      </c>
    </row>
    <row r="41" spans="1:16" x14ac:dyDescent="0.25">
      <c r="A41" t="s">
        <v>36</v>
      </c>
      <c r="B41" s="3">
        <v>1.2499999999999999E-2</v>
      </c>
      <c r="C41" s="3">
        <v>1.3888888888888888E-2</v>
      </c>
      <c r="F41" s="2">
        <v>1300</v>
      </c>
      <c r="J41">
        <v>1413</v>
      </c>
      <c r="L41" t="s">
        <v>40</v>
      </c>
      <c r="M41">
        <v>267</v>
      </c>
    </row>
    <row r="42" spans="1:16" x14ac:dyDescent="0.25">
      <c r="A42" t="s">
        <v>37</v>
      </c>
      <c r="B42" s="3">
        <v>2.7777777777777776E-2</v>
      </c>
      <c r="F42" s="2">
        <v>1300</v>
      </c>
      <c r="J42">
        <v>1000</v>
      </c>
      <c r="L42" t="s">
        <v>41</v>
      </c>
      <c r="M42">
        <v>220</v>
      </c>
    </row>
    <row r="43" spans="1:16" x14ac:dyDescent="0.25">
      <c r="A43" t="s">
        <v>38</v>
      </c>
      <c r="B43" s="3">
        <v>5.2083333333333336E-2</v>
      </c>
      <c r="C43" s="3">
        <v>4.8611111111111112E-2</v>
      </c>
      <c r="F43" s="2">
        <v>1500</v>
      </c>
      <c r="J43">
        <v>4300</v>
      </c>
    </row>
    <row r="44" spans="1:16" x14ac:dyDescent="0.25">
      <c r="F44" s="2">
        <f>SUM(F40:F43)</f>
        <v>13100</v>
      </c>
      <c r="J44">
        <f>SUM(J41:J43)</f>
        <v>6713</v>
      </c>
    </row>
    <row r="48" spans="1:16" x14ac:dyDescent="0.25">
      <c r="L48" t="s">
        <v>49</v>
      </c>
      <c r="M48">
        <v>349</v>
      </c>
    </row>
    <row r="49" spans="12:14" x14ac:dyDescent="0.25">
      <c r="L49" t="s">
        <v>50</v>
      </c>
      <c r="M49">
        <v>222</v>
      </c>
    </row>
    <row r="51" spans="12:14" x14ac:dyDescent="0.25">
      <c r="N51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51"/>
  <sheetViews>
    <sheetView topLeftCell="A13" workbookViewId="0">
      <selection activeCell="J24" sqref="J24"/>
    </sheetView>
  </sheetViews>
  <sheetFormatPr defaultRowHeight="15" x14ac:dyDescent="0.25"/>
  <cols>
    <col min="13" max="13" width="11.7109375" customWidth="1"/>
  </cols>
  <sheetData>
    <row r="7" spans="3:18" x14ac:dyDescent="0.25">
      <c r="N7" t="s">
        <v>75</v>
      </c>
    </row>
    <row r="8" spans="3:18" x14ac:dyDescent="0.25">
      <c r="E8" t="s">
        <v>51</v>
      </c>
      <c r="N8" t="s">
        <v>76</v>
      </c>
    </row>
    <row r="9" spans="3:18" x14ac:dyDescent="0.25">
      <c r="C9">
        <v>5700</v>
      </c>
      <c r="D9">
        <v>4800</v>
      </c>
      <c r="E9">
        <v>4800</v>
      </c>
      <c r="F9">
        <v>4500</v>
      </c>
      <c r="G9">
        <v>3300</v>
      </c>
      <c r="N9" t="s">
        <v>77</v>
      </c>
    </row>
    <row r="10" spans="3:18" x14ac:dyDescent="0.25">
      <c r="C10" t="s">
        <v>60</v>
      </c>
      <c r="D10" t="s">
        <v>57</v>
      </c>
      <c r="E10" t="s">
        <v>58</v>
      </c>
      <c r="F10" t="s">
        <v>59</v>
      </c>
    </row>
    <row r="11" spans="3:18" x14ac:dyDescent="0.25">
      <c r="C11" t="s">
        <v>56</v>
      </c>
      <c r="D11" t="s">
        <v>52</v>
      </c>
      <c r="E11" t="s">
        <v>53</v>
      </c>
      <c r="F11" t="s">
        <v>54</v>
      </c>
      <c r="G11" t="s">
        <v>55</v>
      </c>
    </row>
    <row r="12" spans="3:18" x14ac:dyDescent="0.25">
      <c r="F12">
        <f>1300*0.3</f>
        <v>390</v>
      </c>
      <c r="G12">
        <v>2000</v>
      </c>
      <c r="J12" t="s">
        <v>62</v>
      </c>
      <c r="K12">
        <f>1300*0.6</f>
        <v>780</v>
      </c>
    </row>
    <row r="13" spans="3:18" x14ac:dyDescent="0.25">
      <c r="F13">
        <f>G13*0.6</f>
        <v>780</v>
      </c>
      <c r="G13">
        <v>1300</v>
      </c>
      <c r="J13" t="s">
        <v>61</v>
      </c>
      <c r="K13">
        <f>1300*0.3</f>
        <v>390</v>
      </c>
    </row>
    <row r="14" spans="3:18" x14ac:dyDescent="0.25">
      <c r="F14">
        <v>909</v>
      </c>
    </row>
    <row r="15" spans="3:18" x14ac:dyDescent="0.25">
      <c r="D15">
        <v>1100</v>
      </c>
      <c r="E15">
        <v>1100</v>
      </c>
      <c r="F15">
        <v>1111</v>
      </c>
      <c r="R15">
        <v>2020</v>
      </c>
    </row>
    <row r="16" spans="3:18" x14ac:dyDescent="0.25">
      <c r="D16">
        <v>1200</v>
      </c>
      <c r="E16">
        <v>1200</v>
      </c>
      <c r="F16">
        <f>1193+30</f>
        <v>1223</v>
      </c>
      <c r="R16">
        <v>1290</v>
      </c>
    </row>
    <row r="17" spans="4:19" x14ac:dyDescent="0.25">
      <c r="D17">
        <v>2700</v>
      </c>
      <c r="E17">
        <v>2000</v>
      </c>
      <c r="K17">
        <f>SUM(K12:K16)</f>
        <v>1170</v>
      </c>
      <c r="R17">
        <f>143*1.3</f>
        <v>185.9</v>
      </c>
    </row>
    <row r="18" spans="4:19" x14ac:dyDescent="0.25">
      <c r="E18">
        <v>600</v>
      </c>
      <c r="F18">
        <f>SUM(F12:F17)</f>
        <v>4413</v>
      </c>
    </row>
    <row r="20" spans="4:19" x14ac:dyDescent="0.25">
      <c r="D20">
        <f>SUM(D15:D19)</f>
        <v>5000</v>
      </c>
      <c r="E20">
        <f>SUM(E15:E19)</f>
        <v>4900</v>
      </c>
      <c r="M20" t="s">
        <v>70</v>
      </c>
      <c r="N20" t="s">
        <v>78</v>
      </c>
    </row>
    <row r="21" spans="4:19" x14ac:dyDescent="0.25">
      <c r="M21" t="s">
        <v>71</v>
      </c>
      <c r="N21" t="s">
        <v>67</v>
      </c>
    </row>
    <row r="22" spans="4:19" x14ac:dyDescent="0.25">
      <c r="M22" t="s">
        <v>72</v>
      </c>
      <c r="N22" t="s">
        <v>66</v>
      </c>
      <c r="O22" t="s">
        <v>79</v>
      </c>
    </row>
    <row r="23" spans="4:19" x14ac:dyDescent="0.25">
      <c r="F23" s="4" t="s">
        <v>89</v>
      </c>
      <c r="G23" t="s">
        <v>63</v>
      </c>
      <c r="H23" t="s">
        <v>64</v>
      </c>
      <c r="I23" t="s">
        <v>83</v>
      </c>
      <c r="J23" t="s">
        <v>65</v>
      </c>
      <c r="M23" t="s">
        <v>73</v>
      </c>
      <c r="N23" t="s">
        <v>63</v>
      </c>
    </row>
    <row r="24" spans="4:19" x14ac:dyDescent="0.25">
      <c r="F24" s="4" t="s">
        <v>89</v>
      </c>
      <c r="G24" t="s">
        <v>66</v>
      </c>
      <c r="H24" t="s">
        <v>80</v>
      </c>
      <c r="I24" t="s">
        <v>65</v>
      </c>
      <c r="J24" t="s">
        <v>32</v>
      </c>
      <c r="M24" t="s">
        <v>74</v>
      </c>
      <c r="N24" t="s">
        <v>66</v>
      </c>
    </row>
    <row r="25" spans="4:19" x14ac:dyDescent="0.25">
      <c r="F25" s="4" t="s">
        <v>88</v>
      </c>
      <c r="G25" t="s">
        <v>67</v>
      </c>
      <c r="H25" t="s">
        <v>81</v>
      </c>
      <c r="I25" t="s">
        <v>80</v>
      </c>
      <c r="R25">
        <f>90*1.3</f>
        <v>117</v>
      </c>
    </row>
    <row r="26" spans="4:19" x14ac:dyDescent="0.25">
      <c r="F26" t="s">
        <v>87</v>
      </c>
      <c r="G26" t="s">
        <v>68</v>
      </c>
      <c r="H26" t="s">
        <v>82</v>
      </c>
    </row>
    <row r="27" spans="4:19" x14ac:dyDescent="0.25">
      <c r="F27" t="s">
        <v>89</v>
      </c>
      <c r="G27" t="s">
        <v>78</v>
      </c>
      <c r="H27" t="s">
        <v>80</v>
      </c>
      <c r="I27" t="s">
        <v>91</v>
      </c>
    </row>
    <row r="28" spans="4:19" x14ac:dyDescent="0.25">
      <c r="F28" t="s">
        <v>87</v>
      </c>
      <c r="G28" t="s">
        <v>69</v>
      </c>
      <c r="H28" t="s">
        <v>90</v>
      </c>
    </row>
    <row r="31" spans="4:19" x14ac:dyDescent="0.25">
      <c r="R31" t="s">
        <v>86</v>
      </c>
      <c r="S31" t="s">
        <v>54</v>
      </c>
    </row>
    <row r="32" spans="4:19" x14ac:dyDescent="0.25">
      <c r="Q32" t="s">
        <v>84</v>
      </c>
      <c r="R32">
        <v>1188</v>
      </c>
      <c r="S32">
        <v>1193</v>
      </c>
    </row>
    <row r="33" spans="4:19" x14ac:dyDescent="0.25">
      <c r="Q33" t="s">
        <v>85</v>
      </c>
      <c r="R33">
        <v>1106</v>
      </c>
      <c r="S33">
        <v>1111</v>
      </c>
    </row>
    <row r="34" spans="4:19" x14ac:dyDescent="0.25">
      <c r="R34">
        <f>SUM(R32:R33)</f>
        <v>2294</v>
      </c>
      <c r="S34" s="2">
        <f>SUM(S32:S33)</f>
        <v>2304</v>
      </c>
    </row>
    <row r="37" spans="4:19" x14ac:dyDescent="0.25">
      <c r="D37" s="2" t="s">
        <v>60</v>
      </c>
      <c r="E37" s="2" t="s">
        <v>57</v>
      </c>
      <c r="F37" s="2" t="s">
        <v>58</v>
      </c>
      <c r="G37" s="2" t="s">
        <v>59</v>
      </c>
      <c r="H37" s="2"/>
      <c r="K37" s="2" t="s">
        <v>60</v>
      </c>
      <c r="L37" s="2" t="s">
        <v>57</v>
      </c>
      <c r="M37" s="2" t="s">
        <v>58</v>
      </c>
      <c r="N37" s="2" t="s">
        <v>59</v>
      </c>
      <c r="O37" s="2"/>
    </row>
    <row r="38" spans="4:19" x14ac:dyDescent="0.25">
      <c r="D38" s="2" t="s">
        <v>56</v>
      </c>
      <c r="E38" s="2" t="s">
        <v>52</v>
      </c>
      <c r="F38" s="2" t="s">
        <v>53</v>
      </c>
      <c r="G38" s="2" t="s">
        <v>54</v>
      </c>
      <c r="H38" s="2" t="s">
        <v>55</v>
      </c>
      <c r="K38" s="2" t="s">
        <v>56</v>
      </c>
      <c r="L38" s="2" t="s">
        <v>52</v>
      </c>
      <c r="M38" s="2" t="s">
        <v>53</v>
      </c>
      <c r="N38" s="2" t="s">
        <v>54</v>
      </c>
      <c r="O38" s="2" t="s">
        <v>55</v>
      </c>
    </row>
    <row r="39" spans="4:19" x14ac:dyDescent="0.25">
      <c r="D39" s="2"/>
      <c r="E39" s="2"/>
      <c r="F39" s="2"/>
      <c r="G39" s="2">
        <v>400</v>
      </c>
      <c r="H39" s="2">
        <v>2000</v>
      </c>
      <c r="K39" s="2"/>
      <c r="L39" s="2"/>
      <c r="M39" s="2"/>
      <c r="N39" s="2">
        <v>400</v>
      </c>
      <c r="O39" s="2">
        <v>2000</v>
      </c>
    </row>
    <row r="40" spans="4:19" x14ac:dyDescent="0.25">
      <c r="D40" s="2"/>
      <c r="E40" s="2"/>
      <c r="F40" s="2"/>
      <c r="G40" s="2">
        <v>800</v>
      </c>
      <c r="H40" s="2">
        <v>1300</v>
      </c>
      <c r="K40" s="2"/>
      <c r="L40" s="2"/>
      <c r="M40" s="2"/>
      <c r="N40" s="2">
        <v>800</v>
      </c>
      <c r="O40" s="2">
        <v>1300</v>
      </c>
    </row>
    <row r="41" spans="4:19" x14ac:dyDescent="0.25">
      <c r="D41" s="2"/>
      <c r="E41" s="2"/>
      <c r="F41" s="2"/>
      <c r="G41" s="2">
        <v>918</v>
      </c>
      <c r="H41" s="2"/>
      <c r="K41" s="2"/>
      <c r="L41" s="2"/>
      <c r="M41" s="2"/>
      <c r="N41" s="2">
        <f>909*1.5</f>
        <v>1363.5</v>
      </c>
      <c r="O41" s="2"/>
    </row>
    <row r="42" spans="4:19" x14ac:dyDescent="0.25">
      <c r="D42" s="2"/>
      <c r="E42" s="2">
        <v>360</v>
      </c>
      <c r="F42" s="2">
        <v>700</v>
      </c>
      <c r="G42" s="2">
        <v>1400</v>
      </c>
      <c r="H42" s="2"/>
      <c r="K42" s="2"/>
      <c r="L42" s="2"/>
      <c r="M42" s="2">
        <v>1100</v>
      </c>
      <c r="N42" s="2">
        <v>1100</v>
      </c>
      <c r="O42" s="2"/>
    </row>
    <row r="43" spans="4:19" x14ac:dyDescent="0.25">
      <c r="D43" s="2"/>
      <c r="E43" s="2">
        <v>1193</v>
      </c>
      <c r="F43" s="2">
        <v>1193</v>
      </c>
      <c r="G43" s="2">
        <v>1193</v>
      </c>
      <c r="H43" s="2"/>
      <c r="K43" s="2"/>
      <c r="L43" s="2">
        <v>1300</v>
      </c>
      <c r="M43" s="2">
        <f>1300*0.6</f>
        <v>780</v>
      </c>
      <c r="N43" s="2">
        <f>1300*0.6</f>
        <v>780</v>
      </c>
      <c r="O43" s="2"/>
    </row>
    <row r="44" spans="4:19" x14ac:dyDescent="0.25">
      <c r="D44" s="2"/>
      <c r="E44" s="2">
        <v>2745</v>
      </c>
      <c r="F44" s="2">
        <v>2060</v>
      </c>
      <c r="G44" s="2"/>
      <c r="H44" s="2"/>
      <c r="K44" s="2"/>
      <c r="L44" s="2">
        <v>2700</v>
      </c>
      <c r="M44" s="2">
        <v>2000</v>
      </c>
      <c r="N44" s="2"/>
      <c r="O44" s="2"/>
      <c r="R44">
        <f>900*1.4</f>
        <v>1260</v>
      </c>
    </row>
    <row r="45" spans="4:19" x14ac:dyDescent="0.25">
      <c r="D45" s="2"/>
      <c r="E45" s="2">
        <v>700</v>
      </c>
      <c r="F45">
        <v>350</v>
      </c>
      <c r="H45" s="2">
        <f>450*1.2</f>
        <v>540</v>
      </c>
      <c r="K45" s="2"/>
      <c r="L45" s="2"/>
      <c r="M45" s="2"/>
      <c r="N45" s="2">
        <f>SUM(N39:N44)</f>
        <v>4443.5</v>
      </c>
      <c r="O45" s="2"/>
      <c r="R45">
        <f>R44/2</f>
        <v>630</v>
      </c>
    </row>
    <row r="46" spans="4:19" x14ac:dyDescent="0.25">
      <c r="D46" s="2"/>
      <c r="E46" s="2"/>
      <c r="F46" s="2">
        <v>600</v>
      </c>
      <c r="G46" s="2"/>
      <c r="H46" s="2"/>
      <c r="K46" s="2"/>
      <c r="L46" s="2"/>
      <c r="M46" s="2"/>
      <c r="N46" s="2"/>
      <c r="O46" s="2"/>
    </row>
    <row r="47" spans="4:19" x14ac:dyDescent="0.25">
      <c r="D47" s="2"/>
      <c r="E47" s="2">
        <f>SUM(E42:E46)</f>
        <v>4998</v>
      </c>
      <c r="F47" s="2">
        <f>SUM(F42:F46)</f>
        <v>4903</v>
      </c>
      <c r="G47" s="2">
        <f>SUM(G39:G44)</f>
        <v>4711</v>
      </c>
      <c r="H47" s="2"/>
      <c r="K47" s="2"/>
      <c r="L47" s="2">
        <f>SUM(L42:L46)</f>
        <v>4000</v>
      </c>
      <c r="M47" s="2">
        <f>SUM(M42:M46)</f>
        <v>3880</v>
      </c>
      <c r="N47" s="2"/>
      <c r="O47" s="2"/>
    </row>
    <row r="48" spans="4:19" x14ac:dyDescent="0.25">
      <c r="I48">
        <f>120*1.3</f>
        <v>156</v>
      </c>
    </row>
    <row r="49" spans="8:17" x14ac:dyDescent="0.25">
      <c r="Q49">
        <f>700</f>
        <v>700</v>
      </c>
    </row>
    <row r="51" spans="8:17" x14ac:dyDescent="0.25">
      <c r="H51">
        <f>800*1.2</f>
        <v>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workbookViewId="0">
      <selection activeCell="E21" sqref="E21"/>
    </sheetView>
  </sheetViews>
  <sheetFormatPr defaultRowHeight="15" x14ac:dyDescent="0.25"/>
  <sheetData>
    <row r="3" spans="2:7" x14ac:dyDescent="0.25">
      <c r="B3" t="s">
        <v>92</v>
      </c>
    </row>
    <row r="4" spans="2:7" x14ac:dyDescent="0.25">
      <c r="B4" t="s">
        <v>93</v>
      </c>
    </row>
    <row r="5" spans="2:7" x14ac:dyDescent="0.25">
      <c r="B5" t="s">
        <v>94</v>
      </c>
    </row>
    <row r="6" spans="2:7" x14ac:dyDescent="0.25">
      <c r="B6" t="s">
        <v>95</v>
      </c>
    </row>
    <row r="7" spans="2:7" x14ac:dyDescent="0.25">
      <c r="B7" t="s">
        <v>96</v>
      </c>
    </row>
    <row r="8" spans="2:7" x14ac:dyDescent="0.25">
      <c r="B8" t="s">
        <v>97</v>
      </c>
    </row>
    <row r="9" spans="2:7" x14ac:dyDescent="0.25">
      <c r="B9" t="s">
        <v>98</v>
      </c>
    </row>
    <row r="10" spans="2:7" x14ac:dyDescent="0.25">
      <c r="B10" t="s">
        <v>99</v>
      </c>
    </row>
    <row r="11" spans="2:7" x14ac:dyDescent="0.25">
      <c r="B11" t="s">
        <v>100</v>
      </c>
    </row>
    <row r="12" spans="2:7" x14ac:dyDescent="0.25">
      <c r="B12" t="s">
        <v>101</v>
      </c>
      <c r="G12" t="s">
        <v>111</v>
      </c>
    </row>
    <row r="13" spans="2:7" x14ac:dyDescent="0.25">
      <c r="B13" t="s">
        <v>102</v>
      </c>
      <c r="G13" t="s">
        <v>112</v>
      </c>
    </row>
    <row r="14" spans="2:7" x14ac:dyDescent="0.25">
      <c r="B14" t="s">
        <v>103</v>
      </c>
      <c r="G14" t="s">
        <v>113</v>
      </c>
    </row>
    <row r="15" spans="2:7" x14ac:dyDescent="0.25">
      <c r="B15" t="s">
        <v>104</v>
      </c>
    </row>
    <row r="16" spans="2:7" x14ac:dyDescent="0.25">
      <c r="B16" t="s">
        <v>105</v>
      </c>
    </row>
    <row r="17" spans="2:2" x14ac:dyDescent="0.25">
      <c r="B17" t="s">
        <v>106</v>
      </c>
    </row>
    <row r="18" spans="2:2" x14ac:dyDescent="0.25">
      <c r="B18" t="s">
        <v>107</v>
      </c>
    </row>
    <row r="19" spans="2:2" x14ac:dyDescent="0.25">
      <c r="B19" t="s">
        <v>108</v>
      </c>
    </row>
    <row r="20" spans="2:2" x14ac:dyDescent="0.25">
      <c r="B20" t="s">
        <v>109</v>
      </c>
    </row>
    <row r="21" spans="2:2" x14ac:dyDescent="0.25">
      <c r="B21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C68" sqref="C68"/>
    </sheetView>
  </sheetViews>
  <sheetFormatPr defaultRowHeight="15" x14ac:dyDescent="0.25"/>
  <cols>
    <col min="3" max="3" width="55.28515625" customWidth="1"/>
    <col min="7" max="7" width="53.85546875" customWidth="1"/>
    <col min="11" max="11" width="56.85546875" customWidth="1"/>
  </cols>
  <sheetData>
    <row r="1" spans="2:11" x14ac:dyDescent="0.25">
      <c r="B1" s="1" t="s">
        <v>78</v>
      </c>
      <c r="C1" s="1"/>
      <c r="D1" s="1"/>
      <c r="E1" s="1"/>
      <c r="F1" s="1" t="s">
        <v>149</v>
      </c>
      <c r="G1" s="1"/>
      <c r="H1" s="1"/>
      <c r="I1" s="1"/>
      <c r="J1" s="1" t="s">
        <v>180</v>
      </c>
    </row>
    <row r="2" spans="2:11" x14ac:dyDescent="0.25">
      <c r="B2" s="1" t="s">
        <v>146</v>
      </c>
      <c r="C2" s="1" t="s">
        <v>148</v>
      </c>
      <c r="E2">
        <v>0</v>
      </c>
      <c r="F2" s="1" t="s">
        <v>146</v>
      </c>
      <c r="G2" s="1" t="s">
        <v>148</v>
      </c>
      <c r="J2" s="1" t="s">
        <v>146</v>
      </c>
      <c r="K2" s="1" t="s">
        <v>148</v>
      </c>
    </row>
    <row r="3" spans="2:11" x14ac:dyDescent="0.25">
      <c r="B3" t="s">
        <v>115</v>
      </c>
      <c r="C3" s="5" t="s">
        <v>127</v>
      </c>
      <c r="F3" s="2" t="s">
        <v>116</v>
      </c>
      <c r="G3" s="5" t="s">
        <v>170</v>
      </c>
      <c r="J3" s="2" t="s">
        <v>114</v>
      </c>
      <c r="K3" s="5" t="s">
        <v>181</v>
      </c>
    </row>
    <row r="4" spans="2:11" x14ac:dyDescent="0.25">
      <c r="B4" s="2" t="s">
        <v>115</v>
      </c>
      <c r="C4" s="5" t="s">
        <v>128</v>
      </c>
      <c r="F4" s="2" t="s">
        <v>115</v>
      </c>
      <c r="G4" s="5" t="s">
        <v>160</v>
      </c>
      <c r="J4" s="2" t="s">
        <v>116</v>
      </c>
      <c r="K4" s="5" t="s">
        <v>201</v>
      </c>
    </row>
    <row r="5" spans="2:11" x14ac:dyDescent="0.25">
      <c r="B5" s="2" t="s">
        <v>115</v>
      </c>
      <c r="C5" s="5" t="s">
        <v>129</v>
      </c>
      <c r="F5" s="2" t="s">
        <v>116</v>
      </c>
      <c r="G5" s="5" t="s">
        <v>171</v>
      </c>
      <c r="J5" s="2" t="s">
        <v>114</v>
      </c>
      <c r="K5" s="5" t="s">
        <v>182</v>
      </c>
    </row>
    <row r="6" spans="2:11" x14ac:dyDescent="0.25">
      <c r="B6" s="2" t="s">
        <v>116</v>
      </c>
      <c r="C6" s="5" t="s">
        <v>147</v>
      </c>
      <c r="F6" s="2" t="s">
        <v>114</v>
      </c>
      <c r="G6" s="5" t="s">
        <v>150</v>
      </c>
      <c r="J6" s="2" t="s">
        <v>115</v>
      </c>
      <c r="K6" s="5" t="s">
        <v>191</v>
      </c>
    </row>
    <row r="7" spans="2:11" x14ac:dyDescent="0.25">
      <c r="B7" s="2" t="s">
        <v>116</v>
      </c>
      <c r="C7" s="5" t="s">
        <v>136</v>
      </c>
      <c r="F7" s="2" t="s">
        <v>114</v>
      </c>
      <c r="G7" s="5" t="s">
        <v>151</v>
      </c>
      <c r="J7" s="2" t="s">
        <v>114</v>
      </c>
      <c r="K7" s="5" t="s">
        <v>183</v>
      </c>
    </row>
    <row r="8" spans="2:11" x14ac:dyDescent="0.25">
      <c r="B8" s="2" t="s">
        <v>116</v>
      </c>
      <c r="C8" s="5" t="s">
        <v>137</v>
      </c>
      <c r="F8" s="2" t="s">
        <v>116</v>
      </c>
      <c r="G8" s="5" t="s">
        <v>172</v>
      </c>
      <c r="J8" s="2" t="s">
        <v>114</v>
      </c>
      <c r="K8" s="5" t="s">
        <v>184</v>
      </c>
    </row>
    <row r="9" spans="2:11" x14ac:dyDescent="0.25">
      <c r="B9" s="2" t="s">
        <v>114</v>
      </c>
      <c r="C9" s="5" t="s">
        <v>117</v>
      </c>
      <c r="F9" s="2" t="s">
        <v>115</v>
      </c>
      <c r="G9" s="5" t="s">
        <v>162</v>
      </c>
      <c r="J9" s="2" t="s">
        <v>114</v>
      </c>
      <c r="K9" s="5" t="s">
        <v>185</v>
      </c>
    </row>
    <row r="10" spans="2:11" x14ac:dyDescent="0.25">
      <c r="B10" s="2" t="s">
        <v>115</v>
      </c>
      <c r="C10" s="5" t="s">
        <v>130</v>
      </c>
      <c r="F10" s="2" t="s">
        <v>114</v>
      </c>
      <c r="G10" s="5" t="s">
        <v>152</v>
      </c>
      <c r="J10" s="2" t="s">
        <v>115</v>
      </c>
      <c r="K10" s="5" t="s">
        <v>192</v>
      </c>
    </row>
    <row r="11" spans="2:11" x14ac:dyDescent="0.25">
      <c r="B11" s="2" t="s">
        <v>115</v>
      </c>
      <c r="C11" s="5" t="s">
        <v>131</v>
      </c>
      <c r="F11" s="2" t="s">
        <v>115</v>
      </c>
      <c r="G11" s="5" t="s">
        <v>161</v>
      </c>
      <c r="J11" s="2" t="s">
        <v>115</v>
      </c>
      <c r="K11" s="5" t="s">
        <v>193</v>
      </c>
    </row>
    <row r="12" spans="2:11" x14ac:dyDescent="0.25">
      <c r="B12" s="2" t="s">
        <v>116</v>
      </c>
      <c r="C12" s="5" t="s">
        <v>138</v>
      </c>
      <c r="F12" s="2" t="s">
        <v>116</v>
      </c>
      <c r="G12" s="5" t="s">
        <v>173</v>
      </c>
      <c r="J12" s="2" t="s">
        <v>116</v>
      </c>
      <c r="K12" s="5" t="s">
        <v>202</v>
      </c>
    </row>
    <row r="13" spans="2:11" x14ac:dyDescent="0.25">
      <c r="B13" t="s">
        <v>115</v>
      </c>
      <c r="C13" s="5" t="s">
        <v>132</v>
      </c>
      <c r="F13" s="2" t="s">
        <v>116</v>
      </c>
      <c r="G13" s="5" t="s">
        <v>174</v>
      </c>
      <c r="J13" s="2" t="s">
        <v>116</v>
      </c>
      <c r="K13" s="5" t="s">
        <v>203</v>
      </c>
    </row>
    <row r="14" spans="2:11" x14ac:dyDescent="0.25">
      <c r="B14" s="2" t="s">
        <v>114</v>
      </c>
      <c r="C14" s="5" t="s">
        <v>118</v>
      </c>
      <c r="F14" s="2" t="s">
        <v>115</v>
      </c>
      <c r="G14" s="5" t="s">
        <v>163</v>
      </c>
      <c r="J14" s="2" t="s">
        <v>116</v>
      </c>
      <c r="K14" s="5" t="s">
        <v>204</v>
      </c>
    </row>
    <row r="15" spans="2:11" x14ac:dyDescent="0.25">
      <c r="B15" s="2" t="s">
        <v>116</v>
      </c>
      <c r="C15" s="5" t="s">
        <v>139</v>
      </c>
      <c r="F15" s="2" t="s">
        <v>114</v>
      </c>
      <c r="G15" s="5" t="s">
        <v>154</v>
      </c>
      <c r="J15" s="2" t="s">
        <v>115</v>
      </c>
      <c r="K15" s="5" t="s">
        <v>194</v>
      </c>
    </row>
    <row r="16" spans="2:11" x14ac:dyDescent="0.25">
      <c r="B16" s="2" t="s">
        <v>115</v>
      </c>
      <c r="C16" s="5" t="s">
        <v>133</v>
      </c>
      <c r="F16" s="2" t="s">
        <v>114</v>
      </c>
      <c r="G16" s="5" t="s">
        <v>153</v>
      </c>
      <c r="J16" s="2" t="s">
        <v>115</v>
      </c>
      <c r="K16" s="5" t="s">
        <v>195</v>
      </c>
    </row>
    <row r="17" spans="2:11" x14ac:dyDescent="0.25">
      <c r="B17" s="2" t="s">
        <v>114</v>
      </c>
      <c r="C17" s="5" t="s">
        <v>119</v>
      </c>
      <c r="F17" s="2" t="s">
        <v>116</v>
      </c>
      <c r="G17" s="5" t="s">
        <v>175</v>
      </c>
      <c r="J17" s="2" t="s">
        <v>114</v>
      </c>
      <c r="K17" s="5" t="s">
        <v>186</v>
      </c>
    </row>
    <row r="18" spans="2:11" x14ac:dyDescent="0.25">
      <c r="B18" s="2" t="s">
        <v>116</v>
      </c>
      <c r="C18" s="5" t="s">
        <v>140</v>
      </c>
      <c r="F18" s="2" t="s">
        <v>115</v>
      </c>
      <c r="G18" s="5" t="s">
        <v>164</v>
      </c>
      <c r="J18" s="2" t="s">
        <v>115</v>
      </c>
      <c r="K18" s="5" t="s">
        <v>196</v>
      </c>
    </row>
    <row r="19" spans="2:11" x14ac:dyDescent="0.25">
      <c r="B19" s="2" t="s">
        <v>115</v>
      </c>
      <c r="C19" s="5" t="s">
        <v>134</v>
      </c>
      <c r="F19" s="2" t="s">
        <v>115</v>
      </c>
      <c r="G19" s="5" t="s">
        <v>165</v>
      </c>
      <c r="J19" s="2" t="s">
        <v>114</v>
      </c>
      <c r="K19" s="5" t="s">
        <v>187</v>
      </c>
    </row>
    <row r="20" spans="2:11" x14ac:dyDescent="0.25">
      <c r="B20" s="2" t="s">
        <v>116</v>
      </c>
      <c r="C20" s="5" t="s">
        <v>141</v>
      </c>
      <c r="F20" s="2" t="s">
        <v>116</v>
      </c>
      <c r="G20" s="5" t="s">
        <v>176</v>
      </c>
      <c r="J20" s="2" t="s">
        <v>116</v>
      </c>
      <c r="K20" s="5" t="s">
        <v>205</v>
      </c>
    </row>
    <row r="21" spans="2:11" x14ac:dyDescent="0.25">
      <c r="B21" s="2" t="s">
        <v>114</v>
      </c>
      <c r="C21" s="5" t="s">
        <v>120</v>
      </c>
      <c r="F21" s="2" t="s">
        <v>116</v>
      </c>
      <c r="G21" s="5" t="s">
        <v>177</v>
      </c>
      <c r="J21" s="2" t="s">
        <v>116</v>
      </c>
      <c r="K21" s="5" t="s">
        <v>206</v>
      </c>
    </row>
    <row r="22" spans="2:11" x14ac:dyDescent="0.25">
      <c r="B22" s="2" t="s">
        <v>114</v>
      </c>
      <c r="C22" s="5" t="s">
        <v>121</v>
      </c>
      <c r="F22" s="2" t="s">
        <v>116</v>
      </c>
      <c r="G22" s="5" t="s">
        <v>178</v>
      </c>
      <c r="J22" s="2" t="s">
        <v>115</v>
      </c>
      <c r="K22" s="5" t="s">
        <v>197</v>
      </c>
    </row>
    <row r="23" spans="2:11" x14ac:dyDescent="0.25">
      <c r="B23" t="s">
        <v>115</v>
      </c>
      <c r="C23" s="5" t="s">
        <v>135</v>
      </c>
      <c r="F23" s="2" t="s">
        <v>114</v>
      </c>
      <c r="G23" s="5" t="s">
        <v>155</v>
      </c>
      <c r="J23" s="2" t="s">
        <v>115</v>
      </c>
      <c r="K23" s="5" t="s">
        <v>198</v>
      </c>
    </row>
    <row r="24" spans="2:11" x14ac:dyDescent="0.25">
      <c r="B24" s="2" t="s">
        <v>114</v>
      </c>
      <c r="C24" s="5" t="s">
        <v>122</v>
      </c>
      <c r="F24" s="2" t="s">
        <v>115</v>
      </c>
      <c r="G24" s="5" t="s">
        <v>166</v>
      </c>
      <c r="J24" s="2" t="s">
        <v>115</v>
      </c>
      <c r="K24" s="5" t="s">
        <v>199</v>
      </c>
    </row>
    <row r="25" spans="2:11" x14ac:dyDescent="0.25">
      <c r="B25" s="2" t="s">
        <v>116</v>
      </c>
      <c r="C25" s="5" t="s">
        <v>142</v>
      </c>
      <c r="F25" s="2" t="s">
        <v>114</v>
      </c>
      <c r="G25" s="5" t="s">
        <v>156</v>
      </c>
      <c r="J25" s="2" t="s">
        <v>116</v>
      </c>
      <c r="K25" s="5" t="s">
        <v>207</v>
      </c>
    </row>
    <row r="26" spans="2:11" x14ac:dyDescent="0.25">
      <c r="B26" s="2" t="s">
        <v>116</v>
      </c>
      <c r="C26" s="5" t="s">
        <v>143</v>
      </c>
      <c r="F26" s="2" t="s">
        <v>114</v>
      </c>
      <c r="G26" s="5" t="s">
        <v>157</v>
      </c>
      <c r="J26" s="2" t="s">
        <v>114</v>
      </c>
      <c r="K26" s="5" t="s">
        <v>188</v>
      </c>
    </row>
    <row r="27" spans="2:11" x14ac:dyDescent="0.25">
      <c r="B27" s="2" t="s">
        <v>114</v>
      </c>
      <c r="C27" s="5" t="s">
        <v>123</v>
      </c>
      <c r="F27" s="2" t="s">
        <v>116</v>
      </c>
      <c r="G27" s="5" t="s">
        <v>179</v>
      </c>
      <c r="J27" s="2" t="s">
        <v>114</v>
      </c>
      <c r="K27" s="5" t="s">
        <v>189</v>
      </c>
    </row>
    <row r="28" spans="2:11" x14ac:dyDescent="0.25">
      <c r="B28" s="2" t="s">
        <v>115</v>
      </c>
      <c r="C28" s="5" t="s">
        <v>145</v>
      </c>
      <c r="F28" s="2" t="s">
        <v>115</v>
      </c>
      <c r="G28" s="5" t="s">
        <v>167</v>
      </c>
      <c r="J28" s="2" t="s">
        <v>116</v>
      </c>
      <c r="K28" s="5" t="s">
        <v>208</v>
      </c>
    </row>
    <row r="29" spans="2:11" x14ac:dyDescent="0.25">
      <c r="B29" s="2" t="s">
        <v>114</v>
      </c>
      <c r="C29" s="5" t="s">
        <v>125</v>
      </c>
      <c r="F29" s="2" t="s">
        <v>114</v>
      </c>
      <c r="G29" s="5" t="s">
        <v>158</v>
      </c>
      <c r="J29" s="2" t="s">
        <v>115</v>
      </c>
      <c r="K29" s="5" t="s">
        <v>200</v>
      </c>
    </row>
    <row r="30" spans="2:11" x14ac:dyDescent="0.25">
      <c r="B30" s="2" t="s">
        <v>114</v>
      </c>
      <c r="C30" s="5" t="s">
        <v>124</v>
      </c>
      <c r="F30" s="2" t="s">
        <v>114</v>
      </c>
      <c r="G30" s="5" t="s">
        <v>159</v>
      </c>
      <c r="J30" s="2" t="s">
        <v>116</v>
      </c>
      <c r="K30" s="5" t="s">
        <v>209</v>
      </c>
    </row>
    <row r="31" spans="2:11" x14ac:dyDescent="0.25">
      <c r="B31" s="2" t="s">
        <v>114</v>
      </c>
      <c r="C31" s="5" t="s">
        <v>126</v>
      </c>
      <c r="F31" s="2" t="s">
        <v>115</v>
      </c>
      <c r="G31" s="5" t="s">
        <v>168</v>
      </c>
      <c r="J31" s="2" t="s">
        <v>114</v>
      </c>
      <c r="K31" s="5" t="s">
        <v>190</v>
      </c>
    </row>
    <row r="32" spans="2:11" x14ac:dyDescent="0.25">
      <c r="B32" s="2" t="s">
        <v>116</v>
      </c>
      <c r="C32" s="5" t="s">
        <v>144</v>
      </c>
      <c r="F32" s="2" t="s">
        <v>115</v>
      </c>
      <c r="G32" s="5" t="s">
        <v>169</v>
      </c>
      <c r="J32" s="2" t="s">
        <v>116</v>
      </c>
      <c r="K32" s="5" t="s">
        <v>210</v>
      </c>
    </row>
  </sheetData>
  <sortState ref="B3:C32">
    <sortCondition ref="B2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43"/>
  <sheetViews>
    <sheetView workbookViewId="0">
      <selection activeCell="B44" sqref="B44"/>
    </sheetView>
  </sheetViews>
  <sheetFormatPr defaultRowHeight="15" x14ac:dyDescent="0.25"/>
  <sheetData>
    <row r="6" spans="6:12" x14ac:dyDescent="0.25">
      <c r="F6" t="s">
        <v>211</v>
      </c>
      <c r="G6" t="s">
        <v>58</v>
      </c>
    </row>
    <row r="7" spans="6:12" x14ac:dyDescent="0.25">
      <c r="F7" t="s">
        <v>52</v>
      </c>
      <c r="G7" t="s">
        <v>53</v>
      </c>
    </row>
    <row r="8" spans="6:12" x14ac:dyDescent="0.25">
      <c r="F8">
        <v>1188</v>
      </c>
      <c r="G8">
        <v>1188</v>
      </c>
      <c r="L8" t="s">
        <v>237</v>
      </c>
    </row>
    <row r="9" spans="6:12" x14ac:dyDescent="0.25">
      <c r="G9">
        <v>2068</v>
      </c>
    </row>
    <row r="10" spans="6:12" x14ac:dyDescent="0.25">
      <c r="G10">
        <v>610</v>
      </c>
    </row>
    <row r="11" spans="6:12" x14ac:dyDescent="0.25">
      <c r="F11">
        <v>2745</v>
      </c>
    </row>
    <row r="12" spans="6:12" x14ac:dyDescent="0.25">
      <c r="G12">
        <v>768</v>
      </c>
    </row>
    <row r="13" spans="6:12" x14ac:dyDescent="0.25">
      <c r="F13">
        <v>723</v>
      </c>
      <c r="G13">
        <v>361</v>
      </c>
    </row>
    <row r="14" spans="6:12" x14ac:dyDescent="0.25">
      <c r="F14">
        <f>SUM(F8:F13)</f>
        <v>4656</v>
      </c>
      <c r="G14" s="2">
        <f>SUM(G8:G13)</f>
        <v>4995</v>
      </c>
    </row>
    <row r="23" spans="3:14" x14ac:dyDescent="0.25">
      <c r="C23">
        <v>145</v>
      </c>
      <c r="D23" t="str">
        <f>DEC2HEX(C23)</f>
        <v>91</v>
      </c>
      <c r="J23" t="s">
        <v>230</v>
      </c>
    </row>
    <row r="24" spans="3:14" x14ac:dyDescent="0.25">
      <c r="C24">
        <f>FLOOR(C23*1.3,1)</f>
        <v>188</v>
      </c>
      <c r="D24" s="2" t="str">
        <f>DEC2HEX(C24)</f>
        <v>BC</v>
      </c>
      <c r="J24" t="s">
        <v>231</v>
      </c>
      <c r="L24" t="s">
        <v>233</v>
      </c>
    </row>
    <row r="25" spans="3:14" x14ac:dyDescent="0.25">
      <c r="J25" t="s">
        <v>232</v>
      </c>
      <c r="L25" t="s">
        <v>234</v>
      </c>
    </row>
    <row r="26" spans="3:14" x14ac:dyDescent="0.25">
      <c r="C26">
        <f>C24-C23</f>
        <v>43</v>
      </c>
      <c r="J26" t="s">
        <v>235</v>
      </c>
      <c r="L26" t="s">
        <v>236</v>
      </c>
    </row>
    <row r="32" spans="3:14" x14ac:dyDescent="0.25">
      <c r="M32">
        <v>43</v>
      </c>
      <c r="N32" t="str">
        <f>DEC2HEX(M32)</f>
        <v>2B</v>
      </c>
    </row>
    <row r="33" spans="2:13" x14ac:dyDescent="0.25">
      <c r="I33">
        <v>570</v>
      </c>
      <c r="J33">
        <f>HEX2DEC(I33)</f>
        <v>1392</v>
      </c>
      <c r="M33">
        <f>J33/32</f>
        <v>43.5</v>
      </c>
    </row>
    <row r="34" spans="2:13" x14ac:dyDescent="0.25">
      <c r="I34">
        <v>910</v>
      </c>
      <c r="J34" s="2">
        <f>HEX2DEC(I34)</f>
        <v>2320</v>
      </c>
    </row>
    <row r="38" spans="2:13" x14ac:dyDescent="0.25">
      <c r="B38">
        <v>58</v>
      </c>
      <c r="C38" t="s">
        <v>238</v>
      </c>
    </row>
    <row r="42" spans="2:13" x14ac:dyDescent="0.25">
      <c r="B42">
        <v>30</v>
      </c>
      <c r="C42" t="s">
        <v>239</v>
      </c>
    </row>
    <row r="43" spans="2:13" x14ac:dyDescent="0.25">
      <c r="B43">
        <v>30</v>
      </c>
      <c r="C43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146"/>
  <sheetViews>
    <sheetView tabSelected="1" topLeftCell="A46" workbookViewId="0">
      <selection activeCell="J61" sqref="J61"/>
    </sheetView>
  </sheetViews>
  <sheetFormatPr defaultRowHeight="15" x14ac:dyDescent="0.25"/>
  <cols>
    <col min="8" max="8" width="11.140625" customWidth="1"/>
    <col min="18" max="18" width="12.140625" customWidth="1"/>
    <col min="27" max="27" width="17.7109375" customWidth="1"/>
  </cols>
  <sheetData>
    <row r="4" spans="2:22" x14ac:dyDescent="0.25">
      <c r="B4" t="s">
        <v>212</v>
      </c>
      <c r="C4" t="s">
        <v>213</v>
      </c>
      <c r="D4" t="s">
        <v>214</v>
      </c>
      <c r="E4" t="s">
        <v>215</v>
      </c>
      <c r="I4" t="s">
        <v>212</v>
      </c>
      <c r="J4" t="s">
        <v>216</v>
      </c>
      <c r="K4" t="s">
        <v>217</v>
      </c>
    </row>
    <row r="5" spans="2:22" x14ac:dyDescent="0.25">
      <c r="B5">
        <v>120</v>
      </c>
      <c r="C5">
        <f t="shared" ref="C5:C10" si="0">FLOOR(B5*1.1,1)</f>
        <v>132</v>
      </c>
      <c r="D5">
        <f t="shared" ref="D5:D10" si="1">FLOOR(B5*1.2,1)</f>
        <v>144</v>
      </c>
      <c r="E5">
        <f t="shared" ref="E5:E10" si="2">FLOOR(B5*1.3,1)</f>
        <v>156</v>
      </c>
      <c r="H5" t="s">
        <v>66</v>
      </c>
      <c r="I5">
        <v>159</v>
      </c>
      <c r="J5">
        <v>15</v>
      </c>
      <c r="K5">
        <f>J5+I5</f>
        <v>174</v>
      </c>
      <c r="S5">
        <v>2666</v>
      </c>
    </row>
    <row r="6" spans="2:22" x14ac:dyDescent="0.25">
      <c r="B6">
        <v>121</v>
      </c>
      <c r="C6" s="2">
        <f t="shared" si="0"/>
        <v>133</v>
      </c>
      <c r="D6" s="2">
        <f t="shared" si="1"/>
        <v>145</v>
      </c>
      <c r="E6" s="2">
        <f t="shared" si="2"/>
        <v>157</v>
      </c>
      <c r="H6" t="s">
        <v>67</v>
      </c>
      <c r="I6">
        <v>159</v>
      </c>
      <c r="J6">
        <v>10</v>
      </c>
      <c r="K6">
        <v>169</v>
      </c>
      <c r="S6">
        <v>2100</v>
      </c>
    </row>
    <row r="7" spans="2:22" x14ac:dyDescent="0.25">
      <c r="B7">
        <v>122</v>
      </c>
      <c r="C7" s="2">
        <f t="shared" si="0"/>
        <v>134</v>
      </c>
      <c r="D7" s="2">
        <f t="shared" si="1"/>
        <v>146</v>
      </c>
      <c r="E7" s="2">
        <f t="shared" si="2"/>
        <v>158</v>
      </c>
      <c r="S7">
        <v>2700</v>
      </c>
    </row>
    <row r="8" spans="2:22" x14ac:dyDescent="0.25">
      <c r="B8">
        <v>123</v>
      </c>
      <c r="C8" s="2">
        <f t="shared" si="0"/>
        <v>135</v>
      </c>
      <c r="D8" s="2">
        <f t="shared" si="1"/>
        <v>147</v>
      </c>
      <c r="E8" s="2">
        <f t="shared" si="2"/>
        <v>159</v>
      </c>
      <c r="S8">
        <f>SUM(S5:S7)</f>
        <v>7466</v>
      </c>
    </row>
    <row r="9" spans="2:22" x14ac:dyDescent="0.25">
      <c r="B9">
        <v>124</v>
      </c>
      <c r="C9" s="2">
        <f t="shared" si="0"/>
        <v>136</v>
      </c>
      <c r="D9" s="2">
        <f t="shared" si="1"/>
        <v>148</v>
      </c>
      <c r="E9" s="2">
        <f t="shared" si="2"/>
        <v>161</v>
      </c>
    </row>
    <row r="10" spans="2:22" x14ac:dyDescent="0.25">
      <c r="B10">
        <v>125</v>
      </c>
      <c r="C10" s="2">
        <f t="shared" si="0"/>
        <v>137</v>
      </c>
      <c r="D10" s="2">
        <f t="shared" si="1"/>
        <v>150</v>
      </c>
      <c r="E10" s="2">
        <f t="shared" si="2"/>
        <v>162</v>
      </c>
    </row>
    <row r="14" spans="2:22" x14ac:dyDescent="0.25">
      <c r="J14">
        <f>800*1.4</f>
        <v>1120</v>
      </c>
    </row>
    <row r="15" spans="2:22" x14ac:dyDescent="0.25">
      <c r="V15">
        <f>107*1.1</f>
        <v>117.7</v>
      </c>
    </row>
    <row r="16" spans="2:22" x14ac:dyDescent="0.25">
      <c r="N16" t="s">
        <v>228</v>
      </c>
      <c r="O16" t="s">
        <v>229</v>
      </c>
    </row>
    <row r="17" spans="2:35" x14ac:dyDescent="0.25">
      <c r="N17">
        <v>4200</v>
      </c>
      <c r="O17">
        <v>3800</v>
      </c>
    </row>
    <row r="18" spans="2:35" x14ac:dyDescent="0.25">
      <c r="N18" t="s">
        <v>226</v>
      </c>
      <c r="O18" t="s">
        <v>227</v>
      </c>
    </row>
    <row r="19" spans="2:35" ht="15.75" x14ac:dyDescent="0.25">
      <c r="B19" s="6"/>
      <c r="C19" s="7" t="s">
        <v>218</v>
      </c>
      <c r="D19" s="7" t="s">
        <v>219</v>
      </c>
      <c r="E19" s="7" t="s">
        <v>58</v>
      </c>
      <c r="F19" s="6"/>
      <c r="G19" s="7" t="s">
        <v>220</v>
      </c>
      <c r="H19" s="6"/>
      <c r="N19">
        <f>1300*0.6</f>
        <v>780</v>
      </c>
      <c r="O19">
        <f>2000*0.6</f>
        <v>1200</v>
      </c>
    </row>
    <row r="20" spans="2:35" ht="15.75" x14ac:dyDescent="0.25">
      <c r="B20" s="6"/>
      <c r="C20" s="7" t="s">
        <v>54</v>
      </c>
      <c r="D20" s="7" t="s">
        <v>52</v>
      </c>
      <c r="E20" s="7" t="s">
        <v>53</v>
      </c>
      <c r="F20" s="7" t="s">
        <v>55</v>
      </c>
      <c r="G20" s="7" t="s">
        <v>56</v>
      </c>
      <c r="H20" s="6"/>
      <c r="N20">
        <v>780</v>
      </c>
      <c r="O20">
        <v>1200</v>
      </c>
    </row>
    <row r="21" spans="2:35" ht="15.75" x14ac:dyDescent="0.25">
      <c r="B21" s="7" t="s">
        <v>66</v>
      </c>
      <c r="C21" s="8">
        <v>627</v>
      </c>
      <c r="D21" s="6"/>
      <c r="E21" s="6"/>
      <c r="F21" s="8">
        <v>1390</v>
      </c>
      <c r="G21" s="8">
        <v>1390</v>
      </c>
      <c r="H21" s="7" t="s">
        <v>221</v>
      </c>
      <c r="N21">
        <v>1300</v>
      </c>
      <c r="O21">
        <v>1300</v>
      </c>
    </row>
    <row r="22" spans="2:35" ht="15.75" x14ac:dyDescent="0.25">
      <c r="B22" s="7" t="s">
        <v>78</v>
      </c>
      <c r="C22" s="8">
        <v>390</v>
      </c>
      <c r="D22" s="6"/>
      <c r="E22" s="6"/>
      <c r="F22" s="8">
        <v>2000</v>
      </c>
      <c r="G22" s="8">
        <v>1300</v>
      </c>
      <c r="H22" s="7" t="s">
        <v>221</v>
      </c>
      <c r="N22">
        <v>2700</v>
      </c>
    </row>
    <row r="23" spans="2:35" ht="15.75" x14ac:dyDescent="0.25">
      <c r="B23" s="7" t="s">
        <v>68</v>
      </c>
      <c r="C23" s="8">
        <v>2730</v>
      </c>
      <c r="D23" s="6"/>
      <c r="E23" s="6"/>
      <c r="F23" s="6"/>
      <c r="G23" s="6"/>
      <c r="H23" s="7" t="s">
        <v>222</v>
      </c>
      <c r="N23">
        <f>SUM(N19:N22)</f>
        <v>5560</v>
      </c>
      <c r="O23">
        <f>SUM(O19:O22)</f>
        <v>3700</v>
      </c>
    </row>
    <row r="24" spans="2:35" x14ac:dyDescent="0.25">
      <c r="B24" s="6"/>
      <c r="C24" s="6"/>
      <c r="D24" s="6"/>
      <c r="E24" s="6"/>
      <c r="F24" s="6"/>
      <c r="G24" s="6"/>
      <c r="H24" s="6"/>
    </row>
    <row r="25" spans="2:35" ht="31.5" x14ac:dyDescent="0.25">
      <c r="B25" s="7" t="s">
        <v>67</v>
      </c>
      <c r="C25" s="8">
        <v>798</v>
      </c>
      <c r="D25" s="8">
        <v>1330</v>
      </c>
      <c r="E25" s="8">
        <v>798</v>
      </c>
      <c r="F25" s="6"/>
      <c r="G25" s="8">
        <v>798</v>
      </c>
      <c r="H25" s="7" t="s">
        <v>223</v>
      </c>
      <c r="L25" s="6"/>
      <c r="M25" s="7" t="s">
        <v>218</v>
      </c>
      <c r="N25" s="7" t="s">
        <v>219</v>
      </c>
      <c r="O25" s="7" t="s">
        <v>58</v>
      </c>
      <c r="P25" s="6"/>
      <c r="Q25" s="7" t="s">
        <v>220</v>
      </c>
      <c r="R25" s="6"/>
      <c r="U25" s="6"/>
      <c r="V25" s="7" t="s">
        <v>218</v>
      </c>
      <c r="W25" s="7" t="s">
        <v>219</v>
      </c>
      <c r="X25" s="7" t="s">
        <v>58</v>
      </c>
      <c r="Y25" s="6"/>
      <c r="Z25" s="7" t="s">
        <v>220</v>
      </c>
      <c r="AA25" s="6"/>
      <c r="AC25" s="6"/>
      <c r="AD25" s="7" t="s">
        <v>218</v>
      </c>
      <c r="AE25" s="7" t="s">
        <v>219</v>
      </c>
      <c r="AF25" s="7" t="s">
        <v>58</v>
      </c>
      <c r="AG25" s="6"/>
      <c r="AH25" s="7" t="s">
        <v>220</v>
      </c>
      <c r="AI25" s="6"/>
    </row>
    <row r="26" spans="2:35" ht="31.5" x14ac:dyDescent="0.25">
      <c r="B26" s="7" t="s">
        <v>241</v>
      </c>
      <c r="C26" s="6"/>
      <c r="D26" s="8">
        <v>1300</v>
      </c>
      <c r="E26" s="8">
        <v>780</v>
      </c>
      <c r="F26" s="6"/>
      <c r="G26" s="8">
        <v>780</v>
      </c>
      <c r="H26" s="7" t="s">
        <v>223</v>
      </c>
      <c r="L26" s="6"/>
      <c r="M26" s="7" t="s">
        <v>54</v>
      </c>
      <c r="N26" s="7" t="s">
        <v>52</v>
      </c>
      <c r="O26" s="7" t="s">
        <v>53</v>
      </c>
      <c r="P26" s="7" t="s">
        <v>55</v>
      </c>
      <c r="Q26" s="7" t="s">
        <v>56</v>
      </c>
      <c r="R26" s="6"/>
      <c r="U26" s="6"/>
      <c r="V26" s="7" t="s">
        <v>54</v>
      </c>
      <c r="W26" s="7" t="s">
        <v>52</v>
      </c>
      <c r="X26" s="7" t="s">
        <v>53</v>
      </c>
      <c r="Y26" s="7" t="s">
        <v>55</v>
      </c>
      <c r="Z26" s="7" t="s">
        <v>56</v>
      </c>
      <c r="AA26" s="6"/>
      <c r="AC26" s="6"/>
      <c r="AD26" s="7" t="s">
        <v>54</v>
      </c>
      <c r="AE26" s="7" t="s">
        <v>52</v>
      </c>
      <c r="AF26" s="7" t="s">
        <v>53</v>
      </c>
      <c r="AG26" s="7" t="s">
        <v>55</v>
      </c>
      <c r="AH26" s="7" t="s">
        <v>56</v>
      </c>
      <c r="AI26" s="6"/>
    </row>
    <row r="27" spans="2:35" ht="31.5" x14ac:dyDescent="0.25">
      <c r="B27" s="7" t="s">
        <v>66</v>
      </c>
      <c r="C27" s="6"/>
      <c r="D27" s="8">
        <v>1335</v>
      </c>
      <c r="E27" s="8">
        <v>1335</v>
      </c>
      <c r="F27" s="6"/>
      <c r="G27" s="8">
        <v>1335</v>
      </c>
      <c r="H27" s="7" t="s">
        <v>97</v>
      </c>
      <c r="L27" s="7" t="s">
        <v>66</v>
      </c>
      <c r="M27" s="8">
        <f>1390*0.3</f>
        <v>417</v>
      </c>
      <c r="N27" s="6"/>
      <c r="O27" s="6"/>
      <c r="P27" s="8">
        <v>2090</v>
      </c>
      <c r="Q27" s="8">
        <v>1390</v>
      </c>
      <c r="R27" s="7" t="s">
        <v>221</v>
      </c>
      <c r="U27" s="7" t="s">
        <v>66</v>
      </c>
      <c r="V27" s="8">
        <f>1390*0.3</f>
        <v>417</v>
      </c>
      <c r="W27" s="6"/>
      <c r="X27" s="6"/>
      <c r="Y27" s="8">
        <v>2090</v>
      </c>
      <c r="Z27" s="8">
        <v>1390</v>
      </c>
      <c r="AA27" s="7" t="s">
        <v>221</v>
      </c>
      <c r="AC27" s="7" t="s">
        <v>66</v>
      </c>
      <c r="AD27" s="8">
        <f>1390*0.3</f>
        <v>417</v>
      </c>
      <c r="AE27" s="6"/>
      <c r="AF27" s="6"/>
      <c r="AG27" s="8">
        <v>2090</v>
      </c>
      <c r="AH27" s="8">
        <v>1390</v>
      </c>
      <c r="AI27" s="7" t="s">
        <v>221</v>
      </c>
    </row>
    <row r="28" spans="2:35" ht="31.5" x14ac:dyDescent="0.25">
      <c r="B28" s="7" t="s">
        <v>78</v>
      </c>
      <c r="C28" s="6"/>
      <c r="D28" s="8"/>
      <c r="E28" s="8">
        <v>720</v>
      </c>
      <c r="F28" s="6"/>
      <c r="G28" s="8"/>
      <c r="H28" s="7" t="s">
        <v>224</v>
      </c>
      <c r="L28" s="7" t="s">
        <v>78</v>
      </c>
      <c r="M28" s="8">
        <v>390</v>
      </c>
      <c r="N28" s="6"/>
      <c r="O28" s="6"/>
      <c r="P28" s="8">
        <v>1300</v>
      </c>
      <c r="Q28" s="8">
        <v>1300</v>
      </c>
      <c r="R28" s="7" t="s">
        <v>221</v>
      </c>
      <c r="S28" t="s">
        <v>53</v>
      </c>
      <c r="U28" s="7" t="s">
        <v>67</v>
      </c>
      <c r="V28" s="8">
        <f>1330*0.6</f>
        <v>798</v>
      </c>
      <c r="W28" s="6"/>
      <c r="X28" s="6"/>
      <c r="Y28" s="8">
        <v>1300</v>
      </c>
      <c r="Z28" s="8">
        <f>1330*0.6</f>
        <v>798</v>
      </c>
      <c r="AA28" s="7" t="s">
        <v>62</v>
      </c>
      <c r="AC28" s="7" t="s">
        <v>241</v>
      </c>
      <c r="AD28" s="8">
        <f>1330*0.6</f>
        <v>798</v>
      </c>
      <c r="AE28" s="6"/>
      <c r="AF28" s="6"/>
      <c r="AG28" s="8">
        <v>1300</v>
      </c>
      <c r="AH28" s="8">
        <f>1330*0.6</f>
        <v>798</v>
      </c>
      <c r="AI28" s="7" t="s">
        <v>62</v>
      </c>
    </row>
    <row r="29" spans="2:35" ht="31.5" x14ac:dyDescent="0.25">
      <c r="B29" s="7" t="s">
        <v>67</v>
      </c>
      <c r="C29" s="6"/>
      <c r="D29" s="8">
        <f>830</f>
        <v>830</v>
      </c>
      <c r="E29" s="8">
        <v>830</v>
      </c>
      <c r="F29" s="6"/>
      <c r="G29" s="8">
        <v>830</v>
      </c>
      <c r="H29" s="7" t="s">
        <v>84</v>
      </c>
      <c r="L29" s="7" t="s">
        <v>68</v>
      </c>
      <c r="M29" s="8">
        <v>2730</v>
      </c>
      <c r="N29" s="6"/>
      <c r="O29" s="6"/>
      <c r="P29" s="6"/>
      <c r="Q29" s="6"/>
      <c r="R29" s="7" t="s">
        <v>222</v>
      </c>
      <c r="U29" s="7" t="s">
        <v>68</v>
      </c>
      <c r="V29" s="8">
        <v>2730</v>
      </c>
      <c r="W29" s="6"/>
      <c r="X29" s="6"/>
      <c r="Y29" s="6"/>
      <c r="Z29" s="6"/>
      <c r="AA29" s="7" t="s">
        <v>222</v>
      </c>
      <c r="AC29" s="7" t="s">
        <v>68</v>
      </c>
      <c r="AD29" s="8">
        <v>2730</v>
      </c>
      <c r="AE29" s="6"/>
      <c r="AF29" s="6"/>
      <c r="AG29" s="6"/>
      <c r="AH29" s="6"/>
      <c r="AI29" s="7" t="s">
        <v>222</v>
      </c>
    </row>
    <row r="30" spans="2:35" ht="15.75" x14ac:dyDescent="0.25">
      <c r="B30" s="7" t="s">
        <v>68</v>
      </c>
      <c r="C30" s="6"/>
      <c r="E30" s="8">
        <v>915</v>
      </c>
      <c r="F30" s="6"/>
      <c r="G30" s="6"/>
      <c r="H30" s="7" t="s">
        <v>114</v>
      </c>
      <c r="L30" s="6"/>
      <c r="M30" s="6"/>
      <c r="N30" s="6"/>
      <c r="O30" s="6"/>
      <c r="P30" s="6"/>
      <c r="Q30" s="6"/>
      <c r="R30" s="6"/>
      <c r="U30" s="6"/>
      <c r="V30" s="6"/>
      <c r="W30" s="6"/>
      <c r="X30" s="6"/>
      <c r="Y30" s="6"/>
      <c r="Z30" s="6"/>
      <c r="AA30" s="6"/>
      <c r="AC30" s="6"/>
      <c r="AD30" s="6"/>
      <c r="AE30" s="6"/>
      <c r="AF30" s="6"/>
      <c r="AG30" s="6"/>
      <c r="AH30" s="6"/>
      <c r="AI30" s="6"/>
    </row>
    <row r="31" spans="2:35" ht="31.5" x14ac:dyDescent="0.25">
      <c r="B31" s="7" t="s">
        <v>69</v>
      </c>
      <c r="C31" s="6"/>
      <c r="D31" s="6"/>
      <c r="E31" s="6"/>
      <c r="F31" s="6"/>
      <c r="G31" s="6"/>
      <c r="H31" s="7" t="s">
        <v>225</v>
      </c>
      <c r="L31" s="7" t="s">
        <v>67</v>
      </c>
      <c r="M31" s="8">
        <f>1300*0.3</f>
        <v>390</v>
      </c>
      <c r="N31" s="8">
        <v>798</v>
      </c>
      <c r="O31" s="8">
        <v>1218</v>
      </c>
      <c r="P31" s="6"/>
      <c r="Q31" s="8">
        <f>1330</f>
        <v>1330</v>
      </c>
      <c r="R31" s="7" t="s">
        <v>221</v>
      </c>
      <c r="S31" t="s">
        <v>53</v>
      </c>
      <c r="U31" s="7" t="s">
        <v>78</v>
      </c>
      <c r="V31" s="8">
        <f>1330*0.3</f>
        <v>399</v>
      </c>
      <c r="W31" s="8">
        <v>798</v>
      </c>
      <c r="X31" s="8">
        <v>1218</v>
      </c>
      <c r="Y31" s="6"/>
      <c r="Z31" s="8">
        <v>1330</v>
      </c>
      <c r="AA31" s="7" t="s">
        <v>221</v>
      </c>
      <c r="AC31" s="7" t="s">
        <v>78</v>
      </c>
      <c r="AD31" s="8">
        <f>1330*0.3</f>
        <v>399</v>
      </c>
      <c r="AE31" s="8">
        <v>798</v>
      </c>
      <c r="AF31" s="8">
        <v>1218</v>
      </c>
      <c r="AG31" s="6"/>
      <c r="AH31" s="8">
        <v>1330</v>
      </c>
      <c r="AI31" s="7" t="s">
        <v>221</v>
      </c>
    </row>
    <row r="32" spans="2:35" ht="31.5" x14ac:dyDescent="0.25">
      <c r="C32">
        <f>SUM(C21:C31)</f>
        <v>4545</v>
      </c>
      <c r="D32" s="2">
        <f>SUM(D21:D31)</f>
        <v>4795</v>
      </c>
      <c r="E32" s="2">
        <f>SUM(E21:E31)</f>
        <v>5378</v>
      </c>
      <c r="F32" s="2">
        <f>SUM(F21:F31)</f>
        <v>3390</v>
      </c>
      <c r="G32" s="2">
        <f>SUM(G21:G31)</f>
        <v>6433</v>
      </c>
      <c r="L32" s="7" t="s">
        <v>241</v>
      </c>
      <c r="M32" s="6">
        <f>1300*0.3</f>
        <v>390</v>
      </c>
      <c r="N32" s="8">
        <v>1300</v>
      </c>
      <c r="O32" s="8">
        <f>1300*0.6</f>
        <v>780</v>
      </c>
      <c r="P32" s="6"/>
      <c r="Q32" s="8">
        <v>780</v>
      </c>
      <c r="R32" s="7" t="s">
        <v>223</v>
      </c>
      <c r="U32" s="7" t="s">
        <v>241</v>
      </c>
      <c r="V32" s="6">
        <f>1300*0.6</f>
        <v>780</v>
      </c>
      <c r="W32" s="8">
        <v>1300</v>
      </c>
      <c r="X32" s="8">
        <v>780</v>
      </c>
      <c r="Y32" s="6"/>
      <c r="Z32" s="8">
        <v>780</v>
      </c>
      <c r="AA32" s="7" t="s">
        <v>223</v>
      </c>
      <c r="AC32" s="7" t="s">
        <v>67</v>
      </c>
      <c r="AD32" s="6">
        <f>1300*0.3</f>
        <v>390</v>
      </c>
      <c r="AE32" s="8">
        <v>798</v>
      </c>
      <c r="AF32" s="8">
        <v>1218</v>
      </c>
      <c r="AG32" s="6"/>
      <c r="AH32" s="8">
        <v>780</v>
      </c>
      <c r="AI32" s="7" t="s">
        <v>221</v>
      </c>
    </row>
    <row r="33" spans="2:35" ht="31.5" x14ac:dyDescent="0.25">
      <c r="L33" s="7" t="s">
        <v>66</v>
      </c>
      <c r="M33" s="6"/>
      <c r="N33" s="8">
        <v>1335</v>
      </c>
      <c r="O33" s="8">
        <v>1335</v>
      </c>
      <c r="P33" s="6"/>
      <c r="Q33" s="8">
        <v>1335</v>
      </c>
      <c r="R33" s="7" t="s">
        <v>97</v>
      </c>
      <c r="U33" s="7" t="s">
        <v>66</v>
      </c>
      <c r="V33" s="6"/>
      <c r="W33" s="8">
        <v>1335</v>
      </c>
      <c r="X33" s="8">
        <v>1335</v>
      </c>
      <c r="Y33" s="6"/>
      <c r="Z33" s="8">
        <v>1335</v>
      </c>
      <c r="AA33" s="7" t="s">
        <v>97</v>
      </c>
      <c r="AC33" s="7" t="s">
        <v>66</v>
      </c>
      <c r="AD33" s="6"/>
      <c r="AE33" s="8">
        <v>1335</v>
      </c>
      <c r="AF33" s="8">
        <v>1335</v>
      </c>
      <c r="AG33" s="6"/>
      <c r="AH33" s="8">
        <v>1335</v>
      </c>
      <c r="AI33" s="7" t="s">
        <v>97</v>
      </c>
    </row>
    <row r="34" spans="2:35" ht="15.75" x14ac:dyDescent="0.25">
      <c r="L34" s="7" t="s">
        <v>78</v>
      </c>
      <c r="M34" s="6"/>
      <c r="N34" s="8"/>
      <c r="O34" s="8">
        <v>720</v>
      </c>
      <c r="P34" s="6"/>
      <c r="Q34" s="8"/>
      <c r="R34" s="7" t="s">
        <v>242</v>
      </c>
      <c r="U34" s="7" t="s">
        <v>78</v>
      </c>
      <c r="V34" s="6"/>
      <c r="W34" s="8"/>
      <c r="X34" s="8">
        <f>720</f>
        <v>720</v>
      </c>
      <c r="Y34" s="6"/>
      <c r="Z34" s="8"/>
      <c r="AA34" s="7" t="s">
        <v>242</v>
      </c>
      <c r="AC34" s="7" t="s">
        <v>78</v>
      </c>
      <c r="AD34" s="6"/>
      <c r="AE34" s="8"/>
      <c r="AF34" s="8">
        <f>720</f>
        <v>720</v>
      </c>
      <c r="AG34" s="6"/>
      <c r="AH34" s="8"/>
      <c r="AI34" s="7" t="s">
        <v>242</v>
      </c>
    </row>
    <row r="35" spans="2:35" ht="15.75" x14ac:dyDescent="0.25">
      <c r="L35" s="7" t="s">
        <v>67</v>
      </c>
      <c r="M35" s="6"/>
      <c r="N35" s="8">
        <v>800</v>
      </c>
      <c r="O35" s="8">
        <v>800</v>
      </c>
      <c r="P35" s="6"/>
      <c r="Q35" s="8">
        <v>400</v>
      </c>
      <c r="R35" s="7" t="s">
        <v>84</v>
      </c>
      <c r="U35" s="7" t="s">
        <v>67</v>
      </c>
      <c r="V35" s="6"/>
      <c r="W35" s="8">
        <f>830</f>
        <v>830</v>
      </c>
      <c r="X35" s="8">
        <v>830</v>
      </c>
      <c r="Y35" s="6"/>
      <c r="Z35" s="8">
        <v>830</v>
      </c>
      <c r="AA35" s="7" t="s">
        <v>84</v>
      </c>
      <c r="AC35" s="7" t="s">
        <v>67</v>
      </c>
      <c r="AD35" s="6"/>
      <c r="AE35" s="8">
        <f>830</f>
        <v>830</v>
      </c>
      <c r="AF35" s="8">
        <v>830</v>
      </c>
      <c r="AG35" s="6"/>
      <c r="AH35" s="8">
        <v>830</v>
      </c>
      <c r="AI35" s="7" t="s">
        <v>84</v>
      </c>
    </row>
    <row r="36" spans="2:35" ht="15.75" x14ac:dyDescent="0.25">
      <c r="L36" s="7" t="s">
        <v>68</v>
      </c>
      <c r="M36" s="6"/>
      <c r="N36" s="8">
        <v>915</v>
      </c>
      <c r="P36" s="6"/>
      <c r="Q36" s="6"/>
      <c r="R36" s="7" t="s">
        <v>114</v>
      </c>
      <c r="U36" s="7" t="s">
        <v>68</v>
      </c>
      <c r="V36" s="6"/>
      <c r="W36" s="8">
        <v>915</v>
      </c>
      <c r="Y36" s="6"/>
      <c r="Z36" s="6"/>
      <c r="AA36" s="7" t="s">
        <v>114</v>
      </c>
      <c r="AC36" s="7" t="s">
        <v>68</v>
      </c>
      <c r="AD36" s="6"/>
      <c r="AE36" s="8">
        <v>915</v>
      </c>
      <c r="AF36" s="2"/>
      <c r="AG36" s="6"/>
      <c r="AH36" s="6"/>
      <c r="AI36" s="7" t="s">
        <v>114</v>
      </c>
    </row>
    <row r="37" spans="2:35" ht="47.25" x14ac:dyDescent="0.25">
      <c r="L37" s="7" t="s">
        <v>69</v>
      </c>
      <c r="M37" s="6"/>
      <c r="N37" s="6"/>
      <c r="O37" s="6"/>
      <c r="P37" s="6"/>
      <c r="Q37" s="6"/>
      <c r="R37" s="7" t="s">
        <v>225</v>
      </c>
      <c r="U37" s="7" t="s">
        <v>69</v>
      </c>
      <c r="V37" s="6"/>
      <c r="W37" s="6"/>
      <c r="X37" s="6"/>
      <c r="Y37" s="6"/>
      <c r="Z37" s="6"/>
      <c r="AA37" s="7" t="s">
        <v>225</v>
      </c>
      <c r="AC37" s="7" t="s">
        <v>69</v>
      </c>
      <c r="AD37" s="6"/>
      <c r="AE37" s="6"/>
      <c r="AF37" s="6"/>
      <c r="AG37" s="6"/>
      <c r="AH37" s="6"/>
      <c r="AI37" s="7" t="s">
        <v>225</v>
      </c>
    </row>
    <row r="38" spans="2:35" x14ac:dyDescent="0.25">
      <c r="B38">
        <f>450*1.4</f>
        <v>630</v>
      </c>
      <c r="L38" s="2"/>
      <c r="M38" s="2">
        <f>SUM(M27:M37)</f>
        <v>4317</v>
      </c>
      <c r="N38" s="2">
        <f>SUM(N27:N37)</f>
        <v>5148</v>
      </c>
      <c r="O38" s="2">
        <f>SUM(O27:O37)</f>
        <v>4853</v>
      </c>
      <c r="P38" s="2">
        <f>SUM(P27:P37)</f>
        <v>3390</v>
      </c>
      <c r="Q38" s="2">
        <f>SUM(Q27:Q37)</f>
        <v>6535</v>
      </c>
      <c r="R38" s="2"/>
      <c r="U38" s="2"/>
      <c r="V38" s="2">
        <f>SUM(V27:V37)</f>
        <v>5124</v>
      </c>
      <c r="W38" s="2">
        <f>SUM(W27:W37)</f>
        <v>5178</v>
      </c>
      <c r="X38" s="2">
        <f>SUM(X27:X37)</f>
        <v>4883</v>
      </c>
      <c r="Y38" s="2">
        <f>SUM(Y27:Y37)</f>
        <v>3390</v>
      </c>
      <c r="Z38" s="2">
        <f>SUM(Z27:Z37)</f>
        <v>6463</v>
      </c>
      <c r="AA38" s="2"/>
      <c r="AC38" s="2"/>
      <c r="AD38" s="2">
        <f>SUM(AD27:AD37)</f>
        <v>4734</v>
      </c>
      <c r="AE38" s="2">
        <f>SUM(AE27:AE37)</f>
        <v>4676</v>
      </c>
      <c r="AF38" s="2">
        <f>SUM(AF27:AF37)</f>
        <v>5321</v>
      </c>
      <c r="AG38" s="2">
        <f>SUM(AG27:AG37)</f>
        <v>3390</v>
      </c>
      <c r="AH38" s="2">
        <f>SUM(AH27:AH37)</f>
        <v>6463</v>
      </c>
      <c r="AI38" s="2"/>
    </row>
    <row r="39" spans="2:35" x14ac:dyDescent="0.25">
      <c r="B39">
        <f>450*1.2</f>
        <v>540</v>
      </c>
    </row>
    <row r="41" spans="2:35" x14ac:dyDescent="0.25">
      <c r="G41">
        <f>123*1.3</f>
        <v>159.9</v>
      </c>
    </row>
    <row r="43" spans="2:35" x14ac:dyDescent="0.25">
      <c r="J43">
        <f>120*1.3</f>
        <v>156</v>
      </c>
    </row>
    <row r="49" spans="2:13" x14ac:dyDescent="0.25">
      <c r="E49" t="s">
        <v>52</v>
      </c>
      <c r="F49">
        <v>136</v>
      </c>
      <c r="G49">
        <f>F49*1.1</f>
        <v>149.60000000000002</v>
      </c>
    </row>
    <row r="50" spans="2:13" x14ac:dyDescent="0.25">
      <c r="E50" t="s">
        <v>53</v>
      </c>
      <c r="F50">
        <v>148</v>
      </c>
      <c r="G50">
        <f>F50*1.1</f>
        <v>162.80000000000001</v>
      </c>
    </row>
    <row r="55" spans="2:13" x14ac:dyDescent="0.25">
      <c r="D55" t="s">
        <v>246</v>
      </c>
      <c r="E55" t="s">
        <v>247</v>
      </c>
      <c r="F55" t="s">
        <v>247</v>
      </c>
      <c r="G55" t="s">
        <v>248</v>
      </c>
      <c r="H55" t="s">
        <v>249</v>
      </c>
      <c r="I55" t="s">
        <v>250</v>
      </c>
      <c r="J55" t="s">
        <v>253</v>
      </c>
      <c r="K55" t="s">
        <v>251</v>
      </c>
      <c r="L55" t="s">
        <v>252</v>
      </c>
    </row>
    <row r="56" spans="2:13" x14ac:dyDescent="0.25">
      <c r="B56" t="s">
        <v>67</v>
      </c>
      <c r="C56" t="s">
        <v>243</v>
      </c>
      <c r="D56" s="2">
        <v>162</v>
      </c>
      <c r="E56">
        <v>10</v>
      </c>
      <c r="K56" s="2">
        <f t="shared" ref="K56:K58" si="3">SUM(D56:J56)</f>
        <v>172</v>
      </c>
      <c r="L56">
        <v>163</v>
      </c>
    </row>
    <row r="57" spans="2:13" x14ac:dyDescent="0.25">
      <c r="B57" t="s">
        <v>66</v>
      </c>
      <c r="C57" t="s">
        <v>243</v>
      </c>
      <c r="D57" s="2">
        <v>174</v>
      </c>
      <c r="K57" s="2">
        <f t="shared" si="3"/>
        <v>174</v>
      </c>
    </row>
    <row r="58" spans="2:13" x14ac:dyDescent="0.25">
      <c r="B58" t="s">
        <v>241</v>
      </c>
      <c r="C58" t="s">
        <v>244</v>
      </c>
      <c r="D58" s="2">
        <v>123</v>
      </c>
      <c r="K58" s="2">
        <f t="shared" si="3"/>
        <v>123</v>
      </c>
      <c r="M58">
        <f>125*1.3</f>
        <v>162.5</v>
      </c>
    </row>
    <row r="59" spans="2:13" x14ac:dyDescent="0.25">
      <c r="B59" t="s">
        <v>68</v>
      </c>
      <c r="C59" t="s">
        <v>244</v>
      </c>
      <c r="D59" s="2">
        <v>123</v>
      </c>
      <c r="F59">
        <v>10</v>
      </c>
      <c r="H59">
        <v>15</v>
      </c>
      <c r="K59" s="2">
        <f>SUM(D59:J59)</f>
        <v>148</v>
      </c>
      <c r="L59">
        <v>150</v>
      </c>
    </row>
    <row r="60" spans="2:13" x14ac:dyDescent="0.25">
      <c r="B60" t="s">
        <v>78</v>
      </c>
      <c r="C60" t="s">
        <v>245</v>
      </c>
      <c r="D60" s="2">
        <v>139</v>
      </c>
      <c r="G60">
        <v>15</v>
      </c>
      <c r="I60">
        <v>3</v>
      </c>
      <c r="J60">
        <v>2</v>
      </c>
      <c r="K60" s="2">
        <f t="shared" ref="K60" si="4">SUM(D60:J60)</f>
        <v>159</v>
      </c>
      <c r="L60">
        <v>163</v>
      </c>
    </row>
    <row r="67" spans="2:14" x14ac:dyDescent="0.25">
      <c r="D67" t="s">
        <v>254</v>
      </c>
      <c r="G67" s="2"/>
      <c r="H67" s="2" t="s">
        <v>254</v>
      </c>
    </row>
    <row r="68" spans="2:14" x14ac:dyDescent="0.25">
      <c r="C68" t="s">
        <v>66</v>
      </c>
      <c r="D68">
        <f>(450*1.4+100)*2</f>
        <v>1460</v>
      </c>
      <c r="G68" s="2" t="s">
        <v>66</v>
      </c>
      <c r="H68" s="2">
        <f>(450*1.4+100)*2</f>
        <v>1460</v>
      </c>
    </row>
    <row r="69" spans="2:14" x14ac:dyDescent="0.25">
      <c r="C69" t="s">
        <v>67</v>
      </c>
      <c r="D69">
        <f>(450+60)*2</f>
        <v>1020</v>
      </c>
      <c r="G69" s="2" t="s">
        <v>255</v>
      </c>
      <c r="H69" s="2">
        <f>(400*1.4+50)*2</f>
        <v>1220</v>
      </c>
    </row>
    <row r="70" spans="2:14" x14ac:dyDescent="0.25">
      <c r="C70" t="s">
        <v>68</v>
      </c>
      <c r="D70">
        <f>999-78</f>
        <v>921</v>
      </c>
      <c r="G70" s="2" t="s">
        <v>68</v>
      </c>
      <c r="H70" s="2">
        <f>999-78</f>
        <v>921</v>
      </c>
    </row>
    <row r="71" spans="2:14" x14ac:dyDescent="0.25">
      <c r="G71" s="2"/>
      <c r="H71" s="2"/>
    </row>
    <row r="72" spans="2:14" x14ac:dyDescent="0.25">
      <c r="C72" t="s">
        <v>66</v>
      </c>
      <c r="D72">
        <f>D68</f>
        <v>1460</v>
      </c>
      <c r="G72" s="2" t="s">
        <v>66</v>
      </c>
      <c r="H72" s="2">
        <f>H68</f>
        <v>1460</v>
      </c>
    </row>
    <row r="73" spans="2:14" x14ac:dyDescent="0.25">
      <c r="C73" t="s">
        <v>67</v>
      </c>
      <c r="D73">
        <f>D69</f>
        <v>1020</v>
      </c>
      <c r="G73" s="2" t="s">
        <v>255</v>
      </c>
      <c r="H73" s="2">
        <f>H69</f>
        <v>1220</v>
      </c>
      <c r="K73" t="s">
        <v>269</v>
      </c>
      <c r="M73" t="s">
        <v>270</v>
      </c>
      <c r="N73" t="s">
        <v>271</v>
      </c>
    </row>
    <row r="74" spans="2:14" x14ac:dyDescent="0.25">
      <c r="C74" t="s">
        <v>68</v>
      </c>
      <c r="D74">
        <f>D70*3</f>
        <v>2763</v>
      </c>
      <c r="G74" s="2" t="s">
        <v>68</v>
      </c>
      <c r="H74" s="2">
        <f>H70*3</f>
        <v>2763</v>
      </c>
      <c r="K74">
        <v>33</v>
      </c>
      <c r="L74">
        <v>34</v>
      </c>
      <c r="M74">
        <v>35</v>
      </c>
      <c r="N74">
        <v>36</v>
      </c>
    </row>
    <row r="75" spans="2:14" x14ac:dyDescent="0.25">
      <c r="D75">
        <f>SUM(D68:D74)</f>
        <v>8644</v>
      </c>
      <c r="G75" s="2"/>
      <c r="H75" s="2">
        <f>SUM(H68:H74)</f>
        <v>9044</v>
      </c>
    </row>
    <row r="77" spans="2:14" x14ac:dyDescent="0.25">
      <c r="C77" t="s">
        <v>257</v>
      </c>
      <c r="D77" t="s">
        <v>256</v>
      </c>
      <c r="J77">
        <v>27000</v>
      </c>
      <c r="K77">
        <f>5100*3+J77</f>
        <v>42300</v>
      </c>
      <c r="L77">
        <f>6000*3+J77</f>
        <v>45000</v>
      </c>
      <c r="M77">
        <f>6900*3+J77</f>
        <v>47700</v>
      </c>
      <c r="N77">
        <f>7500*2.5+J77</f>
        <v>45750</v>
      </c>
    </row>
    <row r="78" spans="2:14" x14ac:dyDescent="0.25">
      <c r="B78" s="2" t="s">
        <v>67</v>
      </c>
      <c r="C78" s="2">
        <v>162</v>
      </c>
      <c r="D78">
        <v>163</v>
      </c>
    </row>
    <row r="79" spans="2:14" x14ac:dyDescent="0.25">
      <c r="B79" s="2" t="s">
        <v>66</v>
      </c>
      <c r="C79" s="2">
        <v>174</v>
      </c>
      <c r="D79">
        <v>170</v>
      </c>
    </row>
    <row r="80" spans="2:14" x14ac:dyDescent="0.25">
      <c r="B80" s="2" t="s">
        <v>241</v>
      </c>
      <c r="C80" s="2">
        <v>123</v>
      </c>
      <c r="D80">
        <v>128</v>
      </c>
    </row>
    <row r="81" spans="2:17" x14ac:dyDescent="0.25">
      <c r="B81" s="2" t="s">
        <v>68</v>
      </c>
      <c r="C81" s="2">
        <v>123</v>
      </c>
      <c r="D81">
        <v>116</v>
      </c>
    </row>
    <row r="82" spans="2:17" x14ac:dyDescent="0.25">
      <c r="B82" s="2" t="s">
        <v>78</v>
      </c>
      <c r="C82" s="2">
        <v>139</v>
      </c>
      <c r="D82">
        <v>139</v>
      </c>
    </row>
    <row r="84" spans="2:17" x14ac:dyDescent="0.25">
      <c r="G84" t="s">
        <v>228</v>
      </c>
      <c r="H84" t="s">
        <v>229</v>
      </c>
    </row>
    <row r="85" spans="2:17" x14ac:dyDescent="0.25">
      <c r="G85" t="s">
        <v>226</v>
      </c>
      <c r="H85" t="s">
        <v>227</v>
      </c>
    </row>
    <row r="86" spans="2:17" x14ac:dyDescent="0.25">
      <c r="G86">
        <v>4200</v>
      </c>
      <c r="H86">
        <v>3800</v>
      </c>
    </row>
    <row r="87" spans="2:17" x14ac:dyDescent="0.25">
      <c r="E87" t="s">
        <v>66</v>
      </c>
      <c r="F87" t="s">
        <v>85</v>
      </c>
      <c r="G87">
        <v>1362</v>
      </c>
      <c r="H87">
        <v>1325</v>
      </c>
    </row>
    <row r="88" spans="2:17" x14ac:dyDescent="0.25">
      <c r="E88" t="s">
        <v>78</v>
      </c>
      <c r="F88" t="s">
        <v>61</v>
      </c>
      <c r="G88">
        <v>1228</v>
      </c>
      <c r="H88">
        <v>778</v>
      </c>
    </row>
    <row r="89" spans="2:17" x14ac:dyDescent="0.25">
      <c r="E89" t="s">
        <v>67</v>
      </c>
      <c r="F89" t="s">
        <v>62</v>
      </c>
      <c r="G89">
        <v>804</v>
      </c>
      <c r="H89">
        <v>1304</v>
      </c>
    </row>
    <row r="90" spans="2:17" x14ac:dyDescent="0.25">
      <c r="E90" t="s">
        <v>241</v>
      </c>
      <c r="F90" t="s">
        <v>62</v>
      </c>
      <c r="G90">
        <v>794</v>
      </c>
      <c r="H90">
        <v>1294</v>
      </c>
      <c r="K90">
        <v>137</v>
      </c>
      <c r="L90">
        <f>K90*0.9</f>
        <v>123.3</v>
      </c>
      <c r="M90">
        <f>K90*1.1</f>
        <v>150.70000000000002</v>
      </c>
    </row>
    <row r="91" spans="2:17" x14ac:dyDescent="0.25">
      <c r="F91" t="s">
        <v>68</v>
      </c>
      <c r="G91">
        <v>2664</v>
      </c>
      <c r="K91">
        <f>148</f>
        <v>148</v>
      </c>
      <c r="L91">
        <f>K91*0.9</f>
        <v>133.20000000000002</v>
      </c>
      <c r="M91">
        <f>K91*1.1</f>
        <v>162.80000000000001</v>
      </c>
    </row>
    <row r="92" spans="2:17" x14ac:dyDescent="0.25">
      <c r="G92" s="2">
        <f>SUM(G87:G91)</f>
        <v>6852</v>
      </c>
      <c r="H92">
        <f>SUM(H87:H91)</f>
        <v>4701</v>
      </c>
    </row>
    <row r="96" spans="2:17" x14ac:dyDescent="0.25">
      <c r="B96" t="s">
        <v>258</v>
      </c>
      <c r="G96" t="s">
        <v>260</v>
      </c>
      <c r="L96" t="s">
        <v>262</v>
      </c>
      <c r="Q96" t="s">
        <v>264</v>
      </c>
    </row>
    <row r="97" spans="2:20" x14ac:dyDescent="0.25">
      <c r="B97" t="s">
        <v>259</v>
      </c>
      <c r="G97" t="s">
        <v>261</v>
      </c>
      <c r="L97" t="s">
        <v>263</v>
      </c>
      <c r="Q97" t="s">
        <v>265</v>
      </c>
    </row>
    <row r="99" spans="2:20" x14ac:dyDescent="0.25">
      <c r="B99" t="s">
        <v>266</v>
      </c>
      <c r="G99" t="s">
        <v>266</v>
      </c>
      <c r="L99" t="s">
        <v>266</v>
      </c>
      <c r="Q99" s="2" t="s">
        <v>266</v>
      </c>
    </row>
    <row r="100" spans="2:20" x14ac:dyDescent="0.25">
      <c r="B100" t="s">
        <v>66</v>
      </c>
      <c r="G100" t="s">
        <v>66</v>
      </c>
      <c r="L100" t="s">
        <v>66</v>
      </c>
      <c r="Q100" s="2" t="s">
        <v>66</v>
      </c>
    </row>
    <row r="101" spans="2:20" x14ac:dyDescent="0.25">
      <c r="B101" t="s">
        <v>67</v>
      </c>
      <c r="G101" t="s">
        <v>78</v>
      </c>
      <c r="L101" t="s">
        <v>67</v>
      </c>
      <c r="Q101" s="2" t="s">
        <v>67</v>
      </c>
    </row>
    <row r="102" spans="2:20" x14ac:dyDescent="0.25">
      <c r="B102" t="s">
        <v>68</v>
      </c>
      <c r="G102" t="s">
        <v>67</v>
      </c>
      <c r="L102" t="s">
        <v>267</v>
      </c>
      <c r="Q102" s="2" t="s">
        <v>78</v>
      </c>
    </row>
    <row r="103" spans="2:20" x14ac:dyDescent="0.25">
      <c r="B103" t="s">
        <v>78</v>
      </c>
      <c r="G103" t="s">
        <v>68</v>
      </c>
      <c r="L103" t="s">
        <v>268</v>
      </c>
      <c r="Q103" s="2" t="s">
        <v>267</v>
      </c>
    </row>
    <row r="104" spans="2:20" x14ac:dyDescent="0.25">
      <c r="B104" t="s">
        <v>241</v>
      </c>
      <c r="G104" t="s">
        <v>241</v>
      </c>
      <c r="L104" t="s">
        <v>78</v>
      </c>
      <c r="Q104" s="2" t="s">
        <v>268</v>
      </c>
    </row>
    <row r="106" spans="2:20" x14ac:dyDescent="0.25">
      <c r="B106" s="2" t="s">
        <v>66</v>
      </c>
      <c r="C106" s="2" t="s">
        <v>85</v>
      </c>
      <c r="D106" s="2">
        <v>1362</v>
      </c>
      <c r="E106" s="2">
        <v>1325</v>
      </c>
      <c r="G106" s="2" t="s">
        <v>66</v>
      </c>
      <c r="H106" s="2" t="s">
        <v>85</v>
      </c>
      <c r="I106" s="2">
        <v>1362</v>
      </c>
      <c r="J106" s="2">
        <v>1325</v>
      </c>
      <c r="L106" s="2" t="s">
        <v>66</v>
      </c>
      <c r="M106" s="2" t="s">
        <v>85</v>
      </c>
      <c r="N106" s="2">
        <v>1362</v>
      </c>
      <c r="O106" s="2">
        <v>1325</v>
      </c>
      <c r="Q106" s="2" t="s">
        <v>66</v>
      </c>
      <c r="R106" s="2" t="s">
        <v>85</v>
      </c>
      <c r="S106" s="2">
        <v>1362</v>
      </c>
      <c r="T106" s="2">
        <v>1325</v>
      </c>
    </row>
    <row r="107" spans="2:20" x14ac:dyDescent="0.25">
      <c r="B107" s="2" t="s">
        <v>67</v>
      </c>
      <c r="C107" s="2" t="s">
        <v>62</v>
      </c>
      <c r="D107" s="2">
        <v>804</v>
      </c>
      <c r="E107" s="2">
        <v>1304</v>
      </c>
      <c r="G107" s="2" t="s">
        <v>78</v>
      </c>
      <c r="H107" s="2" t="s">
        <v>61</v>
      </c>
      <c r="I107" s="2">
        <v>1228</v>
      </c>
      <c r="J107" s="2">
        <v>778</v>
      </c>
      <c r="L107" s="2" t="s">
        <v>67</v>
      </c>
      <c r="M107" s="2" t="s">
        <v>62</v>
      </c>
      <c r="N107" s="2">
        <v>804</v>
      </c>
      <c r="O107" s="2">
        <v>1304</v>
      </c>
      <c r="Q107" s="2" t="s">
        <v>67</v>
      </c>
      <c r="R107" s="2" t="s">
        <v>62</v>
      </c>
      <c r="S107" s="2">
        <v>804</v>
      </c>
      <c r="T107" s="2">
        <v>1304</v>
      </c>
    </row>
    <row r="108" spans="2:20" x14ac:dyDescent="0.25">
      <c r="C108" s="2" t="s">
        <v>68</v>
      </c>
      <c r="D108" s="2">
        <v>2664</v>
      </c>
      <c r="G108" s="2" t="s">
        <v>67</v>
      </c>
      <c r="H108" s="2" t="s">
        <v>62</v>
      </c>
      <c r="I108" s="2">
        <v>804</v>
      </c>
      <c r="J108" s="2">
        <v>1304</v>
      </c>
      <c r="L108" s="2"/>
      <c r="M108" s="2" t="s">
        <v>68</v>
      </c>
      <c r="N108" s="2">
        <v>2664</v>
      </c>
      <c r="O108" s="2"/>
      <c r="Q108" s="2" t="s">
        <v>78</v>
      </c>
      <c r="R108" s="2" t="s">
        <v>61</v>
      </c>
      <c r="S108" s="2">
        <v>1228</v>
      </c>
      <c r="T108" s="2">
        <v>778</v>
      </c>
    </row>
    <row r="109" spans="2:20" x14ac:dyDescent="0.25">
      <c r="B109" s="2" t="s">
        <v>78</v>
      </c>
      <c r="C109" s="2" t="s">
        <v>61</v>
      </c>
      <c r="D109" s="2">
        <v>1228</v>
      </c>
      <c r="E109" s="2">
        <v>778</v>
      </c>
      <c r="G109" s="2"/>
      <c r="H109" s="2" t="s">
        <v>68</v>
      </c>
      <c r="I109" s="2">
        <v>2664</v>
      </c>
      <c r="J109" s="2"/>
      <c r="L109" s="2" t="s">
        <v>241</v>
      </c>
      <c r="M109" s="2" t="s">
        <v>62</v>
      </c>
      <c r="N109" s="2">
        <v>794</v>
      </c>
      <c r="O109" s="2">
        <v>1294</v>
      </c>
    </row>
    <row r="110" spans="2:20" x14ac:dyDescent="0.25">
      <c r="B110" s="2" t="s">
        <v>241</v>
      </c>
      <c r="C110" s="2" t="s">
        <v>62</v>
      </c>
      <c r="D110" s="2">
        <v>794</v>
      </c>
      <c r="E110" s="2">
        <v>1294</v>
      </c>
      <c r="G110" s="2" t="s">
        <v>241</v>
      </c>
      <c r="H110" s="2" t="s">
        <v>62</v>
      </c>
      <c r="I110" s="2">
        <v>794</v>
      </c>
      <c r="J110" s="2">
        <v>1294</v>
      </c>
    </row>
    <row r="112" spans="2:20" x14ac:dyDescent="0.25">
      <c r="D112">
        <f>SUM(D106:D110)</f>
        <v>6852</v>
      </c>
      <c r="E112">
        <f>SUM(E106:E111)</f>
        <v>4701</v>
      </c>
      <c r="I112" s="2">
        <f>SUM(I106:I110)</f>
        <v>6852</v>
      </c>
      <c r="J112" s="2">
        <f>SUM(J106:J111)</f>
        <v>4701</v>
      </c>
      <c r="N112" s="2">
        <f>SUM(N106:N110)</f>
        <v>5624</v>
      </c>
      <c r="O112" s="2">
        <f>SUM(O106:O111)</f>
        <v>3923</v>
      </c>
      <c r="S112" s="2">
        <f>SUM(S106:S110)</f>
        <v>3394</v>
      </c>
      <c r="T112" s="2">
        <f>SUM(T106:T111)</f>
        <v>3407</v>
      </c>
    </row>
    <row r="115" spans="2:20" x14ac:dyDescent="0.25">
      <c r="B115" t="s">
        <v>67</v>
      </c>
      <c r="C115" t="s">
        <v>276</v>
      </c>
      <c r="E115">
        <f>163</f>
        <v>163</v>
      </c>
      <c r="G115" s="2" t="s">
        <v>67</v>
      </c>
      <c r="H115" s="2" t="s">
        <v>250</v>
      </c>
      <c r="I115" s="2"/>
      <c r="J115" s="2">
        <f>163+3</f>
        <v>166</v>
      </c>
      <c r="L115" s="2" t="s">
        <v>67</v>
      </c>
      <c r="M115" s="2" t="s">
        <v>276</v>
      </c>
      <c r="N115" s="2"/>
      <c r="O115" s="2">
        <f>163</f>
        <v>163</v>
      </c>
      <c r="Q115" s="2" t="s">
        <v>67</v>
      </c>
      <c r="R115" s="2" t="s">
        <v>276</v>
      </c>
      <c r="S115" s="2"/>
      <c r="T115" s="2">
        <f>163</f>
        <v>163</v>
      </c>
    </row>
    <row r="116" spans="2:20" x14ac:dyDescent="0.25">
      <c r="B116" t="s">
        <v>68</v>
      </c>
      <c r="C116" t="s">
        <v>274</v>
      </c>
      <c r="E116">
        <f>123+10+15+3</f>
        <v>151</v>
      </c>
      <c r="G116" s="2" t="s">
        <v>68</v>
      </c>
      <c r="H116" s="2" t="s">
        <v>272</v>
      </c>
      <c r="I116" s="2"/>
      <c r="J116" s="2">
        <f>123+15+15</f>
        <v>153</v>
      </c>
      <c r="L116" s="2" t="s">
        <v>68</v>
      </c>
      <c r="M116" s="2" t="s">
        <v>274</v>
      </c>
      <c r="N116" s="2"/>
      <c r="O116" s="2">
        <f>123+15+10+3</f>
        <v>151</v>
      </c>
      <c r="Q116" s="2" t="s">
        <v>68</v>
      </c>
      <c r="R116" s="2" t="s">
        <v>274</v>
      </c>
      <c r="S116" s="2"/>
      <c r="T116" s="2">
        <f>123+15+10+3</f>
        <v>151</v>
      </c>
    </row>
    <row r="117" spans="2:20" x14ac:dyDescent="0.25">
      <c r="B117" t="s">
        <v>78</v>
      </c>
      <c r="C117" t="s">
        <v>273</v>
      </c>
      <c r="E117">
        <f>139+10+15</f>
        <v>164</v>
      </c>
      <c r="G117" s="2" t="s">
        <v>78</v>
      </c>
      <c r="H117" s="2" t="s">
        <v>273</v>
      </c>
      <c r="I117" s="2"/>
      <c r="J117" s="2">
        <f>139+20+2</f>
        <v>161</v>
      </c>
      <c r="L117" s="2" t="s">
        <v>78</v>
      </c>
      <c r="M117" s="2" t="s">
        <v>275</v>
      </c>
      <c r="N117" s="2"/>
      <c r="O117" s="2">
        <f>139+10+15</f>
        <v>164</v>
      </c>
      <c r="Q117" s="2" t="s">
        <v>78</v>
      </c>
      <c r="R117" s="2" t="s">
        <v>277</v>
      </c>
      <c r="S117" s="2"/>
      <c r="T117" s="2">
        <f>139+10+15</f>
        <v>164</v>
      </c>
    </row>
    <row r="125" spans="2:20" x14ac:dyDescent="0.25">
      <c r="E125">
        <v>120</v>
      </c>
      <c r="F125">
        <f>E125*1.3</f>
        <v>156</v>
      </c>
    </row>
    <row r="126" spans="2:20" x14ac:dyDescent="0.25">
      <c r="E126">
        <v>121</v>
      </c>
      <c r="F126" s="2">
        <f t="shared" ref="F126:F135" si="5">E126*1.3</f>
        <v>157.30000000000001</v>
      </c>
    </row>
    <row r="127" spans="2:20" x14ac:dyDescent="0.25">
      <c r="E127">
        <v>122</v>
      </c>
      <c r="F127" s="2">
        <f t="shared" si="5"/>
        <v>158.6</v>
      </c>
    </row>
    <row r="128" spans="2:20" x14ac:dyDescent="0.25">
      <c r="E128">
        <v>123</v>
      </c>
      <c r="F128" s="2">
        <f t="shared" si="5"/>
        <v>159.9</v>
      </c>
    </row>
    <row r="129" spans="2:6" x14ac:dyDescent="0.25">
      <c r="E129">
        <v>124</v>
      </c>
      <c r="F129" s="2">
        <f t="shared" si="5"/>
        <v>161.20000000000002</v>
      </c>
    </row>
    <row r="130" spans="2:6" x14ac:dyDescent="0.25">
      <c r="E130">
        <v>125</v>
      </c>
      <c r="F130" s="2">
        <f t="shared" si="5"/>
        <v>162.5</v>
      </c>
    </row>
    <row r="131" spans="2:6" x14ac:dyDescent="0.25">
      <c r="E131">
        <v>126</v>
      </c>
      <c r="F131" s="2">
        <f t="shared" si="5"/>
        <v>163.80000000000001</v>
      </c>
    </row>
    <row r="132" spans="2:6" x14ac:dyDescent="0.25">
      <c r="E132">
        <v>127</v>
      </c>
      <c r="F132" s="2">
        <f t="shared" si="5"/>
        <v>165.1</v>
      </c>
    </row>
    <row r="133" spans="2:6" x14ac:dyDescent="0.25">
      <c r="E133">
        <v>128</v>
      </c>
      <c r="F133" s="2">
        <f t="shared" si="5"/>
        <v>166.4</v>
      </c>
    </row>
    <row r="134" spans="2:6" x14ac:dyDescent="0.25">
      <c r="E134">
        <v>129</v>
      </c>
      <c r="F134" s="2">
        <f t="shared" si="5"/>
        <v>167.70000000000002</v>
      </c>
    </row>
    <row r="135" spans="2:6" x14ac:dyDescent="0.25">
      <c r="E135">
        <v>130</v>
      </c>
      <c r="F135" s="2">
        <f t="shared" si="5"/>
        <v>169</v>
      </c>
    </row>
    <row r="144" spans="2:6" x14ac:dyDescent="0.25">
      <c r="B144" t="s">
        <v>278</v>
      </c>
    </row>
    <row r="145" spans="2:2" x14ac:dyDescent="0.25">
      <c r="B145" t="s">
        <v>279</v>
      </c>
    </row>
    <row r="146" spans="2:2" x14ac:dyDescent="0.25">
      <c r="B146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>MIT Lincoln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Eric Koziel</cp:lastModifiedBy>
  <dcterms:created xsi:type="dcterms:W3CDTF">2015-02-19T20:56:40Z</dcterms:created>
  <dcterms:modified xsi:type="dcterms:W3CDTF">2015-05-20T02:25:58Z</dcterms:modified>
</cp:coreProperties>
</file>