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M:\Dropbox\"/>
    </mc:Choice>
  </mc:AlternateContent>
  <bookViews>
    <workbookView xWindow="0" yWindow="0" windowWidth="28800" windowHeight="14385" activeTab="1"/>
  </bookViews>
  <sheets>
    <sheet name="Sheet1" sheetId="1" r:id="rId1"/>
    <sheet name="Sheet2" sheetId="2" r:id="rId2"/>
    <sheet name="Sheet5" sheetId="5" r:id="rId3"/>
    <sheet name="Sheet3" sheetId="3" r:id="rId4"/>
    <sheet name="Sheet4" sheetId="4" r:id="rId5"/>
    <sheet name="Sheet7" sheetId="7" r:id="rId6"/>
    <sheet name="Sheena %" sheetId="6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0" i="7" l="1"/>
  <c r="D30" i="7"/>
  <c r="D14" i="6" l="1"/>
  <c r="J10" i="6"/>
  <c r="Q45" i="4"/>
  <c r="O97" i="2"/>
  <c r="O96" i="2"/>
  <c r="K55" i="2"/>
  <c r="F59" i="2"/>
  <c r="E59" i="2"/>
  <c r="F63" i="2"/>
  <c r="E63" i="2"/>
  <c r="E57" i="2"/>
  <c r="M40" i="2"/>
  <c r="M41" i="2"/>
  <c r="K33" i="2"/>
  <c r="K30" i="2"/>
  <c r="J19" i="2"/>
  <c r="I19" i="2"/>
  <c r="I24" i="2"/>
  <c r="F21" i="5" l="1"/>
  <c r="F20" i="5"/>
  <c r="L25" i="5"/>
  <c r="F32" i="5"/>
  <c r="F31" i="5"/>
  <c r="F30" i="5"/>
  <c r="F29" i="5"/>
  <c r="F28" i="5"/>
  <c r="F27" i="5"/>
  <c r="H18" i="5"/>
  <c r="H17" i="5"/>
  <c r="H16" i="5"/>
  <c r="H15" i="5"/>
  <c r="H14" i="5"/>
  <c r="H13" i="5"/>
  <c r="J28" i="2"/>
  <c r="O45" i="4" l="1"/>
  <c r="T37" i="4"/>
  <c r="T39" i="4" s="1"/>
  <c r="U39" i="4" s="1"/>
  <c r="T43" i="4"/>
  <c r="T45" i="4" s="1"/>
  <c r="U45" i="4" s="1"/>
  <c r="N22" i="2"/>
  <c r="M22" i="2"/>
  <c r="L22" i="2"/>
  <c r="M45" i="4"/>
  <c r="U43" i="4" l="1"/>
  <c r="T38" i="4"/>
  <c r="U38" i="4" s="1"/>
  <c r="U37" i="4"/>
  <c r="T44" i="4"/>
  <c r="U44" i="4" s="1"/>
  <c r="T9" i="4"/>
  <c r="U9" i="4" s="1"/>
  <c r="K45" i="4"/>
  <c r="L4" i="3"/>
  <c r="L5" i="3" s="1"/>
  <c r="I45" i="4"/>
  <c r="G45" i="4"/>
  <c r="E45" i="4"/>
  <c r="C45" i="4"/>
  <c r="M9" i="3"/>
  <c r="P9" i="3" s="1"/>
  <c r="P6" i="3"/>
  <c r="M8" i="3"/>
  <c r="P8" i="3" s="1"/>
  <c r="M6" i="3"/>
  <c r="L6" i="3"/>
  <c r="D44" i="3"/>
  <c r="B44" i="3"/>
  <c r="L9" i="3" s="1"/>
  <c r="L7" i="3" l="1"/>
  <c r="M7" i="3" s="1"/>
  <c r="P7" i="3" s="1"/>
  <c r="L8" i="3"/>
  <c r="M4" i="3"/>
  <c r="F15" i="1"/>
  <c r="O19" i="3"/>
  <c r="N19" i="3"/>
  <c r="M19" i="3"/>
  <c r="T36" i="3"/>
  <c r="T32" i="3"/>
  <c r="T27" i="3"/>
  <c r="J42" i="3"/>
  <c r="J32" i="3"/>
  <c r="J28" i="3"/>
  <c r="F21" i="3"/>
  <c r="F22" i="3"/>
  <c r="H47" i="2"/>
  <c r="I47" i="2" s="1"/>
  <c r="G47" i="2"/>
  <c r="P4" i="3" l="1"/>
  <c r="M5" i="3"/>
  <c r="P5" i="3" s="1"/>
  <c r="U11" i="2"/>
  <c r="T11" i="2"/>
  <c r="U10" i="2"/>
  <c r="T10" i="2"/>
  <c r="U9" i="2"/>
  <c r="V9" i="2"/>
  <c r="U14" i="2"/>
  <c r="T14" i="2"/>
  <c r="V13" i="2"/>
  <c r="X26" i="2"/>
  <c r="Q14" i="2" l="1"/>
  <c r="P14" i="2"/>
  <c r="R13" i="2"/>
  <c r="M9" i="2"/>
  <c r="M12" i="2"/>
  <c r="L9" i="2"/>
  <c r="L12" i="2"/>
  <c r="K12" i="2"/>
  <c r="D55" i="1"/>
  <c r="D52" i="1"/>
  <c r="D18" i="1"/>
  <c r="D15" i="1"/>
  <c r="D35" i="1"/>
  <c r="D32" i="1"/>
  <c r="C58" i="1"/>
  <c r="C38" i="1"/>
  <c r="M30" i="1"/>
  <c r="J30" i="1"/>
  <c r="R26" i="1"/>
  <c r="R27" i="1"/>
  <c r="T14" i="1"/>
  <c r="T16" i="1"/>
  <c r="T15" i="1"/>
  <c r="Q17" i="1"/>
  <c r="Q15" i="1"/>
  <c r="Q14" i="1"/>
  <c r="N15" i="1"/>
  <c r="N14" i="1"/>
  <c r="N16" i="1" s="1"/>
  <c r="C20" i="1"/>
  <c r="T17" i="1" l="1"/>
  <c r="I28" i="2"/>
</calcChain>
</file>

<file path=xl/sharedStrings.xml><?xml version="1.0" encoding="utf-8"?>
<sst xmlns="http://schemas.openxmlformats.org/spreadsheetml/2006/main" count="823" uniqueCount="229">
  <si>
    <t>Double Beat</t>
  </si>
  <si>
    <t>Task</t>
  </si>
  <si>
    <t>Cost</t>
  </si>
  <si>
    <t>Notes</t>
  </si>
  <si>
    <t>Coronet</t>
  </si>
  <si>
    <t>Probably necessary</t>
  </si>
  <si>
    <t>Method 1: Kindness + Double Beat</t>
  </si>
  <si>
    <t>Kindness Early</t>
  </si>
  <si>
    <t>SDS</t>
  </si>
  <si>
    <t>Abomination</t>
  </si>
  <si>
    <t>Pest Rat</t>
  </si>
  <si>
    <t>Worm</t>
  </si>
  <si>
    <t>Luca prep</t>
  </si>
  <si>
    <t>Luca</t>
  </si>
  <si>
    <t>Misc</t>
  </si>
  <si>
    <t>TOTAL</t>
  </si>
  <si>
    <t>Method 3: Kindness + Violence</t>
  </si>
  <si>
    <t>Sierra</t>
  </si>
  <si>
    <t>Golem</t>
  </si>
  <si>
    <t>Neclord</t>
  </si>
  <si>
    <t>Nanami Deaths</t>
  </si>
  <si>
    <t>Muse leveling</t>
  </si>
  <si>
    <t>Extra Cash</t>
  </si>
  <si>
    <t>W/ DB</t>
  </si>
  <si>
    <t>No DB</t>
  </si>
  <si>
    <t>Tinto</t>
  </si>
  <si>
    <t>Khan Resur</t>
  </si>
  <si>
    <t>Luc World</t>
  </si>
  <si>
    <t>Violence</t>
  </si>
  <si>
    <t>Luc Lightning</t>
  </si>
  <si>
    <t>Riou Lightning</t>
  </si>
  <si>
    <t>Method 2: No Kindness Early</t>
  </si>
  <si>
    <t>Final Party</t>
  </si>
  <si>
    <t>Viki</t>
  </si>
  <si>
    <t>Sheena</t>
  </si>
  <si>
    <t>Flik</t>
  </si>
  <si>
    <t>Riou</t>
  </si>
  <si>
    <t>Luc</t>
  </si>
  <si>
    <t>Stallion</t>
  </si>
  <si>
    <t>Option 1:</t>
  </si>
  <si>
    <t>Lightning</t>
  </si>
  <si>
    <t>Water</t>
  </si>
  <si>
    <t>Option 2:</t>
  </si>
  <si>
    <t>Fire</t>
  </si>
  <si>
    <t>Option 3:</t>
  </si>
  <si>
    <t>Left Head</t>
  </si>
  <si>
    <t>Right Head</t>
  </si>
  <si>
    <t>Rune</t>
  </si>
  <si>
    <t>WL</t>
  </si>
  <si>
    <t>FWn</t>
  </si>
  <si>
    <t>SPD</t>
  </si>
  <si>
    <t>POS</t>
  </si>
  <si>
    <t>ORDER</t>
  </si>
  <si>
    <t>N/A</t>
  </si>
  <si>
    <t>50% res to  phys, res non-ele</t>
  </si>
  <si>
    <t>A Water</t>
  </si>
  <si>
    <t>Yoshino</t>
  </si>
  <si>
    <t>Rina</t>
  </si>
  <si>
    <t>B Water</t>
  </si>
  <si>
    <t>Zamza?</t>
  </si>
  <si>
    <t>Nina</t>
  </si>
  <si>
    <t>Zamza</t>
  </si>
  <si>
    <t>MAG</t>
  </si>
  <si>
    <t>Meg</t>
  </si>
  <si>
    <t>Millie</t>
  </si>
  <si>
    <t>Element</t>
  </si>
  <si>
    <t>F</t>
  </si>
  <si>
    <t>F/L</t>
  </si>
  <si>
    <t>L</t>
  </si>
  <si>
    <t>C</t>
  </si>
  <si>
    <t>C+</t>
  </si>
  <si>
    <t>B+</t>
  </si>
  <si>
    <t>B</t>
  </si>
  <si>
    <t>S</t>
  </si>
  <si>
    <t>*</t>
  </si>
  <si>
    <t>Kindness</t>
  </si>
  <si>
    <t>Take from Kasumi</t>
  </si>
  <si>
    <t>BG</t>
  </si>
  <si>
    <t>Angry Dragon</t>
  </si>
  <si>
    <t>Fire Dragon</t>
  </si>
  <si>
    <t>Groundhog</t>
  </si>
  <si>
    <t>Spider Slay</t>
  </si>
  <si>
    <t>White Tiger</t>
  </si>
  <si>
    <t>Trick</t>
  </si>
  <si>
    <t>Amp</t>
  </si>
  <si>
    <t>Who</t>
  </si>
  <si>
    <t>When</t>
  </si>
  <si>
    <t>Oulan</t>
  </si>
  <si>
    <t>Shin</t>
  </si>
  <si>
    <t>Wakaba</t>
  </si>
  <si>
    <t>x2</t>
  </si>
  <si>
    <t>x3</t>
  </si>
  <si>
    <t>x2/x3</t>
  </si>
  <si>
    <t>Slots</t>
  </si>
  <si>
    <t>Rat</t>
  </si>
  <si>
    <t>Caveat</t>
  </si>
  <si>
    <t>Use Once (except Berserk)</t>
  </si>
  <si>
    <t>Half damage back</t>
  </si>
  <si>
    <t>Use Once</t>
  </si>
  <si>
    <t>Chance to Unbalance</t>
  </si>
  <si>
    <t>Reqs</t>
  </si>
  <si>
    <t>All female party</t>
  </si>
  <si>
    <t>Story</t>
  </si>
  <si>
    <t>Nanami</t>
  </si>
  <si>
    <t>Bonaparte</t>
  </si>
  <si>
    <t>Forest Village</t>
  </si>
  <si>
    <t>Go to border, CL2</t>
  </si>
  <si>
    <t>Tech</t>
  </si>
  <si>
    <t>Luck</t>
  </si>
  <si>
    <t>D</t>
  </si>
  <si>
    <t>Groupie Attack</t>
  </si>
  <si>
    <t>x2.5</t>
  </si>
  <si>
    <t>Flik + Nina</t>
  </si>
  <si>
    <t>Nina Unbalanced</t>
  </si>
  <si>
    <t>D+</t>
  </si>
  <si>
    <t>A+</t>
  </si>
  <si>
    <t>Abom</t>
  </si>
  <si>
    <t>Lucia</t>
  </si>
  <si>
    <t>Bone Drgn</t>
  </si>
  <si>
    <t>S&amp;C</t>
  </si>
  <si>
    <t>BR</t>
  </si>
  <si>
    <t>2x</t>
  </si>
  <si>
    <t>3x</t>
  </si>
  <si>
    <t>4.5x</t>
  </si>
  <si>
    <t>2000+1300</t>
  </si>
  <si>
    <t>Current</t>
  </si>
  <si>
    <t>No Kindness</t>
  </si>
  <si>
    <t>Fury</t>
  </si>
  <si>
    <t>No KE</t>
  </si>
  <si>
    <t>Deaths</t>
  </si>
  <si>
    <t>Recruit</t>
  </si>
  <si>
    <t>Total</t>
  </si>
  <si>
    <t>Best Bets:</t>
  </si>
  <si>
    <t>Millie?</t>
  </si>
  <si>
    <t>Sindar Cash</t>
  </si>
  <si>
    <t>DB</t>
  </si>
  <si>
    <t>Rikimaru</t>
  </si>
  <si>
    <t>SW Shopping</t>
  </si>
  <si>
    <t>Recruit Zamza</t>
  </si>
  <si>
    <t>Recruit H&amp;A</t>
  </si>
  <si>
    <t>Recruit Taki</t>
  </si>
  <si>
    <t>Recruit Meg</t>
  </si>
  <si>
    <t>Level Char</t>
  </si>
  <si>
    <t>Kinnison &amp; Shiro</t>
  </si>
  <si>
    <t>Farm Deaths</t>
  </si>
  <si>
    <t>Farm deaths</t>
  </si>
  <si>
    <t>Bone Dragon</t>
  </si>
  <si>
    <t>Beast Rune</t>
  </si>
  <si>
    <t>Sheena deaths</t>
  </si>
  <si>
    <t>Attach Kindness</t>
  </si>
  <si>
    <t>Attach FL</t>
  </si>
  <si>
    <t>Luca Prep</t>
  </si>
  <si>
    <t>Get/Attach Fury</t>
  </si>
  <si>
    <t>Heal</t>
  </si>
  <si>
    <t>KINDNESS SWAP</t>
  </si>
  <si>
    <t>Kuskus</t>
  </si>
  <si>
    <t>After Recruiting, during Amada</t>
  </si>
  <si>
    <t>during Kiba investigation</t>
  </si>
  <si>
    <t>post-Luca</t>
  </si>
  <si>
    <t>VIOLENCE SWAP</t>
  </si>
  <si>
    <t>Two River</t>
  </si>
  <si>
    <t>During rat</t>
  </si>
  <si>
    <t>during Matilda</t>
  </si>
  <si>
    <t>Rockaxe</t>
  </si>
  <si>
    <t>South Window</t>
  </si>
  <si>
    <t>during Kiba</t>
  </si>
  <si>
    <t>Castle</t>
  </si>
  <si>
    <t>before Banner Pass</t>
  </si>
  <si>
    <t>Violence Early</t>
  </si>
  <si>
    <t>during Stallion recruit?</t>
  </si>
  <si>
    <t>Zamza w/ KVE</t>
  </si>
  <si>
    <t>Gold Wolf</t>
  </si>
  <si>
    <t>6*41</t>
  </si>
  <si>
    <t>Meg: 2 deaths needed</t>
  </si>
  <si>
    <t>One vs Worm</t>
  </si>
  <si>
    <t>One vs Luca, w/ Flik</t>
  </si>
  <si>
    <t>Also option for Shin</t>
  </si>
  <si>
    <t>Level Char (Luc)</t>
  </si>
  <si>
    <t>6*6900</t>
  </si>
  <si>
    <t>Shin route: Nanami up to Luca, then Shin</t>
  </si>
  <si>
    <t>Shin all-out</t>
  </si>
  <si>
    <t>Templton</t>
  </si>
  <si>
    <t>Lvl 2 Castle</t>
  </si>
  <si>
    <t>Thor</t>
  </si>
  <si>
    <t>Scorched</t>
  </si>
  <si>
    <t>LH</t>
  </si>
  <si>
    <t>RH</t>
  </si>
  <si>
    <t>Camp</t>
  </si>
  <si>
    <t>Rune Unite attacks go first!.. Kind of</t>
  </si>
  <si>
    <t>Boost?</t>
  </si>
  <si>
    <t>addresses should be 2 off for each slot…</t>
  </si>
  <si>
    <t>Backups:</t>
  </si>
  <si>
    <t>Flik, Sierra</t>
  </si>
  <si>
    <t>Luc + Shin out:</t>
  </si>
  <si>
    <t>EQ</t>
  </si>
  <si>
    <t>LW</t>
  </si>
  <si>
    <t>Rina?</t>
  </si>
  <si>
    <t>Flik?</t>
  </si>
  <si>
    <t>Needs Head rune @ level 35… maybe take to Greenhill?</t>
  </si>
  <si>
    <t>Head rune at 53… may not need</t>
  </si>
  <si>
    <t>Earth</t>
  </si>
  <si>
    <t>Use Stone of Magic to help…</t>
  </si>
  <si>
    <t>B/C</t>
  </si>
  <si>
    <t>A</t>
  </si>
  <si>
    <t>n/a</t>
  </si>
  <si>
    <t>Enemy groups:</t>
  </si>
  <si>
    <t>3x Shredding</t>
  </si>
  <si>
    <t>2x EQ</t>
  </si>
  <si>
    <t>Lucia:</t>
  </si>
  <si>
    <t>Rina + Luc, Riou Unite</t>
  </si>
  <si>
    <t>S&amp;C:</t>
  </si>
  <si>
    <t>3x BG</t>
  </si>
  <si>
    <t>Optimal:</t>
  </si>
  <si>
    <t>No Luc:</t>
  </si>
  <si>
    <t>No Shin:</t>
  </si>
  <si>
    <t>Neither:</t>
  </si>
  <si>
    <t>Thor Shot scrolls</t>
  </si>
  <si>
    <t>Sheena End-game?</t>
  </si>
  <si>
    <t>Death 1: Worm</t>
  </si>
  <si>
    <t>Sierra:</t>
  </si>
  <si>
    <t>Golem:</t>
  </si>
  <si>
    <t>Death 2: Luca</t>
  </si>
  <si>
    <t>Bolt</t>
  </si>
  <si>
    <t>Death 3: Muse? On the road? Unnecessary?</t>
  </si>
  <si>
    <t>Blue Gate</t>
  </si>
  <si>
    <t>2 Blue Gates will kill, third for after</t>
  </si>
  <si>
    <t>42 dmg via worm jump…</t>
  </si>
  <si>
    <t>Level Luc</t>
  </si>
  <si>
    <t>Shin, no 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</si>
</sst>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:ss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21" fontId="0" fillId="0" borderId="0" xfId="0" applyNumberFormat="1"/>
    <xf numFmtId="46" fontId="0" fillId="0" borderId="0" xfId="0" applyNumberFormat="1"/>
    <xf numFmtId="20" fontId="0" fillId="0" borderId="0" xfId="0" applyNumberFormat="1"/>
    <xf numFmtId="164" fontId="0" fillId="0" borderId="0" xfId="0" applyNumberFormat="1"/>
    <xf numFmtId="0" fontId="0" fillId="0" borderId="0" xfId="0" quotePrefix="1"/>
    <xf numFmtId="16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20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T92"/>
  <sheetViews>
    <sheetView workbookViewId="0">
      <selection activeCell="O39" sqref="O39"/>
    </sheetView>
  </sheetViews>
  <sheetFormatPr defaultRowHeight="15" x14ac:dyDescent="0.25"/>
  <cols>
    <col min="2" max="2" width="15" customWidth="1"/>
    <col min="3" max="3" width="12.7109375" customWidth="1"/>
    <col min="4" max="4" width="16.85546875" customWidth="1"/>
  </cols>
  <sheetData>
    <row r="7" spans="2:20" x14ac:dyDescent="0.25">
      <c r="B7" t="s">
        <v>6</v>
      </c>
    </row>
    <row r="8" spans="2:20" x14ac:dyDescent="0.25">
      <c r="B8" s="1" t="s">
        <v>1</v>
      </c>
      <c r="C8" s="1" t="s">
        <v>2</v>
      </c>
      <c r="D8" s="1" t="s">
        <v>3</v>
      </c>
    </row>
    <row r="9" spans="2:20" x14ac:dyDescent="0.25">
      <c r="B9" t="s">
        <v>0</v>
      </c>
      <c r="C9" s="2">
        <v>1.3888888888888889E-3</v>
      </c>
    </row>
    <row r="10" spans="2:20" x14ac:dyDescent="0.25">
      <c r="B10" t="s">
        <v>4</v>
      </c>
      <c r="C10" s="2">
        <v>6.9444444444444447E-4</v>
      </c>
      <c r="D10" t="s">
        <v>5</v>
      </c>
    </row>
    <row r="11" spans="2:20" x14ac:dyDescent="0.25">
      <c r="B11" t="s">
        <v>20</v>
      </c>
      <c r="C11" s="2">
        <v>6.9444444444444447E-4</v>
      </c>
    </row>
    <row r="12" spans="2:20" x14ac:dyDescent="0.25">
      <c r="B12" t="s">
        <v>7</v>
      </c>
      <c r="C12" s="2">
        <v>2.7777777777777779E-3</v>
      </c>
    </row>
    <row r="13" spans="2:20" x14ac:dyDescent="0.25">
      <c r="B13" t="s">
        <v>8</v>
      </c>
      <c r="C13" s="2">
        <v>3.4722222222222224E-4</v>
      </c>
      <c r="M13" t="s">
        <v>17</v>
      </c>
      <c r="N13">
        <v>2800</v>
      </c>
      <c r="P13" t="s">
        <v>18</v>
      </c>
      <c r="Q13">
        <v>7500</v>
      </c>
      <c r="S13" t="s">
        <v>18</v>
      </c>
      <c r="T13">
        <v>7500</v>
      </c>
    </row>
    <row r="14" spans="2:20" x14ac:dyDescent="0.25">
      <c r="B14" t="s">
        <v>9</v>
      </c>
      <c r="C14" s="2">
        <v>3.4722222222222224E-4</v>
      </c>
      <c r="M14" t="s">
        <v>26</v>
      </c>
      <c r="N14">
        <f>560*2</f>
        <v>1120</v>
      </c>
      <c r="P14" t="s">
        <v>27</v>
      </c>
      <c r="Q14">
        <f>900*1.4</f>
        <v>1260</v>
      </c>
      <c r="S14" t="s">
        <v>29</v>
      </c>
      <c r="T14">
        <f>1000*1.2*2*2</f>
        <v>4800</v>
      </c>
    </row>
    <row r="15" spans="2:20" x14ac:dyDescent="0.25">
      <c r="B15" t="s">
        <v>10</v>
      </c>
      <c r="C15" s="2">
        <v>6.9444444444444447E-4</v>
      </c>
      <c r="D15" s="3">
        <f>SUM(C12:C15)</f>
        <v>4.1666666666666666E-3</v>
      </c>
      <c r="F15" s="3">
        <f>SUM(C15,C16,C18,J26,J27,J28,G18,G19,G20)</f>
        <v>5.2662037037037035E-3</v>
      </c>
      <c r="M15" t="s">
        <v>0</v>
      </c>
      <c r="N15">
        <f>950*2</f>
        <v>1900</v>
      </c>
      <c r="P15" t="s">
        <v>0</v>
      </c>
      <c r="Q15">
        <f>900*2*1.5</f>
        <v>2700</v>
      </c>
      <c r="S15" t="s">
        <v>30</v>
      </c>
      <c r="T15">
        <f>1000*2</f>
        <v>2000</v>
      </c>
    </row>
    <row r="16" spans="2:20" x14ac:dyDescent="0.25">
      <c r="B16" t="s">
        <v>11</v>
      </c>
      <c r="C16" s="2">
        <v>2.3148148148148146E-4</v>
      </c>
      <c r="N16">
        <f>SUM(N14:N15)</f>
        <v>3020</v>
      </c>
      <c r="P16" t="s">
        <v>28</v>
      </c>
      <c r="Q16">
        <v>8100</v>
      </c>
      <c r="S16" t="s">
        <v>0</v>
      </c>
      <c r="T16">
        <f>900*2</f>
        <v>1800</v>
      </c>
    </row>
    <row r="17" spans="2:20" x14ac:dyDescent="0.25">
      <c r="B17" t="s">
        <v>12</v>
      </c>
      <c r="C17" s="2"/>
      <c r="D17" s="4">
        <v>1.3888888888888888E-2</v>
      </c>
      <c r="Q17">
        <f>SUM(Q14:Q16)</f>
        <v>12060</v>
      </c>
      <c r="T17">
        <f>SUM(T14:T16)</f>
        <v>8600</v>
      </c>
    </row>
    <row r="18" spans="2:20" x14ac:dyDescent="0.25">
      <c r="B18" t="s">
        <v>13</v>
      </c>
      <c r="C18" s="2">
        <v>8.6805555555555551E-4</v>
      </c>
      <c r="D18" s="3">
        <f>SUM(C12:C18)</f>
        <v>5.2662037037037035E-3</v>
      </c>
      <c r="G18" s="4">
        <v>6.9444444444444447E-4</v>
      </c>
    </row>
    <row r="19" spans="2:20" x14ac:dyDescent="0.25">
      <c r="B19" t="s">
        <v>25</v>
      </c>
      <c r="C19" s="2">
        <v>1.5624999999999999E-3</v>
      </c>
      <c r="G19" s="4">
        <v>5.2083333333333333E-4</v>
      </c>
    </row>
    <row r="20" spans="2:20" x14ac:dyDescent="0.25">
      <c r="B20" t="s">
        <v>15</v>
      </c>
      <c r="C20" s="3">
        <f>SUM(C9:C19)</f>
        <v>9.6064814814814815E-3</v>
      </c>
      <c r="G20" s="4">
        <v>1.0416666666666667E-3</v>
      </c>
    </row>
    <row r="23" spans="2:20" x14ac:dyDescent="0.25">
      <c r="R23">
        <v>1200</v>
      </c>
    </row>
    <row r="24" spans="2:20" x14ac:dyDescent="0.25">
      <c r="R24">
        <v>1200</v>
      </c>
    </row>
    <row r="25" spans="2:20" x14ac:dyDescent="0.25">
      <c r="I25" t="s">
        <v>23</v>
      </c>
      <c r="L25" t="s">
        <v>24</v>
      </c>
      <c r="R25">
        <v>1000</v>
      </c>
    </row>
    <row r="26" spans="2:20" x14ac:dyDescent="0.25">
      <c r="B26" t="s">
        <v>31</v>
      </c>
      <c r="I26" t="s">
        <v>17</v>
      </c>
      <c r="J26" s="2">
        <v>3.4722222222222224E-4</v>
      </c>
      <c r="L26" t="s">
        <v>17</v>
      </c>
      <c r="M26" s="2">
        <v>4.6296296296296293E-4</v>
      </c>
      <c r="R26">
        <f>950*1.5</f>
        <v>1425</v>
      </c>
    </row>
    <row r="27" spans="2:20" x14ac:dyDescent="0.25">
      <c r="B27" s="1" t="s">
        <v>1</v>
      </c>
      <c r="C27" s="1" t="s">
        <v>2</v>
      </c>
      <c r="D27" s="1" t="s">
        <v>3</v>
      </c>
      <c r="I27" t="s">
        <v>18</v>
      </c>
      <c r="J27" s="2">
        <v>5.2083333333333333E-4</v>
      </c>
      <c r="L27" t="s">
        <v>18</v>
      </c>
      <c r="M27" s="2">
        <v>6.9444444444444447E-4</v>
      </c>
      <c r="R27">
        <f>SUM(R23:R26)</f>
        <v>4825</v>
      </c>
    </row>
    <row r="28" spans="2:20" x14ac:dyDescent="0.25">
      <c r="B28" t="s">
        <v>22</v>
      </c>
      <c r="C28" s="2">
        <v>3.4722222222222224E-4</v>
      </c>
      <c r="I28" t="s">
        <v>19</v>
      </c>
      <c r="J28" s="2">
        <v>3.4722222222222224E-4</v>
      </c>
      <c r="L28" t="s">
        <v>19</v>
      </c>
      <c r="M28" s="2">
        <v>5.2083333333333333E-4</v>
      </c>
    </row>
    <row r="29" spans="2:20" x14ac:dyDescent="0.25">
      <c r="B29" t="s">
        <v>21</v>
      </c>
      <c r="C29" s="2">
        <v>2.3148148148148146E-4</v>
      </c>
      <c r="I29" t="s">
        <v>14</v>
      </c>
      <c r="J29" s="2">
        <v>3.4722222222222224E-4</v>
      </c>
      <c r="L29" t="s">
        <v>14</v>
      </c>
      <c r="M29" s="2">
        <v>6.9444444444444447E-4</v>
      </c>
    </row>
    <row r="30" spans="2:20" x14ac:dyDescent="0.25">
      <c r="B30" t="s">
        <v>8</v>
      </c>
      <c r="C30" s="2">
        <v>1.0416666666666667E-3</v>
      </c>
      <c r="J30" s="3">
        <f>SUM(J26:J29)</f>
        <v>1.5625000000000001E-3</v>
      </c>
      <c r="M30" s="3">
        <f>SUM(M26:M29)</f>
        <v>2.3726851851851851E-3</v>
      </c>
    </row>
    <row r="31" spans="2:20" x14ac:dyDescent="0.25">
      <c r="B31" t="s">
        <v>9</v>
      </c>
      <c r="C31" s="2">
        <v>1.3888888888888889E-3</v>
      </c>
    </row>
    <row r="32" spans="2:20" x14ac:dyDescent="0.25">
      <c r="B32" t="s">
        <v>10</v>
      </c>
      <c r="C32" s="2">
        <v>1.3888888888888889E-3</v>
      </c>
      <c r="D32" s="3">
        <f>SUM(C30:C32)</f>
        <v>3.8194444444444448E-3</v>
      </c>
    </row>
    <row r="33" spans="2:4" x14ac:dyDescent="0.25">
      <c r="B33" t="s">
        <v>11</v>
      </c>
      <c r="C33" s="2">
        <v>5.2083333333333333E-4</v>
      </c>
    </row>
    <row r="34" spans="2:4" x14ac:dyDescent="0.25">
      <c r="B34" t="s">
        <v>12</v>
      </c>
      <c r="C34" s="2"/>
      <c r="D34" s="4">
        <v>4.1666666666666664E-2</v>
      </c>
    </row>
    <row r="35" spans="2:4" x14ac:dyDescent="0.25">
      <c r="B35" t="s">
        <v>13</v>
      </c>
      <c r="C35" s="2">
        <v>2.0833333333333333E-3</v>
      </c>
      <c r="D35" s="3">
        <f>SUM(C30:C35)</f>
        <v>6.4236111111111108E-3</v>
      </c>
    </row>
    <row r="36" spans="2:4" x14ac:dyDescent="0.25">
      <c r="B36" t="s">
        <v>25</v>
      </c>
      <c r="C36" s="2">
        <v>2.3726851851851851E-3</v>
      </c>
    </row>
    <row r="37" spans="2:4" x14ac:dyDescent="0.25">
      <c r="B37" t="s">
        <v>14</v>
      </c>
      <c r="C37" s="2"/>
      <c r="D37" s="4">
        <v>6.25E-2</v>
      </c>
    </row>
    <row r="38" spans="2:4" x14ac:dyDescent="0.25">
      <c r="B38" t="s">
        <v>15</v>
      </c>
      <c r="C38" s="3">
        <f>SUM(C28:C37)</f>
        <v>9.3750000000000014E-3</v>
      </c>
    </row>
    <row r="45" spans="2:4" x14ac:dyDescent="0.25">
      <c r="B45" t="s">
        <v>16</v>
      </c>
    </row>
    <row r="46" spans="2:4" x14ac:dyDescent="0.25">
      <c r="B46" s="1" t="s">
        <v>1</v>
      </c>
      <c r="C46" s="1" t="s">
        <v>2</v>
      </c>
      <c r="D46" s="1" t="s">
        <v>3</v>
      </c>
    </row>
    <row r="48" spans="2:4" x14ac:dyDescent="0.25">
      <c r="B48" t="s">
        <v>20</v>
      </c>
      <c r="C48" s="2">
        <v>6.9444444444444447E-4</v>
      </c>
    </row>
    <row r="49" spans="2:4" x14ac:dyDescent="0.25">
      <c r="B49" t="s">
        <v>7</v>
      </c>
      <c r="C49" s="2">
        <v>3.1249999999999997E-3</v>
      </c>
    </row>
    <row r="50" spans="2:4" x14ac:dyDescent="0.25">
      <c r="B50" t="s">
        <v>8</v>
      </c>
      <c r="C50" s="2">
        <v>4.6296296296296293E-4</v>
      </c>
    </row>
    <row r="51" spans="2:4" x14ac:dyDescent="0.25">
      <c r="B51" t="s">
        <v>9</v>
      </c>
      <c r="C51" s="2">
        <v>6.9444444444444447E-4</v>
      </c>
    </row>
    <row r="52" spans="2:4" x14ac:dyDescent="0.25">
      <c r="B52" t="s">
        <v>10</v>
      </c>
      <c r="C52" s="2">
        <v>1.0416666666666667E-3</v>
      </c>
      <c r="D52" s="3">
        <f>SUM(C49:C52)</f>
        <v>5.3240740740740731E-3</v>
      </c>
    </row>
    <row r="53" spans="2:4" x14ac:dyDescent="0.25">
      <c r="B53" t="s">
        <v>11</v>
      </c>
      <c r="C53" s="2">
        <v>3.4722222222222224E-4</v>
      </c>
    </row>
    <row r="54" spans="2:4" x14ac:dyDescent="0.25">
      <c r="B54" t="s">
        <v>12</v>
      </c>
      <c r="C54" s="2"/>
      <c r="D54" s="4">
        <v>4.1666666666666664E-2</v>
      </c>
    </row>
    <row r="55" spans="2:4" x14ac:dyDescent="0.25">
      <c r="B55" t="s">
        <v>13</v>
      </c>
      <c r="C55" s="2">
        <v>1.736111111111111E-3</v>
      </c>
      <c r="D55" s="3">
        <f>SUM(C49:C55)</f>
        <v>7.407407407407406E-3</v>
      </c>
    </row>
    <row r="56" spans="2:4" x14ac:dyDescent="0.25">
      <c r="B56" t="s">
        <v>25</v>
      </c>
      <c r="C56" s="2">
        <v>2.3726851851851851E-3</v>
      </c>
    </row>
    <row r="57" spans="2:4" x14ac:dyDescent="0.25">
      <c r="B57" t="s">
        <v>14</v>
      </c>
      <c r="C57" s="2"/>
      <c r="D57" s="4">
        <v>4.1666666666666664E-2</v>
      </c>
    </row>
    <row r="58" spans="2:4" x14ac:dyDescent="0.25">
      <c r="B58" t="s">
        <v>15</v>
      </c>
      <c r="C58" s="5">
        <f>SUM(C47:C57)</f>
        <v>1.0474537037037036E-2</v>
      </c>
    </row>
    <row r="73" spans="2:4" x14ac:dyDescent="0.25">
      <c r="B73" s="1"/>
    </row>
    <row r="75" spans="2:4" x14ac:dyDescent="0.25">
      <c r="B75" s="1"/>
      <c r="C75" s="1"/>
      <c r="D75" s="1"/>
    </row>
    <row r="79" spans="2:4" x14ac:dyDescent="0.25">
      <c r="C79" s="2"/>
    </row>
    <row r="80" spans="2:4" x14ac:dyDescent="0.25">
      <c r="C80" s="2"/>
    </row>
    <row r="81" spans="2:4" x14ac:dyDescent="0.25">
      <c r="C81" s="2"/>
    </row>
    <row r="82" spans="2:4" x14ac:dyDescent="0.25">
      <c r="C82" s="2"/>
    </row>
    <row r="83" spans="2:4" x14ac:dyDescent="0.25">
      <c r="C83" s="2"/>
    </row>
    <row r="84" spans="2:4" x14ac:dyDescent="0.25">
      <c r="C84" s="2"/>
    </row>
    <row r="85" spans="2:4" x14ac:dyDescent="0.25">
      <c r="C85" s="2"/>
    </row>
    <row r="92" spans="2:4" x14ac:dyDescent="0.25">
      <c r="B92" s="1"/>
      <c r="C92" s="1"/>
      <c r="D92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X97"/>
  <sheetViews>
    <sheetView tabSelected="1" topLeftCell="A43" workbookViewId="0">
      <selection activeCell="Q72" sqref="Q72"/>
    </sheetView>
  </sheetViews>
  <sheetFormatPr defaultRowHeight="15" x14ac:dyDescent="0.25"/>
  <cols>
    <col min="11" max="11" width="12.42578125" customWidth="1"/>
    <col min="12" max="12" width="11" customWidth="1"/>
  </cols>
  <sheetData>
    <row r="4" spans="2:22" x14ac:dyDescent="0.25">
      <c r="B4" t="s">
        <v>32</v>
      </c>
    </row>
    <row r="5" spans="2:22" x14ac:dyDescent="0.25">
      <c r="B5" t="s">
        <v>33</v>
      </c>
      <c r="C5" t="s">
        <v>88</v>
      </c>
      <c r="D5" t="s">
        <v>35</v>
      </c>
      <c r="K5" t="s">
        <v>48</v>
      </c>
      <c r="L5" t="s">
        <v>49</v>
      </c>
      <c r="P5" t="s">
        <v>48</v>
      </c>
      <c r="Q5" t="s">
        <v>49</v>
      </c>
      <c r="T5" t="s">
        <v>48</v>
      </c>
      <c r="U5" t="s">
        <v>49</v>
      </c>
    </row>
    <row r="6" spans="2:22" x14ac:dyDescent="0.25">
      <c r="B6" t="s">
        <v>41</v>
      </c>
      <c r="D6" t="s">
        <v>40</v>
      </c>
      <c r="K6">
        <v>4800</v>
      </c>
      <c r="L6">
        <v>4800</v>
      </c>
      <c r="M6">
        <v>3300</v>
      </c>
      <c r="P6">
        <v>4800</v>
      </c>
      <c r="Q6">
        <v>4800</v>
      </c>
      <c r="R6">
        <v>3300</v>
      </c>
      <c r="T6">
        <v>4800</v>
      </c>
      <c r="U6">
        <v>4800</v>
      </c>
      <c r="V6">
        <v>3300</v>
      </c>
    </row>
    <row r="7" spans="2:22" x14ac:dyDescent="0.25">
      <c r="B7" t="s">
        <v>36</v>
      </c>
      <c r="C7" t="s">
        <v>37</v>
      </c>
      <c r="D7" t="s">
        <v>17</v>
      </c>
      <c r="F7" t="s">
        <v>117</v>
      </c>
      <c r="K7" t="s">
        <v>45</v>
      </c>
      <c r="L7" t="s">
        <v>46</v>
      </c>
      <c r="M7" t="s">
        <v>47</v>
      </c>
      <c r="P7" t="s">
        <v>45</v>
      </c>
      <c r="Q7" t="s">
        <v>46</v>
      </c>
      <c r="R7" t="s">
        <v>47</v>
      </c>
      <c r="T7" t="s">
        <v>45</v>
      </c>
      <c r="U7" t="s">
        <v>46</v>
      </c>
      <c r="V7" t="s">
        <v>47</v>
      </c>
    </row>
    <row r="8" spans="2:22" x14ac:dyDescent="0.25">
      <c r="B8" t="s">
        <v>40</v>
      </c>
      <c r="C8" t="s">
        <v>41</v>
      </c>
      <c r="D8" t="s">
        <v>40</v>
      </c>
      <c r="F8" t="s">
        <v>183</v>
      </c>
      <c r="G8" t="s">
        <v>187</v>
      </c>
      <c r="K8">
        <v>1300</v>
      </c>
      <c r="L8">
        <v>2000</v>
      </c>
      <c r="M8">
        <v>2000</v>
      </c>
      <c r="P8">
        <v>1200</v>
      </c>
      <c r="Q8">
        <v>1200</v>
      </c>
      <c r="R8">
        <v>2000</v>
      </c>
      <c r="T8">
        <v>900</v>
      </c>
      <c r="U8">
        <v>900</v>
      </c>
      <c r="V8">
        <v>2000</v>
      </c>
    </row>
    <row r="9" spans="2:22" x14ac:dyDescent="0.25">
      <c r="B9" t="s">
        <v>43</v>
      </c>
      <c r="C9" t="s">
        <v>184</v>
      </c>
      <c r="F9" t="s">
        <v>183</v>
      </c>
      <c r="G9" t="s">
        <v>187</v>
      </c>
      <c r="K9">
        <v>1300</v>
      </c>
      <c r="L9">
        <f>(K10+K9+K8+K11)*0.6</f>
        <v>3120</v>
      </c>
      <c r="M9">
        <f>1500*2</f>
        <v>3000</v>
      </c>
      <c r="P9">
        <v>1200</v>
      </c>
      <c r="Q9">
        <v>1200</v>
      </c>
      <c r="R9">
        <v>1400</v>
      </c>
      <c r="T9">
        <v>1080</v>
      </c>
      <c r="U9">
        <f>900*1.2</f>
        <v>1080</v>
      </c>
      <c r="V9">
        <f>900*1.4</f>
        <v>1260</v>
      </c>
    </row>
    <row r="10" spans="2:22" x14ac:dyDescent="0.25">
      <c r="B10" t="s">
        <v>39</v>
      </c>
      <c r="F10" t="s">
        <v>88</v>
      </c>
      <c r="G10" t="s">
        <v>88</v>
      </c>
      <c r="K10">
        <v>1300</v>
      </c>
      <c r="P10">
        <v>800</v>
      </c>
      <c r="Q10">
        <v>800</v>
      </c>
      <c r="T10">
        <f>800*1.2</f>
        <v>960</v>
      </c>
      <c r="U10">
        <f>800*1.2</f>
        <v>960</v>
      </c>
    </row>
    <row r="11" spans="2:22" x14ac:dyDescent="0.25">
      <c r="B11" t="s">
        <v>40</v>
      </c>
      <c r="D11" t="s">
        <v>41</v>
      </c>
      <c r="K11">
        <v>1300</v>
      </c>
      <c r="T11">
        <f>(999-85)*1.5*1.5</f>
        <v>2056.5</v>
      </c>
      <c r="U11">
        <f>(999-85)*1.5*1.5</f>
        <v>2056.5</v>
      </c>
    </row>
    <row r="12" spans="2:22" x14ac:dyDescent="0.25">
      <c r="B12" t="s">
        <v>41</v>
      </c>
      <c r="C12" t="s">
        <v>41</v>
      </c>
      <c r="D12" t="s">
        <v>41</v>
      </c>
      <c r="F12" t="s">
        <v>119</v>
      </c>
      <c r="K12">
        <f>SUM(K8:K11)</f>
        <v>5200</v>
      </c>
      <c r="L12">
        <f>SUM(L8:L11)</f>
        <v>5120</v>
      </c>
      <c r="M12">
        <f>SUM(M8:M11)</f>
        <v>5000</v>
      </c>
    </row>
    <row r="13" spans="2:22" x14ac:dyDescent="0.25">
      <c r="F13" t="s">
        <v>73</v>
      </c>
      <c r="G13" t="s">
        <v>69</v>
      </c>
      <c r="I13" t="s">
        <v>73</v>
      </c>
      <c r="J13" t="s">
        <v>69</v>
      </c>
      <c r="R13">
        <f>SUM(R8:R11)</f>
        <v>3400</v>
      </c>
      <c r="V13">
        <f>SUM(V8:V11)</f>
        <v>3260</v>
      </c>
    </row>
    <row r="14" spans="2:22" x14ac:dyDescent="0.25">
      <c r="B14" t="s">
        <v>42</v>
      </c>
      <c r="F14" t="s">
        <v>183</v>
      </c>
      <c r="G14" t="s">
        <v>184</v>
      </c>
      <c r="I14">
        <v>780</v>
      </c>
      <c r="J14">
        <v>1300</v>
      </c>
      <c r="P14">
        <f>SUM(P8:P13)</f>
        <v>3200</v>
      </c>
      <c r="Q14">
        <f>SUM(Q8:Q13)</f>
        <v>3200</v>
      </c>
      <c r="T14">
        <f>SUM(T8:T13)</f>
        <v>4996.5</v>
      </c>
      <c r="U14">
        <f>SUM(U8:U13)</f>
        <v>4996.5</v>
      </c>
    </row>
    <row r="15" spans="2:22" x14ac:dyDescent="0.25">
      <c r="B15" t="s">
        <v>40</v>
      </c>
      <c r="D15" t="s">
        <v>43</v>
      </c>
      <c r="F15" t="s">
        <v>183</v>
      </c>
      <c r="G15" t="s">
        <v>88</v>
      </c>
      <c r="I15">
        <v>780</v>
      </c>
      <c r="J15">
        <v>1300</v>
      </c>
    </row>
    <row r="16" spans="2:22" x14ac:dyDescent="0.25">
      <c r="B16" t="s">
        <v>43</v>
      </c>
      <c r="C16" t="s">
        <v>43</v>
      </c>
      <c r="D16" t="s">
        <v>43</v>
      </c>
      <c r="F16" t="s">
        <v>184</v>
      </c>
      <c r="I16">
        <v>780</v>
      </c>
      <c r="J16">
        <v>1300</v>
      </c>
    </row>
    <row r="17" spans="2:24" x14ac:dyDescent="0.25">
      <c r="I17">
        <v>3000</v>
      </c>
    </row>
    <row r="18" spans="2:24" x14ac:dyDescent="0.25">
      <c r="B18" t="s">
        <v>44</v>
      </c>
    </row>
    <row r="19" spans="2:24" x14ac:dyDescent="0.25">
      <c r="B19" t="s">
        <v>43</v>
      </c>
      <c r="D19" t="s">
        <v>40</v>
      </c>
      <c r="F19" t="s">
        <v>120</v>
      </c>
      <c r="I19">
        <f>SUM(I14:I17)</f>
        <v>5340</v>
      </c>
      <c r="J19">
        <f>SUM(J14:J18)</f>
        <v>3900</v>
      </c>
    </row>
    <row r="20" spans="2:24" x14ac:dyDescent="0.25">
      <c r="B20" t="s">
        <v>40</v>
      </c>
      <c r="C20" t="s">
        <v>40</v>
      </c>
      <c r="D20" t="s">
        <v>40</v>
      </c>
      <c r="F20" t="s">
        <v>185</v>
      </c>
      <c r="G20" t="s">
        <v>186</v>
      </c>
      <c r="H20" t="s">
        <v>47</v>
      </c>
      <c r="I20" t="s">
        <v>185</v>
      </c>
      <c r="J20" t="s">
        <v>186</v>
      </c>
      <c r="K20" t="s">
        <v>47</v>
      </c>
      <c r="U20">
        <v>1</v>
      </c>
      <c r="V20" t="s">
        <v>37</v>
      </c>
    </row>
    <row r="21" spans="2:24" x14ac:dyDescent="0.25">
      <c r="H21" t="s">
        <v>183</v>
      </c>
      <c r="K21">
        <v>2000</v>
      </c>
      <c r="U21">
        <v>2</v>
      </c>
      <c r="V21" t="s">
        <v>59</v>
      </c>
    </row>
    <row r="22" spans="2:24" x14ac:dyDescent="0.25">
      <c r="H22" t="s">
        <v>183</v>
      </c>
      <c r="K22">
        <v>2000</v>
      </c>
      <c r="L22">
        <f>5*3900+6000</f>
        <v>25500</v>
      </c>
      <c r="M22">
        <f>L22/2</f>
        <v>12750</v>
      </c>
      <c r="N22">
        <f>L22/3</f>
        <v>8500</v>
      </c>
      <c r="U22">
        <v>3</v>
      </c>
    </row>
    <row r="23" spans="2:24" x14ac:dyDescent="0.25">
      <c r="G23" t="s">
        <v>183</v>
      </c>
      <c r="I23">
        <v>1200</v>
      </c>
      <c r="J23">
        <v>780</v>
      </c>
      <c r="U23">
        <v>4</v>
      </c>
    </row>
    <row r="24" spans="2:24" x14ac:dyDescent="0.25">
      <c r="G24" t="s">
        <v>183</v>
      </c>
      <c r="I24">
        <f>1300*0.6</f>
        <v>780</v>
      </c>
      <c r="J24">
        <v>1300</v>
      </c>
      <c r="U24">
        <v>5</v>
      </c>
    </row>
    <row r="25" spans="2:24" x14ac:dyDescent="0.25">
      <c r="I25">
        <v>2700</v>
      </c>
      <c r="U25">
        <v>6</v>
      </c>
    </row>
    <row r="26" spans="2:24" x14ac:dyDescent="0.25">
      <c r="J26">
        <v>2000</v>
      </c>
      <c r="X26">
        <f>1200*1.4</f>
        <v>1680</v>
      </c>
    </row>
    <row r="27" spans="2:24" x14ac:dyDescent="0.25">
      <c r="J27">
        <v>900</v>
      </c>
      <c r="M27" t="s">
        <v>50</v>
      </c>
      <c r="N27" t="s">
        <v>51</v>
      </c>
      <c r="O27" t="s">
        <v>52</v>
      </c>
      <c r="P27" t="s">
        <v>51</v>
      </c>
      <c r="Q27" t="s">
        <v>52</v>
      </c>
    </row>
    <row r="28" spans="2:24" x14ac:dyDescent="0.25">
      <c r="I28">
        <f ca="1">SUM(I23:I28)</f>
        <v>4680</v>
      </c>
      <c r="J28">
        <f>SUM(J21:J27)</f>
        <v>4980</v>
      </c>
      <c r="L28" t="s">
        <v>33</v>
      </c>
      <c r="M28">
        <v>85</v>
      </c>
      <c r="N28">
        <v>1</v>
      </c>
      <c r="O28" s="6" t="s">
        <v>53</v>
      </c>
      <c r="P28">
        <v>1</v>
      </c>
      <c r="Q28" t="s">
        <v>53</v>
      </c>
    </row>
    <row r="29" spans="2:24" x14ac:dyDescent="0.25">
      <c r="L29" t="s">
        <v>36</v>
      </c>
      <c r="M29">
        <v>177</v>
      </c>
      <c r="N29">
        <v>3</v>
      </c>
      <c r="O29">
        <v>1</v>
      </c>
      <c r="P29">
        <v>5</v>
      </c>
      <c r="Q29">
        <v>1</v>
      </c>
    </row>
    <row r="30" spans="2:24" x14ac:dyDescent="0.25">
      <c r="H30" t="s">
        <v>191</v>
      </c>
      <c r="I30" t="s">
        <v>193</v>
      </c>
      <c r="J30" t="s">
        <v>192</v>
      </c>
      <c r="K30">
        <f>840+720</f>
        <v>1560</v>
      </c>
      <c r="L30" t="s">
        <v>37</v>
      </c>
      <c r="M30">
        <v>174</v>
      </c>
      <c r="N30">
        <v>6</v>
      </c>
      <c r="O30">
        <v>2</v>
      </c>
      <c r="P30">
        <v>4</v>
      </c>
      <c r="Q30">
        <v>2</v>
      </c>
    </row>
    <row r="31" spans="2:24" x14ac:dyDescent="0.25">
      <c r="J31" t="s">
        <v>36</v>
      </c>
      <c r="K31">
        <v>600</v>
      </c>
      <c r="L31" t="s">
        <v>35</v>
      </c>
      <c r="M31">
        <v>141</v>
      </c>
      <c r="N31">
        <v>4</v>
      </c>
      <c r="O31">
        <v>4</v>
      </c>
      <c r="P31">
        <v>6</v>
      </c>
      <c r="Q31">
        <v>4</v>
      </c>
      <c r="S31" t="s">
        <v>47</v>
      </c>
      <c r="T31" t="s">
        <v>54</v>
      </c>
    </row>
    <row r="32" spans="2:24" x14ac:dyDescent="0.25">
      <c r="E32" t="s">
        <v>62</v>
      </c>
      <c r="F32" t="s">
        <v>50</v>
      </c>
      <c r="G32" t="s">
        <v>65</v>
      </c>
      <c r="J32" t="s">
        <v>33</v>
      </c>
      <c r="L32" t="s">
        <v>34</v>
      </c>
      <c r="M32">
        <v>126</v>
      </c>
      <c r="N32">
        <v>2</v>
      </c>
      <c r="O32">
        <v>5</v>
      </c>
      <c r="P32">
        <v>3</v>
      </c>
      <c r="Q32">
        <v>5</v>
      </c>
    </row>
    <row r="33" spans="3:20" x14ac:dyDescent="0.25">
      <c r="C33" t="s">
        <v>74</v>
      </c>
      <c r="D33" t="s">
        <v>60</v>
      </c>
      <c r="E33" t="s">
        <v>72</v>
      </c>
      <c r="F33" t="s">
        <v>70</v>
      </c>
      <c r="G33" t="s">
        <v>66</v>
      </c>
      <c r="K33">
        <f>SUM(K30:K31)</f>
        <v>2160</v>
      </c>
      <c r="L33" t="s">
        <v>38</v>
      </c>
      <c r="M33">
        <v>208</v>
      </c>
      <c r="N33">
        <v>5</v>
      </c>
      <c r="O33">
        <v>3</v>
      </c>
      <c r="P33">
        <v>2</v>
      </c>
      <c r="Q33">
        <v>3</v>
      </c>
    </row>
    <row r="34" spans="3:20" x14ac:dyDescent="0.25">
      <c r="D34" t="s">
        <v>61</v>
      </c>
      <c r="E34" t="s">
        <v>72</v>
      </c>
      <c r="F34" t="s">
        <v>69</v>
      </c>
      <c r="G34" t="s">
        <v>66</v>
      </c>
    </row>
    <row r="35" spans="3:20" x14ac:dyDescent="0.25">
      <c r="D35" t="s">
        <v>63</v>
      </c>
      <c r="E35" t="s">
        <v>69</v>
      </c>
      <c r="F35" t="s">
        <v>70</v>
      </c>
      <c r="G35" t="s">
        <v>66</v>
      </c>
    </row>
    <row r="36" spans="3:20" x14ac:dyDescent="0.25">
      <c r="D36" t="s">
        <v>64</v>
      </c>
      <c r="E36" t="s">
        <v>70</v>
      </c>
      <c r="F36" t="s">
        <v>70</v>
      </c>
      <c r="G36" t="s">
        <v>67</v>
      </c>
    </row>
    <row r="37" spans="3:20" x14ac:dyDescent="0.25">
      <c r="C37" t="s">
        <v>74</v>
      </c>
      <c r="D37" t="s">
        <v>17</v>
      </c>
      <c r="E37" t="s">
        <v>71</v>
      </c>
      <c r="F37" t="s">
        <v>72</v>
      </c>
      <c r="G37" t="s">
        <v>68</v>
      </c>
      <c r="H37">
        <v>137</v>
      </c>
      <c r="I37">
        <v>25</v>
      </c>
      <c r="J37" t="s">
        <v>76</v>
      </c>
      <c r="S37" t="s">
        <v>56</v>
      </c>
      <c r="T37" t="s">
        <v>55</v>
      </c>
    </row>
    <row r="38" spans="3:20" x14ac:dyDescent="0.25">
      <c r="C38" t="s">
        <v>74</v>
      </c>
      <c r="D38" t="s">
        <v>37</v>
      </c>
      <c r="E38" t="s">
        <v>73</v>
      </c>
      <c r="F38" t="s">
        <v>71</v>
      </c>
      <c r="G38" t="s">
        <v>48</v>
      </c>
      <c r="H38">
        <v>175</v>
      </c>
      <c r="S38" t="s">
        <v>57</v>
      </c>
      <c r="T38" t="s">
        <v>58</v>
      </c>
    </row>
    <row r="39" spans="3:20" x14ac:dyDescent="0.25">
      <c r="C39" t="s">
        <v>74</v>
      </c>
      <c r="D39" t="s">
        <v>36</v>
      </c>
      <c r="E39" t="s">
        <v>72</v>
      </c>
      <c r="F39" t="s">
        <v>71</v>
      </c>
      <c r="G39" t="s">
        <v>77</v>
      </c>
      <c r="H39">
        <v>161</v>
      </c>
    </row>
    <row r="40" spans="3:20" x14ac:dyDescent="0.25">
      <c r="C40" t="s">
        <v>74</v>
      </c>
      <c r="D40" t="s">
        <v>57</v>
      </c>
      <c r="E40" t="s">
        <v>71</v>
      </c>
      <c r="F40" t="s">
        <v>70</v>
      </c>
      <c r="G40" t="s">
        <v>77</v>
      </c>
      <c r="H40" s="7"/>
      <c r="I40">
        <v>10</v>
      </c>
      <c r="L40" t="s">
        <v>77</v>
      </c>
      <c r="M40">
        <f>900*1.4</f>
        <v>1260</v>
      </c>
      <c r="N40">
        <v>1.3</v>
      </c>
    </row>
    <row r="41" spans="3:20" x14ac:dyDescent="0.25">
      <c r="C41" t="s">
        <v>74</v>
      </c>
      <c r="D41" t="s">
        <v>34</v>
      </c>
      <c r="E41" t="s">
        <v>70</v>
      </c>
      <c r="F41" t="s">
        <v>70</v>
      </c>
      <c r="G41" t="s">
        <v>75</v>
      </c>
      <c r="L41" t="s">
        <v>194</v>
      </c>
      <c r="M41">
        <f>800*1.4</f>
        <v>1120</v>
      </c>
      <c r="N41">
        <v>1</v>
      </c>
    </row>
    <row r="44" spans="3:20" x14ac:dyDescent="0.25">
      <c r="L44" t="s">
        <v>188</v>
      </c>
    </row>
    <row r="47" spans="3:20" x14ac:dyDescent="0.25">
      <c r="G47">
        <f>999-62</f>
        <v>937</v>
      </c>
      <c r="H47">
        <f>G47*2.5</f>
        <v>2342.5</v>
      </c>
      <c r="I47">
        <f>H47*4.5</f>
        <v>10541.25</v>
      </c>
    </row>
    <row r="53" spans="5:14" x14ac:dyDescent="0.25">
      <c r="E53" t="s">
        <v>195</v>
      </c>
      <c r="F53" t="s">
        <v>49</v>
      </c>
    </row>
    <row r="54" spans="5:14" x14ac:dyDescent="0.25">
      <c r="E54" t="s">
        <v>185</v>
      </c>
      <c r="F54" t="s">
        <v>186</v>
      </c>
      <c r="G54" t="s">
        <v>47</v>
      </c>
    </row>
    <row r="55" spans="5:14" x14ac:dyDescent="0.25">
      <c r="G55">
        <v>2000</v>
      </c>
      <c r="K55">
        <f>125*1.3</f>
        <v>162.5</v>
      </c>
      <c r="M55" t="s">
        <v>201</v>
      </c>
    </row>
    <row r="56" spans="5:14" x14ac:dyDescent="0.25">
      <c r="G56">
        <v>2000</v>
      </c>
    </row>
    <row r="57" spans="5:14" x14ac:dyDescent="0.25">
      <c r="E57">
        <f>800*1.4+65</f>
        <v>1185</v>
      </c>
      <c r="F57">
        <v>1185</v>
      </c>
    </row>
    <row r="58" spans="5:14" x14ac:dyDescent="0.25">
      <c r="E58">
        <v>2745</v>
      </c>
    </row>
    <row r="59" spans="5:14" x14ac:dyDescent="0.25">
      <c r="E59">
        <f>900*1.2</f>
        <v>1080</v>
      </c>
      <c r="F59">
        <f>900*1.2</f>
        <v>1080</v>
      </c>
      <c r="H59" t="s">
        <v>72</v>
      </c>
      <c r="I59">
        <v>2</v>
      </c>
      <c r="J59" t="s">
        <v>197</v>
      </c>
      <c r="K59" t="s">
        <v>40</v>
      </c>
    </row>
    <row r="60" spans="5:14" x14ac:dyDescent="0.25">
      <c r="F60">
        <v>900</v>
      </c>
      <c r="G60" t="s">
        <v>88</v>
      </c>
      <c r="H60" t="s">
        <v>202</v>
      </c>
      <c r="I60">
        <v>3</v>
      </c>
      <c r="J60" t="s">
        <v>196</v>
      </c>
      <c r="K60" t="s">
        <v>77</v>
      </c>
      <c r="L60" t="s">
        <v>40</v>
      </c>
      <c r="M60" t="s">
        <v>41</v>
      </c>
      <c r="N60" t="s">
        <v>198</v>
      </c>
    </row>
    <row r="61" spans="5:14" x14ac:dyDescent="0.25">
      <c r="F61">
        <v>2000</v>
      </c>
      <c r="G61" t="s">
        <v>37</v>
      </c>
      <c r="H61" t="s">
        <v>69</v>
      </c>
      <c r="I61">
        <v>1</v>
      </c>
      <c r="J61" t="s">
        <v>60</v>
      </c>
      <c r="K61" t="s">
        <v>41</v>
      </c>
      <c r="L61" t="s">
        <v>216</v>
      </c>
      <c r="N61" t="s">
        <v>199</v>
      </c>
    </row>
    <row r="62" spans="5:14" x14ac:dyDescent="0.25">
      <c r="H62" t="s">
        <v>203</v>
      </c>
      <c r="I62">
        <v>1</v>
      </c>
      <c r="J62" t="s">
        <v>17</v>
      </c>
      <c r="K62" t="s">
        <v>204</v>
      </c>
    </row>
    <row r="63" spans="5:14" x14ac:dyDescent="0.25">
      <c r="E63">
        <f>SUM(E55:E62)</f>
        <v>5010</v>
      </c>
      <c r="F63">
        <f>SUM(F55:F62)</f>
        <v>5165</v>
      </c>
      <c r="H63" t="s">
        <v>203</v>
      </c>
      <c r="I63">
        <v>3</v>
      </c>
      <c r="J63" t="s">
        <v>37</v>
      </c>
      <c r="K63" t="s">
        <v>40</v>
      </c>
      <c r="L63" t="s">
        <v>200</v>
      </c>
      <c r="M63" t="s">
        <v>41</v>
      </c>
    </row>
    <row r="64" spans="5:14" x14ac:dyDescent="0.25">
      <c r="J64" t="s">
        <v>88</v>
      </c>
      <c r="K64" t="s">
        <v>75</v>
      </c>
    </row>
    <row r="65" spans="8:16" x14ac:dyDescent="0.25">
      <c r="H65" t="s">
        <v>69</v>
      </c>
      <c r="J65" t="s">
        <v>36</v>
      </c>
      <c r="K65" t="s">
        <v>40</v>
      </c>
      <c r="L65" t="s">
        <v>43</v>
      </c>
    </row>
    <row r="66" spans="8:16" x14ac:dyDescent="0.25">
      <c r="N66" t="s">
        <v>205</v>
      </c>
      <c r="P66">
        <v>8</v>
      </c>
    </row>
    <row r="67" spans="8:16" x14ac:dyDescent="0.25">
      <c r="P67" t="s">
        <v>206</v>
      </c>
    </row>
    <row r="68" spans="8:16" x14ac:dyDescent="0.25">
      <c r="P68" t="s">
        <v>207</v>
      </c>
    </row>
    <row r="69" spans="8:16" x14ac:dyDescent="0.25">
      <c r="P69" t="s">
        <v>211</v>
      </c>
    </row>
    <row r="72" spans="8:16" x14ac:dyDescent="0.25">
      <c r="J72" t="s">
        <v>208</v>
      </c>
    </row>
    <row r="73" spans="8:16" x14ac:dyDescent="0.25">
      <c r="J73" t="s">
        <v>209</v>
      </c>
      <c r="M73" t="s">
        <v>120</v>
      </c>
    </row>
    <row r="74" spans="8:16" x14ac:dyDescent="0.25">
      <c r="J74" t="s">
        <v>88</v>
      </c>
      <c r="M74" t="s">
        <v>185</v>
      </c>
      <c r="N74" t="s">
        <v>186</v>
      </c>
      <c r="O74" t="s">
        <v>47</v>
      </c>
    </row>
    <row r="75" spans="8:16" x14ac:dyDescent="0.25">
      <c r="O75" t="s">
        <v>183</v>
      </c>
    </row>
    <row r="76" spans="8:16" x14ac:dyDescent="0.25">
      <c r="J76" t="s">
        <v>210</v>
      </c>
      <c r="O76" t="s">
        <v>187</v>
      </c>
    </row>
    <row r="77" spans="8:16" x14ac:dyDescent="0.25">
      <c r="J77" t="s">
        <v>73</v>
      </c>
      <c r="K77" t="s">
        <v>69</v>
      </c>
      <c r="M77" t="s">
        <v>194</v>
      </c>
      <c r="N77" t="s">
        <v>194</v>
      </c>
    </row>
    <row r="78" spans="8:16" x14ac:dyDescent="0.25">
      <c r="J78" t="s">
        <v>183</v>
      </c>
      <c r="M78" t="s">
        <v>77</v>
      </c>
      <c r="N78" t="s">
        <v>77</v>
      </c>
    </row>
    <row r="79" spans="8:16" x14ac:dyDescent="0.25">
      <c r="J79" t="s">
        <v>183</v>
      </c>
      <c r="M79" t="s">
        <v>88</v>
      </c>
    </row>
    <row r="80" spans="8:16" x14ac:dyDescent="0.25">
      <c r="J80" t="s">
        <v>187</v>
      </c>
      <c r="K80" t="s">
        <v>187</v>
      </c>
      <c r="L80" t="s">
        <v>212</v>
      </c>
      <c r="N80" t="s">
        <v>183</v>
      </c>
    </row>
    <row r="81" spans="11:15" x14ac:dyDescent="0.25">
      <c r="K81" t="s">
        <v>88</v>
      </c>
      <c r="N81" t="s">
        <v>88</v>
      </c>
    </row>
    <row r="83" spans="11:15" x14ac:dyDescent="0.25">
      <c r="L83" t="s">
        <v>213</v>
      </c>
      <c r="N83" t="s">
        <v>88</v>
      </c>
    </row>
    <row r="84" spans="11:15" x14ac:dyDescent="0.25">
      <c r="N84" t="s">
        <v>40</v>
      </c>
    </row>
    <row r="85" spans="11:15" x14ac:dyDescent="0.25">
      <c r="N85" t="s">
        <v>40</v>
      </c>
    </row>
    <row r="86" spans="11:15" x14ac:dyDescent="0.25">
      <c r="N86" t="s">
        <v>40</v>
      </c>
    </row>
    <row r="88" spans="11:15" x14ac:dyDescent="0.25">
      <c r="L88" t="s">
        <v>214</v>
      </c>
      <c r="N88" t="s">
        <v>183</v>
      </c>
    </row>
    <row r="89" spans="11:15" x14ac:dyDescent="0.25">
      <c r="N89" t="s">
        <v>40</v>
      </c>
    </row>
    <row r="90" spans="11:15" x14ac:dyDescent="0.25">
      <c r="N90" t="s">
        <v>40</v>
      </c>
    </row>
    <row r="92" spans="11:15" x14ac:dyDescent="0.25">
      <c r="L92" t="s">
        <v>215</v>
      </c>
      <c r="N92" t="s">
        <v>40</v>
      </c>
      <c r="O92">
        <v>600</v>
      </c>
    </row>
    <row r="93" spans="11:15" x14ac:dyDescent="0.25">
      <c r="N93" t="s">
        <v>40</v>
      </c>
      <c r="O93">
        <v>720</v>
      </c>
    </row>
    <row r="94" spans="11:15" x14ac:dyDescent="0.25">
      <c r="N94" t="s">
        <v>40</v>
      </c>
      <c r="O94">
        <v>600</v>
      </c>
    </row>
    <row r="95" spans="11:15" x14ac:dyDescent="0.25">
      <c r="N95" t="s">
        <v>77</v>
      </c>
      <c r="O95">
        <v>600</v>
      </c>
    </row>
    <row r="96" spans="11:15" x14ac:dyDescent="0.25">
      <c r="O96">
        <f>SUM(O92:O95)</f>
        <v>2520</v>
      </c>
    </row>
    <row r="97" spans="15:15" x14ac:dyDescent="0.25">
      <c r="O97">
        <f>O96+2265</f>
        <v>4785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2:L32"/>
  <sheetViews>
    <sheetView workbookViewId="0">
      <selection activeCell="D19" sqref="D19"/>
    </sheetView>
  </sheetViews>
  <sheetFormatPr defaultRowHeight="15" x14ac:dyDescent="0.25"/>
  <sheetData>
    <row r="12" spans="5:8" x14ac:dyDescent="0.25">
      <c r="F12" t="s">
        <v>50</v>
      </c>
      <c r="G12" t="s">
        <v>189</v>
      </c>
      <c r="H12" t="s">
        <v>131</v>
      </c>
    </row>
    <row r="13" spans="5:8" x14ac:dyDescent="0.25">
      <c r="E13" t="s">
        <v>36</v>
      </c>
      <c r="F13">
        <v>155</v>
      </c>
      <c r="G13">
        <v>40</v>
      </c>
      <c r="H13">
        <f t="shared" ref="H13:H18" si="0">F13+G13</f>
        <v>195</v>
      </c>
    </row>
    <row r="14" spans="5:8" x14ac:dyDescent="0.25">
      <c r="E14" t="s">
        <v>17</v>
      </c>
      <c r="F14">
        <v>136</v>
      </c>
      <c r="G14">
        <v>41</v>
      </c>
      <c r="H14">
        <f t="shared" si="0"/>
        <v>177</v>
      </c>
    </row>
    <row r="15" spans="5:8" x14ac:dyDescent="0.25">
      <c r="E15" t="s">
        <v>35</v>
      </c>
      <c r="F15">
        <v>137</v>
      </c>
      <c r="G15">
        <v>41</v>
      </c>
      <c r="H15">
        <f t="shared" si="0"/>
        <v>178</v>
      </c>
    </row>
    <row r="16" spans="5:8" x14ac:dyDescent="0.25">
      <c r="E16" t="s">
        <v>33</v>
      </c>
      <c r="F16">
        <v>80</v>
      </c>
      <c r="H16">
        <f t="shared" si="0"/>
        <v>80</v>
      </c>
    </row>
    <row r="17" spans="4:12" x14ac:dyDescent="0.25">
      <c r="E17" t="s">
        <v>88</v>
      </c>
      <c r="F17">
        <v>163</v>
      </c>
      <c r="G17">
        <v>40</v>
      </c>
      <c r="H17">
        <f t="shared" si="0"/>
        <v>203</v>
      </c>
    </row>
    <row r="18" spans="4:12" x14ac:dyDescent="0.25">
      <c r="E18" t="s">
        <v>37</v>
      </c>
      <c r="F18">
        <v>178</v>
      </c>
      <c r="H18">
        <f t="shared" si="0"/>
        <v>178</v>
      </c>
    </row>
    <row r="20" spans="4:12" x14ac:dyDescent="0.25">
      <c r="F20">
        <f>1.3*F14</f>
        <v>176.8</v>
      </c>
    </row>
    <row r="21" spans="4:12" x14ac:dyDescent="0.25">
      <c r="F21">
        <f>1.3*F15</f>
        <v>178.1</v>
      </c>
    </row>
    <row r="24" spans="4:12" x14ac:dyDescent="0.25">
      <c r="K24" t="s">
        <v>37</v>
      </c>
    </row>
    <row r="25" spans="4:12" x14ac:dyDescent="0.25">
      <c r="K25">
        <v>175</v>
      </c>
      <c r="L25" t="str">
        <f>DEC2HEX(K25)</f>
        <v>AF</v>
      </c>
    </row>
    <row r="26" spans="4:12" x14ac:dyDescent="0.25">
      <c r="E26" t="s">
        <v>50</v>
      </c>
    </row>
    <row r="27" spans="4:12" x14ac:dyDescent="0.25">
      <c r="D27" t="s">
        <v>57</v>
      </c>
      <c r="E27">
        <v>140</v>
      </c>
      <c r="F27" t="str">
        <f>DEC2HEX(E27)</f>
        <v>8C</v>
      </c>
      <c r="K27" t="s">
        <v>34</v>
      </c>
    </row>
    <row r="28" spans="4:12" x14ac:dyDescent="0.25">
      <c r="D28" t="s">
        <v>34</v>
      </c>
      <c r="E28">
        <v>125</v>
      </c>
      <c r="F28" t="str">
        <f t="shared" ref="F28:F32" si="1">DEC2HEX(E28)</f>
        <v>7D</v>
      </c>
    </row>
    <row r="29" spans="4:12" x14ac:dyDescent="0.25">
      <c r="D29" t="s">
        <v>36</v>
      </c>
      <c r="E29">
        <v>157</v>
      </c>
      <c r="F29" t="str">
        <f t="shared" si="1"/>
        <v>9D</v>
      </c>
    </row>
    <row r="30" spans="4:12" x14ac:dyDescent="0.25">
      <c r="D30" t="s">
        <v>17</v>
      </c>
      <c r="E30">
        <v>176</v>
      </c>
      <c r="F30" t="str">
        <f t="shared" si="1"/>
        <v>B0</v>
      </c>
    </row>
    <row r="31" spans="4:12" x14ac:dyDescent="0.25">
      <c r="D31" t="s">
        <v>37</v>
      </c>
      <c r="E31">
        <v>175</v>
      </c>
      <c r="F31" t="str">
        <f t="shared" si="1"/>
        <v>AF</v>
      </c>
      <c r="J31" t="s">
        <v>190</v>
      </c>
    </row>
    <row r="32" spans="4:12" x14ac:dyDescent="0.25">
      <c r="D32" t="s">
        <v>60</v>
      </c>
      <c r="E32">
        <v>126</v>
      </c>
      <c r="F32" t="str">
        <f t="shared" si="1"/>
        <v>7E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A44"/>
  <sheetViews>
    <sheetView workbookViewId="0">
      <selection activeCell="L10" sqref="L10"/>
    </sheetView>
  </sheetViews>
  <sheetFormatPr defaultRowHeight="15" x14ac:dyDescent="0.25"/>
  <cols>
    <col min="2" max="2" width="14.42578125" customWidth="1"/>
    <col min="4" max="4" width="17.42578125" customWidth="1"/>
    <col min="7" max="7" width="26.42578125" customWidth="1"/>
  </cols>
  <sheetData>
    <row r="2" spans="2:21" x14ac:dyDescent="0.25">
      <c r="E2" s="8"/>
    </row>
    <row r="3" spans="2:21" x14ac:dyDescent="0.25">
      <c r="B3" s="1" t="s">
        <v>47</v>
      </c>
      <c r="C3" s="1" t="s">
        <v>84</v>
      </c>
      <c r="D3" s="1" t="s">
        <v>85</v>
      </c>
      <c r="E3" s="9" t="s">
        <v>93</v>
      </c>
      <c r="F3" s="1" t="s">
        <v>86</v>
      </c>
      <c r="G3" s="1" t="s">
        <v>95</v>
      </c>
      <c r="H3" s="1" t="s">
        <v>100</v>
      </c>
      <c r="I3" s="1"/>
      <c r="J3" s="1" t="s">
        <v>107</v>
      </c>
      <c r="K3" s="1" t="s">
        <v>108</v>
      </c>
      <c r="L3" s="1" t="s">
        <v>128</v>
      </c>
      <c r="M3" s="1" t="s">
        <v>127</v>
      </c>
      <c r="N3" s="1" t="s">
        <v>130</v>
      </c>
      <c r="O3" s="1" t="s">
        <v>129</v>
      </c>
      <c r="P3" s="1" t="s">
        <v>131</v>
      </c>
    </row>
    <row r="4" spans="2:21" x14ac:dyDescent="0.25">
      <c r="B4" s="1" t="s">
        <v>78</v>
      </c>
      <c r="C4" s="1" t="s">
        <v>90</v>
      </c>
      <c r="D4" s="1" t="s">
        <v>87</v>
      </c>
      <c r="E4" s="9">
        <v>2</v>
      </c>
      <c r="F4" s="1" t="s">
        <v>94</v>
      </c>
      <c r="G4" s="1" t="s">
        <v>96</v>
      </c>
      <c r="H4" s="1" t="s">
        <v>101</v>
      </c>
      <c r="I4" s="1"/>
      <c r="J4" s="1" t="s">
        <v>70</v>
      </c>
      <c r="K4" s="1" t="s">
        <v>109</v>
      </c>
      <c r="L4" s="4">
        <f>SUM(B44,I24,K24,M24,O24,Q24,S24,U24,W24,Y24,AA24)</f>
        <v>0.61458333333333326</v>
      </c>
      <c r="M4" s="4">
        <f>SUM(B44,I30,K30,M30,O30,Q30,S30,U30,W30,Y30,AA30)</f>
        <v>0.51736111111111105</v>
      </c>
      <c r="N4" s="4">
        <v>4.1666666666666664E-2</v>
      </c>
      <c r="O4" s="4">
        <v>4.1666666666666664E-2</v>
      </c>
      <c r="P4" s="4">
        <f t="shared" ref="P4:P9" si="0">N4+O4+M4</f>
        <v>0.60069444444444442</v>
      </c>
    </row>
    <row r="5" spans="2:21" x14ac:dyDescent="0.25">
      <c r="B5" s="1" t="s">
        <v>79</v>
      </c>
      <c r="C5" s="1" t="s">
        <v>90</v>
      </c>
      <c r="D5" s="1" t="s">
        <v>61</v>
      </c>
      <c r="E5" s="9">
        <v>2</v>
      </c>
      <c r="F5" s="1" t="s">
        <v>94</v>
      </c>
      <c r="G5" s="1" t="s">
        <v>97</v>
      </c>
      <c r="H5" s="1" t="s">
        <v>103</v>
      </c>
      <c r="I5" s="1"/>
      <c r="J5" s="1" t="s">
        <v>70</v>
      </c>
      <c r="K5" s="1" t="s">
        <v>114</v>
      </c>
      <c r="L5" s="4">
        <f>L4</f>
        <v>0.61458333333333326</v>
      </c>
      <c r="M5" s="4">
        <f>M4</f>
        <v>0.51736111111111105</v>
      </c>
      <c r="N5" s="4">
        <v>2.0833333333333332E-2</v>
      </c>
      <c r="O5" s="4">
        <v>2.0833333333333332E-2</v>
      </c>
      <c r="P5" s="4">
        <f t="shared" si="0"/>
        <v>0.55902777777777768</v>
      </c>
      <c r="U5" t="s">
        <v>132</v>
      </c>
    </row>
    <row r="6" spans="2:21" x14ac:dyDescent="0.25">
      <c r="B6" s="1" t="s">
        <v>80</v>
      </c>
      <c r="C6" s="1" t="s">
        <v>90</v>
      </c>
      <c r="D6" s="1" t="s">
        <v>64</v>
      </c>
      <c r="E6" s="9">
        <v>3</v>
      </c>
      <c r="F6" s="1" t="s">
        <v>94</v>
      </c>
      <c r="G6" s="1" t="s">
        <v>98</v>
      </c>
      <c r="H6" s="1" t="s">
        <v>104</v>
      </c>
      <c r="I6" s="1"/>
      <c r="J6" s="1" t="s">
        <v>69</v>
      </c>
      <c r="K6" s="1" t="s">
        <v>115</v>
      </c>
      <c r="L6" s="4">
        <f>SUM(B41,B42,G24,I24,K24,M24,O24,Q24,S30,U30,W30,Y30,AA30)</f>
        <v>0.52777777777777779</v>
      </c>
      <c r="M6" s="4">
        <f>SUM(B41,B42,G30,I30,K30,M30,O30,Q30,S35,U35,W35,Y35,AA35)</f>
        <v>0.47222222222222221</v>
      </c>
      <c r="N6" s="4">
        <v>8.3333333333333329E-2</v>
      </c>
      <c r="O6" s="4">
        <v>2.0833333333333332E-2</v>
      </c>
      <c r="P6" s="4">
        <f t="shared" si="0"/>
        <v>0.57638888888888884</v>
      </c>
      <c r="U6" t="s">
        <v>61</v>
      </c>
    </row>
    <row r="7" spans="2:21" x14ac:dyDescent="0.25">
      <c r="B7" s="1" t="s">
        <v>81</v>
      </c>
      <c r="C7" s="1" t="s">
        <v>91</v>
      </c>
      <c r="D7" s="1" t="s">
        <v>88</v>
      </c>
      <c r="E7" s="9">
        <v>1</v>
      </c>
      <c r="F7" s="1" t="s">
        <v>11</v>
      </c>
      <c r="G7" s="1" t="s">
        <v>98</v>
      </c>
      <c r="H7" s="1" t="s">
        <v>102</v>
      </c>
      <c r="I7" s="1"/>
      <c r="J7" s="1" t="s">
        <v>115</v>
      </c>
      <c r="K7" s="1" t="s">
        <v>115</v>
      </c>
      <c r="L7" s="4">
        <f>SUM(B44,I30,K24,M30,O30,Q30,S24,U24,W24,Y24,AA24)</f>
        <v>0.57291666666666663</v>
      </c>
      <c r="M7" s="4">
        <f>L7</f>
        <v>0.57291666666666663</v>
      </c>
      <c r="N7" s="4">
        <v>0</v>
      </c>
      <c r="O7" s="4">
        <v>4.1666666666666664E-2</v>
      </c>
      <c r="P7" s="4">
        <f t="shared" si="0"/>
        <v>0.61458333333333326</v>
      </c>
      <c r="U7" t="s">
        <v>87</v>
      </c>
    </row>
    <row r="8" spans="2:21" x14ac:dyDescent="0.25">
      <c r="B8" s="1" t="s">
        <v>82</v>
      </c>
      <c r="C8" s="1" t="s">
        <v>92</v>
      </c>
      <c r="D8" s="1" t="s">
        <v>89</v>
      </c>
      <c r="E8" s="9">
        <v>2</v>
      </c>
      <c r="F8" s="1" t="s">
        <v>94</v>
      </c>
      <c r="G8" s="1" t="s">
        <v>99</v>
      </c>
      <c r="H8" s="1" t="s">
        <v>105</v>
      </c>
      <c r="I8" s="1"/>
      <c r="J8" s="1" t="s">
        <v>71</v>
      </c>
      <c r="K8" s="1" t="s">
        <v>71</v>
      </c>
      <c r="L8" s="4">
        <f>SUM(B44,I24,K24,M24,O24,Q24,S30,U30,W30,Y30,AA30)</f>
        <v>0.56944444444444431</v>
      </c>
      <c r="M8" s="4">
        <f>SUM(B44,I30,K30,M30,O30,Q30,S30,U30,W30,Y30,AA30)</f>
        <v>0.51736111111111105</v>
      </c>
      <c r="N8" s="4">
        <v>4.1666666666666664E-2</v>
      </c>
      <c r="O8" s="4">
        <v>4.1666666666666664E-2</v>
      </c>
      <c r="P8" s="4">
        <f t="shared" si="0"/>
        <v>0.60069444444444442</v>
      </c>
      <c r="U8" t="s">
        <v>63</v>
      </c>
    </row>
    <row r="9" spans="2:21" x14ac:dyDescent="0.25">
      <c r="B9" s="1" t="s">
        <v>83</v>
      </c>
      <c r="C9" s="1" t="s">
        <v>91</v>
      </c>
      <c r="D9" s="1" t="s">
        <v>63</v>
      </c>
      <c r="E9" s="9">
        <v>2</v>
      </c>
      <c r="F9" s="1" t="s">
        <v>11</v>
      </c>
      <c r="G9" s="1" t="s">
        <v>98</v>
      </c>
      <c r="H9" s="1" t="s">
        <v>106</v>
      </c>
      <c r="I9" s="1"/>
      <c r="J9" s="1" t="s">
        <v>72</v>
      </c>
      <c r="K9" s="1" t="s">
        <v>115</v>
      </c>
      <c r="L9" s="4">
        <f>SUM(B44,I30,K30,M30,O30,Q30,S35,U35,W35,Y35,AA35)</f>
        <v>0.51388888888888884</v>
      </c>
      <c r="M9" s="4">
        <f>SUM(B44,I35,K35,M35,O35,Q35,S35,U35,W35,Y35,AA35)</f>
        <v>0.4826388888888889</v>
      </c>
      <c r="N9" s="4">
        <v>4.1666666666666664E-2</v>
      </c>
      <c r="O9" s="4">
        <v>4.1666666666666664E-2</v>
      </c>
      <c r="P9" s="4">
        <f t="shared" si="0"/>
        <v>0.56597222222222221</v>
      </c>
      <c r="U9" t="s">
        <v>89</v>
      </c>
    </row>
    <row r="10" spans="2:21" x14ac:dyDescent="0.25">
      <c r="B10" s="1" t="s">
        <v>110</v>
      </c>
      <c r="C10" s="1" t="s">
        <v>111</v>
      </c>
      <c r="D10" s="1" t="s">
        <v>112</v>
      </c>
      <c r="E10" s="9">
        <v>3</v>
      </c>
      <c r="F10" s="1" t="s">
        <v>11</v>
      </c>
      <c r="G10" s="1" t="s">
        <v>113</v>
      </c>
      <c r="H10" s="1" t="s">
        <v>102</v>
      </c>
      <c r="I10" s="1"/>
      <c r="J10" s="1" t="s">
        <v>53</v>
      </c>
      <c r="K10" s="1" t="s">
        <v>53</v>
      </c>
      <c r="U10" t="s">
        <v>133</v>
      </c>
    </row>
    <row r="14" spans="2:21" x14ac:dyDescent="0.25">
      <c r="E14" s="8"/>
    </row>
    <row r="15" spans="2:21" x14ac:dyDescent="0.25">
      <c r="N15" t="s">
        <v>125</v>
      </c>
    </row>
    <row r="18" spans="1:27" x14ac:dyDescent="0.25">
      <c r="M18" t="s">
        <v>121</v>
      </c>
      <c r="N18" t="s">
        <v>122</v>
      </c>
      <c r="O18" t="s">
        <v>123</v>
      </c>
    </row>
    <row r="19" spans="1:27" x14ac:dyDescent="0.25">
      <c r="M19" s="4">
        <f>SUM(G24,I24,K24,M24,O24,Q24,S24,U24,W24,Y24,AA24)</f>
        <v>0.42708333333333337</v>
      </c>
      <c r="N19" s="4">
        <f>SUM(G30,I30,K30,M30,O30,Q30,S30,U30,W30,Y30,AA30)</f>
        <v>0.32986111111111116</v>
      </c>
      <c r="O19" s="4">
        <f>SUM(G35,I35,K35,M35,O35,Q35,S35,U35,W35,Y35,AA35)</f>
        <v>0.27430555555555558</v>
      </c>
    </row>
    <row r="21" spans="1:27" x14ac:dyDescent="0.25">
      <c r="F21">
        <f>999*2*1.5</f>
        <v>2997</v>
      </c>
    </row>
    <row r="22" spans="1:27" x14ac:dyDescent="0.25">
      <c r="F22">
        <f>999*3*1.5</f>
        <v>4495.5</v>
      </c>
    </row>
    <row r="23" spans="1:27" x14ac:dyDescent="0.25">
      <c r="B23">
        <v>2500</v>
      </c>
      <c r="D23">
        <v>4500</v>
      </c>
      <c r="F23">
        <v>5200</v>
      </c>
      <c r="H23">
        <v>4500</v>
      </c>
      <c r="J23">
        <v>13000</v>
      </c>
      <c r="L23">
        <v>2800</v>
      </c>
      <c r="N23">
        <v>7500</v>
      </c>
      <c r="P23">
        <v>4500</v>
      </c>
      <c r="R23">
        <v>4700</v>
      </c>
      <c r="T23">
        <v>8900</v>
      </c>
      <c r="V23">
        <v>6500</v>
      </c>
    </row>
    <row r="24" spans="1:27" x14ac:dyDescent="0.25">
      <c r="B24" t="s">
        <v>8</v>
      </c>
      <c r="C24" s="4">
        <v>2.0833333333333332E-2</v>
      </c>
      <c r="D24" t="s">
        <v>116</v>
      </c>
      <c r="E24" s="4">
        <v>3.125E-2</v>
      </c>
      <c r="F24" t="s">
        <v>94</v>
      </c>
      <c r="G24" s="4">
        <v>4.1666666666666664E-2</v>
      </c>
      <c r="H24" t="s">
        <v>11</v>
      </c>
      <c r="I24" s="4">
        <v>3.125E-2</v>
      </c>
      <c r="J24" t="s">
        <v>13</v>
      </c>
      <c r="K24" s="4">
        <v>6.25E-2</v>
      </c>
      <c r="L24" t="s">
        <v>17</v>
      </c>
      <c r="M24" s="4">
        <v>2.0833333333333332E-2</v>
      </c>
      <c r="N24" t="s">
        <v>18</v>
      </c>
      <c r="O24" s="4">
        <v>4.1666666666666664E-2</v>
      </c>
      <c r="P24" t="s">
        <v>19</v>
      </c>
      <c r="Q24" s="4">
        <v>3.125E-2</v>
      </c>
      <c r="R24" t="s">
        <v>117</v>
      </c>
      <c r="S24" s="4">
        <v>2.0833333333333332E-2</v>
      </c>
      <c r="T24" t="s">
        <v>118</v>
      </c>
      <c r="U24" s="4">
        <v>4.1666666666666664E-2</v>
      </c>
      <c r="V24" t="s">
        <v>117</v>
      </c>
      <c r="W24" s="4">
        <v>3.125E-2</v>
      </c>
      <c r="X24" t="s">
        <v>119</v>
      </c>
      <c r="Y24" s="4">
        <v>4.1666666666666664E-2</v>
      </c>
      <c r="Z24" t="s">
        <v>120</v>
      </c>
      <c r="AA24" s="4">
        <v>6.25E-2</v>
      </c>
    </row>
    <row r="25" spans="1:27" x14ac:dyDescent="0.25">
      <c r="A25" t="s">
        <v>121</v>
      </c>
      <c r="B25">
        <v>2000</v>
      </c>
      <c r="D25">
        <v>2000</v>
      </c>
      <c r="F25">
        <v>2000</v>
      </c>
      <c r="H25">
        <v>2000</v>
      </c>
      <c r="J25">
        <v>1000</v>
      </c>
      <c r="L25">
        <v>2000</v>
      </c>
      <c r="N25">
        <v>2000</v>
      </c>
      <c r="P25">
        <v>2000</v>
      </c>
      <c r="R25">
        <v>3000</v>
      </c>
      <c r="V25">
        <v>2000</v>
      </c>
      <c r="X25">
        <v>2000</v>
      </c>
    </row>
    <row r="26" spans="1:27" x14ac:dyDescent="0.25">
      <c r="B26">
        <v>500</v>
      </c>
      <c r="D26">
        <v>1600</v>
      </c>
      <c r="F26">
        <v>1000</v>
      </c>
      <c r="H26">
        <v>2000</v>
      </c>
      <c r="J26">
        <v>1000</v>
      </c>
      <c r="L26">
        <v>1300</v>
      </c>
      <c r="N26">
        <v>3000</v>
      </c>
      <c r="P26">
        <v>2000</v>
      </c>
      <c r="R26">
        <v>2000</v>
      </c>
      <c r="T26">
        <v>1300</v>
      </c>
      <c r="V26">
        <v>3000</v>
      </c>
      <c r="X26">
        <v>2000</v>
      </c>
    </row>
    <row r="27" spans="1:27" x14ac:dyDescent="0.25">
      <c r="D27">
        <v>1200</v>
      </c>
      <c r="F27">
        <v>2000</v>
      </c>
      <c r="H27">
        <v>1000</v>
      </c>
      <c r="J27">
        <v>1300</v>
      </c>
      <c r="N27">
        <v>2000</v>
      </c>
      <c r="P27">
        <v>1000</v>
      </c>
      <c r="T27">
        <f>2000*4.5</f>
        <v>9000</v>
      </c>
      <c r="V27">
        <v>2000</v>
      </c>
      <c r="X27">
        <v>3000</v>
      </c>
    </row>
    <row r="28" spans="1:27" x14ac:dyDescent="0.25">
      <c r="J28">
        <f>2000*4.5</f>
        <v>9000</v>
      </c>
      <c r="N28">
        <v>1200</v>
      </c>
      <c r="X28" t="s">
        <v>124</v>
      </c>
    </row>
    <row r="29" spans="1:27" x14ac:dyDescent="0.25">
      <c r="J29">
        <v>600</v>
      </c>
    </row>
    <row r="30" spans="1:27" x14ac:dyDescent="0.25">
      <c r="A30" t="s">
        <v>122</v>
      </c>
      <c r="B30">
        <v>3000</v>
      </c>
      <c r="C30" s="4">
        <v>1.0416666666666666E-2</v>
      </c>
      <c r="D30">
        <v>3000</v>
      </c>
      <c r="E30" s="4">
        <v>2.7777777777777776E-2</v>
      </c>
      <c r="F30">
        <v>3000</v>
      </c>
      <c r="G30" s="4">
        <v>4.1666666666666664E-2</v>
      </c>
      <c r="H30">
        <v>3000</v>
      </c>
      <c r="I30" s="4">
        <v>2.0833333333333332E-2</v>
      </c>
      <c r="J30">
        <v>1000</v>
      </c>
      <c r="K30" s="4">
        <v>5.2083333333333336E-2</v>
      </c>
      <c r="L30">
        <v>3000</v>
      </c>
      <c r="M30" s="4">
        <v>1.0416666666666666E-2</v>
      </c>
      <c r="N30">
        <v>3000</v>
      </c>
      <c r="O30" s="4">
        <v>3.125E-2</v>
      </c>
      <c r="P30">
        <v>3000</v>
      </c>
      <c r="Q30" s="4">
        <v>2.0833333333333332E-2</v>
      </c>
      <c r="R30">
        <v>4500</v>
      </c>
      <c r="S30" s="4">
        <v>2.0833333333333332E-2</v>
      </c>
      <c r="U30" s="4">
        <v>4.1666666666666664E-2</v>
      </c>
      <c r="V30">
        <v>2000</v>
      </c>
      <c r="W30" s="4">
        <v>2.0833333333333332E-2</v>
      </c>
      <c r="X30">
        <v>2000</v>
      </c>
      <c r="Y30" s="4">
        <v>2.7777777777777776E-2</v>
      </c>
      <c r="AA30" s="4">
        <v>4.1666666666666664E-2</v>
      </c>
    </row>
    <row r="31" spans="1:27" x14ac:dyDescent="0.25">
      <c r="D31">
        <v>1600</v>
      </c>
      <c r="F31">
        <v>1000</v>
      </c>
      <c r="H31">
        <v>2000</v>
      </c>
      <c r="J31">
        <v>1300</v>
      </c>
      <c r="N31">
        <v>3000</v>
      </c>
      <c r="P31">
        <v>2000</v>
      </c>
      <c r="R31">
        <v>600</v>
      </c>
      <c r="T31">
        <v>1300</v>
      </c>
      <c r="V31">
        <v>4500</v>
      </c>
      <c r="X31">
        <v>2000</v>
      </c>
    </row>
    <row r="32" spans="1:27" x14ac:dyDescent="0.25">
      <c r="F32">
        <v>1200</v>
      </c>
      <c r="J32">
        <f>3000*4.5</f>
        <v>13500</v>
      </c>
      <c r="N32">
        <v>2000</v>
      </c>
      <c r="T32">
        <f>3000*4.5</f>
        <v>13500</v>
      </c>
      <c r="X32">
        <v>4500</v>
      </c>
    </row>
    <row r="35" spans="1:27" x14ac:dyDescent="0.25">
      <c r="A35" t="s">
        <v>123</v>
      </c>
      <c r="B35">
        <v>4500</v>
      </c>
      <c r="C35" s="4">
        <v>1.0416666666666666E-2</v>
      </c>
      <c r="D35">
        <v>4500</v>
      </c>
      <c r="E35" s="4">
        <v>1.0416666666666666E-2</v>
      </c>
      <c r="F35">
        <v>4500</v>
      </c>
      <c r="G35" s="4">
        <v>2.0833333333333332E-2</v>
      </c>
      <c r="H35">
        <v>4500</v>
      </c>
      <c r="I35" s="4">
        <v>1.0416666666666666E-2</v>
      </c>
      <c r="J35">
        <v>4500</v>
      </c>
      <c r="K35" s="4">
        <v>5.2083333333333336E-2</v>
      </c>
      <c r="L35">
        <v>4500</v>
      </c>
      <c r="M35" s="4">
        <v>1.0416666666666666E-2</v>
      </c>
      <c r="N35">
        <v>4500</v>
      </c>
      <c r="O35" s="4">
        <v>2.0833333333333332E-2</v>
      </c>
      <c r="P35">
        <v>4500</v>
      </c>
      <c r="Q35" s="4">
        <v>1.0416666666666666E-2</v>
      </c>
      <c r="R35">
        <v>4500</v>
      </c>
      <c r="S35" s="4">
        <v>1.7361111111111112E-2</v>
      </c>
      <c r="T35">
        <v>1300</v>
      </c>
      <c r="U35" s="4">
        <v>4.1666666666666664E-2</v>
      </c>
      <c r="V35">
        <v>2000</v>
      </c>
      <c r="W35" s="4">
        <v>2.0833333333333332E-2</v>
      </c>
      <c r="X35">
        <v>2000</v>
      </c>
      <c r="Y35" s="4">
        <v>2.7777777777777776E-2</v>
      </c>
      <c r="AA35" s="4">
        <v>4.1666666666666664E-2</v>
      </c>
    </row>
    <row r="36" spans="1:27" x14ac:dyDescent="0.25">
      <c r="F36">
        <v>1000</v>
      </c>
      <c r="J36">
        <v>1300</v>
      </c>
      <c r="N36">
        <v>2400</v>
      </c>
      <c r="R36">
        <v>600</v>
      </c>
      <c r="T36">
        <f>3000*1.5*3</f>
        <v>13500</v>
      </c>
      <c r="V36">
        <v>4500</v>
      </c>
      <c r="X36">
        <v>2000</v>
      </c>
    </row>
    <row r="37" spans="1:27" x14ac:dyDescent="0.25">
      <c r="J37">
        <v>1000</v>
      </c>
      <c r="X37">
        <v>4500</v>
      </c>
    </row>
    <row r="38" spans="1:27" x14ac:dyDescent="0.25">
      <c r="J38">
        <v>1000</v>
      </c>
    </row>
    <row r="39" spans="1:27" x14ac:dyDescent="0.25">
      <c r="A39" t="s">
        <v>126</v>
      </c>
      <c r="D39" t="s">
        <v>75</v>
      </c>
      <c r="J39">
        <v>1200</v>
      </c>
    </row>
    <row r="40" spans="1:27" x14ac:dyDescent="0.25">
      <c r="J40">
        <v>600</v>
      </c>
    </row>
    <row r="41" spans="1:27" x14ac:dyDescent="0.25">
      <c r="B41" s="4">
        <v>6.25E-2</v>
      </c>
      <c r="D41" s="4">
        <v>2.7777777777777776E-2</v>
      </c>
    </row>
    <row r="42" spans="1:27" x14ac:dyDescent="0.25">
      <c r="B42" s="4">
        <v>8.3333333333333329E-2</v>
      </c>
      <c r="D42" s="4">
        <v>4.1666666666666664E-2</v>
      </c>
      <c r="J42">
        <f>SUM(J35:J41)</f>
        <v>9600</v>
      </c>
    </row>
    <row r="43" spans="1:27" x14ac:dyDescent="0.25">
      <c r="B43" s="4">
        <v>8.3333333333333329E-2</v>
      </c>
      <c r="D43" s="4">
        <v>6.25E-2</v>
      </c>
    </row>
    <row r="44" spans="1:27" x14ac:dyDescent="0.25">
      <c r="B44" s="4">
        <f>SUM(B41:B43)</f>
        <v>0.22916666666666663</v>
      </c>
      <c r="D44" s="4">
        <f>SUM(D41:D43)</f>
        <v>0.13194444444444445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U55"/>
  <sheetViews>
    <sheetView topLeftCell="B1" workbookViewId="0">
      <selection activeCell="Q6" sqref="Q6:Q45"/>
    </sheetView>
  </sheetViews>
  <sheetFormatPr defaultRowHeight="15" x14ac:dyDescent="0.25"/>
  <cols>
    <col min="2" max="2" width="18.42578125" customWidth="1"/>
    <col min="4" max="4" width="16.5703125" customWidth="1"/>
    <col min="6" max="6" width="18.140625" customWidth="1"/>
    <col min="8" max="8" width="17.85546875" customWidth="1"/>
    <col min="10" max="10" width="16.85546875" customWidth="1"/>
    <col min="11" max="11" width="9.140625" customWidth="1"/>
    <col min="12" max="12" width="17" customWidth="1"/>
    <col min="14" max="14" width="25.28515625" customWidth="1"/>
    <col min="16" max="16" width="20.140625" customWidth="1"/>
    <col min="20" max="20" width="14.7109375" customWidth="1"/>
  </cols>
  <sheetData>
    <row r="4" spans="1:21" x14ac:dyDescent="0.25">
      <c r="P4" t="s">
        <v>179</v>
      </c>
    </row>
    <row r="6" spans="1:21" x14ac:dyDescent="0.25">
      <c r="B6" s="1" t="s">
        <v>135</v>
      </c>
      <c r="C6" s="1"/>
      <c r="D6" s="1" t="s">
        <v>24</v>
      </c>
      <c r="E6" s="1"/>
      <c r="F6" s="1" t="s">
        <v>61</v>
      </c>
      <c r="G6" s="1"/>
      <c r="H6" s="1" t="s">
        <v>63</v>
      </c>
      <c r="I6" s="1"/>
      <c r="J6" s="1" t="s">
        <v>170</v>
      </c>
      <c r="K6" s="1"/>
      <c r="L6" s="1" t="s">
        <v>88</v>
      </c>
      <c r="N6" s="1" t="s">
        <v>180</v>
      </c>
      <c r="P6" s="1" t="s">
        <v>217</v>
      </c>
    </row>
    <row r="7" spans="1:21" x14ac:dyDescent="0.25">
      <c r="A7" t="s">
        <v>74</v>
      </c>
      <c r="B7" t="s">
        <v>0</v>
      </c>
      <c r="C7" s="4">
        <v>2.0833333333333332E-2</v>
      </c>
      <c r="D7" t="s">
        <v>0</v>
      </c>
      <c r="F7" t="s">
        <v>0</v>
      </c>
      <c r="H7" t="s">
        <v>0</v>
      </c>
      <c r="J7" t="s">
        <v>0</v>
      </c>
      <c r="L7" t="s">
        <v>0</v>
      </c>
      <c r="N7" t="s">
        <v>0</v>
      </c>
      <c r="P7" t="s">
        <v>0</v>
      </c>
    </row>
    <row r="8" spans="1:21" x14ac:dyDescent="0.25">
      <c r="B8" t="s">
        <v>4</v>
      </c>
      <c r="C8" s="4">
        <v>4.1666666666666664E-2</v>
      </c>
      <c r="D8" t="s">
        <v>4</v>
      </c>
      <c r="F8" t="s">
        <v>4</v>
      </c>
      <c r="H8" t="s">
        <v>4</v>
      </c>
      <c r="J8" t="s">
        <v>4</v>
      </c>
      <c r="L8" t="s">
        <v>4</v>
      </c>
      <c r="N8" t="s">
        <v>4</v>
      </c>
      <c r="P8" t="s">
        <v>4</v>
      </c>
      <c r="T8" t="s">
        <v>10</v>
      </c>
      <c r="U8">
        <v>40</v>
      </c>
    </row>
    <row r="9" spans="1:21" x14ac:dyDescent="0.25">
      <c r="B9" t="s">
        <v>143</v>
      </c>
      <c r="D9" t="s">
        <v>143</v>
      </c>
      <c r="F9" t="s">
        <v>143</v>
      </c>
      <c r="H9" t="s">
        <v>143</v>
      </c>
      <c r="J9" t="s">
        <v>143</v>
      </c>
      <c r="L9" t="s">
        <v>143</v>
      </c>
      <c r="N9" t="s">
        <v>143</v>
      </c>
      <c r="P9" t="s">
        <v>143</v>
      </c>
      <c r="S9">
        <v>22</v>
      </c>
      <c r="T9">
        <f>10000/3</f>
        <v>3333.3333333333335</v>
      </c>
      <c r="U9">
        <f>S9*1000+T9</f>
        <v>25333.333333333332</v>
      </c>
    </row>
    <row r="10" spans="1:21" x14ac:dyDescent="0.25">
      <c r="B10" t="s">
        <v>134</v>
      </c>
      <c r="D10" t="s">
        <v>134</v>
      </c>
      <c r="E10" s="4">
        <v>2.0833333333333332E-2</v>
      </c>
      <c r="F10" t="s">
        <v>134</v>
      </c>
      <c r="G10" s="4">
        <v>2.0833333333333332E-2</v>
      </c>
      <c r="H10" t="s">
        <v>134</v>
      </c>
      <c r="I10" s="4"/>
      <c r="J10" t="s">
        <v>134</v>
      </c>
      <c r="K10" s="4"/>
      <c r="L10" t="s">
        <v>134</v>
      </c>
      <c r="M10" s="4"/>
      <c r="N10" t="s">
        <v>134</v>
      </c>
      <c r="O10" s="4"/>
      <c r="P10" t="s">
        <v>134</v>
      </c>
      <c r="Q10" s="4"/>
    </row>
    <row r="11" spans="1:21" x14ac:dyDescent="0.25">
      <c r="B11" t="s">
        <v>152</v>
      </c>
      <c r="D11" t="s">
        <v>152</v>
      </c>
      <c r="F11" t="s">
        <v>152</v>
      </c>
      <c r="H11" t="s">
        <v>152</v>
      </c>
      <c r="J11" t="s">
        <v>152</v>
      </c>
      <c r="L11" t="s">
        <v>152</v>
      </c>
      <c r="N11" t="s">
        <v>152</v>
      </c>
      <c r="P11" t="s">
        <v>152</v>
      </c>
    </row>
    <row r="12" spans="1:21" x14ac:dyDescent="0.25">
      <c r="A12" t="s">
        <v>74</v>
      </c>
      <c r="B12" t="s">
        <v>145</v>
      </c>
      <c r="C12" s="4"/>
      <c r="D12" t="s">
        <v>145</v>
      </c>
      <c r="F12" t="s">
        <v>145</v>
      </c>
      <c r="H12" t="s">
        <v>145</v>
      </c>
      <c r="J12" t="s">
        <v>145</v>
      </c>
      <c r="L12" t="s">
        <v>145</v>
      </c>
      <c r="N12" t="s">
        <v>145</v>
      </c>
      <c r="P12" t="s">
        <v>145</v>
      </c>
    </row>
    <row r="13" spans="1:21" x14ac:dyDescent="0.25">
      <c r="B13" t="s">
        <v>136</v>
      </c>
      <c r="D13" t="s">
        <v>136</v>
      </c>
      <c r="F13" t="s">
        <v>136</v>
      </c>
      <c r="H13" t="s">
        <v>136</v>
      </c>
      <c r="I13" s="4"/>
      <c r="J13" t="s">
        <v>136</v>
      </c>
      <c r="L13" t="s">
        <v>136</v>
      </c>
      <c r="N13" t="s">
        <v>136</v>
      </c>
      <c r="P13" t="s">
        <v>136</v>
      </c>
    </row>
    <row r="14" spans="1:21" x14ac:dyDescent="0.25">
      <c r="A14" t="s">
        <v>74</v>
      </c>
      <c r="B14" t="s">
        <v>7</v>
      </c>
      <c r="C14" s="4">
        <v>0.14583333333333334</v>
      </c>
      <c r="D14" t="s">
        <v>7</v>
      </c>
      <c r="F14" t="s">
        <v>7</v>
      </c>
      <c r="H14" t="s">
        <v>7</v>
      </c>
      <c r="I14" s="4">
        <v>0.14583333333333334</v>
      </c>
      <c r="J14" t="s">
        <v>7</v>
      </c>
      <c r="K14" s="4">
        <v>0.14583333333333334</v>
      </c>
      <c r="L14" t="s">
        <v>7</v>
      </c>
      <c r="M14" s="4">
        <v>0.14583333333333334</v>
      </c>
      <c r="N14" t="s">
        <v>7</v>
      </c>
      <c r="O14" s="4">
        <v>0.14583333333333334</v>
      </c>
      <c r="P14" t="s">
        <v>7</v>
      </c>
      <c r="Q14" s="4">
        <v>0.14583333333333334</v>
      </c>
    </row>
    <row r="15" spans="1:21" x14ac:dyDescent="0.25">
      <c r="B15" t="s">
        <v>168</v>
      </c>
      <c r="C15" s="4">
        <v>2.7777777777777776E-2</v>
      </c>
      <c r="D15" t="s">
        <v>168</v>
      </c>
      <c r="F15" t="s">
        <v>168</v>
      </c>
      <c r="H15" t="s">
        <v>168</v>
      </c>
      <c r="I15" s="4">
        <v>2.7777777777777776E-2</v>
      </c>
      <c r="J15" t="s">
        <v>168</v>
      </c>
      <c r="K15" s="4">
        <v>2.7777777777777776E-2</v>
      </c>
      <c r="L15" t="s">
        <v>168</v>
      </c>
      <c r="M15" s="4">
        <v>2.7777777777777776E-2</v>
      </c>
      <c r="N15" t="s">
        <v>168</v>
      </c>
      <c r="O15" s="4">
        <v>2.7777777777777776E-2</v>
      </c>
      <c r="P15" t="s">
        <v>168</v>
      </c>
      <c r="Q15" s="4">
        <v>2.7777777777777776E-2</v>
      </c>
    </row>
    <row r="16" spans="1:21" x14ac:dyDescent="0.25">
      <c r="B16" t="s">
        <v>137</v>
      </c>
      <c r="C16" s="4">
        <v>2.0833333333333332E-2</v>
      </c>
      <c r="D16" t="s">
        <v>137</v>
      </c>
      <c r="E16" s="4">
        <v>2.0833333333333332E-2</v>
      </c>
      <c r="F16" t="s">
        <v>137</v>
      </c>
      <c r="G16" s="4">
        <v>2.0833333333333332E-2</v>
      </c>
      <c r="H16" t="s">
        <v>137</v>
      </c>
      <c r="I16" s="4">
        <v>2.0833333333333332E-2</v>
      </c>
      <c r="J16" t="s">
        <v>137</v>
      </c>
      <c r="K16" s="4">
        <v>2.0833333333333332E-2</v>
      </c>
      <c r="L16" t="s">
        <v>137</v>
      </c>
      <c r="M16" s="4">
        <v>2.0833333333333332E-2</v>
      </c>
      <c r="N16" t="s">
        <v>137</v>
      </c>
      <c r="O16" s="4">
        <v>2.0833333333333332E-2</v>
      </c>
      <c r="P16" t="s">
        <v>137</v>
      </c>
      <c r="Q16" s="4">
        <v>2.0833333333333332E-2</v>
      </c>
      <c r="T16" t="s">
        <v>154</v>
      </c>
    </row>
    <row r="17" spans="1:21" x14ac:dyDescent="0.25">
      <c r="B17" t="s">
        <v>8</v>
      </c>
      <c r="C17" s="4">
        <v>2.0833333333333332E-2</v>
      </c>
      <c r="D17" t="s">
        <v>8</v>
      </c>
      <c r="E17" s="4">
        <v>6.25E-2</v>
      </c>
      <c r="F17" t="s">
        <v>8</v>
      </c>
      <c r="G17" s="4">
        <v>6.25E-2</v>
      </c>
      <c r="H17" t="s">
        <v>8</v>
      </c>
      <c r="I17" s="4">
        <v>2.7777777777777776E-2</v>
      </c>
      <c r="J17" t="s">
        <v>8</v>
      </c>
      <c r="K17" s="4">
        <v>2.7777777777777776E-2</v>
      </c>
      <c r="L17" t="s">
        <v>8</v>
      </c>
      <c r="M17" s="4">
        <v>2.7777777777777776E-2</v>
      </c>
      <c r="N17" t="s">
        <v>8</v>
      </c>
      <c r="O17" s="4">
        <v>2.7777777777777776E-2</v>
      </c>
      <c r="P17" t="s">
        <v>8</v>
      </c>
      <c r="Q17" s="4">
        <v>2.7777777777777776E-2</v>
      </c>
      <c r="T17" s="1" t="s">
        <v>155</v>
      </c>
      <c r="U17" t="s">
        <v>156</v>
      </c>
    </row>
    <row r="18" spans="1:21" x14ac:dyDescent="0.25">
      <c r="B18" t="s">
        <v>153</v>
      </c>
      <c r="D18" t="s">
        <v>153</v>
      </c>
      <c r="E18" s="4">
        <v>2.7777777777777776E-2</v>
      </c>
      <c r="F18" t="s">
        <v>153</v>
      </c>
      <c r="G18" s="4">
        <v>2.7777777777777776E-2</v>
      </c>
      <c r="H18" t="s">
        <v>153</v>
      </c>
      <c r="J18" t="s">
        <v>153</v>
      </c>
      <c r="L18" t="s">
        <v>153</v>
      </c>
      <c r="N18" t="s">
        <v>153</v>
      </c>
      <c r="P18" t="s">
        <v>153</v>
      </c>
      <c r="U18" s="1" t="s">
        <v>157</v>
      </c>
    </row>
    <row r="19" spans="1:21" x14ac:dyDescent="0.25">
      <c r="B19" t="s">
        <v>116</v>
      </c>
      <c r="C19" s="4">
        <v>3.125E-2</v>
      </c>
      <c r="D19" t="s">
        <v>116</v>
      </c>
      <c r="E19" s="4">
        <v>8.3333333333333329E-2</v>
      </c>
      <c r="F19" t="s">
        <v>116</v>
      </c>
      <c r="G19" s="4">
        <v>8.3333333333333329E-2</v>
      </c>
      <c r="H19" t="s">
        <v>116</v>
      </c>
      <c r="I19" s="4">
        <v>3.125E-2</v>
      </c>
      <c r="J19" t="s">
        <v>116</v>
      </c>
      <c r="K19" s="4">
        <v>3.125E-2</v>
      </c>
      <c r="L19" t="s">
        <v>116</v>
      </c>
      <c r="M19" s="4">
        <v>3.125E-2</v>
      </c>
      <c r="N19" t="s">
        <v>116</v>
      </c>
      <c r="O19" s="4">
        <v>3.125E-2</v>
      </c>
      <c r="P19" t="s">
        <v>116</v>
      </c>
      <c r="Q19" s="4">
        <v>3.125E-2</v>
      </c>
      <c r="T19" t="s">
        <v>4</v>
      </c>
      <c r="U19" t="s">
        <v>158</v>
      </c>
    </row>
    <row r="20" spans="1:21" x14ac:dyDescent="0.25">
      <c r="B20" t="s">
        <v>138</v>
      </c>
      <c r="C20" s="4"/>
      <c r="D20" t="s">
        <v>138</v>
      </c>
      <c r="E20" s="4">
        <v>2.0833333333333332E-2</v>
      </c>
      <c r="F20" t="s">
        <v>138</v>
      </c>
      <c r="G20" s="4">
        <v>2.0833333333333332E-2</v>
      </c>
      <c r="H20" t="s">
        <v>138</v>
      </c>
      <c r="I20" s="4">
        <v>2.0833333333333332E-2</v>
      </c>
      <c r="J20" t="s">
        <v>138</v>
      </c>
      <c r="K20" s="4">
        <v>2.0833333333333332E-2</v>
      </c>
      <c r="L20" t="s">
        <v>138</v>
      </c>
      <c r="M20" s="4">
        <v>2.0833333333333332E-2</v>
      </c>
      <c r="N20" t="s">
        <v>138</v>
      </c>
      <c r="O20" s="4"/>
      <c r="P20" t="s">
        <v>138</v>
      </c>
      <c r="Q20" s="4"/>
    </row>
    <row r="21" spans="1:21" x14ac:dyDescent="0.25">
      <c r="B21" t="s">
        <v>139</v>
      </c>
      <c r="C21" s="4"/>
      <c r="D21" t="s">
        <v>139</v>
      </c>
      <c r="E21" s="4">
        <v>3.125E-2</v>
      </c>
      <c r="F21" t="s">
        <v>139</v>
      </c>
      <c r="G21" s="4">
        <v>3.125E-2</v>
      </c>
      <c r="H21" t="s">
        <v>139</v>
      </c>
      <c r="I21" s="4">
        <v>3.125E-2</v>
      </c>
      <c r="J21" t="s">
        <v>139</v>
      </c>
      <c r="K21" s="4">
        <v>3.125E-2</v>
      </c>
      <c r="L21" t="s">
        <v>139</v>
      </c>
      <c r="M21" s="4">
        <v>3.125E-2</v>
      </c>
      <c r="N21" t="s">
        <v>139</v>
      </c>
      <c r="O21" s="4"/>
      <c r="P21" t="s">
        <v>139</v>
      </c>
      <c r="Q21" s="4"/>
    </row>
    <row r="22" spans="1:21" x14ac:dyDescent="0.25">
      <c r="B22" t="s">
        <v>140</v>
      </c>
      <c r="C22" s="4"/>
      <c r="D22" t="s">
        <v>140</v>
      </c>
      <c r="E22" s="4">
        <v>2.0833333333333332E-2</v>
      </c>
      <c r="F22" t="s">
        <v>140</v>
      </c>
      <c r="G22" s="4">
        <v>2.0833333333333332E-2</v>
      </c>
      <c r="H22" t="s">
        <v>140</v>
      </c>
      <c r="I22" s="4">
        <v>2.0833333333333332E-2</v>
      </c>
      <c r="J22" t="s">
        <v>140</v>
      </c>
      <c r="K22" s="4">
        <v>2.0833333333333332E-2</v>
      </c>
      <c r="L22" t="s">
        <v>140</v>
      </c>
      <c r="M22" s="4">
        <v>2.0833333333333332E-2</v>
      </c>
      <c r="N22" t="s">
        <v>140</v>
      </c>
      <c r="O22" s="4"/>
      <c r="P22" t="s">
        <v>140</v>
      </c>
      <c r="Q22" s="4"/>
    </row>
    <row r="23" spans="1:21" x14ac:dyDescent="0.25">
      <c r="B23" t="s">
        <v>10</v>
      </c>
      <c r="C23" s="4">
        <v>4.1666666666666664E-2</v>
      </c>
      <c r="D23" t="s">
        <v>10</v>
      </c>
      <c r="E23" s="4">
        <v>8.3333333333333329E-2</v>
      </c>
      <c r="F23" t="s">
        <v>10</v>
      </c>
      <c r="G23" s="4">
        <v>8.3333333333333329E-2</v>
      </c>
      <c r="H23" t="s">
        <v>10</v>
      </c>
      <c r="I23" s="4">
        <v>4.1666666666666664E-2</v>
      </c>
      <c r="J23" t="s">
        <v>10</v>
      </c>
      <c r="K23" s="4">
        <v>4.1666666666666664E-2</v>
      </c>
      <c r="L23" t="s">
        <v>10</v>
      </c>
      <c r="M23" s="4">
        <v>4.1666666666666664E-2</v>
      </c>
      <c r="N23" t="s">
        <v>10</v>
      </c>
      <c r="O23" s="4">
        <v>4.1666666666666664E-2</v>
      </c>
      <c r="P23" t="s">
        <v>10</v>
      </c>
      <c r="Q23" s="4">
        <v>4.1666666666666664E-2</v>
      </c>
      <c r="T23" t="s">
        <v>159</v>
      </c>
    </row>
    <row r="24" spans="1:21" x14ac:dyDescent="0.25">
      <c r="A24" t="s">
        <v>74</v>
      </c>
      <c r="B24" t="s">
        <v>182</v>
      </c>
      <c r="C24" s="4"/>
      <c r="D24" t="s">
        <v>182</v>
      </c>
      <c r="E24" s="4">
        <v>4.1666666666666664E-2</v>
      </c>
      <c r="F24" t="s">
        <v>182</v>
      </c>
      <c r="G24" s="4">
        <v>4.1666666666666664E-2</v>
      </c>
      <c r="H24" t="s">
        <v>182</v>
      </c>
      <c r="I24" s="4">
        <v>4.1666666666666664E-2</v>
      </c>
      <c r="J24" t="s">
        <v>182</v>
      </c>
      <c r="K24" s="4">
        <v>4.1666666666666664E-2</v>
      </c>
      <c r="L24" t="s">
        <v>182</v>
      </c>
      <c r="M24" s="4">
        <v>4.1666666666666664E-2</v>
      </c>
      <c r="N24" t="s">
        <v>182</v>
      </c>
      <c r="P24" t="s">
        <v>182</v>
      </c>
      <c r="T24" t="s">
        <v>160</v>
      </c>
      <c r="U24" t="s">
        <v>161</v>
      </c>
    </row>
    <row r="25" spans="1:21" x14ac:dyDescent="0.25">
      <c r="B25" t="s">
        <v>141</v>
      </c>
      <c r="D25" t="s">
        <v>141</v>
      </c>
      <c r="F25" t="s">
        <v>141</v>
      </c>
      <c r="H25" t="s">
        <v>141</v>
      </c>
      <c r="I25" s="4">
        <v>6.25E-2</v>
      </c>
      <c r="J25" t="s">
        <v>141</v>
      </c>
      <c r="L25" t="s">
        <v>141</v>
      </c>
      <c r="N25" t="s">
        <v>141</v>
      </c>
      <c r="P25" t="s">
        <v>141</v>
      </c>
      <c r="U25" t="s">
        <v>162</v>
      </c>
    </row>
    <row r="26" spans="1:21" x14ac:dyDescent="0.25">
      <c r="A26" t="s">
        <v>74</v>
      </c>
      <c r="B26" t="s">
        <v>142</v>
      </c>
      <c r="C26" s="4">
        <v>2.7777777777777776E-2</v>
      </c>
      <c r="D26" t="s">
        <v>142</v>
      </c>
      <c r="E26" s="4">
        <v>2.7777777777777776E-2</v>
      </c>
      <c r="F26" t="s">
        <v>142</v>
      </c>
      <c r="G26" s="4">
        <v>2.7777777777777776E-2</v>
      </c>
      <c r="H26" t="s">
        <v>142</v>
      </c>
      <c r="I26" s="4">
        <v>2.7777777777777776E-2</v>
      </c>
      <c r="J26" t="s">
        <v>142</v>
      </c>
      <c r="K26" s="4">
        <v>2.7777777777777776E-2</v>
      </c>
      <c r="L26" t="s">
        <v>177</v>
      </c>
      <c r="M26" s="4">
        <v>2.7777777777777776E-2</v>
      </c>
      <c r="N26" t="s">
        <v>177</v>
      </c>
      <c r="O26" s="4">
        <v>2.7777777777777776E-2</v>
      </c>
      <c r="P26" t="s">
        <v>177</v>
      </c>
      <c r="Q26" s="4">
        <v>2.7777777777777776E-2</v>
      </c>
      <c r="T26" t="s">
        <v>163</v>
      </c>
      <c r="U26" t="s">
        <v>162</v>
      </c>
    </row>
    <row r="27" spans="1:21" x14ac:dyDescent="0.25">
      <c r="B27" t="s">
        <v>149</v>
      </c>
      <c r="C27" s="4">
        <v>6.9444444444444441E-3</v>
      </c>
      <c r="D27" t="s">
        <v>149</v>
      </c>
      <c r="E27" s="4">
        <v>6.9444444444444441E-3</v>
      </c>
      <c r="F27" t="s">
        <v>149</v>
      </c>
      <c r="G27" s="4">
        <v>1.0416666666666666E-2</v>
      </c>
      <c r="H27" t="s">
        <v>150</v>
      </c>
      <c r="I27" s="4">
        <v>6.9444444444444441E-3</v>
      </c>
      <c r="J27" t="s">
        <v>149</v>
      </c>
      <c r="K27" s="4">
        <v>1.0416666666666666E-2</v>
      </c>
      <c r="L27" t="s">
        <v>149</v>
      </c>
      <c r="M27" s="4"/>
      <c r="N27" t="s">
        <v>149</v>
      </c>
      <c r="O27" s="4"/>
      <c r="P27" t="s">
        <v>149</v>
      </c>
      <c r="Q27" s="4">
        <v>2.0833333333333332E-2</v>
      </c>
      <c r="T27" s="1" t="s">
        <v>164</v>
      </c>
      <c r="U27" s="1" t="s">
        <v>156</v>
      </c>
    </row>
    <row r="28" spans="1:21" x14ac:dyDescent="0.25">
      <c r="B28" t="s">
        <v>144</v>
      </c>
      <c r="D28" t="s">
        <v>144</v>
      </c>
      <c r="F28" t="s">
        <v>144</v>
      </c>
      <c r="G28" s="4">
        <v>1.3888888888888888E-2</v>
      </c>
      <c r="H28" t="s">
        <v>144</v>
      </c>
      <c r="I28" s="4"/>
      <c r="J28" t="s">
        <v>144</v>
      </c>
      <c r="K28" s="4">
        <v>1.3888888888888888E-2</v>
      </c>
      <c r="L28" t="s">
        <v>144</v>
      </c>
      <c r="M28" s="4">
        <v>1.3888888888888888E-2</v>
      </c>
      <c r="N28" t="s">
        <v>144</v>
      </c>
      <c r="O28" s="4">
        <v>1.3888888888888888E-2</v>
      </c>
      <c r="P28" t="s">
        <v>144</v>
      </c>
      <c r="Q28" s="4">
        <v>1.3888888888888888E-2</v>
      </c>
      <c r="U28" s="1" t="s">
        <v>165</v>
      </c>
    </row>
    <row r="29" spans="1:21" x14ac:dyDescent="0.25">
      <c r="B29" t="s">
        <v>11</v>
      </c>
      <c r="C29" s="4">
        <v>1.3888888888888888E-2</v>
      </c>
      <c r="D29" t="s">
        <v>11</v>
      </c>
      <c r="E29" s="4">
        <v>3.125E-2</v>
      </c>
      <c r="F29" t="s">
        <v>11</v>
      </c>
      <c r="G29" s="4">
        <v>3.125E-2</v>
      </c>
      <c r="H29" t="s">
        <v>11</v>
      </c>
      <c r="I29" s="4">
        <v>3.125E-2</v>
      </c>
      <c r="J29" t="s">
        <v>11</v>
      </c>
      <c r="K29" s="4">
        <v>3.125E-2</v>
      </c>
      <c r="L29" t="s">
        <v>11</v>
      </c>
      <c r="M29" s="4">
        <v>2.0833333333333332E-2</v>
      </c>
      <c r="N29" t="s">
        <v>11</v>
      </c>
      <c r="O29" s="4">
        <v>2.0833333333333332E-2</v>
      </c>
      <c r="P29" t="s">
        <v>11</v>
      </c>
      <c r="Q29" s="4">
        <v>3.125E-2</v>
      </c>
      <c r="U29" s="1" t="s">
        <v>169</v>
      </c>
    </row>
    <row r="30" spans="1:21" x14ac:dyDescent="0.25">
      <c r="B30" t="s">
        <v>151</v>
      </c>
      <c r="C30" s="4"/>
      <c r="D30" t="s">
        <v>151</v>
      </c>
      <c r="E30" s="4">
        <v>4.1666666666666664E-2</v>
      </c>
      <c r="F30" t="s">
        <v>151</v>
      </c>
      <c r="G30" s="4">
        <v>2.7777777777777776E-2</v>
      </c>
      <c r="H30" t="s">
        <v>151</v>
      </c>
      <c r="I30" s="4">
        <v>4.1666666666666664E-2</v>
      </c>
      <c r="J30" t="s">
        <v>151</v>
      </c>
      <c r="K30" s="4">
        <v>2.7777777777777776E-2</v>
      </c>
      <c r="L30" t="s">
        <v>151</v>
      </c>
      <c r="M30" s="4"/>
      <c r="N30" t="s">
        <v>151</v>
      </c>
      <c r="O30" s="4"/>
      <c r="P30" t="s">
        <v>151</v>
      </c>
      <c r="Q30" s="4"/>
      <c r="T30" t="s">
        <v>166</v>
      </c>
      <c r="U30" t="s">
        <v>167</v>
      </c>
    </row>
    <row r="31" spans="1:21" x14ac:dyDescent="0.25">
      <c r="B31" t="s">
        <v>13</v>
      </c>
      <c r="C31" s="4">
        <v>5.2083333333333336E-2</v>
      </c>
      <c r="D31" t="s">
        <v>13</v>
      </c>
      <c r="E31" s="4">
        <v>0.10416666666666667</v>
      </c>
      <c r="F31" t="s">
        <v>13</v>
      </c>
      <c r="G31" s="4">
        <v>6.25E-2</v>
      </c>
      <c r="H31" t="s">
        <v>13</v>
      </c>
      <c r="I31" s="4">
        <v>0.10416666666666667</v>
      </c>
      <c r="J31" t="s">
        <v>13</v>
      </c>
      <c r="K31" s="4">
        <v>6.25E-2</v>
      </c>
      <c r="L31" t="s">
        <v>13</v>
      </c>
      <c r="M31" s="4">
        <v>0.10416666666666667</v>
      </c>
      <c r="N31" t="s">
        <v>13</v>
      </c>
      <c r="O31" s="4">
        <v>0.10416666666666667</v>
      </c>
      <c r="P31" t="s">
        <v>13</v>
      </c>
      <c r="Q31" s="4">
        <v>0.10416666666666667</v>
      </c>
    </row>
    <row r="32" spans="1:21" x14ac:dyDescent="0.25">
      <c r="B32" t="s">
        <v>148</v>
      </c>
      <c r="C32" s="4"/>
      <c r="D32" t="s">
        <v>148</v>
      </c>
      <c r="E32" s="4">
        <v>4.1666666666666664E-2</v>
      </c>
      <c r="F32" t="s">
        <v>148</v>
      </c>
      <c r="H32" t="s">
        <v>148</v>
      </c>
      <c r="J32" t="s">
        <v>148</v>
      </c>
      <c r="L32" t="s">
        <v>148</v>
      </c>
      <c r="N32" t="s">
        <v>148</v>
      </c>
      <c r="P32" t="s">
        <v>148</v>
      </c>
      <c r="Q32" s="4"/>
    </row>
    <row r="33" spans="2:21" x14ac:dyDescent="0.25">
      <c r="B33" t="s">
        <v>21</v>
      </c>
      <c r="D33" t="s">
        <v>21</v>
      </c>
      <c r="F33" t="s">
        <v>21</v>
      </c>
      <c r="H33" t="s">
        <v>21</v>
      </c>
      <c r="I33" s="4">
        <v>3.125E-2</v>
      </c>
      <c r="J33" t="s">
        <v>21</v>
      </c>
      <c r="L33" t="s">
        <v>21</v>
      </c>
      <c r="N33" t="s">
        <v>21</v>
      </c>
      <c r="P33" t="s">
        <v>21</v>
      </c>
    </row>
    <row r="34" spans="2:21" x14ac:dyDescent="0.25">
      <c r="B34" t="s">
        <v>17</v>
      </c>
      <c r="C34" s="4">
        <v>2.0833333333333332E-2</v>
      </c>
      <c r="D34" t="s">
        <v>17</v>
      </c>
      <c r="E34" s="4">
        <v>2.7777777777777776E-2</v>
      </c>
      <c r="F34" t="s">
        <v>17</v>
      </c>
      <c r="G34" s="4">
        <v>2.0833333333333332E-2</v>
      </c>
      <c r="H34" t="s">
        <v>17</v>
      </c>
      <c r="I34" s="4">
        <v>6.9444444444444441E-3</v>
      </c>
      <c r="J34" t="s">
        <v>17</v>
      </c>
      <c r="K34" s="4">
        <v>2.0833333333333332E-2</v>
      </c>
      <c r="L34" t="s">
        <v>17</v>
      </c>
      <c r="M34" s="4">
        <v>6.9444444444444441E-3</v>
      </c>
      <c r="N34" t="s">
        <v>17</v>
      </c>
      <c r="O34" s="4">
        <v>6.9444444444444441E-3</v>
      </c>
      <c r="P34" t="s">
        <v>17</v>
      </c>
      <c r="Q34" s="4">
        <v>1.7361111111111112E-2</v>
      </c>
    </row>
    <row r="35" spans="2:21" x14ac:dyDescent="0.25">
      <c r="B35" t="s">
        <v>18</v>
      </c>
      <c r="C35" s="4">
        <v>2.0833333333333332E-2</v>
      </c>
      <c r="D35" t="s">
        <v>18</v>
      </c>
      <c r="E35" s="4">
        <v>4.1666666666666664E-2</v>
      </c>
      <c r="F35" t="s">
        <v>18</v>
      </c>
      <c r="G35" s="4">
        <v>4.1666666666666664E-2</v>
      </c>
      <c r="H35" t="s">
        <v>18</v>
      </c>
      <c r="I35" s="4">
        <v>2.0833333333333332E-2</v>
      </c>
      <c r="J35" t="s">
        <v>18</v>
      </c>
      <c r="K35" s="4">
        <v>4.1666666666666664E-2</v>
      </c>
      <c r="L35" t="s">
        <v>18</v>
      </c>
      <c r="M35" s="4">
        <v>3.125E-2</v>
      </c>
      <c r="N35" t="s">
        <v>18</v>
      </c>
      <c r="O35" s="4">
        <v>3.125E-2</v>
      </c>
      <c r="P35" t="s">
        <v>18</v>
      </c>
      <c r="Q35" s="4">
        <v>3.125E-2</v>
      </c>
    </row>
    <row r="36" spans="2:21" x14ac:dyDescent="0.25">
      <c r="B36" t="s">
        <v>153</v>
      </c>
      <c r="D36" t="s">
        <v>153</v>
      </c>
      <c r="E36" s="4">
        <v>2.0833333333333332E-2</v>
      </c>
      <c r="F36" t="s">
        <v>153</v>
      </c>
      <c r="G36" s="4">
        <v>2.0833333333333332E-2</v>
      </c>
      <c r="H36" t="s">
        <v>153</v>
      </c>
      <c r="J36" t="s">
        <v>153</v>
      </c>
      <c r="K36" s="4">
        <v>2.0833333333333332E-2</v>
      </c>
      <c r="L36" t="s">
        <v>153</v>
      </c>
      <c r="M36" s="4"/>
      <c r="N36" t="s">
        <v>153</v>
      </c>
      <c r="O36" s="4"/>
      <c r="P36" t="s">
        <v>153</v>
      </c>
      <c r="Q36" s="4"/>
      <c r="T36" t="s">
        <v>178</v>
      </c>
    </row>
    <row r="37" spans="2:21" x14ac:dyDescent="0.25">
      <c r="B37" t="s">
        <v>19</v>
      </c>
      <c r="C37" s="4">
        <v>2.0833333333333332E-2</v>
      </c>
      <c r="D37" t="s">
        <v>19</v>
      </c>
      <c r="E37" s="4">
        <v>3.125E-2</v>
      </c>
      <c r="F37" t="s">
        <v>19</v>
      </c>
      <c r="G37" s="4">
        <v>3.125E-2</v>
      </c>
      <c r="H37" t="s">
        <v>19</v>
      </c>
      <c r="I37" s="4">
        <v>2.0833333333333332E-2</v>
      </c>
      <c r="J37" t="s">
        <v>19</v>
      </c>
      <c r="K37" s="4">
        <v>3.125E-2</v>
      </c>
      <c r="L37" t="s">
        <v>19</v>
      </c>
      <c r="M37" s="4">
        <v>2.0833333333333332E-2</v>
      </c>
      <c r="N37" t="s">
        <v>19</v>
      </c>
      <c r="O37" s="4">
        <v>2.0833333333333332E-2</v>
      </c>
      <c r="P37" t="s">
        <v>19</v>
      </c>
      <c r="Q37" s="4">
        <v>2.0833333333333332E-2</v>
      </c>
      <c r="T37">
        <f>6*6900</f>
        <v>41400</v>
      </c>
      <c r="U37">
        <f>33000+T37</f>
        <v>74400</v>
      </c>
    </row>
    <row r="38" spans="2:21" x14ac:dyDescent="0.25">
      <c r="B38" t="s">
        <v>181</v>
      </c>
      <c r="C38" s="4"/>
      <c r="D38" t="s">
        <v>181</v>
      </c>
      <c r="E38" s="4">
        <v>2.0833333333333332E-2</v>
      </c>
      <c r="F38" t="s">
        <v>181</v>
      </c>
      <c r="G38" s="4">
        <v>2.0833333333333332E-2</v>
      </c>
      <c r="H38" t="s">
        <v>181</v>
      </c>
      <c r="I38" s="4">
        <v>2.0833333333333332E-2</v>
      </c>
      <c r="J38" t="s">
        <v>181</v>
      </c>
      <c r="K38" s="4">
        <v>2.0833333333333332E-2</v>
      </c>
      <c r="L38" t="s">
        <v>181</v>
      </c>
      <c r="M38" s="4"/>
      <c r="N38" t="s">
        <v>181</v>
      </c>
      <c r="O38" s="4"/>
      <c r="P38" t="s">
        <v>181</v>
      </c>
      <c r="Q38" s="4"/>
      <c r="T38">
        <f>T37/2</f>
        <v>20700</v>
      </c>
      <c r="U38">
        <f>33000+T38</f>
        <v>53700</v>
      </c>
    </row>
    <row r="39" spans="2:21" x14ac:dyDescent="0.25">
      <c r="B39" t="s">
        <v>117</v>
      </c>
      <c r="C39" s="4">
        <v>2.0833333333333332E-2</v>
      </c>
      <c r="D39" t="s">
        <v>117</v>
      </c>
      <c r="E39" s="4">
        <v>2.0833333333333332E-2</v>
      </c>
      <c r="F39" t="s">
        <v>117</v>
      </c>
      <c r="G39" s="4">
        <v>2.0833333333333332E-2</v>
      </c>
      <c r="H39" t="s">
        <v>117</v>
      </c>
      <c r="I39" s="4">
        <v>2.0833333333333332E-2</v>
      </c>
      <c r="J39" t="s">
        <v>117</v>
      </c>
      <c r="K39" s="4">
        <v>2.0833333333333332E-2</v>
      </c>
      <c r="L39" t="s">
        <v>117</v>
      </c>
      <c r="M39" s="4">
        <v>2.0833333333333332E-2</v>
      </c>
      <c r="N39" t="s">
        <v>117</v>
      </c>
      <c r="O39" s="4">
        <v>2.0833333333333332E-2</v>
      </c>
      <c r="P39" t="s">
        <v>117</v>
      </c>
      <c r="Q39" s="4">
        <v>2.0833333333333332E-2</v>
      </c>
      <c r="T39">
        <f>T37/3</f>
        <v>13800</v>
      </c>
      <c r="U39">
        <f>33000+T39</f>
        <v>46800</v>
      </c>
    </row>
    <row r="40" spans="2:21" x14ac:dyDescent="0.25">
      <c r="B40" t="s">
        <v>146</v>
      </c>
      <c r="C40" s="4">
        <v>3.125E-2</v>
      </c>
      <c r="D40" t="s">
        <v>146</v>
      </c>
      <c r="E40" s="4">
        <v>3.125E-2</v>
      </c>
      <c r="F40" t="s">
        <v>146</v>
      </c>
      <c r="G40" s="4">
        <v>5.2083333333333336E-2</v>
      </c>
      <c r="H40" t="s">
        <v>146</v>
      </c>
      <c r="I40" s="4">
        <v>3.125E-2</v>
      </c>
      <c r="J40" t="s">
        <v>146</v>
      </c>
      <c r="K40" s="4">
        <v>5.2083333333333336E-2</v>
      </c>
      <c r="L40" t="s">
        <v>146</v>
      </c>
      <c r="M40" s="4">
        <v>5.2083333333333336E-2</v>
      </c>
      <c r="N40" t="s">
        <v>146</v>
      </c>
      <c r="O40" s="4">
        <v>5.2083333333333336E-2</v>
      </c>
      <c r="P40" t="s">
        <v>146</v>
      </c>
      <c r="Q40" s="4">
        <v>3.125E-2</v>
      </c>
    </row>
    <row r="41" spans="2:21" x14ac:dyDescent="0.25">
      <c r="B41" t="s">
        <v>171</v>
      </c>
      <c r="C41" s="4">
        <v>1.3888888888888888E-2</v>
      </c>
      <c r="D41" t="s">
        <v>171</v>
      </c>
      <c r="E41" s="4">
        <v>1.3888888888888888E-2</v>
      </c>
      <c r="F41" t="s">
        <v>171</v>
      </c>
      <c r="G41" s="4">
        <v>2.0833333333333332E-2</v>
      </c>
      <c r="H41" t="s">
        <v>171</v>
      </c>
      <c r="I41" s="4">
        <v>1.3888888888888888E-2</v>
      </c>
      <c r="J41" t="s">
        <v>171</v>
      </c>
      <c r="K41" s="4">
        <v>2.0833333333333332E-2</v>
      </c>
      <c r="L41" t="s">
        <v>171</v>
      </c>
      <c r="M41" s="4">
        <v>1.3888888888888888E-2</v>
      </c>
      <c r="N41" t="s">
        <v>171</v>
      </c>
      <c r="O41" s="4">
        <v>1.3888888888888888E-2</v>
      </c>
      <c r="P41" t="s">
        <v>171</v>
      </c>
      <c r="Q41" s="4">
        <v>1.3888888888888888E-2</v>
      </c>
    </row>
    <row r="42" spans="2:21" x14ac:dyDescent="0.25">
      <c r="B42" t="s">
        <v>117</v>
      </c>
      <c r="C42" s="4">
        <v>3.125E-2</v>
      </c>
      <c r="D42" t="s">
        <v>117</v>
      </c>
      <c r="E42" s="4">
        <v>3.125E-2</v>
      </c>
      <c r="F42" t="s">
        <v>117</v>
      </c>
      <c r="G42" s="4">
        <v>3.125E-2</v>
      </c>
      <c r="H42" t="s">
        <v>117</v>
      </c>
      <c r="I42" s="4">
        <v>2.0833333333333332E-2</v>
      </c>
      <c r="J42" t="s">
        <v>117</v>
      </c>
      <c r="K42" s="4">
        <v>3.125E-2</v>
      </c>
      <c r="L42" t="s">
        <v>117</v>
      </c>
      <c r="M42" s="4">
        <v>3.125E-2</v>
      </c>
      <c r="N42" t="s">
        <v>117</v>
      </c>
      <c r="O42" s="4">
        <v>3.125E-2</v>
      </c>
      <c r="P42" t="s">
        <v>117</v>
      </c>
      <c r="Q42" s="4">
        <v>3.125E-2</v>
      </c>
      <c r="T42" t="s">
        <v>172</v>
      </c>
    </row>
    <row r="43" spans="2:21" x14ac:dyDescent="0.25">
      <c r="B43" t="s">
        <v>119</v>
      </c>
      <c r="C43" s="4">
        <v>4.1666666666666664E-2</v>
      </c>
      <c r="D43" t="s">
        <v>119</v>
      </c>
      <c r="E43" s="4">
        <v>4.1666666666666664E-2</v>
      </c>
      <c r="F43" t="s">
        <v>119</v>
      </c>
      <c r="G43" s="4">
        <v>4.1666666666666664E-2</v>
      </c>
      <c r="H43" t="s">
        <v>119</v>
      </c>
      <c r="I43" s="4">
        <v>2.7777777777777776E-2</v>
      </c>
      <c r="J43" t="s">
        <v>119</v>
      </c>
      <c r="K43" s="4">
        <v>4.1666666666666664E-2</v>
      </c>
      <c r="L43" t="s">
        <v>119</v>
      </c>
      <c r="M43" s="4">
        <v>4.1666666666666664E-2</v>
      </c>
      <c r="N43" t="s">
        <v>119</v>
      </c>
      <c r="O43" s="4">
        <v>4.1666666666666664E-2</v>
      </c>
      <c r="P43" t="s">
        <v>119</v>
      </c>
      <c r="Q43" s="4">
        <v>4.1666666666666664E-2</v>
      </c>
      <c r="T43">
        <f>8000*6</f>
        <v>48000</v>
      </c>
      <c r="U43">
        <f>T43+31000</f>
        <v>79000</v>
      </c>
    </row>
    <row r="44" spans="2:21" x14ac:dyDescent="0.25">
      <c r="B44" t="s">
        <v>147</v>
      </c>
      <c r="C44" s="4">
        <v>0.10416666666666667</v>
      </c>
      <c r="D44" t="s">
        <v>147</v>
      </c>
      <c r="E44" s="4">
        <v>6.25E-2</v>
      </c>
      <c r="F44" t="s">
        <v>147</v>
      </c>
      <c r="G44" s="4">
        <v>6.25E-2</v>
      </c>
      <c r="H44" t="s">
        <v>147</v>
      </c>
      <c r="I44" s="4">
        <v>4.1666666666666664E-2</v>
      </c>
      <c r="J44" t="s">
        <v>147</v>
      </c>
      <c r="K44" s="4">
        <v>6.25E-2</v>
      </c>
      <c r="L44" t="s">
        <v>147</v>
      </c>
      <c r="M44" s="4">
        <v>6.25E-2</v>
      </c>
      <c r="N44" t="s">
        <v>147</v>
      </c>
      <c r="O44" s="4">
        <v>6.25E-2</v>
      </c>
      <c r="P44" t="s">
        <v>147</v>
      </c>
      <c r="Q44" s="4">
        <v>0.10416666666666667</v>
      </c>
      <c r="T44">
        <f>T43/2</f>
        <v>24000</v>
      </c>
      <c r="U44">
        <f>T44+31000</f>
        <v>55000</v>
      </c>
    </row>
    <row r="45" spans="2:21" x14ac:dyDescent="0.25">
      <c r="B45" s="1" t="s">
        <v>15</v>
      </c>
      <c r="C45" s="10">
        <f>SUM(C7:C44)</f>
        <v>0.75694444444444431</v>
      </c>
      <c r="D45" s="1"/>
      <c r="E45" s="10">
        <f>SUM(E7:E44)</f>
        <v>1.0104166666666665</v>
      </c>
      <c r="F45" s="1"/>
      <c r="G45" s="10">
        <f>SUM(G7:G44)</f>
        <v>0.95138888888888895</v>
      </c>
      <c r="H45" s="1"/>
      <c r="I45" s="10">
        <f>SUM(I7:I44)</f>
        <v>0.94097222222222221</v>
      </c>
      <c r="J45" s="1"/>
      <c r="K45" s="10">
        <f>SUM(K7:K44)</f>
        <v>0.94791666666666685</v>
      </c>
      <c r="L45" s="1"/>
      <c r="M45" s="10">
        <f>SUM(M7:M44)</f>
        <v>0.85763888888888884</v>
      </c>
      <c r="N45" s="1"/>
      <c r="O45" s="10">
        <f>SUM(O7:O44)</f>
        <v>0.74305555555555558</v>
      </c>
      <c r="P45" s="1"/>
      <c r="Q45" s="10">
        <f>SUM(Q7:Q44)</f>
        <v>0.80555555555555558</v>
      </c>
      <c r="T45">
        <f>T43/3</f>
        <v>16000</v>
      </c>
      <c r="U45">
        <f>T45+31000</f>
        <v>47000</v>
      </c>
    </row>
    <row r="49" spans="8:21" x14ac:dyDescent="0.25">
      <c r="H49" t="s">
        <v>17</v>
      </c>
    </row>
    <row r="50" spans="8:21" x14ac:dyDescent="0.25">
      <c r="H50">
        <v>1000</v>
      </c>
    </row>
    <row r="53" spans="8:21" x14ac:dyDescent="0.25">
      <c r="R53" t="s">
        <v>173</v>
      </c>
      <c r="U53" t="s">
        <v>176</v>
      </c>
    </row>
    <row r="54" spans="8:21" x14ac:dyDescent="0.25">
      <c r="R54" t="s">
        <v>174</v>
      </c>
    </row>
    <row r="55" spans="8:21" x14ac:dyDescent="0.25">
      <c r="R55" t="s">
        <v>175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7:G30"/>
  <sheetViews>
    <sheetView topLeftCell="A4" workbookViewId="0">
      <selection activeCell="M23" sqref="M23"/>
    </sheetView>
  </sheetViews>
  <sheetFormatPr defaultRowHeight="15" x14ac:dyDescent="0.25"/>
  <cols>
    <col min="3" max="3" width="26.28515625" customWidth="1"/>
    <col min="6" max="6" width="18.28515625" customWidth="1"/>
  </cols>
  <sheetData>
    <row r="7" spans="3:7" x14ac:dyDescent="0.25">
      <c r="C7" s="1" t="s">
        <v>135</v>
      </c>
      <c r="D7" s="1"/>
      <c r="F7" s="1" t="s">
        <v>228</v>
      </c>
    </row>
    <row r="8" spans="3:7" x14ac:dyDescent="0.25">
      <c r="C8" t="s">
        <v>0</v>
      </c>
      <c r="D8" s="4">
        <v>2.0833333333333332E-2</v>
      </c>
      <c r="F8" t="s">
        <v>0</v>
      </c>
    </row>
    <row r="9" spans="3:7" x14ac:dyDescent="0.25">
      <c r="C9" t="s">
        <v>4</v>
      </c>
      <c r="D9" s="4">
        <v>4.1666666666666664E-2</v>
      </c>
      <c r="F9" t="s">
        <v>4</v>
      </c>
    </row>
    <row r="10" spans="3:7" x14ac:dyDescent="0.25">
      <c r="C10" t="s">
        <v>134</v>
      </c>
      <c r="F10" t="s">
        <v>134</v>
      </c>
      <c r="G10" s="4"/>
    </row>
    <row r="11" spans="3:7" x14ac:dyDescent="0.25">
      <c r="C11" t="s">
        <v>7</v>
      </c>
      <c r="D11" s="4">
        <v>0.14583333333333334</v>
      </c>
      <c r="F11" t="s">
        <v>7</v>
      </c>
      <c r="G11" s="4">
        <v>0.14583333333333334</v>
      </c>
    </row>
    <row r="12" spans="3:7" x14ac:dyDescent="0.25">
      <c r="C12" t="s">
        <v>168</v>
      </c>
      <c r="D12" s="4">
        <v>2.7777777777777776E-2</v>
      </c>
      <c r="F12" t="s">
        <v>168</v>
      </c>
      <c r="G12" s="4">
        <v>2.7777777777777776E-2</v>
      </c>
    </row>
    <row r="13" spans="3:7" x14ac:dyDescent="0.25">
      <c r="C13" t="s">
        <v>8</v>
      </c>
      <c r="D13" s="4">
        <v>2.0833333333333332E-2</v>
      </c>
      <c r="F13" t="s">
        <v>8</v>
      </c>
      <c r="G13" s="4">
        <v>2.7777777777777776E-2</v>
      </c>
    </row>
    <row r="14" spans="3:7" x14ac:dyDescent="0.25">
      <c r="C14" t="s">
        <v>116</v>
      </c>
      <c r="D14" s="4">
        <v>3.125E-2</v>
      </c>
      <c r="F14" t="s">
        <v>116</v>
      </c>
      <c r="G14" s="4">
        <v>3.125E-2</v>
      </c>
    </row>
    <row r="15" spans="3:7" x14ac:dyDescent="0.25">
      <c r="C15" t="s">
        <v>10</v>
      </c>
      <c r="D15" s="4">
        <v>4.1666666666666664E-2</v>
      </c>
      <c r="F15" t="s">
        <v>10</v>
      </c>
      <c r="G15" s="4">
        <v>4.1666666666666664E-2</v>
      </c>
    </row>
    <row r="16" spans="3:7" x14ac:dyDescent="0.25">
      <c r="C16" t="s">
        <v>227</v>
      </c>
      <c r="D16" s="4">
        <v>2.7777777777777776E-2</v>
      </c>
      <c r="F16" t="s">
        <v>227</v>
      </c>
      <c r="G16" s="4">
        <v>2.7777777777777776E-2</v>
      </c>
    </row>
    <row r="17" spans="3:7" x14ac:dyDescent="0.25">
      <c r="C17" t="s">
        <v>149</v>
      </c>
      <c r="D17" s="4">
        <v>6.9444444444444441E-3</v>
      </c>
      <c r="F17" t="s">
        <v>149</v>
      </c>
      <c r="G17" s="4">
        <v>2.0833333333333332E-2</v>
      </c>
    </row>
    <row r="18" spans="3:7" x14ac:dyDescent="0.25">
      <c r="C18" t="s">
        <v>144</v>
      </c>
      <c r="F18" t="s">
        <v>144</v>
      </c>
      <c r="G18" s="4">
        <v>1.3888888888888888E-2</v>
      </c>
    </row>
    <row r="19" spans="3:7" x14ac:dyDescent="0.25">
      <c r="C19" t="s">
        <v>11</v>
      </c>
      <c r="D19" s="4">
        <v>3.125E-2</v>
      </c>
      <c r="F19" t="s">
        <v>11</v>
      </c>
      <c r="G19" s="4">
        <v>3.125E-2</v>
      </c>
    </row>
    <row r="20" spans="3:7" x14ac:dyDescent="0.25">
      <c r="C20" t="s">
        <v>13</v>
      </c>
      <c r="D20" s="4">
        <v>5.2083333333333336E-2</v>
      </c>
      <c r="F20" t="s">
        <v>13</v>
      </c>
      <c r="G20" s="4">
        <v>0.10416666666666667</v>
      </c>
    </row>
    <row r="21" spans="3:7" x14ac:dyDescent="0.25">
      <c r="C21" t="s">
        <v>17</v>
      </c>
      <c r="D21" s="4">
        <v>2.0833333333333332E-2</v>
      </c>
      <c r="F21" t="s">
        <v>17</v>
      </c>
      <c r="G21" s="4">
        <v>1.7361111111111112E-2</v>
      </c>
    </row>
    <row r="22" spans="3:7" x14ac:dyDescent="0.25">
      <c r="C22" t="s">
        <v>18</v>
      </c>
      <c r="D22" s="4">
        <v>2.0833333333333332E-2</v>
      </c>
      <c r="F22" t="s">
        <v>18</v>
      </c>
      <c r="G22" s="4">
        <v>3.125E-2</v>
      </c>
    </row>
    <row r="23" spans="3:7" x14ac:dyDescent="0.25">
      <c r="C23" t="s">
        <v>19</v>
      </c>
      <c r="D23" s="4">
        <v>2.0833333333333332E-2</v>
      </c>
      <c r="F23" t="s">
        <v>19</v>
      </c>
      <c r="G23" s="4">
        <v>2.0833333333333332E-2</v>
      </c>
    </row>
    <row r="24" spans="3:7" x14ac:dyDescent="0.25">
      <c r="C24" t="s">
        <v>117</v>
      </c>
      <c r="D24" s="4">
        <v>2.0833333333333332E-2</v>
      </c>
      <c r="F24" t="s">
        <v>117</v>
      </c>
      <c r="G24" s="4">
        <v>2.0833333333333332E-2</v>
      </c>
    </row>
    <row r="25" spans="3:7" x14ac:dyDescent="0.25">
      <c r="C25" t="s">
        <v>146</v>
      </c>
      <c r="D25" s="4">
        <v>3.125E-2</v>
      </c>
      <c r="F25" t="s">
        <v>146</v>
      </c>
      <c r="G25" s="4">
        <v>3.125E-2</v>
      </c>
    </row>
    <row r="26" spans="3:7" x14ac:dyDescent="0.25">
      <c r="C26" t="s">
        <v>171</v>
      </c>
      <c r="D26" s="4">
        <v>1.3888888888888888E-2</v>
      </c>
      <c r="F26" t="s">
        <v>171</v>
      </c>
      <c r="G26" s="4">
        <v>1.3888888888888888E-2</v>
      </c>
    </row>
    <row r="27" spans="3:7" x14ac:dyDescent="0.25">
      <c r="C27" t="s">
        <v>117</v>
      </c>
      <c r="D27" s="4">
        <v>3.125E-2</v>
      </c>
      <c r="F27" t="s">
        <v>117</v>
      </c>
      <c r="G27" s="4">
        <v>3.125E-2</v>
      </c>
    </row>
    <row r="28" spans="3:7" x14ac:dyDescent="0.25">
      <c r="C28" t="s">
        <v>119</v>
      </c>
      <c r="D28" s="4">
        <v>4.1666666666666664E-2</v>
      </c>
      <c r="F28" t="s">
        <v>119</v>
      </c>
      <c r="G28" s="4">
        <v>4.1666666666666664E-2</v>
      </c>
    </row>
    <row r="29" spans="3:7" x14ac:dyDescent="0.25">
      <c r="C29" t="s">
        <v>147</v>
      </c>
      <c r="D29" s="4">
        <v>0.10416666666666667</v>
      </c>
      <c r="F29" t="s">
        <v>147</v>
      </c>
      <c r="G29" s="4">
        <v>0.10416666666666667</v>
      </c>
    </row>
    <row r="30" spans="3:7" x14ac:dyDescent="0.25">
      <c r="C30" s="1" t="s">
        <v>15</v>
      </c>
      <c r="D30" s="10">
        <f>SUM(D8:D29)</f>
        <v>0.7534722222222221</v>
      </c>
      <c r="F30" s="1" t="s">
        <v>15</v>
      </c>
      <c r="G30" s="10">
        <f>SUM(G8:G29)</f>
        <v>0.78472222222222221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M15"/>
  <sheetViews>
    <sheetView workbookViewId="0">
      <selection activeCell="L9" sqref="L9"/>
    </sheetView>
  </sheetViews>
  <sheetFormatPr defaultRowHeight="15" x14ac:dyDescent="0.25"/>
  <sheetData>
    <row r="6" spans="2:13" x14ac:dyDescent="0.25">
      <c r="B6" t="s">
        <v>218</v>
      </c>
      <c r="G6" t="s">
        <v>219</v>
      </c>
      <c r="I6" t="s">
        <v>220</v>
      </c>
      <c r="L6" t="s">
        <v>19</v>
      </c>
    </row>
    <row r="7" spans="2:13" x14ac:dyDescent="0.25">
      <c r="B7" t="s">
        <v>221</v>
      </c>
      <c r="G7" t="s">
        <v>103</v>
      </c>
      <c r="I7" t="s">
        <v>222</v>
      </c>
      <c r="J7">
        <v>2400</v>
      </c>
      <c r="L7" t="s">
        <v>183</v>
      </c>
      <c r="M7">
        <v>2000</v>
      </c>
    </row>
    <row r="8" spans="2:13" x14ac:dyDescent="0.25">
      <c r="B8" t="s">
        <v>223</v>
      </c>
      <c r="G8" t="s">
        <v>224</v>
      </c>
      <c r="I8" t="s">
        <v>103</v>
      </c>
      <c r="J8">
        <v>900</v>
      </c>
      <c r="L8" t="s">
        <v>103</v>
      </c>
      <c r="M8">
        <v>1000</v>
      </c>
    </row>
    <row r="9" spans="2:13" x14ac:dyDescent="0.25">
      <c r="I9" t="s">
        <v>103</v>
      </c>
      <c r="J9">
        <v>4500</v>
      </c>
    </row>
    <row r="10" spans="2:13" x14ac:dyDescent="0.25">
      <c r="J10">
        <f>SUM(J7:J9)</f>
        <v>7800</v>
      </c>
    </row>
    <row r="13" spans="2:13" x14ac:dyDescent="0.25">
      <c r="D13" t="s">
        <v>225</v>
      </c>
    </row>
    <row r="14" spans="2:13" x14ac:dyDescent="0.25">
      <c r="D14">
        <f>227+143</f>
        <v>370</v>
      </c>
    </row>
    <row r="15" spans="2:13" x14ac:dyDescent="0.25">
      <c r="D15" t="s">
        <v>226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Sheet2</vt:lpstr>
      <vt:lpstr>Sheet5</vt:lpstr>
      <vt:lpstr>Sheet3</vt:lpstr>
      <vt:lpstr>Sheet4</vt:lpstr>
      <vt:lpstr>Sheet7</vt:lpstr>
      <vt:lpstr>Sheena %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Koziel</dc:creator>
  <cp:lastModifiedBy>Eric Koziel</cp:lastModifiedBy>
  <dcterms:created xsi:type="dcterms:W3CDTF">2015-02-08T18:46:08Z</dcterms:created>
  <dcterms:modified xsi:type="dcterms:W3CDTF">2015-03-11T17:34:02Z</dcterms:modified>
</cp:coreProperties>
</file>